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upoelite\Desktop\varios\INCARE\"/>
    </mc:Choice>
  </mc:AlternateContent>
  <xr:revisionPtr revIDLastSave="0" documentId="8_{04923829-3B20-4CD1-9B2E-3C9F3FDD3C41}" xr6:coauthVersionLast="47" xr6:coauthVersionMax="47" xr10:uidLastSave="{00000000-0000-0000-0000-000000000000}"/>
  <bookViews>
    <workbookView xWindow="-120" yWindow="-120" windowWidth="20730" windowHeight="11160" xr2:uid="{45755699-2D52-454F-A09E-A954355C32AE}"/>
  </bookViews>
  <sheets>
    <sheet name="FORMATO AIFT010 900 (2)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'FORMATO AIFT010 900 (2)'!$A$8:$AL$1157</definedName>
    <definedName name="ANDREA">#REF!</definedName>
    <definedName name="Benjamin">#REF!</definedName>
    <definedName name="CC">#REF!</definedName>
    <definedName name="Conciliacion">#REF!</definedName>
    <definedName name="Conciliar">#REF!</definedName>
    <definedName name="DEV">#REF!</definedName>
    <definedName name="DIC">#REF!</definedName>
    <definedName name="GLO">[4]CRUCE!#REF!</definedName>
    <definedName name="ImagenElegida" localSheetId="0">INDIRECT(Resultado)</definedName>
    <definedName name="ImagenElegida">INDIRECT(Resultado)</definedName>
    <definedName name="informe" localSheetId="0">INDIRECT(Resultado)</definedName>
    <definedName name="informe">INDIRECT(Resultado)</definedName>
    <definedName name="PAY">#REF!</definedName>
    <definedName name="PAYI">#REF!</definedName>
    <definedName name="recobros">#REF!</definedName>
    <definedName name="Resultado">#REF!</definedName>
    <definedName name="REV">#REF!</definedName>
    <definedName name="RR">#REF!</definedName>
    <definedName name="RudolfCorp">#REF!</definedName>
    <definedName name="SAP">[4]CRUCE!#REF!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57" i="1" l="1"/>
  <c r="T1156" i="1"/>
  <c r="S1156" i="1"/>
  <c r="J1156" i="1"/>
  <c r="D1156" i="1"/>
  <c r="E1156" i="1" s="1"/>
  <c r="T1155" i="1"/>
  <c r="J1155" i="1"/>
  <c r="E1155" i="1"/>
  <c r="S1155" i="1" s="1"/>
  <c r="D1155" i="1"/>
  <c r="J1154" i="1"/>
  <c r="E1154" i="1"/>
  <c r="D1154" i="1"/>
  <c r="J1153" i="1"/>
  <c r="D1153" i="1"/>
  <c r="E1153" i="1" s="1"/>
  <c r="T1153" i="1" s="1"/>
  <c r="J1152" i="1"/>
  <c r="D1152" i="1"/>
  <c r="E1152" i="1" s="1"/>
  <c r="S1152" i="1" s="1"/>
  <c r="J1151" i="1"/>
  <c r="E1151" i="1"/>
  <c r="S1151" i="1" s="1"/>
  <c r="D1151" i="1"/>
  <c r="J1150" i="1"/>
  <c r="E1150" i="1"/>
  <c r="D1150" i="1"/>
  <c r="S1149" i="1"/>
  <c r="J1149" i="1"/>
  <c r="D1149" i="1"/>
  <c r="E1149" i="1" s="1"/>
  <c r="T1149" i="1" s="1"/>
  <c r="T1148" i="1"/>
  <c r="S1148" i="1"/>
  <c r="J1148" i="1"/>
  <c r="D1148" i="1"/>
  <c r="E1148" i="1" s="1"/>
  <c r="J1147" i="1"/>
  <c r="D1147" i="1"/>
  <c r="E1147" i="1" s="1"/>
  <c r="S1147" i="1" s="1"/>
  <c r="J1146" i="1"/>
  <c r="E1146" i="1"/>
  <c r="D1146" i="1"/>
  <c r="J1145" i="1"/>
  <c r="D1145" i="1"/>
  <c r="E1145" i="1" s="1"/>
  <c r="T1145" i="1" s="1"/>
  <c r="J1144" i="1"/>
  <c r="D1144" i="1"/>
  <c r="E1144" i="1" s="1"/>
  <c r="J1143" i="1"/>
  <c r="D1143" i="1"/>
  <c r="E1143" i="1" s="1"/>
  <c r="J1142" i="1"/>
  <c r="E1142" i="1"/>
  <c r="D1142" i="1"/>
  <c r="S1141" i="1"/>
  <c r="J1141" i="1"/>
  <c r="D1141" i="1"/>
  <c r="E1141" i="1" s="1"/>
  <c r="T1141" i="1" s="1"/>
  <c r="T1140" i="1"/>
  <c r="S1140" i="1"/>
  <c r="J1140" i="1"/>
  <c r="D1140" i="1"/>
  <c r="E1140" i="1" s="1"/>
  <c r="T1139" i="1"/>
  <c r="J1139" i="1"/>
  <c r="D1139" i="1"/>
  <c r="E1139" i="1" s="1"/>
  <c r="S1139" i="1" s="1"/>
  <c r="J1138" i="1"/>
  <c r="E1138" i="1"/>
  <c r="D1138" i="1"/>
  <c r="J1137" i="1"/>
  <c r="D1137" i="1"/>
  <c r="E1137" i="1" s="1"/>
  <c r="J1136" i="1"/>
  <c r="D1136" i="1"/>
  <c r="E1136" i="1" s="1"/>
  <c r="J1135" i="1"/>
  <c r="E1135" i="1"/>
  <c r="D1135" i="1"/>
  <c r="J1134" i="1"/>
  <c r="E1134" i="1"/>
  <c r="D1134" i="1"/>
  <c r="S1133" i="1"/>
  <c r="J1133" i="1"/>
  <c r="D1133" i="1"/>
  <c r="E1133" i="1" s="1"/>
  <c r="T1133" i="1" s="1"/>
  <c r="T1132" i="1"/>
  <c r="S1132" i="1"/>
  <c r="J1132" i="1"/>
  <c r="D1132" i="1"/>
  <c r="E1132" i="1" s="1"/>
  <c r="T1131" i="1"/>
  <c r="J1131" i="1"/>
  <c r="D1131" i="1"/>
  <c r="E1131" i="1" s="1"/>
  <c r="S1131" i="1" s="1"/>
  <c r="J1130" i="1"/>
  <c r="E1130" i="1"/>
  <c r="D1130" i="1"/>
  <c r="J1129" i="1"/>
  <c r="D1129" i="1"/>
  <c r="E1129" i="1" s="1"/>
  <c r="J1128" i="1"/>
  <c r="D1128" i="1"/>
  <c r="E1128" i="1" s="1"/>
  <c r="J1127" i="1"/>
  <c r="D1127" i="1"/>
  <c r="E1127" i="1" s="1"/>
  <c r="J1126" i="1"/>
  <c r="E1126" i="1"/>
  <c r="D1126" i="1"/>
  <c r="S1125" i="1"/>
  <c r="J1125" i="1"/>
  <c r="D1125" i="1"/>
  <c r="E1125" i="1" s="1"/>
  <c r="T1125" i="1" s="1"/>
  <c r="S1124" i="1"/>
  <c r="J1124" i="1"/>
  <c r="D1124" i="1"/>
  <c r="E1124" i="1" s="1"/>
  <c r="T1124" i="1" s="1"/>
  <c r="J1123" i="1"/>
  <c r="D1123" i="1"/>
  <c r="E1123" i="1" s="1"/>
  <c r="S1123" i="1" s="1"/>
  <c r="J1122" i="1"/>
  <c r="E1122" i="1"/>
  <c r="D1122" i="1"/>
  <c r="S1121" i="1"/>
  <c r="J1121" i="1"/>
  <c r="D1121" i="1"/>
  <c r="E1121" i="1" s="1"/>
  <c r="T1121" i="1" s="1"/>
  <c r="S1120" i="1"/>
  <c r="J1120" i="1"/>
  <c r="D1120" i="1"/>
  <c r="E1120" i="1" s="1"/>
  <c r="T1120" i="1" s="1"/>
  <c r="J1119" i="1"/>
  <c r="E1119" i="1"/>
  <c r="D1119" i="1"/>
  <c r="J1118" i="1"/>
  <c r="E1118" i="1"/>
  <c r="D1118" i="1"/>
  <c r="S1117" i="1"/>
  <c r="J1117" i="1"/>
  <c r="D1117" i="1"/>
  <c r="E1117" i="1" s="1"/>
  <c r="T1117" i="1" s="1"/>
  <c r="T1116" i="1"/>
  <c r="S1116" i="1"/>
  <c r="J1116" i="1"/>
  <c r="D1116" i="1"/>
  <c r="E1116" i="1" s="1"/>
  <c r="T1115" i="1"/>
  <c r="J1115" i="1"/>
  <c r="D1115" i="1"/>
  <c r="E1115" i="1" s="1"/>
  <c r="S1115" i="1" s="1"/>
  <c r="J1114" i="1"/>
  <c r="E1114" i="1"/>
  <c r="D1114" i="1"/>
  <c r="J1113" i="1"/>
  <c r="D1113" i="1"/>
  <c r="E1113" i="1" s="1"/>
  <c r="T1113" i="1" s="1"/>
  <c r="S1112" i="1"/>
  <c r="J1112" i="1"/>
  <c r="D1112" i="1"/>
  <c r="E1112" i="1" s="1"/>
  <c r="T1112" i="1" s="1"/>
  <c r="J1111" i="1"/>
  <c r="E1111" i="1"/>
  <c r="D1111" i="1"/>
  <c r="J1110" i="1"/>
  <c r="E1110" i="1"/>
  <c r="D1110" i="1"/>
  <c r="J1109" i="1"/>
  <c r="D1109" i="1"/>
  <c r="E1109" i="1" s="1"/>
  <c r="T1109" i="1" s="1"/>
  <c r="J1108" i="1"/>
  <c r="D1108" i="1"/>
  <c r="E1108" i="1" s="1"/>
  <c r="T1108" i="1" s="1"/>
  <c r="T1107" i="1"/>
  <c r="J1107" i="1"/>
  <c r="D1107" i="1"/>
  <c r="E1107" i="1" s="1"/>
  <c r="S1107" i="1" s="1"/>
  <c r="J1106" i="1"/>
  <c r="E1106" i="1"/>
  <c r="D1106" i="1"/>
  <c r="J1105" i="1"/>
  <c r="D1105" i="1"/>
  <c r="E1105" i="1" s="1"/>
  <c r="T1105" i="1" s="1"/>
  <c r="J1104" i="1"/>
  <c r="D1104" i="1"/>
  <c r="E1104" i="1" s="1"/>
  <c r="T1104" i="1" s="1"/>
  <c r="J1103" i="1"/>
  <c r="D1103" i="1"/>
  <c r="E1103" i="1" s="1"/>
  <c r="J1102" i="1"/>
  <c r="E1102" i="1"/>
  <c r="D1102" i="1"/>
  <c r="J1101" i="1"/>
  <c r="D1101" i="1"/>
  <c r="E1101" i="1" s="1"/>
  <c r="T1101" i="1" s="1"/>
  <c r="J1100" i="1"/>
  <c r="D1100" i="1"/>
  <c r="E1100" i="1" s="1"/>
  <c r="J1099" i="1"/>
  <c r="D1099" i="1"/>
  <c r="E1099" i="1" s="1"/>
  <c r="J1098" i="1"/>
  <c r="E1098" i="1"/>
  <c r="D1098" i="1"/>
  <c r="S1097" i="1"/>
  <c r="J1097" i="1"/>
  <c r="D1097" i="1"/>
  <c r="E1097" i="1" s="1"/>
  <c r="T1097" i="1" s="1"/>
  <c r="J1096" i="1"/>
  <c r="D1096" i="1"/>
  <c r="E1096" i="1" s="1"/>
  <c r="J1095" i="1"/>
  <c r="D1095" i="1"/>
  <c r="E1095" i="1" s="1"/>
  <c r="J1094" i="1"/>
  <c r="E1094" i="1"/>
  <c r="D1094" i="1"/>
  <c r="S1093" i="1"/>
  <c r="J1093" i="1"/>
  <c r="D1093" i="1"/>
  <c r="E1093" i="1" s="1"/>
  <c r="T1093" i="1" s="1"/>
  <c r="S1092" i="1"/>
  <c r="J1092" i="1"/>
  <c r="D1092" i="1"/>
  <c r="E1092" i="1" s="1"/>
  <c r="T1092" i="1" s="1"/>
  <c r="J1091" i="1"/>
  <c r="D1091" i="1"/>
  <c r="E1091" i="1" s="1"/>
  <c r="J1090" i="1"/>
  <c r="E1090" i="1"/>
  <c r="D1090" i="1"/>
  <c r="S1089" i="1"/>
  <c r="J1089" i="1"/>
  <c r="D1089" i="1"/>
  <c r="E1089" i="1" s="1"/>
  <c r="T1089" i="1" s="1"/>
  <c r="S1088" i="1"/>
  <c r="J1088" i="1"/>
  <c r="E1088" i="1"/>
  <c r="T1088" i="1" s="1"/>
  <c r="D1088" i="1"/>
  <c r="T1087" i="1"/>
  <c r="J1087" i="1"/>
  <c r="E1087" i="1"/>
  <c r="S1087" i="1" s="1"/>
  <c r="D1087" i="1"/>
  <c r="S1086" i="1"/>
  <c r="J1086" i="1"/>
  <c r="E1086" i="1"/>
  <c r="T1086" i="1" s="1"/>
  <c r="D1086" i="1"/>
  <c r="T1085" i="1"/>
  <c r="S1085" i="1"/>
  <c r="J1085" i="1"/>
  <c r="D1085" i="1"/>
  <c r="E1085" i="1" s="1"/>
  <c r="T1084" i="1"/>
  <c r="S1084" i="1"/>
  <c r="J1084" i="1"/>
  <c r="D1084" i="1"/>
  <c r="E1084" i="1" s="1"/>
  <c r="T1083" i="1"/>
  <c r="J1083" i="1"/>
  <c r="D1083" i="1"/>
  <c r="E1083" i="1" s="1"/>
  <c r="S1083" i="1" s="1"/>
  <c r="S1082" i="1"/>
  <c r="J1082" i="1"/>
  <c r="E1082" i="1"/>
  <c r="T1082" i="1" s="1"/>
  <c r="D1082" i="1"/>
  <c r="S1081" i="1"/>
  <c r="J1081" i="1"/>
  <c r="D1081" i="1"/>
  <c r="E1081" i="1" s="1"/>
  <c r="T1081" i="1" s="1"/>
  <c r="S1080" i="1"/>
  <c r="J1080" i="1"/>
  <c r="E1080" i="1"/>
  <c r="T1080" i="1" s="1"/>
  <c r="D1080" i="1"/>
  <c r="T1079" i="1"/>
  <c r="J1079" i="1"/>
  <c r="E1079" i="1"/>
  <c r="S1079" i="1" s="1"/>
  <c r="D1079" i="1"/>
  <c r="J1078" i="1"/>
  <c r="E1078" i="1"/>
  <c r="T1078" i="1" s="1"/>
  <c r="D1078" i="1"/>
  <c r="J1077" i="1"/>
  <c r="D1077" i="1"/>
  <c r="E1077" i="1" s="1"/>
  <c r="S1077" i="1" s="1"/>
  <c r="J1076" i="1"/>
  <c r="E1076" i="1"/>
  <c r="D1076" i="1"/>
  <c r="J1075" i="1"/>
  <c r="E1075" i="1"/>
  <c r="D1075" i="1"/>
  <c r="J1074" i="1"/>
  <c r="E1074" i="1"/>
  <c r="D1074" i="1"/>
  <c r="S1073" i="1"/>
  <c r="J1073" i="1"/>
  <c r="D1073" i="1"/>
  <c r="E1073" i="1" s="1"/>
  <c r="T1073" i="1" s="1"/>
  <c r="S1072" i="1"/>
  <c r="J1072" i="1"/>
  <c r="E1072" i="1"/>
  <c r="T1072" i="1" s="1"/>
  <c r="D1072" i="1"/>
  <c r="T1071" i="1"/>
  <c r="J1071" i="1"/>
  <c r="E1071" i="1"/>
  <c r="S1071" i="1" s="1"/>
  <c r="D1071" i="1"/>
  <c r="S1070" i="1"/>
  <c r="J1070" i="1"/>
  <c r="E1070" i="1"/>
  <c r="T1070" i="1" s="1"/>
  <c r="D1070" i="1"/>
  <c r="T1069" i="1"/>
  <c r="S1069" i="1"/>
  <c r="J1069" i="1"/>
  <c r="D1069" i="1"/>
  <c r="E1069" i="1" s="1"/>
  <c r="T1068" i="1"/>
  <c r="S1068" i="1"/>
  <c r="J1068" i="1"/>
  <c r="D1068" i="1"/>
  <c r="E1068" i="1" s="1"/>
  <c r="T1067" i="1"/>
  <c r="J1067" i="1"/>
  <c r="D1067" i="1"/>
  <c r="E1067" i="1" s="1"/>
  <c r="S1067" i="1" s="1"/>
  <c r="S1066" i="1"/>
  <c r="J1066" i="1"/>
  <c r="E1066" i="1"/>
  <c r="T1066" i="1" s="1"/>
  <c r="D1066" i="1"/>
  <c r="S1065" i="1"/>
  <c r="J1065" i="1"/>
  <c r="D1065" i="1"/>
  <c r="E1065" i="1" s="1"/>
  <c r="T1065" i="1" s="1"/>
  <c r="J1064" i="1"/>
  <c r="E1064" i="1"/>
  <c r="T1064" i="1" s="1"/>
  <c r="D1064" i="1"/>
  <c r="J1063" i="1"/>
  <c r="E1063" i="1"/>
  <c r="S1063" i="1" s="1"/>
  <c r="D1063" i="1"/>
  <c r="J1062" i="1"/>
  <c r="E1062" i="1"/>
  <c r="T1062" i="1" s="1"/>
  <c r="D1062" i="1"/>
  <c r="J1061" i="1"/>
  <c r="D1061" i="1"/>
  <c r="E1061" i="1" s="1"/>
  <c r="S1061" i="1" s="1"/>
  <c r="J1060" i="1"/>
  <c r="D1060" i="1"/>
  <c r="E1060" i="1" s="1"/>
  <c r="J1059" i="1"/>
  <c r="D1059" i="1"/>
  <c r="E1059" i="1" s="1"/>
  <c r="J1058" i="1"/>
  <c r="E1058" i="1"/>
  <c r="D1058" i="1"/>
  <c r="S1057" i="1"/>
  <c r="J1057" i="1"/>
  <c r="D1057" i="1"/>
  <c r="E1057" i="1" s="1"/>
  <c r="T1057" i="1" s="1"/>
  <c r="J1056" i="1"/>
  <c r="E1056" i="1"/>
  <c r="T1056" i="1" s="1"/>
  <c r="D1056" i="1"/>
  <c r="J1055" i="1"/>
  <c r="E1055" i="1"/>
  <c r="S1055" i="1" s="1"/>
  <c r="D1055" i="1"/>
  <c r="J1054" i="1"/>
  <c r="E1054" i="1"/>
  <c r="T1054" i="1" s="1"/>
  <c r="D1054" i="1"/>
  <c r="T1053" i="1"/>
  <c r="S1053" i="1"/>
  <c r="J1053" i="1"/>
  <c r="D1053" i="1"/>
  <c r="E1053" i="1" s="1"/>
  <c r="T1052" i="1"/>
  <c r="S1052" i="1"/>
  <c r="J1052" i="1"/>
  <c r="D1052" i="1"/>
  <c r="E1052" i="1" s="1"/>
  <c r="J1051" i="1"/>
  <c r="D1051" i="1"/>
  <c r="E1051" i="1" s="1"/>
  <c r="S1051" i="1" s="1"/>
  <c r="S1050" i="1"/>
  <c r="J1050" i="1"/>
  <c r="E1050" i="1"/>
  <c r="T1050" i="1" s="1"/>
  <c r="D1050" i="1"/>
  <c r="S1049" i="1"/>
  <c r="J1049" i="1"/>
  <c r="D1049" i="1"/>
  <c r="E1049" i="1" s="1"/>
  <c r="T1049" i="1" s="1"/>
  <c r="S1048" i="1"/>
  <c r="J1048" i="1"/>
  <c r="E1048" i="1"/>
  <c r="T1048" i="1" s="1"/>
  <c r="D1048" i="1"/>
  <c r="T1047" i="1"/>
  <c r="J1047" i="1"/>
  <c r="E1047" i="1"/>
  <c r="S1047" i="1" s="1"/>
  <c r="D1047" i="1"/>
  <c r="S1046" i="1"/>
  <c r="J1046" i="1"/>
  <c r="E1046" i="1"/>
  <c r="T1046" i="1" s="1"/>
  <c r="D1046" i="1"/>
  <c r="T1045" i="1"/>
  <c r="J1045" i="1"/>
  <c r="D1045" i="1"/>
  <c r="E1045" i="1" s="1"/>
  <c r="S1045" i="1" s="1"/>
  <c r="J1044" i="1"/>
  <c r="E1044" i="1"/>
  <c r="D1044" i="1"/>
  <c r="J1043" i="1"/>
  <c r="E1043" i="1"/>
  <c r="D1043" i="1"/>
  <c r="S1042" i="1"/>
  <c r="J1042" i="1"/>
  <c r="D1042" i="1"/>
  <c r="E1042" i="1" s="1"/>
  <c r="T1042" i="1" s="1"/>
  <c r="S1041" i="1"/>
  <c r="J1041" i="1"/>
  <c r="E1041" i="1"/>
  <c r="T1041" i="1" s="1"/>
  <c r="D1041" i="1"/>
  <c r="T1040" i="1"/>
  <c r="J1040" i="1"/>
  <c r="E1040" i="1"/>
  <c r="S1040" i="1" s="1"/>
  <c r="D1040" i="1"/>
  <c r="S1039" i="1"/>
  <c r="J1039" i="1"/>
  <c r="E1039" i="1"/>
  <c r="T1039" i="1" s="1"/>
  <c r="D1039" i="1"/>
  <c r="T1038" i="1"/>
  <c r="S1038" i="1"/>
  <c r="J1038" i="1"/>
  <c r="D1038" i="1"/>
  <c r="E1038" i="1" s="1"/>
  <c r="T1037" i="1"/>
  <c r="S1037" i="1"/>
  <c r="J1037" i="1"/>
  <c r="D1037" i="1"/>
  <c r="E1037" i="1" s="1"/>
  <c r="T1036" i="1"/>
  <c r="J1036" i="1"/>
  <c r="D1036" i="1"/>
  <c r="E1036" i="1" s="1"/>
  <c r="S1036" i="1" s="1"/>
  <c r="S1035" i="1"/>
  <c r="J1035" i="1"/>
  <c r="E1035" i="1"/>
  <c r="T1035" i="1" s="1"/>
  <c r="D1035" i="1"/>
  <c r="S1034" i="1"/>
  <c r="J1034" i="1"/>
  <c r="D1034" i="1"/>
  <c r="E1034" i="1" s="1"/>
  <c r="T1034" i="1" s="1"/>
  <c r="S1033" i="1"/>
  <c r="J1033" i="1"/>
  <c r="E1033" i="1"/>
  <c r="T1033" i="1" s="1"/>
  <c r="D1033" i="1"/>
  <c r="T1032" i="1"/>
  <c r="J1032" i="1"/>
  <c r="E1032" i="1"/>
  <c r="S1032" i="1" s="1"/>
  <c r="D1032" i="1"/>
  <c r="S1031" i="1"/>
  <c r="J1031" i="1"/>
  <c r="E1031" i="1"/>
  <c r="T1031" i="1" s="1"/>
  <c r="D1031" i="1"/>
  <c r="T1030" i="1"/>
  <c r="J1030" i="1"/>
  <c r="D1030" i="1"/>
  <c r="E1030" i="1" s="1"/>
  <c r="S1030" i="1" s="1"/>
  <c r="J1029" i="1"/>
  <c r="D1029" i="1"/>
  <c r="E1029" i="1" s="1"/>
  <c r="J1028" i="1"/>
  <c r="E1028" i="1"/>
  <c r="D1028" i="1"/>
  <c r="J1027" i="1"/>
  <c r="E1027" i="1"/>
  <c r="D1027" i="1"/>
  <c r="S1026" i="1"/>
  <c r="J1026" i="1"/>
  <c r="D1026" i="1"/>
  <c r="E1026" i="1" s="1"/>
  <c r="T1026" i="1" s="1"/>
  <c r="S1025" i="1"/>
  <c r="J1025" i="1"/>
  <c r="E1025" i="1"/>
  <c r="T1025" i="1" s="1"/>
  <c r="D1025" i="1"/>
  <c r="T1024" i="1"/>
  <c r="J1024" i="1"/>
  <c r="E1024" i="1"/>
  <c r="S1024" i="1" s="1"/>
  <c r="D1024" i="1"/>
  <c r="S1023" i="1"/>
  <c r="J1023" i="1"/>
  <c r="E1023" i="1"/>
  <c r="T1023" i="1" s="1"/>
  <c r="D1023" i="1"/>
  <c r="T1022" i="1"/>
  <c r="S1022" i="1"/>
  <c r="J1022" i="1"/>
  <c r="D1022" i="1"/>
  <c r="E1022" i="1" s="1"/>
  <c r="T1021" i="1"/>
  <c r="S1021" i="1"/>
  <c r="J1021" i="1"/>
  <c r="D1021" i="1"/>
  <c r="E1021" i="1" s="1"/>
  <c r="T1020" i="1"/>
  <c r="J1020" i="1"/>
  <c r="D1020" i="1"/>
  <c r="E1020" i="1" s="1"/>
  <c r="S1020" i="1" s="1"/>
  <c r="S1019" i="1"/>
  <c r="J1019" i="1"/>
  <c r="E1019" i="1"/>
  <c r="T1019" i="1" s="1"/>
  <c r="D1019" i="1"/>
  <c r="S1018" i="1"/>
  <c r="J1018" i="1"/>
  <c r="D1018" i="1"/>
  <c r="E1018" i="1" s="1"/>
  <c r="T1018" i="1" s="1"/>
  <c r="S1017" i="1"/>
  <c r="J1017" i="1"/>
  <c r="E1017" i="1"/>
  <c r="T1017" i="1" s="1"/>
  <c r="D1017" i="1"/>
  <c r="T1016" i="1"/>
  <c r="J1016" i="1"/>
  <c r="E1016" i="1"/>
  <c r="S1016" i="1" s="1"/>
  <c r="D1016" i="1"/>
  <c r="S1015" i="1"/>
  <c r="J1015" i="1"/>
  <c r="E1015" i="1"/>
  <c r="T1015" i="1" s="1"/>
  <c r="D1015" i="1"/>
  <c r="T1014" i="1"/>
  <c r="J1014" i="1"/>
  <c r="D1014" i="1"/>
  <c r="E1014" i="1" s="1"/>
  <c r="S1014" i="1" s="1"/>
  <c r="J1013" i="1"/>
  <c r="D1013" i="1"/>
  <c r="E1013" i="1" s="1"/>
  <c r="J1012" i="1"/>
  <c r="E1012" i="1"/>
  <c r="D1012" i="1"/>
  <c r="J1011" i="1"/>
  <c r="E1011" i="1"/>
  <c r="D1011" i="1"/>
  <c r="S1010" i="1"/>
  <c r="J1010" i="1"/>
  <c r="D1010" i="1"/>
  <c r="E1010" i="1" s="1"/>
  <c r="T1010" i="1" s="1"/>
  <c r="S1009" i="1"/>
  <c r="J1009" i="1"/>
  <c r="E1009" i="1"/>
  <c r="T1009" i="1" s="1"/>
  <c r="D1009" i="1"/>
  <c r="T1008" i="1"/>
  <c r="J1008" i="1"/>
  <c r="E1008" i="1"/>
  <c r="S1008" i="1" s="1"/>
  <c r="D1008" i="1"/>
  <c r="S1007" i="1"/>
  <c r="J1007" i="1"/>
  <c r="E1007" i="1"/>
  <c r="T1007" i="1" s="1"/>
  <c r="D1007" i="1"/>
  <c r="T1006" i="1"/>
  <c r="S1006" i="1"/>
  <c r="J1006" i="1"/>
  <c r="D1006" i="1"/>
  <c r="E1006" i="1" s="1"/>
  <c r="T1005" i="1"/>
  <c r="S1005" i="1"/>
  <c r="J1005" i="1"/>
  <c r="D1005" i="1"/>
  <c r="E1005" i="1" s="1"/>
  <c r="T1004" i="1"/>
  <c r="J1004" i="1"/>
  <c r="D1004" i="1"/>
  <c r="E1004" i="1" s="1"/>
  <c r="S1004" i="1" s="1"/>
  <c r="S1003" i="1"/>
  <c r="J1003" i="1"/>
  <c r="E1003" i="1"/>
  <c r="T1003" i="1" s="1"/>
  <c r="D1003" i="1"/>
  <c r="S1002" i="1"/>
  <c r="J1002" i="1"/>
  <c r="D1002" i="1"/>
  <c r="E1002" i="1" s="1"/>
  <c r="T1002" i="1" s="1"/>
  <c r="S1001" i="1"/>
  <c r="J1001" i="1"/>
  <c r="E1001" i="1"/>
  <c r="T1001" i="1" s="1"/>
  <c r="D1001" i="1"/>
  <c r="T1000" i="1"/>
  <c r="J1000" i="1"/>
  <c r="E1000" i="1"/>
  <c r="S1000" i="1" s="1"/>
  <c r="D1000" i="1"/>
  <c r="S999" i="1"/>
  <c r="J999" i="1"/>
  <c r="E999" i="1"/>
  <c r="T999" i="1" s="1"/>
  <c r="D999" i="1"/>
  <c r="T998" i="1"/>
  <c r="J998" i="1"/>
  <c r="D998" i="1"/>
  <c r="E998" i="1" s="1"/>
  <c r="S998" i="1" s="1"/>
  <c r="J997" i="1"/>
  <c r="D997" i="1"/>
  <c r="E997" i="1" s="1"/>
  <c r="J996" i="1"/>
  <c r="E996" i="1"/>
  <c r="D996" i="1"/>
  <c r="J995" i="1"/>
  <c r="E995" i="1"/>
  <c r="D995" i="1"/>
  <c r="S994" i="1"/>
  <c r="J994" i="1"/>
  <c r="D994" i="1"/>
  <c r="E994" i="1" s="1"/>
  <c r="T994" i="1" s="1"/>
  <c r="S993" i="1"/>
  <c r="J993" i="1"/>
  <c r="E993" i="1"/>
  <c r="T993" i="1" s="1"/>
  <c r="D993" i="1"/>
  <c r="T992" i="1"/>
  <c r="J992" i="1"/>
  <c r="E992" i="1"/>
  <c r="S992" i="1" s="1"/>
  <c r="D992" i="1"/>
  <c r="S991" i="1"/>
  <c r="J991" i="1"/>
  <c r="E991" i="1"/>
  <c r="T991" i="1" s="1"/>
  <c r="D991" i="1"/>
  <c r="T990" i="1"/>
  <c r="S990" i="1"/>
  <c r="J990" i="1"/>
  <c r="D990" i="1"/>
  <c r="E990" i="1" s="1"/>
  <c r="T989" i="1"/>
  <c r="J989" i="1"/>
  <c r="D989" i="1"/>
  <c r="E989" i="1" s="1"/>
  <c r="S989" i="1" s="1"/>
  <c r="J988" i="1"/>
  <c r="D988" i="1"/>
  <c r="E988" i="1" s="1"/>
  <c r="S987" i="1"/>
  <c r="J987" i="1"/>
  <c r="E987" i="1"/>
  <c r="T987" i="1" s="1"/>
  <c r="D987" i="1"/>
  <c r="J986" i="1"/>
  <c r="D986" i="1"/>
  <c r="E986" i="1" s="1"/>
  <c r="J985" i="1"/>
  <c r="E985" i="1"/>
  <c r="D985" i="1"/>
  <c r="J984" i="1"/>
  <c r="E984" i="1"/>
  <c r="D984" i="1"/>
  <c r="J983" i="1"/>
  <c r="E983" i="1"/>
  <c r="D983" i="1"/>
  <c r="T982" i="1"/>
  <c r="J982" i="1"/>
  <c r="D982" i="1"/>
  <c r="E982" i="1" s="1"/>
  <c r="S982" i="1" s="1"/>
  <c r="J981" i="1"/>
  <c r="D981" i="1"/>
  <c r="E981" i="1" s="1"/>
  <c r="J980" i="1"/>
  <c r="D980" i="1"/>
  <c r="E980" i="1" s="1"/>
  <c r="J979" i="1"/>
  <c r="E979" i="1"/>
  <c r="T979" i="1" s="1"/>
  <c r="D979" i="1"/>
  <c r="S978" i="1"/>
  <c r="J978" i="1"/>
  <c r="D978" i="1"/>
  <c r="E978" i="1" s="1"/>
  <c r="T978" i="1" s="1"/>
  <c r="S977" i="1"/>
  <c r="J977" i="1"/>
  <c r="E977" i="1"/>
  <c r="T977" i="1" s="1"/>
  <c r="D977" i="1"/>
  <c r="T976" i="1"/>
  <c r="J976" i="1"/>
  <c r="E976" i="1"/>
  <c r="S976" i="1" s="1"/>
  <c r="D976" i="1"/>
  <c r="S975" i="1"/>
  <c r="J975" i="1"/>
  <c r="E975" i="1"/>
  <c r="T975" i="1" s="1"/>
  <c r="D975" i="1"/>
  <c r="T974" i="1"/>
  <c r="S974" i="1"/>
  <c r="J974" i="1"/>
  <c r="D974" i="1"/>
  <c r="E974" i="1" s="1"/>
  <c r="T973" i="1"/>
  <c r="J973" i="1"/>
  <c r="D973" i="1"/>
  <c r="E973" i="1" s="1"/>
  <c r="S973" i="1" s="1"/>
  <c r="J972" i="1"/>
  <c r="D972" i="1"/>
  <c r="E972" i="1" s="1"/>
  <c r="S971" i="1"/>
  <c r="J971" i="1"/>
  <c r="E971" i="1"/>
  <c r="T971" i="1" s="1"/>
  <c r="D971" i="1"/>
  <c r="J970" i="1"/>
  <c r="D970" i="1"/>
  <c r="E970" i="1" s="1"/>
  <c r="T970" i="1" s="1"/>
  <c r="S969" i="1"/>
  <c r="J969" i="1"/>
  <c r="E969" i="1"/>
  <c r="T969" i="1" s="1"/>
  <c r="D969" i="1"/>
  <c r="T968" i="1"/>
  <c r="J968" i="1"/>
  <c r="E968" i="1"/>
  <c r="S968" i="1" s="1"/>
  <c r="D968" i="1"/>
  <c r="S967" i="1"/>
  <c r="J967" i="1"/>
  <c r="E967" i="1"/>
  <c r="T967" i="1" s="1"/>
  <c r="D967" i="1"/>
  <c r="T966" i="1"/>
  <c r="J966" i="1"/>
  <c r="D966" i="1"/>
  <c r="E966" i="1" s="1"/>
  <c r="S966" i="1" s="1"/>
  <c r="T965" i="1"/>
  <c r="J965" i="1"/>
  <c r="D965" i="1"/>
  <c r="E965" i="1" s="1"/>
  <c r="S965" i="1" s="1"/>
  <c r="J964" i="1"/>
  <c r="D964" i="1"/>
  <c r="E964" i="1" s="1"/>
  <c r="J963" i="1"/>
  <c r="E963" i="1"/>
  <c r="T963" i="1" s="1"/>
  <c r="D963" i="1"/>
  <c r="S962" i="1"/>
  <c r="J962" i="1"/>
  <c r="D962" i="1"/>
  <c r="E962" i="1" s="1"/>
  <c r="T962" i="1" s="1"/>
  <c r="J961" i="1"/>
  <c r="E961" i="1"/>
  <c r="T961" i="1" s="1"/>
  <c r="D961" i="1"/>
  <c r="J960" i="1"/>
  <c r="E960" i="1"/>
  <c r="S960" i="1" s="1"/>
  <c r="D960" i="1"/>
  <c r="J959" i="1"/>
  <c r="E959" i="1"/>
  <c r="T959" i="1" s="1"/>
  <c r="D959" i="1"/>
  <c r="T958" i="1"/>
  <c r="S958" i="1"/>
  <c r="J958" i="1"/>
  <c r="D958" i="1"/>
  <c r="E958" i="1" s="1"/>
  <c r="J957" i="1"/>
  <c r="D957" i="1"/>
  <c r="E957" i="1" s="1"/>
  <c r="S957" i="1" s="1"/>
  <c r="J956" i="1"/>
  <c r="D956" i="1"/>
  <c r="E956" i="1" s="1"/>
  <c r="S955" i="1"/>
  <c r="J955" i="1"/>
  <c r="E955" i="1"/>
  <c r="T955" i="1" s="1"/>
  <c r="D955" i="1"/>
  <c r="S954" i="1"/>
  <c r="J954" i="1"/>
  <c r="D954" i="1"/>
  <c r="E954" i="1" s="1"/>
  <c r="T954" i="1" s="1"/>
  <c r="J953" i="1"/>
  <c r="E953" i="1"/>
  <c r="T953" i="1" s="1"/>
  <c r="D953" i="1"/>
  <c r="J952" i="1"/>
  <c r="E952" i="1"/>
  <c r="S952" i="1" s="1"/>
  <c r="D952" i="1"/>
  <c r="J951" i="1"/>
  <c r="E951" i="1"/>
  <c r="T951" i="1" s="1"/>
  <c r="D951" i="1"/>
  <c r="T950" i="1"/>
  <c r="J950" i="1"/>
  <c r="D950" i="1"/>
  <c r="E950" i="1" s="1"/>
  <c r="S950" i="1" s="1"/>
  <c r="J949" i="1"/>
  <c r="D949" i="1"/>
  <c r="E949" i="1" s="1"/>
  <c r="S949" i="1" s="1"/>
  <c r="J948" i="1"/>
  <c r="D948" i="1"/>
  <c r="E948" i="1" s="1"/>
  <c r="J947" i="1"/>
  <c r="E947" i="1"/>
  <c r="T947" i="1" s="1"/>
  <c r="D947" i="1"/>
  <c r="J946" i="1"/>
  <c r="D946" i="1"/>
  <c r="E946" i="1" s="1"/>
  <c r="T946" i="1" s="1"/>
  <c r="S945" i="1"/>
  <c r="J945" i="1"/>
  <c r="E945" i="1"/>
  <c r="T945" i="1" s="1"/>
  <c r="D945" i="1"/>
  <c r="T944" i="1"/>
  <c r="J944" i="1"/>
  <c r="E944" i="1"/>
  <c r="S944" i="1" s="1"/>
  <c r="D944" i="1"/>
  <c r="S943" i="1"/>
  <c r="J943" i="1"/>
  <c r="E943" i="1"/>
  <c r="T943" i="1" s="1"/>
  <c r="D943" i="1"/>
  <c r="T942" i="1"/>
  <c r="S942" i="1"/>
  <c r="J942" i="1"/>
  <c r="D942" i="1"/>
  <c r="E942" i="1" s="1"/>
  <c r="T941" i="1"/>
  <c r="J941" i="1"/>
  <c r="D941" i="1"/>
  <c r="E941" i="1" s="1"/>
  <c r="S941" i="1" s="1"/>
  <c r="S940" i="1"/>
  <c r="J940" i="1"/>
  <c r="E940" i="1"/>
  <c r="T940" i="1" s="1"/>
  <c r="D940" i="1"/>
  <c r="T939" i="1"/>
  <c r="J939" i="1"/>
  <c r="D939" i="1"/>
  <c r="E939" i="1" s="1"/>
  <c r="S939" i="1" s="1"/>
  <c r="J938" i="1"/>
  <c r="E938" i="1"/>
  <c r="T938" i="1" s="1"/>
  <c r="D938" i="1"/>
  <c r="J937" i="1"/>
  <c r="D937" i="1"/>
  <c r="E937" i="1" s="1"/>
  <c r="S937" i="1" s="1"/>
  <c r="J936" i="1"/>
  <c r="E936" i="1"/>
  <c r="T936" i="1" s="1"/>
  <c r="D936" i="1"/>
  <c r="J935" i="1"/>
  <c r="D935" i="1"/>
  <c r="E935" i="1" s="1"/>
  <c r="S935" i="1" s="1"/>
  <c r="S934" i="1"/>
  <c r="J934" i="1"/>
  <c r="E934" i="1"/>
  <c r="T934" i="1" s="1"/>
  <c r="D934" i="1"/>
  <c r="T933" i="1"/>
  <c r="J933" i="1"/>
  <c r="D933" i="1"/>
  <c r="E933" i="1" s="1"/>
  <c r="S933" i="1" s="1"/>
  <c r="S932" i="1"/>
  <c r="J932" i="1"/>
  <c r="E932" i="1"/>
  <c r="T932" i="1" s="1"/>
  <c r="D932" i="1"/>
  <c r="T931" i="1"/>
  <c r="J931" i="1"/>
  <c r="D931" i="1"/>
  <c r="E931" i="1" s="1"/>
  <c r="S931" i="1" s="1"/>
  <c r="J930" i="1"/>
  <c r="E930" i="1"/>
  <c r="T930" i="1" s="1"/>
  <c r="D930" i="1"/>
  <c r="J929" i="1"/>
  <c r="D929" i="1"/>
  <c r="E929" i="1" s="1"/>
  <c r="S929" i="1" s="1"/>
  <c r="J928" i="1"/>
  <c r="E928" i="1"/>
  <c r="T928" i="1" s="1"/>
  <c r="D928" i="1"/>
  <c r="J927" i="1"/>
  <c r="D927" i="1"/>
  <c r="E927" i="1" s="1"/>
  <c r="S927" i="1" s="1"/>
  <c r="S926" i="1"/>
  <c r="J926" i="1"/>
  <c r="E926" i="1"/>
  <c r="T926" i="1" s="1"/>
  <c r="D926" i="1"/>
  <c r="T925" i="1"/>
  <c r="J925" i="1"/>
  <c r="D925" i="1"/>
  <c r="E925" i="1" s="1"/>
  <c r="S925" i="1" s="1"/>
  <c r="S924" i="1"/>
  <c r="J924" i="1"/>
  <c r="E924" i="1"/>
  <c r="T924" i="1" s="1"/>
  <c r="D924" i="1"/>
  <c r="T923" i="1"/>
  <c r="J923" i="1"/>
  <c r="D923" i="1"/>
  <c r="E923" i="1" s="1"/>
  <c r="S923" i="1" s="1"/>
  <c r="J922" i="1"/>
  <c r="E922" i="1"/>
  <c r="T922" i="1" s="1"/>
  <c r="D922" i="1"/>
  <c r="J921" i="1"/>
  <c r="D921" i="1"/>
  <c r="E921" i="1" s="1"/>
  <c r="S921" i="1" s="1"/>
  <c r="J920" i="1"/>
  <c r="E920" i="1"/>
  <c r="T920" i="1" s="1"/>
  <c r="D920" i="1"/>
  <c r="J919" i="1"/>
  <c r="D919" i="1"/>
  <c r="E919" i="1" s="1"/>
  <c r="S919" i="1" s="1"/>
  <c r="S918" i="1"/>
  <c r="J918" i="1"/>
  <c r="E918" i="1"/>
  <c r="T918" i="1" s="1"/>
  <c r="D918" i="1"/>
  <c r="T917" i="1"/>
  <c r="J917" i="1"/>
  <c r="D917" i="1"/>
  <c r="E917" i="1" s="1"/>
  <c r="S917" i="1" s="1"/>
  <c r="S916" i="1"/>
  <c r="J916" i="1"/>
  <c r="E916" i="1"/>
  <c r="T916" i="1" s="1"/>
  <c r="D916" i="1"/>
  <c r="T915" i="1"/>
  <c r="J915" i="1"/>
  <c r="D915" i="1"/>
  <c r="E915" i="1" s="1"/>
  <c r="S915" i="1" s="1"/>
  <c r="J914" i="1"/>
  <c r="E914" i="1"/>
  <c r="T914" i="1" s="1"/>
  <c r="D914" i="1"/>
  <c r="J913" i="1"/>
  <c r="D913" i="1"/>
  <c r="E913" i="1" s="1"/>
  <c r="S913" i="1" s="1"/>
  <c r="J912" i="1"/>
  <c r="E912" i="1"/>
  <c r="T912" i="1" s="1"/>
  <c r="D912" i="1"/>
  <c r="J911" i="1"/>
  <c r="D911" i="1"/>
  <c r="E911" i="1" s="1"/>
  <c r="S911" i="1" s="1"/>
  <c r="S910" i="1"/>
  <c r="J910" i="1"/>
  <c r="E910" i="1"/>
  <c r="T910" i="1" s="1"/>
  <c r="D910" i="1"/>
  <c r="T909" i="1"/>
  <c r="J909" i="1"/>
  <c r="D909" i="1"/>
  <c r="E909" i="1" s="1"/>
  <c r="S909" i="1" s="1"/>
  <c r="S908" i="1"/>
  <c r="J908" i="1"/>
  <c r="E908" i="1"/>
  <c r="T908" i="1" s="1"/>
  <c r="D908" i="1"/>
  <c r="T907" i="1"/>
  <c r="J907" i="1"/>
  <c r="D907" i="1"/>
  <c r="E907" i="1" s="1"/>
  <c r="S907" i="1" s="1"/>
  <c r="J906" i="1"/>
  <c r="E906" i="1"/>
  <c r="T906" i="1" s="1"/>
  <c r="D906" i="1"/>
  <c r="J905" i="1"/>
  <c r="D905" i="1"/>
  <c r="E905" i="1" s="1"/>
  <c r="S905" i="1" s="1"/>
  <c r="J904" i="1"/>
  <c r="E904" i="1"/>
  <c r="T904" i="1" s="1"/>
  <c r="D904" i="1"/>
  <c r="J903" i="1"/>
  <c r="D903" i="1"/>
  <c r="E903" i="1" s="1"/>
  <c r="S903" i="1" s="1"/>
  <c r="S902" i="1"/>
  <c r="J902" i="1"/>
  <c r="E902" i="1"/>
  <c r="T902" i="1" s="1"/>
  <c r="D902" i="1"/>
  <c r="T901" i="1"/>
  <c r="J901" i="1"/>
  <c r="D901" i="1"/>
  <c r="E901" i="1" s="1"/>
  <c r="S901" i="1" s="1"/>
  <c r="S900" i="1"/>
  <c r="J900" i="1"/>
  <c r="E900" i="1"/>
  <c r="T900" i="1" s="1"/>
  <c r="D900" i="1"/>
  <c r="T899" i="1"/>
  <c r="J899" i="1"/>
  <c r="D899" i="1"/>
  <c r="E899" i="1" s="1"/>
  <c r="S899" i="1" s="1"/>
  <c r="J898" i="1"/>
  <c r="E898" i="1"/>
  <c r="T898" i="1" s="1"/>
  <c r="D898" i="1"/>
  <c r="J897" i="1"/>
  <c r="D897" i="1"/>
  <c r="E897" i="1" s="1"/>
  <c r="S897" i="1" s="1"/>
  <c r="J896" i="1"/>
  <c r="E896" i="1"/>
  <c r="T896" i="1" s="1"/>
  <c r="D896" i="1"/>
  <c r="J895" i="1"/>
  <c r="D895" i="1"/>
  <c r="E895" i="1" s="1"/>
  <c r="S895" i="1" s="1"/>
  <c r="S894" i="1"/>
  <c r="J894" i="1"/>
  <c r="E894" i="1"/>
  <c r="T894" i="1" s="1"/>
  <c r="D894" i="1"/>
  <c r="T893" i="1"/>
  <c r="J893" i="1"/>
  <c r="D893" i="1"/>
  <c r="E893" i="1" s="1"/>
  <c r="S893" i="1" s="1"/>
  <c r="S892" i="1"/>
  <c r="J892" i="1"/>
  <c r="E892" i="1"/>
  <c r="T892" i="1" s="1"/>
  <c r="D892" i="1"/>
  <c r="T891" i="1"/>
  <c r="J891" i="1"/>
  <c r="D891" i="1"/>
  <c r="E891" i="1" s="1"/>
  <c r="S891" i="1" s="1"/>
  <c r="J890" i="1"/>
  <c r="E890" i="1"/>
  <c r="T890" i="1" s="1"/>
  <c r="D890" i="1"/>
  <c r="J889" i="1"/>
  <c r="D889" i="1"/>
  <c r="E889" i="1" s="1"/>
  <c r="S889" i="1" s="1"/>
  <c r="J888" i="1"/>
  <c r="E888" i="1"/>
  <c r="T888" i="1" s="1"/>
  <c r="D888" i="1"/>
  <c r="J887" i="1"/>
  <c r="D887" i="1"/>
  <c r="E887" i="1" s="1"/>
  <c r="S887" i="1" s="1"/>
  <c r="S886" i="1"/>
  <c r="J886" i="1"/>
  <c r="E886" i="1"/>
  <c r="T886" i="1" s="1"/>
  <c r="D886" i="1"/>
  <c r="T885" i="1"/>
  <c r="J885" i="1"/>
  <c r="D885" i="1"/>
  <c r="E885" i="1" s="1"/>
  <c r="S885" i="1" s="1"/>
  <c r="S884" i="1"/>
  <c r="J884" i="1"/>
  <c r="E884" i="1"/>
  <c r="T884" i="1" s="1"/>
  <c r="D884" i="1"/>
  <c r="T883" i="1"/>
  <c r="J883" i="1"/>
  <c r="D883" i="1"/>
  <c r="E883" i="1" s="1"/>
  <c r="S883" i="1" s="1"/>
  <c r="J882" i="1"/>
  <c r="E882" i="1"/>
  <c r="D882" i="1"/>
  <c r="J881" i="1"/>
  <c r="D881" i="1"/>
  <c r="E881" i="1" s="1"/>
  <c r="J880" i="1"/>
  <c r="E880" i="1"/>
  <c r="T880" i="1" s="1"/>
  <c r="D880" i="1"/>
  <c r="J879" i="1"/>
  <c r="D879" i="1"/>
  <c r="E879" i="1" s="1"/>
  <c r="S879" i="1" s="1"/>
  <c r="S878" i="1"/>
  <c r="J878" i="1"/>
  <c r="E878" i="1"/>
  <c r="T878" i="1" s="1"/>
  <c r="D878" i="1"/>
  <c r="T877" i="1"/>
  <c r="J877" i="1"/>
  <c r="D877" i="1"/>
  <c r="E877" i="1" s="1"/>
  <c r="S877" i="1" s="1"/>
  <c r="S876" i="1"/>
  <c r="J876" i="1"/>
  <c r="E876" i="1"/>
  <c r="T876" i="1" s="1"/>
  <c r="D876" i="1"/>
  <c r="T875" i="1"/>
  <c r="J875" i="1"/>
  <c r="D875" i="1"/>
  <c r="E875" i="1" s="1"/>
  <c r="S875" i="1" s="1"/>
  <c r="J874" i="1"/>
  <c r="E874" i="1"/>
  <c r="D874" i="1"/>
  <c r="J873" i="1"/>
  <c r="D873" i="1"/>
  <c r="E873" i="1" s="1"/>
  <c r="J872" i="1"/>
  <c r="E872" i="1"/>
  <c r="T872" i="1" s="1"/>
  <c r="D872" i="1"/>
  <c r="J871" i="1"/>
  <c r="D871" i="1"/>
  <c r="E871" i="1" s="1"/>
  <c r="S871" i="1" s="1"/>
  <c r="S870" i="1"/>
  <c r="J870" i="1"/>
  <c r="E870" i="1"/>
  <c r="T870" i="1" s="1"/>
  <c r="D870" i="1"/>
  <c r="T869" i="1"/>
  <c r="J869" i="1"/>
  <c r="D869" i="1"/>
  <c r="E869" i="1" s="1"/>
  <c r="S869" i="1" s="1"/>
  <c r="S868" i="1"/>
  <c r="J868" i="1"/>
  <c r="E868" i="1"/>
  <c r="T868" i="1" s="1"/>
  <c r="D868" i="1"/>
  <c r="T867" i="1"/>
  <c r="J867" i="1"/>
  <c r="D867" i="1"/>
  <c r="E867" i="1" s="1"/>
  <c r="S867" i="1" s="1"/>
  <c r="J866" i="1"/>
  <c r="E866" i="1"/>
  <c r="D866" i="1"/>
  <c r="J865" i="1"/>
  <c r="D865" i="1"/>
  <c r="E865" i="1" s="1"/>
  <c r="J864" i="1"/>
  <c r="E864" i="1"/>
  <c r="D864" i="1"/>
  <c r="J863" i="1"/>
  <c r="D863" i="1"/>
  <c r="E863" i="1" s="1"/>
  <c r="S862" i="1"/>
  <c r="J862" i="1"/>
  <c r="E862" i="1"/>
  <c r="T862" i="1" s="1"/>
  <c r="D862" i="1"/>
  <c r="T861" i="1"/>
  <c r="J861" i="1"/>
  <c r="D861" i="1"/>
  <c r="E861" i="1" s="1"/>
  <c r="S861" i="1" s="1"/>
  <c r="S860" i="1"/>
  <c r="J860" i="1"/>
  <c r="E860" i="1"/>
  <c r="T860" i="1" s="1"/>
  <c r="D860" i="1"/>
  <c r="T859" i="1"/>
  <c r="J859" i="1"/>
  <c r="D859" i="1"/>
  <c r="E859" i="1" s="1"/>
  <c r="S859" i="1" s="1"/>
  <c r="J858" i="1"/>
  <c r="E858" i="1"/>
  <c r="D858" i="1"/>
  <c r="T857" i="1"/>
  <c r="S857" i="1"/>
  <c r="J857" i="1"/>
  <c r="D857" i="1"/>
  <c r="E857" i="1" s="1"/>
  <c r="J856" i="1"/>
  <c r="D856" i="1"/>
  <c r="E856" i="1" s="1"/>
  <c r="T856" i="1" s="1"/>
  <c r="T855" i="1"/>
  <c r="J855" i="1"/>
  <c r="D855" i="1"/>
  <c r="E855" i="1" s="1"/>
  <c r="S855" i="1" s="1"/>
  <c r="S854" i="1"/>
  <c r="J854" i="1"/>
  <c r="E854" i="1"/>
  <c r="T854" i="1" s="1"/>
  <c r="D854" i="1"/>
  <c r="T853" i="1"/>
  <c r="S853" i="1"/>
  <c r="J853" i="1"/>
  <c r="D853" i="1"/>
  <c r="E853" i="1" s="1"/>
  <c r="T852" i="1"/>
  <c r="S852" i="1"/>
  <c r="J852" i="1"/>
  <c r="D852" i="1"/>
  <c r="E852" i="1" s="1"/>
  <c r="T851" i="1"/>
  <c r="J851" i="1"/>
  <c r="D851" i="1"/>
  <c r="E851" i="1" s="1"/>
  <c r="S851" i="1" s="1"/>
  <c r="S850" i="1"/>
  <c r="J850" i="1"/>
  <c r="E850" i="1"/>
  <c r="T850" i="1" s="1"/>
  <c r="D850" i="1"/>
  <c r="J849" i="1"/>
  <c r="D849" i="1"/>
  <c r="E849" i="1" s="1"/>
  <c r="S849" i="1" s="1"/>
  <c r="J848" i="1"/>
  <c r="E848" i="1"/>
  <c r="S848" i="1" s="1"/>
  <c r="D848" i="1"/>
  <c r="J847" i="1"/>
  <c r="D847" i="1"/>
  <c r="E847" i="1" s="1"/>
  <c r="J846" i="1"/>
  <c r="E846" i="1"/>
  <c r="D846" i="1"/>
  <c r="J845" i="1"/>
  <c r="D845" i="1"/>
  <c r="E845" i="1" s="1"/>
  <c r="J844" i="1"/>
  <c r="E844" i="1"/>
  <c r="D844" i="1"/>
  <c r="J843" i="1"/>
  <c r="E843" i="1"/>
  <c r="D843" i="1"/>
  <c r="J842" i="1"/>
  <c r="E842" i="1"/>
  <c r="D842" i="1"/>
  <c r="T841" i="1"/>
  <c r="S841" i="1"/>
  <c r="J841" i="1"/>
  <c r="D841" i="1"/>
  <c r="E841" i="1" s="1"/>
  <c r="J840" i="1"/>
  <c r="D840" i="1"/>
  <c r="E840" i="1" s="1"/>
  <c r="T840" i="1" s="1"/>
  <c r="J839" i="1"/>
  <c r="D839" i="1"/>
  <c r="E839" i="1" s="1"/>
  <c r="S839" i="1" s="1"/>
  <c r="S838" i="1"/>
  <c r="J838" i="1"/>
  <c r="E838" i="1"/>
  <c r="T838" i="1" s="1"/>
  <c r="D838" i="1"/>
  <c r="T837" i="1"/>
  <c r="S837" i="1"/>
  <c r="J837" i="1"/>
  <c r="D837" i="1"/>
  <c r="E837" i="1" s="1"/>
  <c r="J836" i="1"/>
  <c r="D836" i="1"/>
  <c r="E836" i="1" s="1"/>
  <c r="T836" i="1" s="1"/>
  <c r="T835" i="1"/>
  <c r="J835" i="1"/>
  <c r="D835" i="1"/>
  <c r="E835" i="1" s="1"/>
  <c r="S835" i="1" s="1"/>
  <c r="S834" i="1"/>
  <c r="J834" i="1"/>
  <c r="E834" i="1"/>
  <c r="T834" i="1" s="1"/>
  <c r="D834" i="1"/>
  <c r="T833" i="1"/>
  <c r="J833" i="1"/>
  <c r="D833" i="1"/>
  <c r="E833" i="1" s="1"/>
  <c r="S833" i="1" s="1"/>
  <c r="J832" i="1"/>
  <c r="E832" i="1"/>
  <c r="S832" i="1" s="1"/>
  <c r="D832" i="1"/>
  <c r="J831" i="1"/>
  <c r="D831" i="1"/>
  <c r="E831" i="1" s="1"/>
  <c r="J830" i="1"/>
  <c r="E830" i="1"/>
  <c r="D830" i="1"/>
  <c r="J829" i="1"/>
  <c r="D829" i="1"/>
  <c r="E829" i="1" s="1"/>
  <c r="J828" i="1"/>
  <c r="E828" i="1"/>
  <c r="D828" i="1"/>
  <c r="J827" i="1"/>
  <c r="E827" i="1"/>
  <c r="D827" i="1"/>
  <c r="J826" i="1"/>
  <c r="E826" i="1"/>
  <c r="D826" i="1"/>
  <c r="T825" i="1"/>
  <c r="S825" i="1"/>
  <c r="J825" i="1"/>
  <c r="D825" i="1"/>
  <c r="E825" i="1" s="1"/>
  <c r="S824" i="1"/>
  <c r="J824" i="1"/>
  <c r="D824" i="1"/>
  <c r="E824" i="1" s="1"/>
  <c r="T824" i="1" s="1"/>
  <c r="J823" i="1"/>
  <c r="D823" i="1"/>
  <c r="E823" i="1" s="1"/>
  <c r="S823" i="1" s="1"/>
  <c r="S822" i="1"/>
  <c r="J822" i="1"/>
  <c r="E822" i="1"/>
  <c r="T822" i="1" s="1"/>
  <c r="D822" i="1"/>
  <c r="T821" i="1"/>
  <c r="S821" i="1"/>
  <c r="J821" i="1"/>
  <c r="D821" i="1"/>
  <c r="E821" i="1" s="1"/>
  <c r="J820" i="1"/>
  <c r="D820" i="1"/>
  <c r="E820" i="1" s="1"/>
  <c r="S820" i="1" s="1"/>
  <c r="J819" i="1"/>
  <c r="D819" i="1"/>
  <c r="E819" i="1" s="1"/>
  <c r="S819" i="1" s="1"/>
  <c r="S818" i="1"/>
  <c r="J818" i="1"/>
  <c r="E818" i="1"/>
  <c r="T818" i="1" s="1"/>
  <c r="D818" i="1"/>
  <c r="T817" i="1"/>
  <c r="J817" i="1"/>
  <c r="D817" i="1"/>
  <c r="E817" i="1" s="1"/>
  <c r="S817" i="1" s="1"/>
  <c r="J816" i="1"/>
  <c r="D816" i="1"/>
  <c r="E816" i="1" s="1"/>
  <c r="J815" i="1"/>
  <c r="E815" i="1"/>
  <c r="D815" i="1"/>
  <c r="J814" i="1"/>
  <c r="E814" i="1"/>
  <c r="D814" i="1"/>
  <c r="J813" i="1"/>
  <c r="D813" i="1"/>
  <c r="E813" i="1" s="1"/>
  <c r="J812" i="1"/>
  <c r="E812" i="1"/>
  <c r="D812" i="1"/>
  <c r="J811" i="1"/>
  <c r="E811" i="1"/>
  <c r="D811" i="1"/>
  <c r="J810" i="1"/>
  <c r="E810" i="1"/>
  <c r="D810" i="1"/>
  <c r="T809" i="1"/>
  <c r="S809" i="1"/>
  <c r="J809" i="1"/>
  <c r="D809" i="1"/>
  <c r="E809" i="1" s="1"/>
  <c r="S808" i="1"/>
  <c r="J808" i="1"/>
  <c r="D808" i="1"/>
  <c r="E808" i="1" s="1"/>
  <c r="T808" i="1" s="1"/>
  <c r="T807" i="1"/>
  <c r="J807" i="1"/>
  <c r="D807" i="1"/>
  <c r="E807" i="1" s="1"/>
  <c r="S807" i="1" s="1"/>
  <c r="S806" i="1"/>
  <c r="J806" i="1"/>
  <c r="E806" i="1"/>
  <c r="T806" i="1" s="1"/>
  <c r="D806" i="1"/>
  <c r="T805" i="1"/>
  <c r="S805" i="1"/>
  <c r="J805" i="1"/>
  <c r="D805" i="1"/>
  <c r="E805" i="1" s="1"/>
  <c r="T804" i="1"/>
  <c r="S804" i="1"/>
  <c r="J804" i="1"/>
  <c r="D804" i="1"/>
  <c r="E804" i="1" s="1"/>
  <c r="J803" i="1"/>
  <c r="D803" i="1"/>
  <c r="E803" i="1" s="1"/>
  <c r="S803" i="1" s="1"/>
  <c r="S802" i="1"/>
  <c r="J802" i="1"/>
  <c r="E802" i="1"/>
  <c r="T802" i="1" s="1"/>
  <c r="D802" i="1"/>
  <c r="J801" i="1"/>
  <c r="D801" i="1"/>
  <c r="E801" i="1" s="1"/>
  <c r="S801" i="1" s="1"/>
  <c r="J800" i="1"/>
  <c r="D800" i="1"/>
  <c r="E800" i="1" s="1"/>
  <c r="J799" i="1"/>
  <c r="D799" i="1"/>
  <c r="E799" i="1" s="1"/>
  <c r="J798" i="1"/>
  <c r="E798" i="1"/>
  <c r="D798" i="1"/>
  <c r="J797" i="1"/>
  <c r="D797" i="1"/>
  <c r="E797" i="1" s="1"/>
  <c r="J796" i="1"/>
  <c r="E796" i="1"/>
  <c r="D796" i="1"/>
  <c r="J795" i="1"/>
  <c r="E795" i="1"/>
  <c r="D795" i="1"/>
  <c r="J794" i="1"/>
  <c r="E794" i="1"/>
  <c r="D794" i="1"/>
  <c r="T793" i="1"/>
  <c r="S793" i="1"/>
  <c r="J793" i="1"/>
  <c r="D793" i="1"/>
  <c r="E793" i="1" s="1"/>
  <c r="J792" i="1"/>
  <c r="D792" i="1"/>
  <c r="E792" i="1" s="1"/>
  <c r="S792" i="1" s="1"/>
  <c r="J791" i="1"/>
  <c r="D791" i="1"/>
  <c r="E791" i="1" s="1"/>
  <c r="S791" i="1" s="1"/>
  <c r="S790" i="1"/>
  <c r="J790" i="1"/>
  <c r="E790" i="1"/>
  <c r="T790" i="1" s="1"/>
  <c r="D790" i="1"/>
  <c r="T789" i="1"/>
  <c r="J789" i="1"/>
  <c r="D789" i="1"/>
  <c r="E789" i="1" s="1"/>
  <c r="S789" i="1" s="1"/>
  <c r="J788" i="1"/>
  <c r="D788" i="1"/>
  <c r="E788" i="1" s="1"/>
  <c r="J787" i="1"/>
  <c r="D787" i="1"/>
  <c r="E787" i="1" s="1"/>
  <c r="J786" i="1"/>
  <c r="E786" i="1"/>
  <c r="T786" i="1" s="1"/>
  <c r="D786" i="1"/>
  <c r="J785" i="1"/>
  <c r="D785" i="1"/>
  <c r="E785" i="1" s="1"/>
  <c r="S785" i="1" s="1"/>
  <c r="J784" i="1"/>
  <c r="D784" i="1"/>
  <c r="E784" i="1" s="1"/>
  <c r="J783" i="1"/>
  <c r="D783" i="1"/>
  <c r="E783" i="1" s="1"/>
  <c r="J782" i="1"/>
  <c r="E782" i="1"/>
  <c r="D782" i="1"/>
  <c r="J781" i="1"/>
  <c r="D781" i="1"/>
  <c r="E781" i="1" s="1"/>
  <c r="T781" i="1" s="1"/>
  <c r="J780" i="1"/>
  <c r="E780" i="1"/>
  <c r="T780" i="1" s="1"/>
  <c r="D780" i="1"/>
  <c r="J779" i="1"/>
  <c r="E779" i="1"/>
  <c r="S779" i="1" s="1"/>
  <c r="D779" i="1"/>
  <c r="J778" i="1"/>
  <c r="E778" i="1"/>
  <c r="T778" i="1" s="1"/>
  <c r="D778" i="1"/>
  <c r="T777" i="1"/>
  <c r="S777" i="1"/>
  <c r="J777" i="1"/>
  <c r="D777" i="1"/>
  <c r="E777" i="1" s="1"/>
  <c r="J776" i="1"/>
  <c r="D776" i="1"/>
  <c r="E776" i="1" s="1"/>
  <c r="S776" i="1" s="1"/>
  <c r="J775" i="1"/>
  <c r="D775" i="1"/>
  <c r="E775" i="1" s="1"/>
  <c r="S775" i="1" s="1"/>
  <c r="S774" i="1"/>
  <c r="J774" i="1"/>
  <c r="E774" i="1"/>
  <c r="T774" i="1" s="1"/>
  <c r="D774" i="1"/>
  <c r="J773" i="1"/>
  <c r="D773" i="1"/>
  <c r="E773" i="1" s="1"/>
  <c r="T773" i="1" s="1"/>
  <c r="J772" i="1"/>
  <c r="E772" i="1"/>
  <c r="T772" i="1" s="1"/>
  <c r="D772" i="1"/>
  <c r="J771" i="1"/>
  <c r="E771" i="1"/>
  <c r="S771" i="1" s="1"/>
  <c r="D771" i="1"/>
  <c r="J770" i="1"/>
  <c r="E770" i="1"/>
  <c r="T770" i="1" s="1"/>
  <c r="D770" i="1"/>
  <c r="J769" i="1"/>
  <c r="D769" i="1"/>
  <c r="E769" i="1" s="1"/>
  <c r="J768" i="1"/>
  <c r="D768" i="1"/>
  <c r="E768" i="1" s="1"/>
  <c r="J767" i="1"/>
  <c r="D767" i="1"/>
  <c r="E767" i="1" s="1"/>
  <c r="S766" i="1"/>
  <c r="J766" i="1"/>
  <c r="E766" i="1"/>
  <c r="T766" i="1" s="1"/>
  <c r="D766" i="1"/>
  <c r="T765" i="1"/>
  <c r="S765" i="1"/>
  <c r="J765" i="1"/>
  <c r="D765" i="1"/>
  <c r="E765" i="1" s="1"/>
  <c r="T764" i="1"/>
  <c r="J764" i="1"/>
  <c r="D764" i="1"/>
  <c r="E764" i="1" s="1"/>
  <c r="S764" i="1" s="1"/>
  <c r="J763" i="1"/>
  <c r="D763" i="1"/>
  <c r="E763" i="1" s="1"/>
  <c r="S762" i="1"/>
  <c r="J762" i="1"/>
  <c r="E762" i="1"/>
  <c r="T762" i="1" s="1"/>
  <c r="D762" i="1"/>
  <c r="J761" i="1"/>
  <c r="D761" i="1"/>
  <c r="E761" i="1" s="1"/>
  <c r="J760" i="1"/>
  <c r="E760" i="1"/>
  <c r="D760" i="1"/>
  <c r="J759" i="1"/>
  <c r="E759" i="1"/>
  <c r="D759" i="1"/>
  <c r="J758" i="1"/>
  <c r="E758" i="1"/>
  <c r="D758" i="1"/>
  <c r="J757" i="1"/>
  <c r="D757" i="1"/>
  <c r="E757" i="1" s="1"/>
  <c r="S757" i="1" s="1"/>
  <c r="J756" i="1"/>
  <c r="E756" i="1"/>
  <c r="S756" i="1" s="1"/>
  <c r="D756" i="1"/>
  <c r="J755" i="1"/>
  <c r="E755" i="1"/>
  <c r="S755" i="1" s="1"/>
  <c r="D755" i="1"/>
  <c r="J754" i="1"/>
  <c r="E754" i="1"/>
  <c r="T754" i="1" s="1"/>
  <c r="D754" i="1"/>
  <c r="T753" i="1"/>
  <c r="S753" i="1"/>
  <c r="J753" i="1"/>
  <c r="D753" i="1"/>
  <c r="E753" i="1" s="1"/>
  <c r="S752" i="1"/>
  <c r="J752" i="1"/>
  <c r="D752" i="1"/>
  <c r="E752" i="1" s="1"/>
  <c r="T752" i="1" s="1"/>
  <c r="J751" i="1"/>
  <c r="D751" i="1"/>
  <c r="E751" i="1" s="1"/>
  <c r="S751" i="1" s="1"/>
  <c r="S750" i="1"/>
  <c r="J750" i="1"/>
  <c r="E750" i="1"/>
  <c r="T750" i="1" s="1"/>
  <c r="D750" i="1"/>
  <c r="T749" i="1"/>
  <c r="S749" i="1"/>
  <c r="J749" i="1"/>
  <c r="D749" i="1"/>
  <c r="E749" i="1" s="1"/>
  <c r="J748" i="1"/>
  <c r="D748" i="1"/>
  <c r="E748" i="1" s="1"/>
  <c r="T748" i="1" s="1"/>
  <c r="T747" i="1"/>
  <c r="J747" i="1"/>
  <c r="D747" i="1"/>
  <c r="E747" i="1" s="1"/>
  <c r="S747" i="1" s="1"/>
  <c r="J746" i="1"/>
  <c r="D746" i="1"/>
  <c r="E746" i="1" s="1"/>
  <c r="J745" i="1"/>
  <c r="E745" i="1"/>
  <c r="D745" i="1"/>
  <c r="J744" i="1"/>
  <c r="D744" i="1"/>
  <c r="E744" i="1" s="1"/>
  <c r="T744" i="1" s="1"/>
  <c r="J743" i="1"/>
  <c r="D743" i="1"/>
  <c r="E743" i="1" s="1"/>
  <c r="S743" i="1" s="1"/>
  <c r="J742" i="1"/>
  <c r="E742" i="1"/>
  <c r="S742" i="1" s="1"/>
  <c r="D742" i="1"/>
  <c r="J741" i="1"/>
  <c r="E741" i="1"/>
  <c r="D741" i="1"/>
  <c r="S740" i="1"/>
  <c r="J740" i="1"/>
  <c r="D740" i="1"/>
  <c r="E740" i="1" s="1"/>
  <c r="T740" i="1" s="1"/>
  <c r="T739" i="1"/>
  <c r="S739" i="1"/>
  <c r="J739" i="1"/>
  <c r="D739" i="1"/>
  <c r="E739" i="1" s="1"/>
  <c r="J738" i="1"/>
  <c r="D738" i="1"/>
  <c r="E738" i="1" s="1"/>
  <c r="J737" i="1"/>
  <c r="E737" i="1"/>
  <c r="D737" i="1"/>
  <c r="J736" i="1"/>
  <c r="D736" i="1"/>
  <c r="E736" i="1" s="1"/>
  <c r="T736" i="1" s="1"/>
  <c r="J735" i="1"/>
  <c r="D735" i="1"/>
  <c r="E735" i="1" s="1"/>
  <c r="S735" i="1" s="1"/>
  <c r="J734" i="1"/>
  <c r="E734" i="1"/>
  <c r="S734" i="1" s="1"/>
  <c r="D734" i="1"/>
  <c r="J733" i="1"/>
  <c r="E733" i="1"/>
  <c r="D733" i="1"/>
  <c r="S732" i="1"/>
  <c r="J732" i="1"/>
  <c r="D732" i="1"/>
  <c r="E732" i="1" s="1"/>
  <c r="T732" i="1" s="1"/>
  <c r="T731" i="1"/>
  <c r="S731" i="1"/>
  <c r="J731" i="1"/>
  <c r="D731" i="1"/>
  <c r="E731" i="1" s="1"/>
  <c r="J730" i="1"/>
  <c r="D730" i="1"/>
  <c r="E730" i="1" s="1"/>
  <c r="J729" i="1"/>
  <c r="E729" i="1"/>
  <c r="D729" i="1"/>
  <c r="J728" i="1"/>
  <c r="D728" i="1"/>
  <c r="E728" i="1" s="1"/>
  <c r="T728" i="1" s="1"/>
  <c r="J727" i="1"/>
  <c r="D727" i="1"/>
  <c r="E727" i="1" s="1"/>
  <c r="S727" i="1" s="1"/>
  <c r="J726" i="1"/>
  <c r="E726" i="1"/>
  <c r="S726" i="1" s="1"/>
  <c r="D726" i="1"/>
  <c r="J725" i="1"/>
  <c r="E725" i="1"/>
  <c r="D725" i="1"/>
  <c r="S724" i="1"/>
  <c r="J724" i="1"/>
  <c r="D724" i="1"/>
  <c r="E724" i="1" s="1"/>
  <c r="T724" i="1" s="1"/>
  <c r="T723" i="1"/>
  <c r="S723" i="1"/>
  <c r="J723" i="1"/>
  <c r="D723" i="1"/>
  <c r="E723" i="1" s="1"/>
  <c r="J722" i="1"/>
  <c r="D722" i="1"/>
  <c r="E722" i="1" s="1"/>
  <c r="J721" i="1"/>
  <c r="E721" i="1"/>
  <c r="D721" i="1"/>
  <c r="J720" i="1"/>
  <c r="D720" i="1"/>
  <c r="E720" i="1" s="1"/>
  <c r="T720" i="1" s="1"/>
  <c r="J719" i="1"/>
  <c r="D719" i="1"/>
  <c r="E719" i="1" s="1"/>
  <c r="S719" i="1" s="1"/>
  <c r="J718" i="1"/>
  <c r="D718" i="1"/>
  <c r="E718" i="1" s="1"/>
  <c r="J717" i="1"/>
  <c r="E717" i="1"/>
  <c r="D717" i="1"/>
  <c r="S716" i="1"/>
  <c r="J716" i="1"/>
  <c r="D716" i="1"/>
  <c r="E716" i="1" s="1"/>
  <c r="T716" i="1" s="1"/>
  <c r="T715" i="1"/>
  <c r="S715" i="1"/>
  <c r="J715" i="1"/>
  <c r="D715" i="1"/>
  <c r="E715" i="1" s="1"/>
  <c r="J714" i="1"/>
  <c r="D714" i="1"/>
  <c r="E714" i="1" s="1"/>
  <c r="J713" i="1"/>
  <c r="E713" i="1"/>
  <c r="D713" i="1"/>
  <c r="J712" i="1"/>
  <c r="D712" i="1"/>
  <c r="E712" i="1" s="1"/>
  <c r="T712" i="1" s="1"/>
  <c r="J711" i="1"/>
  <c r="D711" i="1"/>
  <c r="E711" i="1" s="1"/>
  <c r="S711" i="1" s="1"/>
  <c r="J710" i="1"/>
  <c r="D710" i="1"/>
  <c r="E710" i="1" s="1"/>
  <c r="J709" i="1"/>
  <c r="E709" i="1"/>
  <c r="D709" i="1"/>
  <c r="S708" i="1"/>
  <c r="J708" i="1"/>
  <c r="D708" i="1"/>
  <c r="E708" i="1" s="1"/>
  <c r="T708" i="1" s="1"/>
  <c r="T707" i="1"/>
  <c r="S707" i="1"/>
  <c r="J707" i="1"/>
  <c r="D707" i="1"/>
  <c r="E707" i="1" s="1"/>
  <c r="J706" i="1"/>
  <c r="D706" i="1"/>
  <c r="E706" i="1" s="1"/>
  <c r="J705" i="1"/>
  <c r="E705" i="1"/>
  <c r="D705" i="1"/>
  <c r="J704" i="1"/>
  <c r="D704" i="1"/>
  <c r="E704" i="1" s="1"/>
  <c r="T704" i="1" s="1"/>
  <c r="J703" i="1"/>
  <c r="D703" i="1"/>
  <c r="E703" i="1" s="1"/>
  <c r="S703" i="1" s="1"/>
  <c r="J702" i="1"/>
  <c r="D702" i="1"/>
  <c r="E702" i="1" s="1"/>
  <c r="J701" i="1"/>
  <c r="E701" i="1"/>
  <c r="D701" i="1"/>
  <c r="S700" i="1"/>
  <c r="J700" i="1"/>
  <c r="D700" i="1"/>
  <c r="E700" i="1" s="1"/>
  <c r="T700" i="1" s="1"/>
  <c r="T699" i="1"/>
  <c r="S699" i="1"/>
  <c r="J699" i="1"/>
  <c r="D699" i="1"/>
  <c r="E699" i="1" s="1"/>
  <c r="J698" i="1"/>
  <c r="D698" i="1"/>
  <c r="E698" i="1" s="1"/>
  <c r="J697" i="1"/>
  <c r="E697" i="1"/>
  <c r="D697" i="1"/>
  <c r="J696" i="1"/>
  <c r="D696" i="1"/>
  <c r="E696" i="1" s="1"/>
  <c r="T696" i="1" s="1"/>
  <c r="J695" i="1"/>
  <c r="D695" i="1"/>
  <c r="E695" i="1" s="1"/>
  <c r="S695" i="1" s="1"/>
  <c r="J694" i="1"/>
  <c r="D694" i="1"/>
  <c r="E694" i="1" s="1"/>
  <c r="J693" i="1"/>
  <c r="E693" i="1"/>
  <c r="D693" i="1"/>
  <c r="S692" i="1"/>
  <c r="J692" i="1"/>
  <c r="D692" i="1"/>
  <c r="E692" i="1" s="1"/>
  <c r="T692" i="1" s="1"/>
  <c r="T691" i="1"/>
  <c r="S691" i="1"/>
  <c r="J691" i="1"/>
  <c r="D691" i="1"/>
  <c r="E691" i="1" s="1"/>
  <c r="J690" i="1"/>
  <c r="D690" i="1"/>
  <c r="E690" i="1" s="1"/>
  <c r="J689" i="1"/>
  <c r="E689" i="1"/>
  <c r="D689" i="1"/>
  <c r="J688" i="1"/>
  <c r="D688" i="1"/>
  <c r="E688" i="1" s="1"/>
  <c r="T688" i="1" s="1"/>
  <c r="J687" i="1"/>
  <c r="D687" i="1"/>
  <c r="E687" i="1" s="1"/>
  <c r="S687" i="1" s="1"/>
  <c r="J686" i="1"/>
  <c r="D686" i="1"/>
  <c r="E686" i="1" s="1"/>
  <c r="J685" i="1"/>
  <c r="E685" i="1"/>
  <c r="D685" i="1"/>
  <c r="S684" i="1"/>
  <c r="J684" i="1"/>
  <c r="D684" i="1"/>
  <c r="E684" i="1" s="1"/>
  <c r="T684" i="1" s="1"/>
  <c r="T683" i="1"/>
  <c r="S683" i="1"/>
  <c r="J683" i="1"/>
  <c r="D683" i="1"/>
  <c r="E683" i="1" s="1"/>
  <c r="J682" i="1"/>
  <c r="D682" i="1"/>
  <c r="E682" i="1" s="1"/>
  <c r="J681" i="1"/>
  <c r="E681" i="1"/>
  <c r="D681" i="1"/>
  <c r="J680" i="1"/>
  <c r="D680" i="1"/>
  <c r="E680" i="1" s="1"/>
  <c r="T680" i="1" s="1"/>
  <c r="J679" i="1"/>
  <c r="D679" i="1"/>
  <c r="E679" i="1" s="1"/>
  <c r="S679" i="1" s="1"/>
  <c r="J678" i="1"/>
  <c r="D678" i="1"/>
  <c r="E678" i="1" s="1"/>
  <c r="J677" i="1"/>
  <c r="E677" i="1"/>
  <c r="D677" i="1"/>
  <c r="S676" i="1"/>
  <c r="J676" i="1"/>
  <c r="D676" i="1"/>
  <c r="E676" i="1" s="1"/>
  <c r="T676" i="1" s="1"/>
  <c r="T675" i="1"/>
  <c r="S675" i="1"/>
  <c r="J675" i="1"/>
  <c r="D675" i="1"/>
  <c r="E675" i="1" s="1"/>
  <c r="J674" i="1"/>
  <c r="D674" i="1"/>
  <c r="E674" i="1" s="1"/>
  <c r="J673" i="1"/>
  <c r="E673" i="1"/>
  <c r="D673" i="1"/>
  <c r="J672" i="1"/>
  <c r="D672" i="1"/>
  <c r="E672" i="1" s="1"/>
  <c r="T672" i="1" s="1"/>
  <c r="J671" i="1"/>
  <c r="D671" i="1"/>
  <c r="E671" i="1" s="1"/>
  <c r="S671" i="1" s="1"/>
  <c r="J670" i="1"/>
  <c r="D670" i="1"/>
  <c r="E670" i="1" s="1"/>
  <c r="J669" i="1"/>
  <c r="E669" i="1"/>
  <c r="D669" i="1"/>
  <c r="S668" i="1"/>
  <c r="J668" i="1"/>
  <c r="D668" i="1"/>
  <c r="E668" i="1" s="1"/>
  <c r="T668" i="1" s="1"/>
  <c r="T667" i="1"/>
  <c r="S667" i="1"/>
  <c r="J667" i="1"/>
  <c r="D667" i="1"/>
  <c r="E667" i="1" s="1"/>
  <c r="J666" i="1"/>
  <c r="D666" i="1"/>
  <c r="E666" i="1" s="1"/>
  <c r="J665" i="1"/>
  <c r="E665" i="1"/>
  <c r="D665" i="1"/>
  <c r="J664" i="1"/>
  <c r="D664" i="1"/>
  <c r="E664" i="1" s="1"/>
  <c r="J663" i="1"/>
  <c r="D663" i="1"/>
  <c r="E663" i="1" s="1"/>
  <c r="J662" i="1"/>
  <c r="D662" i="1"/>
  <c r="E662" i="1" s="1"/>
  <c r="J661" i="1"/>
  <c r="E661" i="1"/>
  <c r="D661" i="1"/>
  <c r="S660" i="1"/>
  <c r="J660" i="1"/>
  <c r="D660" i="1"/>
  <c r="E660" i="1" s="1"/>
  <c r="T660" i="1" s="1"/>
  <c r="T659" i="1"/>
  <c r="S659" i="1"/>
  <c r="J659" i="1"/>
  <c r="D659" i="1"/>
  <c r="E659" i="1" s="1"/>
  <c r="J658" i="1"/>
  <c r="D658" i="1"/>
  <c r="E658" i="1" s="1"/>
  <c r="J657" i="1"/>
  <c r="E657" i="1"/>
  <c r="D657" i="1"/>
  <c r="J656" i="1"/>
  <c r="D656" i="1"/>
  <c r="E656" i="1" s="1"/>
  <c r="J655" i="1"/>
  <c r="D655" i="1"/>
  <c r="E655" i="1" s="1"/>
  <c r="J654" i="1"/>
  <c r="D654" i="1"/>
  <c r="E654" i="1" s="1"/>
  <c r="J653" i="1"/>
  <c r="E653" i="1"/>
  <c r="D653" i="1"/>
  <c r="S652" i="1"/>
  <c r="J652" i="1"/>
  <c r="D652" i="1"/>
  <c r="E652" i="1" s="1"/>
  <c r="T652" i="1" s="1"/>
  <c r="T651" i="1"/>
  <c r="S651" i="1"/>
  <c r="J651" i="1"/>
  <c r="D651" i="1"/>
  <c r="E651" i="1" s="1"/>
  <c r="J650" i="1"/>
  <c r="D650" i="1"/>
  <c r="E650" i="1" s="1"/>
  <c r="J649" i="1"/>
  <c r="E649" i="1"/>
  <c r="D649" i="1"/>
  <c r="J648" i="1"/>
  <c r="D648" i="1"/>
  <c r="E648" i="1" s="1"/>
  <c r="J647" i="1"/>
  <c r="D647" i="1"/>
  <c r="E647" i="1" s="1"/>
  <c r="J646" i="1"/>
  <c r="D646" i="1"/>
  <c r="E646" i="1" s="1"/>
  <c r="J645" i="1"/>
  <c r="E645" i="1"/>
  <c r="D645" i="1"/>
  <c r="S644" i="1"/>
  <c r="J644" i="1"/>
  <c r="D644" i="1"/>
  <c r="E644" i="1" s="1"/>
  <c r="T644" i="1" s="1"/>
  <c r="T643" i="1"/>
  <c r="S643" i="1"/>
  <c r="J643" i="1"/>
  <c r="D643" i="1"/>
  <c r="E643" i="1" s="1"/>
  <c r="J642" i="1"/>
  <c r="D642" i="1"/>
  <c r="E642" i="1" s="1"/>
  <c r="J641" i="1"/>
  <c r="E641" i="1"/>
  <c r="D641" i="1"/>
  <c r="J640" i="1"/>
  <c r="D640" i="1"/>
  <c r="E640" i="1" s="1"/>
  <c r="J639" i="1"/>
  <c r="D639" i="1"/>
  <c r="E639" i="1" s="1"/>
  <c r="J638" i="1"/>
  <c r="D638" i="1"/>
  <c r="E638" i="1" s="1"/>
  <c r="J637" i="1"/>
  <c r="E637" i="1"/>
  <c r="D637" i="1"/>
  <c r="S636" i="1"/>
  <c r="J636" i="1"/>
  <c r="D636" i="1"/>
  <c r="E636" i="1" s="1"/>
  <c r="T636" i="1" s="1"/>
  <c r="T635" i="1"/>
  <c r="S635" i="1"/>
  <c r="J635" i="1"/>
  <c r="D635" i="1"/>
  <c r="E635" i="1" s="1"/>
  <c r="J634" i="1"/>
  <c r="D634" i="1"/>
  <c r="E634" i="1" s="1"/>
  <c r="J633" i="1"/>
  <c r="E633" i="1"/>
  <c r="D633" i="1"/>
  <c r="J632" i="1"/>
  <c r="D632" i="1"/>
  <c r="E632" i="1" s="1"/>
  <c r="J631" i="1"/>
  <c r="D631" i="1"/>
  <c r="E631" i="1" s="1"/>
  <c r="J630" i="1"/>
  <c r="D630" i="1"/>
  <c r="E630" i="1" s="1"/>
  <c r="J629" i="1"/>
  <c r="E629" i="1"/>
  <c r="D629" i="1"/>
  <c r="S628" i="1"/>
  <c r="J628" i="1"/>
  <c r="D628" i="1"/>
  <c r="E628" i="1" s="1"/>
  <c r="T628" i="1" s="1"/>
  <c r="T627" i="1"/>
  <c r="S627" i="1"/>
  <c r="J627" i="1"/>
  <c r="D627" i="1"/>
  <c r="E627" i="1" s="1"/>
  <c r="J626" i="1"/>
  <c r="D626" i="1"/>
  <c r="E626" i="1" s="1"/>
  <c r="J625" i="1"/>
  <c r="E625" i="1"/>
  <c r="D625" i="1"/>
  <c r="J624" i="1"/>
  <c r="D624" i="1"/>
  <c r="E624" i="1" s="1"/>
  <c r="J623" i="1"/>
  <c r="D623" i="1"/>
  <c r="E623" i="1" s="1"/>
  <c r="J622" i="1"/>
  <c r="D622" i="1"/>
  <c r="E622" i="1" s="1"/>
  <c r="J621" i="1"/>
  <c r="E621" i="1"/>
  <c r="D621" i="1"/>
  <c r="S620" i="1"/>
  <c r="J620" i="1"/>
  <c r="D620" i="1"/>
  <c r="E620" i="1" s="1"/>
  <c r="T620" i="1" s="1"/>
  <c r="T619" i="1"/>
  <c r="S619" i="1"/>
  <c r="J619" i="1"/>
  <c r="D619" i="1"/>
  <c r="E619" i="1" s="1"/>
  <c r="J618" i="1"/>
  <c r="D618" i="1"/>
  <c r="E618" i="1" s="1"/>
  <c r="J617" i="1"/>
  <c r="E617" i="1"/>
  <c r="D617" i="1"/>
  <c r="J616" i="1"/>
  <c r="D616" i="1"/>
  <c r="E616" i="1" s="1"/>
  <c r="J615" i="1"/>
  <c r="D615" i="1"/>
  <c r="E615" i="1" s="1"/>
  <c r="J614" i="1"/>
  <c r="D614" i="1"/>
  <c r="E614" i="1" s="1"/>
  <c r="J613" i="1"/>
  <c r="E613" i="1"/>
  <c r="D613" i="1"/>
  <c r="S612" i="1"/>
  <c r="J612" i="1"/>
  <c r="D612" i="1"/>
  <c r="E612" i="1" s="1"/>
  <c r="T612" i="1" s="1"/>
  <c r="T611" i="1"/>
  <c r="S611" i="1"/>
  <c r="J611" i="1"/>
  <c r="D611" i="1"/>
  <c r="E611" i="1" s="1"/>
  <c r="J610" i="1"/>
  <c r="D610" i="1"/>
  <c r="E610" i="1" s="1"/>
  <c r="J609" i="1"/>
  <c r="E609" i="1"/>
  <c r="D609" i="1"/>
  <c r="J608" i="1"/>
  <c r="D608" i="1"/>
  <c r="E608" i="1" s="1"/>
  <c r="J607" i="1"/>
  <c r="D607" i="1"/>
  <c r="E607" i="1" s="1"/>
  <c r="J606" i="1"/>
  <c r="D606" i="1"/>
  <c r="E606" i="1" s="1"/>
  <c r="J605" i="1"/>
  <c r="E605" i="1"/>
  <c r="D605" i="1"/>
  <c r="S604" i="1"/>
  <c r="J604" i="1"/>
  <c r="D604" i="1"/>
  <c r="E604" i="1" s="1"/>
  <c r="T604" i="1" s="1"/>
  <c r="T603" i="1"/>
  <c r="S603" i="1"/>
  <c r="J603" i="1"/>
  <c r="D603" i="1"/>
  <c r="E603" i="1" s="1"/>
  <c r="J602" i="1"/>
  <c r="D602" i="1"/>
  <c r="E602" i="1" s="1"/>
  <c r="J601" i="1"/>
  <c r="E601" i="1"/>
  <c r="D601" i="1"/>
  <c r="J600" i="1"/>
  <c r="D600" i="1"/>
  <c r="E600" i="1" s="1"/>
  <c r="J599" i="1"/>
  <c r="D599" i="1"/>
  <c r="E599" i="1" s="1"/>
  <c r="J598" i="1"/>
  <c r="D598" i="1"/>
  <c r="E598" i="1" s="1"/>
  <c r="J597" i="1"/>
  <c r="E597" i="1"/>
  <c r="D597" i="1"/>
  <c r="S596" i="1"/>
  <c r="J596" i="1"/>
  <c r="D596" i="1"/>
  <c r="E596" i="1" s="1"/>
  <c r="T596" i="1" s="1"/>
  <c r="J595" i="1"/>
  <c r="D595" i="1"/>
  <c r="E595" i="1" s="1"/>
  <c r="T595" i="1" s="1"/>
  <c r="J594" i="1"/>
  <c r="D594" i="1"/>
  <c r="E594" i="1" s="1"/>
  <c r="S594" i="1" s="1"/>
  <c r="S593" i="1"/>
  <c r="J593" i="1"/>
  <c r="E593" i="1"/>
  <c r="T593" i="1" s="1"/>
  <c r="D593" i="1"/>
  <c r="T592" i="1"/>
  <c r="J592" i="1"/>
  <c r="D592" i="1"/>
  <c r="E592" i="1" s="1"/>
  <c r="S592" i="1" s="1"/>
  <c r="T591" i="1"/>
  <c r="J591" i="1"/>
  <c r="D591" i="1"/>
  <c r="E591" i="1" s="1"/>
  <c r="S591" i="1" s="1"/>
  <c r="J590" i="1"/>
  <c r="D590" i="1"/>
  <c r="E590" i="1" s="1"/>
  <c r="J589" i="1"/>
  <c r="E589" i="1"/>
  <c r="T589" i="1" s="1"/>
  <c r="D589" i="1"/>
  <c r="J588" i="1"/>
  <c r="D588" i="1"/>
  <c r="E588" i="1" s="1"/>
  <c r="J587" i="1"/>
  <c r="E587" i="1"/>
  <c r="D587" i="1"/>
  <c r="J586" i="1"/>
  <c r="E586" i="1"/>
  <c r="D586" i="1"/>
  <c r="J585" i="1"/>
  <c r="E585" i="1"/>
  <c r="D585" i="1"/>
  <c r="T584" i="1"/>
  <c r="S584" i="1"/>
  <c r="J584" i="1"/>
  <c r="D584" i="1"/>
  <c r="E584" i="1" s="1"/>
  <c r="J583" i="1"/>
  <c r="D583" i="1"/>
  <c r="E583" i="1" s="1"/>
  <c r="J582" i="1"/>
  <c r="D582" i="1"/>
  <c r="E582" i="1" s="1"/>
  <c r="S581" i="1"/>
  <c r="J581" i="1"/>
  <c r="E581" i="1"/>
  <c r="T581" i="1" s="1"/>
  <c r="D581" i="1"/>
  <c r="T580" i="1"/>
  <c r="S580" i="1"/>
  <c r="J580" i="1"/>
  <c r="D580" i="1"/>
  <c r="E580" i="1" s="1"/>
  <c r="T579" i="1"/>
  <c r="S579" i="1"/>
  <c r="J579" i="1"/>
  <c r="D579" i="1"/>
  <c r="E579" i="1" s="1"/>
  <c r="J578" i="1"/>
  <c r="D578" i="1"/>
  <c r="E578" i="1" s="1"/>
  <c r="S578" i="1" s="1"/>
  <c r="S577" i="1"/>
  <c r="J577" i="1"/>
  <c r="E577" i="1"/>
  <c r="T577" i="1" s="1"/>
  <c r="D577" i="1"/>
  <c r="J576" i="1"/>
  <c r="D576" i="1"/>
  <c r="E576" i="1" s="1"/>
  <c r="S576" i="1" s="1"/>
  <c r="J575" i="1"/>
  <c r="D575" i="1"/>
  <c r="E575" i="1" s="1"/>
  <c r="J574" i="1"/>
  <c r="D574" i="1"/>
  <c r="E574" i="1" s="1"/>
  <c r="J573" i="1"/>
  <c r="E573" i="1"/>
  <c r="D573" i="1"/>
  <c r="J572" i="1"/>
  <c r="D572" i="1"/>
  <c r="E572" i="1" s="1"/>
  <c r="J571" i="1"/>
  <c r="E571" i="1"/>
  <c r="D571" i="1"/>
  <c r="J570" i="1"/>
  <c r="E570" i="1"/>
  <c r="D570" i="1"/>
  <c r="J569" i="1"/>
  <c r="D569" i="1"/>
  <c r="E569" i="1" s="1"/>
  <c r="T569" i="1" s="1"/>
  <c r="J568" i="1"/>
  <c r="D568" i="1"/>
  <c r="E568" i="1" s="1"/>
  <c r="S568" i="1" s="1"/>
  <c r="J567" i="1"/>
  <c r="D567" i="1"/>
  <c r="E567" i="1" s="1"/>
  <c r="J566" i="1"/>
  <c r="E566" i="1"/>
  <c r="D566" i="1"/>
  <c r="S565" i="1"/>
  <c r="J565" i="1"/>
  <c r="D565" i="1"/>
  <c r="E565" i="1" s="1"/>
  <c r="T565" i="1" s="1"/>
  <c r="T564" i="1"/>
  <c r="S564" i="1"/>
  <c r="J564" i="1"/>
  <c r="D564" i="1"/>
  <c r="E564" i="1" s="1"/>
  <c r="J563" i="1"/>
  <c r="D563" i="1"/>
  <c r="E563" i="1" s="1"/>
  <c r="J562" i="1"/>
  <c r="E562" i="1"/>
  <c r="D562" i="1"/>
  <c r="J561" i="1"/>
  <c r="D561" i="1"/>
  <c r="E561" i="1" s="1"/>
  <c r="T561" i="1" s="1"/>
  <c r="J560" i="1"/>
  <c r="D560" i="1"/>
  <c r="E560" i="1" s="1"/>
  <c r="S560" i="1" s="1"/>
  <c r="J559" i="1"/>
  <c r="D559" i="1"/>
  <c r="E559" i="1" s="1"/>
  <c r="J558" i="1"/>
  <c r="E558" i="1"/>
  <c r="D558" i="1"/>
  <c r="S557" i="1"/>
  <c r="J557" i="1"/>
  <c r="D557" i="1"/>
  <c r="E557" i="1" s="1"/>
  <c r="T557" i="1" s="1"/>
  <c r="T556" i="1"/>
  <c r="S556" i="1"/>
  <c r="J556" i="1"/>
  <c r="D556" i="1"/>
  <c r="E556" i="1" s="1"/>
  <c r="J555" i="1"/>
  <c r="D555" i="1"/>
  <c r="E555" i="1" s="1"/>
  <c r="J554" i="1"/>
  <c r="E554" i="1"/>
  <c r="D554" i="1"/>
  <c r="J553" i="1"/>
  <c r="D553" i="1"/>
  <c r="E553" i="1" s="1"/>
  <c r="T553" i="1" s="1"/>
  <c r="J552" i="1"/>
  <c r="D552" i="1"/>
  <c r="E552" i="1" s="1"/>
  <c r="S552" i="1" s="1"/>
  <c r="J551" i="1"/>
  <c r="D551" i="1"/>
  <c r="E551" i="1" s="1"/>
  <c r="J550" i="1"/>
  <c r="E550" i="1"/>
  <c r="D550" i="1"/>
  <c r="S549" i="1"/>
  <c r="J549" i="1"/>
  <c r="D549" i="1"/>
  <c r="E549" i="1" s="1"/>
  <c r="T549" i="1" s="1"/>
  <c r="T548" i="1"/>
  <c r="S548" i="1"/>
  <c r="J548" i="1"/>
  <c r="D548" i="1"/>
  <c r="E548" i="1" s="1"/>
  <c r="J547" i="1"/>
  <c r="D547" i="1"/>
  <c r="E547" i="1" s="1"/>
  <c r="J546" i="1"/>
  <c r="E546" i="1"/>
  <c r="D546" i="1"/>
  <c r="J545" i="1"/>
  <c r="D545" i="1"/>
  <c r="E545" i="1" s="1"/>
  <c r="T545" i="1" s="1"/>
  <c r="J544" i="1"/>
  <c r="D544" i="1"/>
  <c r="E544" i="1" s="1"/>
  <c r="S544" i="1" s="1"/>
  <c r="J543" i="1"/>
  <c r="D543" i="1"/>
  <c r="E543" i="1" s="1"/>
  <c r="J542" i="1"/>
  <c r="E542" i="1"/>
  <c r="D542" i="1"/>
  <c r="S541" i="1"/>
  <c r="J541" i="1"/>
  <c r="D541" i="1"/>
  <c r="E541" i="1" s="1"/>
  <c r="T541" i="1" s="1"/>
  <c r="T540" i="1"/>
  <c r="S540" i="1"/>
  <c r="J540" i="1"/>
  <c r="D540" i="1"/>
  <c r="E540" i="1" s="1"/>
  <c r="J539" i="1"/>
  <c r="D539" i="1"/>
  <c r="E539" i="1" s="1"/>
  <c r="J538" i="1"/>
  <c r="E538" i="1"/>
  <c r="D538" i="1"/>
  <c r="J537" i="1"/>
  <c r="D537" i="1"/>
  <c r="E537" i="1" s="1"/>
  <c r="T537" i="1" s="1"/>
  <c r="J536" i="1"/>
  <c r="D536" i="1"/>
  <c r="E536" i="1" s="1"/>
  <c r="S536" i="1" s="1"/>
  <c r="J535" i="1"/>
  <c r="D535" i="1"/>
  <c r="E535" i="1" s="1"/>
  <c r="J534" i="1"/>
  <c r="E534" i="1"/>
  <c r="D534" i="1"/>
  <c r="S533" i="1"/>
  <c r="J533" i="1"/>
  <c r="D533" i="1"/>
  <c r="E533" i="1" s="1"/>
  <c r="T533" i="1" s="1"/>
  <c r="T532" i="1"/>
  <c r="S532" i="1"/>
  <c r="J532" i="1"/>
  <c r="D532" i="1"/>
  <c r="E532" i="1" s="1"/>
  <c r="J531" i="1"/>
  <c r="D531" i="1"/>
  <c r="E531" i="1" s="1"/>
  <c r="J530" i="1"/>
  <c r="E530" i="1"/>
  <c r="D530" i="1"/>
  <c r="J529" i="1"/>
  <c r="D529" i="1"/>
  <c r="E529" i="1" s="1"/>
  <c r="T529" i="1" s="1"/>
  <c r="J528" i="1"/>
  <c r="D528" i="1"/>
  <c r="E528" i="1" s="1"/>
  <c r="S528" i="1" s="1"/>
  <c r="J527" i="1"/>
  <c r="D527" i="1"/>
  <c r="E527" i="1" s="1"/>
  <c r="J526" i="1"/>
  <c r="E526" i="1"/>
  <c r="D526" i="1"/>
  <c r="S525" i="1"/>
  <c r="J525" i="1"/>
  <c r="D525" i="1"/>
  <c r="E525" i="1" s="1"/>
  <c r="T525" i="1" s="1"/>
  <c r="T524" i="1"/>
  <c r="S524" i="1"/>
  <c r="J524" i="1"/>
  <c r="D524" i="1"/>
  <c r="E524" i="1" s="1"/>
  <c r="J523" i="1"/>
  <c r="D523" i="1"/>
  <c r="E523" i="1" s="1"/>
  <c r="J522" i="1"/>
  <c r="E522" i="1"/>
  <c r="D522" i="1"/>
  <c r="J521" i="1"/>
  <c r="D521" i="1"/>
  <c r="E521" i="1" s="1"/>
  <c r="T521" i="1" s="1"/>
  <c r="J520" i="1"/>
  <c r="D520" i="1"/>
  <c r="E520" i="1" s="1"/>
  <c r="S520" i="1" s="1"/>
  <c r="J519" i="1"/>
  <c r="D519" i="1"/>
  <c r="E519" i="1" s="1"/>
  <c r="J518" i="1"/>
  <c r="E518" i="1"/>
  <c r="D518" i="1"/>
  <c r="S517" i="1"/>
  <c r="J517" i="1"/>
  <c r="D517" i="1"/>
  <c r="E517" i="1" s="1"/>
  <c r="T517" i="1" s="1"/>
  <c r="T516" i="1"/>
  <c r="S516" i="1"/>
  <c r="J516" i="1"/>
  <c r="D516" i="1"/>
  <c r="E516" i="1" s="1"/>
  <c r="J515" i="1"/>
  <c r="D515" i="1"/>
  <c r="E515" i="1" s="1"/>
  <c r="J514" i="1"/>
  <c r="E514" i="1"/>
  <c r="D514" i="1"/>
  <c r="J513" i="1"/>
  <c r="D513" i="1"/>
  <c r="E513" i="1" s="1"/>
  <c r="T513" i="1" s="1"/>
  <c r="J512" i="1"/>
  <c r="D512" i="1"/>
  <c r="E512" i="1" s="1"/>
  <c r="S512" i="1" s="1"/>
  <c r="J511" i="1"/>
  <c r="D511" i="1"/>
  <c r="E511" i="1" s="1"/>
  <c r="J510" i="1"/>
  <c r="E510" i="1"/>
  <c r="D510" i="1"/>
  <c r="S509" i="1"/>
  <c r="J509" i="1"/>
  <c r="D509" i="1"/>
  <c r="E509" i="1" s="1"/>
  <c r="T509" i="1" s="1"/>
  <c r="T508" i="1"/>
  <c r="S508" i="1"/>
  <c r="J508" i="1"/>
  <c r="D508" i="1"/>
  <c r="E508" i="1" s="1"/>
  <c r="J507" i="1"/>
  <c r="D507" i="1"/>
  <c r="E507" i="1" s="1"/>
  <c r="S506" i="1"/>
  <c r="J506" i="1"/>
  <c r="E506" i="1"/>
  <c r="T506" i="1" s="1"/>
  <c r="D506" i="1"/>
  <c r="T505" i="1"/>
  <c r="S505" i="1"/>
  <c r="J505" i="1"/>
  <c r="D505" i="1"/>
  <c r="E505" i="1" s="1"/>
  <c r="J504" i="1"/>
  <c r="D504" i="1"/>
  <c r="E504" i="1" s="1"/>
  <c r="J503" i="1"/>
  <c r="D503" i="1"/>
  <c r="E503" i="1" s="1"/>
  <c r="S502" i="1"/>
  <c r="J502" i="1"/>
  <c r="E502" i="1"/>
  <c r="T502" i="1" s="1"/>
  <c r="D502" i="1"/>
  <c r="T501" i="1"/>
  <c r="J501" i="1"/>
  <c r="D501" i="1"/>
  <c r="E501" i="1" s="1"/>
  <c r="S501" i="1" s="1"/>
  <c r="J500" i="1"/>
  <c r="D500" i="1"/>
  <c r="E500" i="1" s="1"/>
  <c r="J499" i="1"/>
  <c r="D499" i="1"/>
  <c r="E499" i="1" s="1"/>
  <c r="J498" i="1"/>
  <c r="E498" i="1"/>
  <c r="T498" i="1" s="1"/>
  <c r="D498" i="1"/>
  <c r="J497" i="1"/>
  <c r="D497" i="1"/>
  <c r="E497" i="1" s="1"/>
  <c r="S497" i="1" s="1"/>
  <c r="J496" i="1"/>
  <c r="E496" i="1"/>
  <c r="S496" i="1" s="1"/>
  <c r="D496" i="1"/>
  <c r="J495" i="1"/>
  <c r="E495" i="1"/>
  <c r="S495" i="1" s="1"/>
  <c r="D495" i="1"/>
  <c r="J494" i="1"/>
  <c r="E494" i="1"/>
  <c r="T494" i="1" s="1"/>
  <c r="D494" i="1"/>
  <c r="T493" i="1"/>
  <c r="S493" i="1"/>
  <c r="J493" i="1"/>
  <c r="D493" i="1"/>
  <c r="E493" i="1" s="1"/>
  <c r="J492" i="1"/>
  <c r="D492" i="1"/>
  <c r="E492" i="1" s="1"/>
  <c r="J491" i="1"/>
  <c r="D491" i="1"/>
  <c r="E491" i="1" s="1"/>
  <c r="S490" i="1"/>
  <c r="J490" i="1"/>
  <c r="E490" i="1"/>
  <c r="T490" i="1" s="1"/>
  <c r="D490" i="1"/>
  <c r="T489" i="1"/>
  <c r="S489" i="1"/>
  <c r="J489" i="1"/>
  <c r="D489" i="1"/>
  <c r="E489" i="1" s="1"/>
  <c r="J488" i="1"/>
  <c r="D488" i="1"/>
  <c r="E488" i="1" s="1"/>
  <c r="J487" i="1"/>
  <c r="D487" i="1"/>
  <c r="E487" i="1" s="1"/>
  <c r="S486" i="1"/>
  <c r="J486" i="1"/>
  <c r="E486" i="1"/>
  <c r="T486" i="1" s="1"/>
  <c r="D486" i="1"/>
  <c r="T485" i="1"/>
  <c r="J485" i="1"/>
  <c r="D485" i="1"/>
  <c r="E485" i="1" s="1"/>
  <c r="S485" i="1" s="1"/>
  <c r="J484" i="1"/>
  <c r="D484" i="1"/>
  <c r="E484" i="1" s="1"/>
  <c r="J483" i="1"/>
  <c r="D483" i="1"/>
  <c r="E483" i="1" s="1"/>
  <c r="J482" i="1"/>
  <c r="E482" i="1"/>
  <c r="T482" i="1" s="1"/>
  <c r="D482" i="1"/>
  <c r="J481" i="1"/>
  <c r="D481" i="1"/>
  <c r="E481" i="1" s="1"/>
  <c r="S481" i="1" s="1"/>
  <c r="J480" i="1"/>
  <c r="E480" i="1"/>
  <c r="S480" i="1" s="1"/>
  <c r="D480" i="1"/>
  <c r="J479" i="1"/>
  <c r="E479" i="1"/>
  <c r="S479" i="1" s="1"/>
  <c r="D479" i="1"/>
  <c r="J478" i="1"/>
  <c r="E478" i="1"/>
  <c r="T478" i="1" s="1"/>
  <c r="D478" i="1"/>
  <c r="T477" i="1"/>
  <c r="S477" i="1"/>
  <c r="J477" i="1"/>
  <c r="D477" i="1"/>
  <c r="E477" i="1" s="1"/>
  <c r="J476" i="1"/>
  <c r="D476" i="1"/>
  <c r="E476" i="1" s="1"/>
  <c r="J475" i="1"/>
  <c r="D475" i="1"/>
  <c r="E475" i="1" s="1"/>
  <c r="S474" i="1"/>
  <c r="J474" i="1"/>
  <c r="E474" i="1"/>
  <c r="T474" i="1" s="1"/>
  <c r="D474" i="1"/>
  <c r="T473" i="1"/>
  <c r="S473" i="1"/>
  <c r="J473" i="1"/>
  <c r="D473" i="1"/>
  <c r="E473" i="1" s="1"/>
  <c r="J472" i="1"/>
  <c r="D472" i="1"/>
  <c r="E472" i="1" s="1"/>
  <c r="J471" i="1"/>
  <c r="D471" i="1"/>
  <c r="E471" i="1" s="1"/>
  <c r="S470" i="1"/>
  <c r="J470" i="1"/>
  <c r="E470" i="1"/>
  <c r="T470" i="1" s="1"/>
  <c r="D470" i="1"/>
  <c r="T469" i="1"/>
  <c r="J469" i="1"/>
  <c r="D469" i="1"/>
  <c r="E469" i="1" s="1"/>
  <c r="S469" i="1" s="1"/>
  <c r="J468" i="1"/>
  <c r="D468" i="1"/>
  <c r="E468" i="1" s="1"/>
  <c r="S468" i="1" s="1"/>
  <c r="J467" i="1"/>
  <c r="D467" i="1"/>
  <c r="E467" i="1" s="1"/>
  <c r="J466" i="1"/>
  <c r="E466" i="1"/>
  <c r="T466" i="1" s="1"/>
  <c r="D466" i="1"/>
  <c r="J465" i="1"/>
  <c r="D465" i="1"/>
  <c r="E465" i="1" s="1"/>
  <c r="J464" i="1"/>
  <c r="E464" i="1"/>
  <c r="D464" i="1"/>
  <c r="J463" i="1"/>
  <c r="E463" i="1"/>
  <c r="D463" i="1"/>
  <c r="J462" i="1"/>
  <c r="E462" i="1"/>
  <c r="D462" i="1"/>
  <c r="T461" i="1"/>
  <c r="S461" i="1"/>
  <c r="J461" i="1"/>
  <c r="D461" i="1"/>
  <c r="E461" i="1" s="1"/>
  <c r="J460" i="1"/>
  <c r="D460" i="1"/>
  <c r="E460" i="1" s="1"/>
  <c r="J459" i="1"/>
  <c r="D459" i="1"/>
  <c r="E459" i="1" s="1"/>
  <c r="S458" i="1"/>
  <c r="J458" i="1"/>
  <c r="E458" i="1"/>
  <c r="T458" i="1" s="1"/>
  <c r="D458" i="1"/>
  <c r="T457" i="1"/>
  <c r="S457" i="1"/>
  <c r="J457" i="1"/>
  <c r="D457" i="1"/>
  <c r="E457" i="1" s="1"/>
  <c r="J456" i="1"/>
  <c r="D456" i="1"/>
  <c r="E456" i="1" s="1"/>
  <c r="T456" i="1" s="1"/>
  <c r="T455" i="1"/>
  <c r="J455" i="1"/>
  <c r="D455" i="1"/>
  <c r="E455" i="1" s="1"/>
  <c r="S455" i="1" s="1"/>
  <c r="S454" i="1"/>
  <c r="J454" i="1"/>
  <c r="E454" i="1"/>
  <c r="T454" i="1" s="1"/>
  <c r="D454" i="1"/>
  <c r="T453" i="1"/>
  <c r="J453" i="1"/>
  <c r="D453" i="1"/>
  <c r="E453" i="1" s="1"/>
  <c r="S453" i="1" s="1"/>
  <c r="J452" i="1"/>
  <c r="D452" i="1"/>
  <c r="E452" i="1" s="1"/>
  <c r="S452" i="1" s="1"/>
  <c r="J451" i="1"/>
  <c r="D451" i="1"/>
  <c r="E451" i="1" s="1"/>
  <c r="J450" i="1"/>
  <c r="E450" i="1"/>
  <c r="T450" i="1" s="1"/>
  <c r="D450" i="1"/>
  <c r="J449" i="1"/>
  <c r="D449" i="1"/>
  <c r="E449" i="1" s="1"/>
  <c r="J448" i="1"/>
  <c r="E448" i="1"/>
  <c r="D448" i="1"/>
  <c r="J447" i="1"/>
  <c r="E447" i="1"/>
  <c r="D447" i="1"/>
  <c r="J446" i="1"/>
  <c r="E446" i="1"/>
  <c r="D446" i="1"/>
  <c r="T445" i="1"/>
  <c r="S445" i="1"/>
  <c r="J445" i="1"/>
  <c r="D445" i="1"/>
  <c r="E445" i="1" s="1"/>
  <c r="J444" i="1"/>
  <c r="D444" i="1"/>
  <c r="E444" i="1" s="1"/>
  <c r="J443" i="1"/>
  <c r="D443" i="1"/>
  <c r="E443" i="1" s="1"/>
  <c r="S442" i="1"/>
  <c r="J442" i="1"/>
  <c r="E442" i="1"/>
  <c r="T442" i="1" s="1"/>
  <c r="D442" i="1"/>
  <c r="T441" i="1"/>
  <c r="S441" i="1"/>
  <c r="J441" i="1"/>
  <c r="D441" i="1"/>
  <c r="E441" i="1" s="1"/>
  <c r="J440" i="1"/>
  <c r="D440" i="1"/>
  <c r="E440" i="1" s="1"/>
  <c r="T440" i="1" s="1"/>
  <c r="T439" i="1"/>
  <c r="J439" i="1"/>
  <c r="D439" i="1"/>
  <c r="E439" i="1" s="1"/>
  <c r="S439" i="1" s="1"/>
  <c r="S438" i="1"/>
  <c r="J438" i="1"/>
  <c r="E438" i="1"/>
  <c r="T438" i="1" s="1"/>
  <c r="D438" i="1"/>
  <c r="T437" i="1"/>
  <c r="J437" i="1"/>
  <c r="D437" i="1"/>
  <c r="E437" i="1" s="1"/>
  <c r="S437" i="1" s="1"/>
  <c r="J436" i="1"/>
  <c r="D436" i="1"/>
  <c r="E436" i="1" s="1"/>
  <c r="S436" i="1" s="1"/>
  <c r="J435" i="1"/>
  <c r="D435" i="1"/>
  <c r="E435" i="1" s="1"/>
  <c r="J434" i="1"/>
  <c r="E434" i="1"/>
  <c r="T434" i="1" s="1"/>
  <c r="D434" i="1"/>
  <c r="J433" i="1"/>
  <c r="D433" i="1"/>
  <c r="E433" i="1" s="1"/>
  <c r="J432" i="1"/>
  <c r="E432" i="1"/>
  <c r="D432" i="1"/>
  <c r="J431" i="1"/>
  <c r="E431" i="1"/>
  <c r="D431" i="1"/>
  <c r="J430" i="1"/>
  <c r="E430" i="1"/>
  <c r="D430" i="1"/>
  <c r="T429" i="1"/>
  <c r="S429" i="1"/>
  <c r="J429" i="1"/>
  <c r="D429" i="1"/>
  <c r="E429" i="1" s="1"/>
  <c r="J428" i="1"/>
  <c r="D428" i="1"/>
  <c r="E428" i="1" s="1"/>
  <c r="J427" i="1"/>
  <c r="D427" i="1"/>
  <c r="E427" i="1" s="1"/>
  <c r="S426" i="1"/>
  <c r="J426" i="1"/>
  <c r="E426" i="1"/>
  <c r="T426" i="1" s="1"/>
  <c r="D426" i="1"/>
  <c r="T425" i="1"/>
  <c r="S425" i="1"/>
  <c r="J425" i="1"/>
  <c r="D425" i="1"/>
  <c r="E425" i="1" s="1"/>
  <c r="J424" i="1"/>
  <c r="D424" i="1"/>
  <c r="E424" i="1" s="1"/>
  <c r="T424" i="1" s="1"/>
  <c r="T423" i="1"/>
  <c r="J423" i="1"/>
  <c r="D423" i="1"/>
  <c r="E423" i="1" s="1"/>
  <c r="S423" i="1" s="1"/>
  <c r="S422" i="1"/>
  <c r="J422" i="1"/>
  <c r="E422" i="1"/>
  <c r="T422" i="1" s="1"/>
  <c r="D422" i="1"/>
  <c r="T421" i="1"/>
  <c r="J421" i="1"/>
  <c r="D421" i="1"/>
  <c r="E421" i="1" s="1"/>
  <c r="S421" i="1" s="1"/>
  <c r="J420" i="1"/>
  <c r="D420" i="1"/>
  <c r="E420" i="1" s="1"/>
  <c r="S420" i="1" s="1"/>
  <c r="J419" i="1"/>
  <c r="D419" i="1"/>
  <c r="E419" i="1" s="1"/>
  <c r="J418" i="1"/>
  <c r="E418" i="1"/>
  <c r="T418" i="1" s="1"/>
  <c r="D418" i="1"/>
  <c r="J417" i="1"/>
  <c r="D417" i="1"/>
  <c r="E417" i="1" s="1"/>
  <c r="J416" i="1"/>
  <c r="E416" i="1"/>
  <c r="D416" i="1"/>
  <c r="J415" i="1"/>
  <c r="E415" i="1"/>
  <c r="D415" i="1"/>
  <c r="J414" i="1"/>
  <c r="E414" i="1"/>
  <c r="D414" i="1"/>
  <c r="T413" i="1"/>
  <c r="S413" i="1"/>
  <c r="J413" i="1"/>
  <c r="D413" i="1"/>
  <c r="E413" i="1" s="1"/>
  <c r="J412" i="1"/>
  <c r="D412" i="1"/>
  <c r="E412" i="1" s="1"/>
  <c r="J411" i="1"/>
  <c r="D411" i="1"/>
  <c r="E411" i="1" s="1"/>
  <c r="S410" i="1"/>
  <c r="J410" i="1"/>
  <c r="E410" i="1"/>
  <c r="T410" i="1" s="1"/>
  <c r="D410" i="1"/>
  <c r="T409" i="1"/>
  <c r="S409" i="1"/>
  <c r="J409" i="1"/>
  <c r="D409" i="1"/>
  <c r="E409" i="1" s="1"/>
  <c r="J408" i="1"/>
  <c r="D408" i="1"/>
  <c r="E408" i="1" s="1"/>
  <c r="T408" i="1" s="1"/>
  <c r="T407" i="1"/>
  <c r="J407" i="1"/>
  <c r="D407" i="1"/>
  <c r="E407" i="1" s="1"/>
  <c r="S407" i="1" s="1"/>
  <c r="S406" i="1"/>
  <c r="J406" i="1"/>
  <c r="E406" i="1"/>
  <c r="T406" i="1" s="1"/>
  <c r="D406" i="1"/>
  <c r="T405" i="1"/>
  <c r="J405" i="1"/>
  <c r="D405" i="1"/>
  <c r="E405" i="1" s="1"/>
  <c r="S405" i="1" s="1"/>
  <c r="J404" i="1"/>
  <c r="D404" i="1"/>
  <c r="E404" i="1" s="1"/>
  <c r="S404" i="1" s="1"/>
  <c r="J403" i="1"/>
  <c r="D403" i="1"/>
  <c r="E403" i="1" s="1"/>
  <c r="J402" i="1"/>
  <c r="E402" i="1"/>
  <c r="T402" i="1" s="1"/>
  <c r="D402" i="1"/>
  <c r="J401" i="1"/>
  <c r="D401" i="1"/>
  <c r="E401" i="1" s="1"/>
  <c r="J400" i="1"/>
  <c r="E400" i="1"/>
  <c r="D400" i="1"/>
  <c r="J399" i="1"/>
  <c r="E399" i="1"/>
  <c r="D399" i="1"/>
  <c r="J398" i="1"/>
  <c r="E398" i="1"/>
  <c r="D398" i="1"/>
  <c r="T397" i="1"/>
  <c r="S397" i="1"/>
  <c r="J397" i="1"/>
  <c r="D397" i="1"/>
  <c r="E397" i="1" s="1"/>
  <c r="J396" i="1"/>
  <c r="D396" i="1"/>
  <c r="E396" i="1" s="1"/>
  <c r="T396" i="1" s="1"/>
  <c r="T395" i="1"/>
  <c r="J395" i="1"/>
  <c r="D395" i="1"/>
  <c r="E395" i="1" s="1"/>
  <c r="S395" i="1" s="1"/>
  <c r="S394" i="1"/>
  <c r="J394" i="1"/>
  <c r="E394" i="1"/>
  <c r="T394" i="1" s="1"/>
  <c r="D394" i="1"/>
  <c r="T393" i="1"/>
  <c r="S393" i="1"/>
  <c r="J393" i="1"/>
  <c r="D393" i="1"/>
  <c r="E393" i="1" s="1"/>
  <c r="T392" i="1"/>
  <c r="S392" i="1"/>
  <c r="J392" i="1"/>
  <c r="D392" i="1"/>
  <c r="E392" i="1" s="1"/>
  <c r="T391" i="1"/>
  <c r="J391" i="1"/>
  <c r="D391" i="1"/>
  <c r="E391" i="1" s="1"/>
  <c r="S391" i="1" s="1"/>
  <c r="S390" i="1"/>
  <c r="J390" i="1"/>
  <c r="E390" i="1"/>
  <c r="T390" i="1" s="1"/>
  <c r="D390" i="1"/>
  <c r="J389" i="1"/>
  <c r="D389" i="1"/>
  <c r="E389" i="1" s="1"/>
  <c r="S389" i="1" s="1"/>
  <c r="J388" i="1"/>
  <c r="E388" i="1"/>
  <c r="S388" i="1" s="1"/>
  <c r="D388" i="1"/>
  <c r="J387" i="1"/>
  <c r="D387" i="1"/>
  <c r="E387" i="1" s="1"/>
  <c r="J386" i="1"/>
  <c r="E386" i="1"/>
  <c r="D386" i="1"/>
  <c r="J385" i="1"/>
  <c r="D385" i="1"/>
  <c r="E385" i="1" s="1"/>
  <c r="J384" i="1"/>
  <c r="E384" i="1"/>
  <c r="D384" i="1"/>
  <c r="J383" i="1"/>
  <c r="E383" i="1"/>
  <c r="D383" i="1"/>
  <c r="J382" i="1"/>
  <c r="E382" i="1"/>
  <c r="D382" i="1"/>
  <c r="T381" i="1"/>
  <c r="S381" i="1"/>
  <c r="J381" i="1"/>
  <c r="D381" i="1"/>
  <c r="E381" i="1" s="1"/>
  <c r="J380" i="1"/>
  <c r="D380" i="1"/>
  <c r="E380" i="1" s="1"/>
  <c r="T380" i="1" s="1"/>
  <c r="J379" i="1"/>
  <c r="D379" i="1"/>
  <c r="E379" i="1" s="1"/>
  <c r="S379" i="1" s="1"/>
  <c r="S378" i="1"/>
  <c r="J378" i="1"/>
  <c r="E378" i="1"/>
  <c r="T378" i="1" s="1"/>
  <c r="D378" i="1"/>
  <c r="T377" i="1"/>
  <c r="S377" i="1"/>
  <c r="J377" i="1"/>
  <c r="D377" i="1"/>
  <c r="E377" i="1" s="1"/>
  <c r="J376" i="1"/>
  <c r="D376" i="1"/>
  <c r="E376" i="1" s="1"/>
  <c r="T376" i="1" s="1"/>
  <c r="T375" i="1"/>
  <c r="J375" i="1"/>
  <c r="D375" i="1"/>
  <c r="E375" i="1" s="1"/>
  <c r="S375" i="1" s="1"/>
  <c r="S374" i="1"/>
  <c r="J374" i="1"/>
  <c r="E374" i="1"/>
  <c r="T374" i="1" s="1"/>
  <c r="D374" i="1"/>
  <c r="T373" i="1"/>
  <c r="J373" i="1"/>
  <c r="D373" i="1"/>
  <c r="E373" i="1" s="1"/>
  <c r="S373" i="1" s="1"/>
  <c r="J372" i="1"/>
  <c r="E372" i="1"/>
  <c r="S372" i="1" s="1"/>
  <c r="D372" i="1"/>
  <c r="J371" i="1"/>
  <c r="E371" i="1"/>
  <c r="D371" i="1"/>
  <c r="J370" i="1"/>
  <c r="E370" i="1"/>
  <c r="D370" i="1"/>
  <c r="J369" i="1"/>
  <c r="D369" i="1"/>
  <c r="E369" i="1" s="1"/>
  <c r="J368" i="1"/>
  <c r="E368" i="1"/>
  <c r="D368" i="1"/>
  <c r="J367" i="1"/>
  <c r="E367" i="1"/>
  <c r="D367" i="1"/>
  <c r="J366" i="1"/>
  <c r="E366" i="1"/>
  <c r="D366" i="1"/>
  <c r="T365" i="1"/>
  <c r="S365" i="1"/>
  <c r="J365" i="1"/>
  <c r="D365" i="1"/>
  <c r="E365" i="1" s="1"/>
  <c r="S364" i="1"/>
  <c r="J364" i="1"/>
  <c r="D364" i="1"/>
  <c r="E364" i="1" s="1"/>
  <c r="T364" i="1" s="1"/>
  <c r="J363" i="1"/>
  <c r="D363" i="1"/>
  <c r="E363" i="1" s="1"/>
  <c r="S363" i="1" s="1"/>
  <c r="S362" i="1"/>
  <c r="J362" i="1"/>
  <c r="E362" i="1"/>
  <c r="T362" i="1" s="1"/>
  <c r="D362" i="1"/>
  <c r="T361" i="1"/>
  <c r="S361" i="1"/>
  <c r="J361" i="1"/>
  <c r="D361" i="1"/>
  <c r="E361" i="1" s="1"/>
  <c r="J360" i="1"/>
  <c r="D360" i="1"/>
  <c r="E360" i="1" s="1"/>
  <c r="T360" i="1" s="1"/>
  <c r="J359" i="1"/>
  <c r="D359" i="1"/>
  <c r="E359" i="1" s="1"/>
  <c r="S359" i="1" s="1"/>
  <c r="S358" i="1"/>
  <c r="J358" i="1"/>
  <c r="E358" i="1"/>
  <c r="T358" i="1" s="1"/>
  <c r="D358" i="1"/>
  <c r="T357" i="1"/>
  <c r="J357" i="1"/>
  <c r="D357" i="1"/>
  <c r="E357" i="1" s="1"/>
  <c r="S357" i="1" s="1"/>
  <c r="J356" i="1"/>
  <c r="D356" i="1"/>
  <c r="E356" i="1" s="1"/>
  <c r="J355" i="1"/>
  <c r="E355" i="1"/>
  <c r="D355" i="1"/>
  <c r="J354" i="1"/>
  <c r="E354" i="1"/>
  <c r="D354" i="1"/>
  <c r="J353" i="1"/>
  <c r="D353" i="1"/>
  <c r="E353" i="1" s="1"/>
  <c r="J352" i="1"/>
  <c r="E352" i="1"/>
  <c r="D352" i="1"/>
  <c r="J351" i="1"/>
  <c r="E351" i="1"/>
  <c r="D351" i="1"/>
  <c r="J350" i="1"/>
  <c r="E350" i="1"/>
  <c r="D350" i="1"/>
  <c r="T349" i="1"/>
  <c r="S349" i="1"/>
  <c r="J349" i="1"/>
  <c r="D349" i="1"/>
  <c r="E349" i="1" s="1"/>
  <c r="S348" i="1"/>
  <c r="J348" i="1"/>
  <c r="D348" i="1"/>
  <c r="E348" i="1" s="1"/>
  <c r="T348" i="1" s="1"/>
  <c r="T347" i="1"/>
  <c r="J347" i="1"/>
  <c r="D347" i="1"/>
  <c r="E347" i="1" s="1"/>
  <c r="S347" i="1" s="1"/>
  <c r="S346" i="1"/>
  <c r="J346" i="1"/>
  <c r="E346" i="1"/>
  <c r="T346" i="1" s="1"/>
  <c r="D346" i="1"/>
  <c r="T345" i="1"/>
  <c r="S345" i="1"/>
  <c r="J345" i="1"/>
  <c r="D345" i="1"/>
  <c r="E345" i="1" s="1"/>
  <c r="T344" i="1"/>
  <c r="S344" i="1"/>
  <c r="J344" i="1"/>
  <c r="D344" i="1"/>
  <c r="E344" i="1" s="1"/>
  <c r="J343" i="1"/>
  <c r="D343" i="1"/>
  <c r="E343" i="1" s="1"/>
  <c r="S343" i="1" s="1"/>
  <c r="S342" i="1"/>
  <c r="J342" i="1"/>
  <c r="E342" i="1"/>
  <c r="T342" i="1" s="1"/>
  <c r="D342" i="1"/>
  <c r="J341" i="1"/>
  <c r="D341" i="1"/>
  <c r="E341" i="1" s="1"/>
  <c r="S341" i="1" s="1"/>
  <c r="J340" i="1"/>
  <c r="D340" i="1"/>
  <c r="E340" i="1" s="1"/>
  <c r="J339" i="1"/>
  <c r="D339" i="1"/>
  <c r="E339" i="1" s="1"/>
  <c r="J338" i="1"/>
  <c r="E338" i="1"/>
  <c r="D338" i="1"/>
  <c r="J337" i="1"/>
  <c r="D337" i="1"/>
  <c r="E337" i="1" s="1"/>
  <c r="J336" i="1"/>
  <c r="E336" i="1"/>
  <c r="D336" i="1"/>
  <c r="J335" i="1"/>
  <c r="E335" i="1"/>
  <c r="D335" i="1"/>
  <c r="J334" i="1"/>
  <c r="E334" i="1"/>
  <c r="D334" i="1"/>
  <c r="T333" i="1"/>
  <c r="S333" i="1"/>
  <c r="J333" i="1"/>
  <c r="D333" i="1"/>
  <c r="E333" i="1" s="1"/>
  <c r="J332" i="1"/>
  <c r="D332" i="1"/>
  <c r="E332" i="1" s="1"/>
  <c r="T332" i="1" s="1"/>
  <c r="T331" i="1"/>
  <c r="J331" i="1"/>
  <c r="D331" i="1"/>
  <c r="E331" i="1" s="1"/>
  <c r="S331" i="1" s="1"/>
  <c r="S330" i="1"/>
  <c r="J330" i="1"/>
  <c r="E330" i="1"/>
  <c r="T330" i="1" s="1"/>
  <c r="D330" i="1"/>
  <c r="T329" i="1"/>
  <c r="S329" i="1"/>
  <c r="J329" i="1"/>
  <c r="D329" i="1"/>
  <c r="E329" i="1" s="1"/>
  <c r="T328" i="1"/>
  <c r="S328" i="1"/>
  <c r="J328" i="1"/>
  <c r="D328" i="1"/>
  <c r="E328" i="1" s="1"/>
  <c r="T327" i="1"/>
  <c r="J327" i="1"/>
  <c r="D327" i="1"/>
  <c r="E327" i="1" s="1"/>
  <c r="S327" i="1" s="1"/>
  <c r="S326" i="1"/>
  <c r="J326" i="1"/>
  <c r="E326" i="1"/>
  <c r="T326" i="1" s="1"/>
  <c r="D326" i="1"/>
  <c r="J325" i="1"/>
  <c r="D325" i="1"/>
  <c r="E325" i="1" s="1"/>
  <c r="S325" i="1" s="1"/>
  <c r="J324" i="1"/>
  <c r="E324" i="1"/>
  <c r="S324" i="1" s="1"/>
  <c r="D324" i="1"/>
  <c r="J323" i="1"/>
  <c r="D323" i="1"/>
  <c r="E323" i="1" s="1"/>
  <c r="J322" i="1"/>
  <c r="E322" i="1"/>
  <c r="D322" i="1"/>
  <c r="J321" i="1"/>
  <c r="D321" i="1"/>
  <c r="E321" i="1" s="1"/>
  <c r="J320" i="1"/>
  <c r="E320" i="1"/>
  <c r="D320" i="1"/>
  <c r="J319" i="1"/>
  <c r="E319" i="1"/>
  <c r="D319" i="1"/>
  <c r="J318" i="1"/>
  <c r="E318" i="1"/>
  <c r="D318" i="1"/>
  <c r="T317" i="1"/>
  <c r="S317" i="1"/>
  <c r="J317" i="1"/>
  <c r="D317" i="1"/>
  <c r="E317" i="1" s="1"/>
  <c r="J316" i="1"/>
  <c r="D316" i="1"/>
  <c r="E316" i="1" s="1"/>
  <c r="T316" i="1" s="1"/>
  <c r="J315" i="1"/>
  <c r="D315" i="1"/>
  <c r="E315" i="1" s="1"/>
  <c r="S315" i="1" s="1"/>
  <c r="S314" i="1"/>
  <c r="J314" i="1"/>
  <c r="E314" i="1"/>
  <c r="T314" i="1" s="1"/>
  <c r="D314" i="1"/>
  <c r="T313" i="1"/>
  <c r="S313" i="1"/>
  <c r="J313" i="1"/>
  <c r="D313" i="1"/>
  <c r="E313" i="1" s="1"/>
  <c r="J312" i="1"/>
  <c r="D312" i="1"/>
  <c r="E312" i="1" s="1"/>
  <c r="T312" i="1" s="1"/>
  <c r="T311" i="1"/>
  <c r="J311" i="1"/>
  <c r="D311" i="1"/>
  <c r="E311" i="1" s="1"/>
  <c r="S311" i="1" s="1"/>
  <c r="S310" i="1"/>
  <c r="J310" i="1"/>
  <c r="E310" i="1"/>
  <c r="T310" i="1" s="1"/>
  <c r="D310" i="1"/>
  <c r="T309" i="1"/>
  <c r="J309" i="1"/>
  <c r="D309" i="1"/>
  <c r="E309" i="1" s="1"/>
  <c r="S309" i="1" s="1"/>
  <c r="J308" i="1"/>
  <c r="E308" i="1"/>
  <c r="S308" i="1" s="1"/>
  <c r="D308" i="1"/>
  <c r="J307" i="1"/>
  <c r="E307" i="1"/>
  <c r="D307" i="1"/>
  <c r="J306" i="1"/>
  <c r="E306" i="1"/>
  <c r="D306" i="1"/>
  <c r="J305" i="1"/>
  <c r="D305" i="1"/>
  <c r="E305" i="1" s="1"/>
  <c r="J304" i="1"/>
  <c r="E304" i="1"/>
  <c r="D304" i="1"/>
  <c r="J303" i="1"/>
  <c r="E303" i="1"/>
  <c r="D303" i="1"/>
  <c r="J302" i="1"/>
  <c r="E302" i="1"/>
  <c r="D302" i="1"/>
  <c r="T301" i="1"/>
  <c r="S301" i="1"/>
  <c r="J301" i="1"/>
  <c r="D301" i="1"/>
  <c r="E301" i="1" s="1"/>
  <c r="S300" i="1"/>
  <c r="J300" i="1"/>
  <c r="D300" i="1"/>
  <c r="E300" i="1" s="1"/>
  <c r="T300" i="1" s="1"/>
  <c r="J299" i="1"/>
  <c r="D299" i="1"/>
  <c r="E299" i="1" s="1"/>
  <c r="S299" i="1" s="1"/>
  <c r="S298" i="1"/>
  <c r="J298" i="1"/>
  <c r="E298" i="1"/>
  <c r="T298" i="1" s="1"/>
  <c r="D298" i="1"/>
  <c r="T297" i="1"/>
  <c r="S297" i="1"/>
  <c r="J297" i="1"/>
  <c r="D297" i="1"/>
  <c r="E297" i="1" s="1"/>
  <c r="J296" i="1"/>
  <c r="D296" i="1"/>
  <c r="E296" i="1" s="1"/>
  <c r="T296" i="1" s="1"/>
  <c r="J295" i="1"/>
  <c r="D295" i="1"/>
  <c r="E295" i="1" s="1"/>
  <c r="S295" i="1" s="1"/>
  <c r="S294" i="1"/>
  <c r="J294" i="1"/>
  <c r="E294" i="1"/>
  <c r="T294" i="1" s="1"/>
  <c r="D294" i="1"/>
  <c r="T293" i="1"/>
  <c r="J293" i="1"/>
  <c r="D293" i="1"/>
  <c r="E293" i="1" s="1"/>
  <c r="S293" i="1" s="1"/>
  <c r="J292" i="1"/>
  <c r="D292" i="1"/>
  <c r="E292" i="1" s="1"/>
  <c r="J291" i="1"/>
  <c r="E291" i="1"/>
  <c r="D291" i="1"/>
  <c r="J290" i="1"/>
  <c r="E290" i="1"/>
  <c r="D290" i="1"/>
  <c r="J289" i="1"/>
  <c r="D289" i="1"/>
  <c r="E289" i="1" s="1"/>
  <c r="J288" i="1"/>
  <c r="E288" i="1"/>
  <c r="D288" i="1"/>
  <c r="J287" i="1"/>
  <c r="E287" i="1"/>
  <c r="D287" i="1"/>
  <c r="J286" i="1"/>
  <c r="E286" i="1"/>
  <c r="D286" i="1"/>
  <c r="T285" i="1"/>
  <c r="S285" i="1"/>
  <c r="J285" i="1"/>
  <c r="D285" i="1"/>
  <c r="E285" i="1" s="1"/>
  <c r="S284" i="1"/>
  <c r="J284" i="1"/>
  <c r="D284" i="1"/>
  <c r="E284" i="1" s="1"/>
  <c r="T284" i="1" s="1"/>
  <c r="T283" i="1"/>
  <c r="J283" i="1"/>
  <c r="D283" i="1"/>
  <c r="E283" i="1" s="1"/>
  <c r="S283" i="1" s="1"/>
  <c r="S282" i="1"/>
  <c r="J282" i="1"/>
  <c r="E282" i="1"/>
  <c r="T282" i="1" s="1"/>
  <c r="D282" i="1"/>
  <c r="T281" i="1"/>
  <c r="S281" i="1"/>
  <c r="J281" i="1"/>
  <c r="D281" i="1"/>
  <c r="E281" i="1" s="1"/>
  <c r="T280" i="1"/>
  <c r="S280" i="1"/>
  <c r="J280" i="1"/>
  <c r="D280" i="1"/>
  <c r="E280" i="1" s="1"/>
  <c r="J279" i="1"/>
  <c r="D279" i="1"/>
  <c r="E279" i="1" s="1"/>
  <c r="S279" i="1" s="1"/>
  <c r="S278" i="1"/>
  <c r="J278" i="1"/>
  <c r="E278" i="1"/>
  <c r="T278" i="1" s="1"/>
  <c r="D278" i="1"/>
  <c r="J277" i="1"/>
  <c r="D277" i="1"/>
  <c r="E277" i="1" s="1"/>
  <c r="S277" i="1" s="1"/>
  <c r="J276" i="1"/>
  <c r="D276" i="1"/>
  <c r="E276" i="1" s="1"/>
  <c r="J275" i="1"/>
  <c r="D275" i="1"/>
  <c r="E275" i="1" s="1"/>
  <c r="J274" i="1"/>
  <c r="E274" i="1"/>
  <c r="D274" i="1"/>
  <c r="J273" i="1"/>
  <c r="D273" i="1"/>
  <c r="E273" i="1" s="1"/>
  <c r="J272" i="1"/>
  <c r="E272" i="1"/>
  <c r="D272" i="1"/>
  <c r="J271" i="1"/>
  <c r="E271" i="1"/>
  <c r="D271" i="1"/>
  <c r="J270" i="1"/>
  <c r="E270" i="1"/>
  <c r="D270" i="1"/>
  <c r="T269" i="1"/>
  <c r="S269" i="1"/>
  <c r="J269" i="1"/>
  <c r="D269" i="1"/>
  <c r="E269" i="1" s="1"/>
  <c r="J268" i="1"/>
  <c r="D268" i="1"/>
  <c r="E268" i="1" s="1"/>
  <c r="T268" i="1" s="1"/>
  <c r="T267" i="1"/>
  <c r="J267" i="1"/>
  <c r="D267" i="1"/>
  <c r="E267" i="1" s="1"/>
  <c r="S267" i="1" s="1"/>
  <c r="S266" i="1"/>
  <c r="J266" i="1"/>
  <c r="E266" i="1"/>
  <c r="T266" i="1" s="1"/>
  <c r="D266" i="1"/>
  <c r="T265" i="1"/>
  <c r="S265" i="1"/>
  <c r="J265" i="1"/>
  <c r="D265" i="1"/>
  <c r="E265" i="1" s="1"/>
  <c r="T264" i="1"/>
  <c r="S264" i="1"/>
  <c r="J264" i="1"/>
  <c r="D264" i="1"/>
  <c r="E264" i="1" s="1"/>
  <c r="T263" i="1"/>
  <c r="J263" i="1"/>
  <c r="D263" i="1"/>
  <c r="E263" i="1" s="1"/>
  <c r="S263" i="1" s="1"/>
  <c r="S262" i="1"/>
  <c r="J262" i="1"/>
  <c r="E262" i="1"/>
  <c r="T262" i="1" s="1"/>
  <c r="D262" i="1"/>
  <c r="J261" i="1"/>
  <c r="D261" i="1"/>
  <c r="E261" i="1" s="1"/>
  <c r="S261" i="1" s="1"/>
  <c r="J260" i="1"/>
  <c r="E260" i="1"/>
  <c r="S260" i="1" s="1"/>
  <c r="D260" i="1"/>
  <c r="J259" i="1"/>
  <c r="D259" i="1"/>
  <c r="E259" i="1" s="1"/>
  <c r="J258" i="1"/>
  <c r="E258" i="1"/>
  <c r="D258" i="1"/>
  <c r="J257" i="1"/>
  <c r="D257" i="1"/>
  <c r="E257" i="1" s="1"/>
  <c r="J256" i="1"/>
  <c r="E256" i="1"/>
  <c r="D256" i="1"/>
  <c r="J255" i="1"/>
  <c r="E255" i="1"/>
  <c r="D255" i="1"/>
  <c r="J254" i="1"/>
  <c r="E254" i="1"/>
  <c r="D254" i="1"/>
  <c r="T253" i="1"/>
  <c r="S253" i="1"/>
  <c r="J253" i="1"/>
  <c r="D253" i="1"/>
  <c r="E253" i="1" s="1"/>
  <c r="J252" i="1"/>
  <c r="D252" i="1"/>
  <c r="E252" i="1" s="1"/>
  <c r="T252" i="1" s="1"/>
  <c r="J251" i="1"/>
  <c r="D251" i="1"/>
  <c r="E251" i="1" s="1"/>
  <c r="S251" i="1" s="1"/>
  <c r="S250" i="1"/>
  <c r="J250" i="1"/>
  <c r="E250" i="1"/>
  <c r="T250" i="1" s="1"/>
  <c r="D250" i="1"/>
  <c r="T249" i="1"/>
  <c r="S249" i="1"/>
  <c r="J249" i="1"/>
  <c r="D249" i="1"/>
  <c r="E249" i="1" s="1"/>
  <c r="J248" i="1"/>
  <c r="D248" i="1"/>
  <c r="E248" i="1" s="1"/>
  <c r="T248" i="1" s="1"/>
  <c r="T247" i="1"/>
  <c r="J247" i="1"/>
  <c r="D247" i="1"/>
  <c r="E247" i="1" s="1"/>
  <c r="S247" i="1" s="1"/>
  <c r="S246" i="1"/>
  <c r="J246" i="1"/>
  <c r="E246" i="1"/>
  <c r="T246" i="1" s="1"/>
  <c r="D246" i="1"/>
  <c r="T245" i="1"/>
  <c r="J245" i="1"/>
  <c r="D245" i="1"/>
  <c r="E245" i="1" s="1"/>
  <c r="S245" i="1" s="1"/>
  <c r="J244" i="1"/>
  <c r="E244" i="1"/>
  <c r="S244" i="1" s="1"/>
  <c r="D244" i="1"/>
  <c r="J243" i="1"/>
  <c r="E243" i="1"/>
  <c r="D243" i="1"/>
  <c r="J242" i="1"/>
  <c r="E242" i="1"/>
  <c r="D242" i="1"/>
  <c r="J241" i="1"/>
  <c r="D241" i="1"/>
  <c r="E241" i="1" s="1"/>
  <c r="J240" i="1"/>
  <c r="E240" i="1"/>
  <c r="D240" i="1"/>
  <c r="J239" i="1"/>
  <c r="E239" i="1"/>
  <c r="D239" i="1"/>
  <c r="J238" i="1"/>
  <c r="E238" i="1"/>
  <c r="D238" i="1"/>
  <c r="T237" i="1"/>
  <c r="S237" i="1"/>
  <c r="J237" i="1"/>
  <c r="D237" i="1"/>
  <c r="E237" i="1" s="1"/>
  <c r="S236" i="1"/>
  <c r="J236" i="1"/>
  <c r="D236" i="1"/>
  <c r="E236" i="1" s="1"/>
  <c r="T236" i="1" s="1"/>
  <c r="J235" i="1"/>
  <c r="D235" i="1"/>
  <c r="E235" i="1" s="1"/>
  <c r="S235" i="1" s="1"/>
  <c r="S234" i="1"/>
  <c r="J234" i="1"/>
  <c r="E234" i="1"/>
  <c r="T234" i="1" s="1"/>
  <c r="D234" i="1"/>
  <c r="T233" i="1"/>
  <c r="S233" i="1"/>
  <c r="J233" i="1"/>
  <c r="D233" i="1"/>
  <c r="E233" i="1" s="1"/>
  <c r="J232" i="1"/>
  <c r="D232" i="1"/>
  <c r="E232" i="1" s="1"/>
  <c r="T232" i="1" s="1"/>
  <c r="J231" i="1"/>
  <c r="D231" i="1"/>
  <c r="E231" i="1" s="1"/>
  <c r="S231" i="1" s="1"/>
  <c r="S230" i="1"/>
  <c r="J230" i="1"/>
  <c r="E230" i="1"/>
  <c r="T230" i="1" s="1"/>
  <c r="D230" i="1"/>
  <c r="T229" i="1"/>
  <c r="J229" i="1"/>
  <c r="D229" i="1"/>
  <c r="E229" i="1" s="1"/>
  <c r="S229" i="1" s="1"/>
  <c r="J228" i="1"/>
  <c r="D228" i="1"/>
  <c r="E228" i="1" s="1"/>
  <c r="J227" i="1"/>
  <c r="E227" i="1"/>
  <c r="D227" i="1"/>
  <c r="J226" i="1"/>
  <c r="E226" i="1"/>
  <c r="D226" i="1"/>
  <c r="J225" i="1"/>
  <c r="D225" i="1"/>
  <c r="E225" i="1" s="1"/>
  <c r="J224" i="1"/>
  <c r="E224" i="1"/>
  <c r="D224" i="1"/>
  <c r="J223" i="1"/>
  <c r="E223" i="1"/>
  <c r="D223" i="1"/>
  <c r="J222" i="1"/>
  <c r="E222" i="1"/>
  <c r="D222" i="1"/>
  <c r="T221" i="1"/>
  <c r="S221" i="1"/>
  <c r="J221" i="1"/>
  <c r="D221" i="1"/>
  <c r="E221" i="1" s="1"/>
  <c r="S220" i="1"/>
  <c r="J220" i="1"/>
  <c r="D220" i="1"/>
  <c r="E220" i="1" s="1"/>
  <c r="T220" i="1" s="1"/>
  <c r="T219" i="1"/>
  <c r="J219" i="1"/>
  <c r="D219" i="1"/>
  <c r="E219" i="1" s="1"/>
  <c r="S219" i="1" s="1"/>
  <c r="S218" i="1"/>
  <c r="J218" i="1"/>
  <c r="E218" i="1"/>
  <c r="T218" i="1" s="1"/>
  <c r="D218" i="1"/>
  <c r="T217" i="1"/>
  <c r="S217" i="1"/>
  <c r="J217" i="1"/>
  <c r="D217" i="1"/>
  <c r="E217" i="1" s="1"/>
  <c r="T216" i="1"/>
  <c r="S216" i="1"/>
  <c r="J216" i="1"/>
  <c r="D216" i="1"/>
  <c r="E216" i="1" s="1"/>
  <c r="J215" i="1"/>
  <c r="D215" i="1"/>
  <c r="E215" i="1" s="1"/>
  <c r="S215" i="1" s="1"/>
  <c r="J214" i="1"/>
  <c r="D214" i="1"/>
  <c r="E214" i="1" s="1"/>
  <c r="T214" i="1" s="1"/>
  <c r="J213" i="1"/>
  <c r="D213" i="1"/>
  <c r="E213" i="1" s="1"/>
  <c r="J212" i="1"/>
  <c r="E212" i="1"/>
  <c r="D212" i="1"/>
  <c r="S211" i="1"/>
  <c r="J211" i="1"/>
  <c r="D211" i="1"/>
  <c r="E211" i="1" s="1"/>
  <c r="T211" i="1" s="1"/>
  <c r="T210" i="1"/>
  <c r="S210" i="1"/>
  <c r="J210" i="1"/>
  <c r="D210" i="1"/>
  <c r="E210" i="1" s="1"/>
  <c r="J209" i="1"/>
  <c r="E209" i="1"/>
  <c r="S209" i="1" s="1"/>
  <c r="D209" i="1"/>
  <c r="J208" i="1"/>
  <c r="E208" i="1"/>
  <c r="D208" i="1"/>
  <c r="J207" i="1"/>
  <c r="D207" i="1"/>
  <c r="E207" i="1" s="1"/>
  <c r="T207" i="1" s="1"/>
  <c r="J206" i="1"/>
  <c r="D206" i="1"/>
  <c r="E206" i="1" s="1"/>
  <c r="T206" i="1" s="1"/>
  <c r="J205" i="1"/>
  <c r="D205" i="1"/>
  <c r="E205" i="1" s="1"/>
  <c r="J204" i="1"/>
  <c r="E204" i="1"/>
  <c r="D204" i="1"/>
  <c r="S203" i="1"/>
  <c r="J203" i="1"/>
  <c r="D203" i="1"/>
  <c r="E203" i="1" s="1"/>
  <c r="T203" i="1" s="1"/>
  <c r="T202" i="1"/>
  <c r="S202" i="1"/>
  <c r="J202" i="1"/>
  <c r="D202" i="1"/>
  <c r="E202" i="1" s="1"/>
  <c r="J201" i="1"/>
  <c r="E201" i="1"/>
  <c r="S201" i="1" s="1"/>
  <c r="D201" i="1"/>
  <c r="J200" i="1"/>
  <c r="E200" i="1"/>
  <c r="D200" i="1"/>
  <c r="J199" i="1"/>
  <c r="D199" i="1"/>
  <c r="E199" i="1" s="1"/>
  <c r="T199" i="1" s="1"/>
  <c r="J198" i="1"/>
  <c r="D198" i="1"/>
  <c r="E198" i="1" s="1"/>
  <c r="T198" i="1" s="1"/>
  <c r="J197" i="1"/>
  <c r="D197" i="1"/>
  <c r="E197" i="1" s="1"/>
  <c r="J196" i="1"/>
  <c r="E196" i="1"/>
  <c r="D196" i="1"/>
  <c r="S195" i="1"/>
  <c r="J195" i="1"/>
  <c r="D195" i="1"/>
  <c r="E195" i="1" s="1"/>
  <c r="T195" i="1" s="1"/>
  <c r="T194" i="1"/>
  <c r="S194" i="1"/>
  <c r="J194" i="1"/>
  <c r="D194" i="1"/>
  <c r="E194" i="1" s="1"/>
  <c r="J193" i="1"/>
  <c r="E193" i="1"/>
  <c r="S193" i="1" s="1"/>
  <c r="D193" i="1"/>
  <c r="J192" i="1"/>
  <c r="E192" i="1"/>
  <c r="T192" i="1" s="1"/>
  <c r="D192" i="1"/>
  <c r="T191" i="1"/>
  <c r="S191" i="1"/>
  <c r="J191" i="1"/>
  <c r="D191" i="1"/>
  <c r="E191" i="1" s="1"/>
  <c r="J190" i="1"/>
  <c r="D190" i="1"/>
  <c r="E190" i="1" s="1"/>
  <c r="J189" i="1"/>
  <c r="D189" i="1"/>
  <c r="E189" i="1" s="1"/>
  <c r="S188" i="1"/>
  <c r="J188" i="1"/>
  <c r="E188" i="1"/>
  <c r="T188" i="1" s="1"/>
  <c r="D188" i="1"/>
  <c r="T187" i="1"/>
  <c r="S187" i="1"/>
  <c r="J187" i="1"/>
  <c r="D187" i="1"/>
  <c r="E187" i="1" s="1"/>
  <c r="J186" i="1"/>
  <c r="D186" i="1"/>
  <c r="E186" i="1" s="1"/>
  <c r="J185" i="1"/>
  <c r="D185" i="1"/>
  <c r="E185" i="1" s="1"/>
  <c r="S184" i="1"/>
  <c r="J184" i="1"/>
  <c r="E184" i="1"/>
  <c r="T184" i="1" s="1"/>
  <c r="D184" i="1"/>
  <c r="J183" i="1"/>
  <c r="D183" i="1"/>
  <c r="E183" i="1" s="1"/>
  <c r="T183" i="1" s="1"/>
  <c r="J182" i="1"/>
  <c r="E182" i="1"/>
  <c r="T182" i="1" s="1"/>
  <c r="D182" i="1"/>
  <c r="J181" i="1"/>
  <c r="E181" i="1"/>
  <c r="S181" i="1" s="1"/>
  <c r="D181" i="1"/>
  <c r="J180" i="1"/>
  <c r="E180" i="1"/>
  <c r="T180" i="1" s="1"/>
  <c r="D180" i="1"/>
  <c r="J179" i="1"/>
  <c r="D179" i="1"/>
  <c r="E179" i="1" s="1"/>
  <c r="T179" i="1" s="1"/>
  <c r="J178" i="1"/>
  <c r="E178" i="1"/>
  <c r="T178" i="1" s="1"/>
  <c r="D178" i="1"/>
  <c r="J177" i="1"/>
  <c r="E177" i="1"/>
  <c r="S177" i="1" s="1"/>
  <c r="D177" i="1"/>
  <c r="J176" i="1"/>
  <c r="E176" i="1"/>
  <c r="T176" i="1" s="1"/>
  <c r="D176" i="1"/>
  <c r="T175" i="1"/>
  <c r="S175" i="1"/>
  <c r="J175" i="1"/>
  <c r="D175" i="1"/>
  <c r="E175" i="1" s="1"/>
  <c r="J174" i="1"/>
  <c r="D174" i="1"/>
  <c r="E174" i="1" s="1"/>
  <c r="J173" i="1"/>
  <c r="D173" i="1"/>
  <c r="E173" i="1" s="1"/>
  <c r="S172" i="1"/>
  <c r="J172" i="1"/>
  <c r="E172" i="1"/>
  <c r="T172" i="1" s="1"/>
  <c r="D172" i="1"/>
  <c r="T171" i="1"/>
  <c r="S171" i="1"/>
  <c r="J171" i="1"/>
  <c r="D171" i="1"/>
  <c r="E171" i="1" s="1"/>
  <c r="J170" i="1"/>
  <c r="D170" i="1"/>
  <c r="E170" i="1" s="1"/>
  <c r="J169" i="1"/>
  <c r="D169" i="1"/>
  <c r="E169" i="1" s="1"/>
  <c r="S168" i="1"/>
  <c r="J168" i="1"/>
  <c r="E168" i="1"/>
  <c r="T168" i="1" s="1"/>
  <c r="D168" i="1"/>
  <c r="J167" i="1"/>
  <c r="D167" i="1"/>
  <c r="E167" i="1" s="1"/>
  <c r="T167" i="1" s="1"/>
  <c r="J166" i="1"/>
  <c r="E166" i="1"/>
  <c r="T166" i="1" s="1"/>
  <c r="D166" i="1"/>
  <c r="J165" i="1"/>
  <c r="E165" i="1"/>
  <c r="S165" i="1" s="1"/>
  <c r="D165" i="1"/>
  <c r="J164" i="1"/>
  <c r="E164" i="1"/>
  <c r="T164" i="1" s="1"/>
  <c r="D164" i="1"/>
  <c r="J163" i="1"/>
  <c r="D163" i="1"/>
  <c r="E163" i="1" s="1"/>
  <c r="T163" i="1" s="1"/>
  <c r="J162" i="1"/>
  <c r="E162" i="1"/>
  <c r="T162" i="1" s="1"/>
  <c r="D162" i="1"/>
  <c r="J161" i="1"/>
  <c r="E161" i="1"/>
  <c r="S161" i="1" s="1"/>
  <c r="D161" i="1"/>
  <c r="J160" i="1"/>
  <c r="E160" i="1"/>
  <c r="T160" i="1" s="1"/>
  <c r="D160" i="1"/>
  <c r="T159" i="1"/>
  <c r="S159" i="1"/>
  <c r="J159" i="1"/>
  <c r="D159" i="1"/>
  <c r="E159" i="1" s="1"/>
  <c r="J158" i="1"/>
  <c r="D158" i="1"/>
  <c r="E158" i="1" s="1"/>
  <c r="J157" i="1"/>
  <c r="D157" i="1"/>
  <c r="E157" i="1" s="1"/>
  <c r="S156" i="1"/>
  <c r="J156" i="1"/>
  <c r="E156" i="1"/>
  <c r="T156" i="1" s="1"/>
  <c r="D156" i="1"/>
  <c r="T155" i="1"/>
  <c r="S155" i="1"/>
  <c r="J155" i="1"/>
  <c r="D155" i="1"/>
  <c r="E155" i="1" s="1"/>
  <c r="J154" i="1"/>
  <c r="D154" i="1"/>
  <c r="E154" i="1" s="1"/>
  <c r="J153" i="1"/>
  <c r="D153" i="1"/>
  <c r="E153" i="1" s="1"/>
  <c r="S152" i="1"/>
  <c r="J152" i="1"/>
  <c r="E152" i="1"/>
  <c r="T152" i="1" s="1"/>
  <c r="D152" i="1"/>
  <c r="J151" i="1"/>
  <c r="D151" i="1"/>
  <c r="E151" i="1" s="1"/>
  <c r="T151" i="1" s="1"/>
  <c r="J150" i="1"/>
  <c r="E150" i="1"/>
  <c r="T150" i="1" s="1"/>
  <c r="D150" i="1"/>
  <c r="J149" i="1"/>
  <c r="E149" i="1"/>
  <c r="S149" i="1" s="1"/>
  <c r="D149" i="1"/>
  <c r="J148" i="1"/>
  <c r="E148" i="1"/>
  <c r="T148" i="1" s="1"/>
  <c r="D148" i="1"/>
  <c r="J147" i="1"/>
  <c r="D147" i="1"/>
  <c r="E147" i="1" s="1"/>
  <c r="T147" i="1" s="1"/>
  <c r="J146" i="1"/>
  <c r="E146" i="1"/>
  <c r="T146" i="1" s="1"/>
  <c r="D146" i="1"/>
  <c r="J145" i="1"/>
  <c r="E145" i="1"/>
  <c r="S145" i="1" s="1"/>
  <c r="D145" i="1"/>
  <c r="J144" i="1"/>
  <c r="E144" i="1"/>
  <c r="T144" i="1" s="1"/>
  <c r="D144" i="1"/>
  <c r="T143" i="1"/>
  <c r="S143" i="1"/>
  <c r="J143" i="1"/>
  <c r="D143" i="1"/>
  <c r="E143" i="1" s="1"/>
  <c r="J142" i="1"/>
  <c r="D142" i="1"/>
  <c r="E142" i="1" s="1"/>
  <c r="J141" i="1"/>
  <c r="D141" i="1"/>
  <c r="E141" i="1" s="1"/>
  <c r="S140" i="1"/>
  <c r="J140" i="1"/>
  <c r="E140" i="1"/>
  <c r="T140" i="1" s="1"/>
  <c r="D140" i="1"/>
  <c r="T139" i="1"/>
  <c r="S139" i="1"/>
  <c r="J139" i="1"/>
  <c r="D139" i="1"/>
  <c r="E139" i="1" s="1"/>
  <c r="J138" i="1"/>
  <c r="D138" i="1"/>
  <c r="E138" i="1" s="1"/>
  <c r="J137" i="1"/>
  <c r="D137" i="1"/>
  <c r="E137" i="1" s="1"/>
  <c r="S136" i="1"/>
  <c r="J136" i="1"/>
  <c r="E136" i="1"/>
  <c r="T136" i="1" s="1"/>
  <c r="D136" i="1"/>
  <c r="J135" i="1"/>
  <c r="D135" i="1"/>
  <c r="E135" i="1" s="1"/>
  <c r="T135" i="1" s="1"/>
  <c r="J134" i="1"/>
  <c r="E134" i="1"/>
  <c r="T134" i="1" s="1"/>
  <c r="D134" i="1"/>
  <c r="J133" i="1"/>
  <c r="E133" i="1"/>
  <c r="S133" i="1" s="1"/>
  <c r="D133" i="1"/>
  <c r="J132" i="1"/>
  <c r="E132" i="1"/>
  <c r="T132" i="1" s="1"/>
  <c r="D132" i="1"/>
  <c r="J131" i="1"/>
  <c r="D131" i="1"/>
  <c r="E131" i="1" s="1"/>
  <c r="T131" i="1" s="1"/>
  <c r="J130" i="1"/>
  <c r="E130" i="1"/>
  <c r="T130" i="1" s="1"/>
  <c r="D130" i="1"/>
  <c r="J129" i="1"/>
  <c r="E129" i="1"/>
  <c r="S129" i="1" s="1"/>
  <c r="D129" i="1"/>
  <c r="J128" i="1"/>
  <c r="E128" i="1"/>
  <c r="T128" i="1" s="1"/>
  <c r="D128" i="1"/>
  <c r="T127" i="1"/>
  <c r="S127" i="1"/>
  <c r="J127" i="1"/>
  <c r="D127" i="1"/>
  <c r="E127" i="1" s="1"/>
  <c r="J126" i="1"/>
  <c r="D126" i="1"/>
  <c r="E126" i="1" s="1"/>
  <c r="J125" i="1"/>
  <c r="D125" i="1"/>
  <c r="E125" i="1" s="1"/>
  <c r="S124" i="1"/>
  <c r="J124" i="1"/>
  <c r="E124" i="1"/>
  <c r="T124" i="1" s="1"/>
  <c r="D124" i="1"/>
  <c r="T123" i="1"/>
  <c r="S123" i="1"/>
  <c r="J123" i="1"/>
  <c r="D123" i="1"/>
  <c r="E123" i="1" s="1"/>
  <c r="J122" i="1"/>
  <c r="D122" i="1"/>
  <c r="E122" i="1" s="1"/>
  <c r="J121" i="1"/>
  <c r="D121" i="1"/>
  <c r="E121" i="1" s="1"/>
  <c r="S120" i="1"/>
  <c r="J120" i="1"/>
  <c r="E120" i="1"/>
  <c r="T120" i="1" s="1"/>
  <c r="D120" i="1"/>
  <c r="J119" i="1"/>
  <c r="D119" i="1"/>
  <c r="E119" i="1" s="1"/>
  <c r="T119" i="1" s="1"/>
  <c r="J118" i="1"/>
  <c r="E118" i="1"/>
  <c r="T118" i="1" s="1"/>
  <c r="D118" i="1"/>
  <c r="J117" i="1"/>
  <c r="E117" i="1"/>
  <c r="S117" i="1" s="1"/>
  <c r="D117" i="1"/>
  <c r="J116" i="1"/>
  <c r="E116" i="1"/>
  <c r="T116" i="1" s="1"/>
  <c r="D116" i="1"/>
  <c r="J115" i="1"/>
  <c r="D115" i="1"/>
  <c r="E115" i="1" s="1"/>
  <c r="T115" i="1" s="1"/>
  <c r="J114" i="1"/>
  <c r="E114" i="1"/>
  <c r="T114" i="1" s="1"/>
  <c r="D114" i="1"/>
  <c r="J113" i="1"/>
  <c r="E113" i="1"/>
  <c r="S113" i="1" s="1"/>
  <c r="D113" i="1"/>
  <c r="J112" i="1"/>
  <c r="E112" i="1"/>
  <c r="T112" i="1" s="1"/>
  <c r="D112" i="1"/>
  <c r="T111" i="1"/>
  <c r="S111" i="1"/>
  <c r="J111" i="1"/>
  <c r="D111" i="1"/>
  <c r="E111" i="1" s="1"/>
  <c r="J110" i="1"/>
  <c r="D110" i="1"/>
  <c r="E110" i="1" s="1"/>
  <c r="J109" i="1"/>
  <c r="D109" i="1"/>
  <c r="E109" i="1" s="1"/>
  <c r="S108" i="1"/>
  <c r="J108" i="1"/>
  <c r="E108" i="1"/>
  <c r="T108" i="1" s="1"/>
  <c r="D108" i="1"/>
  <c r="T107" i="1"/>
  <c r="S107" i="1"/>
  <c r="J107" i="1"/>
  <c r="D107" i="1"/>
  <c r="E107" i="1" s="1"/>
  <c r="J106" i="1"/>
  <c r="D106" i="1"/>
  <c r="E106" i="1" s="1"/>
  <c r="J105" i="1"/>
  <c r="D105" i="1"/>
  <c r="E105" i="1" s="1"/>
  <c r="S104" i="1"/>
  <c r="J104" i="1"/>
  <c r="E104" i="1"/>
  <c r="T104" i="1" s="1"/>
  <c r="D104" i="1"/>
  <c r="J103" i="1"/>
  <c r="D103" i="1"/>
  <c r="E103" i="1" s="1"/>
  <c r="T103" i="1" s="1"/>
  <c r="J102" i="1"/>
  <c r="E102" i="1"/>
  <c r="T102" i="1" s="1"/>
  <c r="D102" i="1"/>
  <c r="J101" i="1"/>
  <c r="E101" i="1"/>
  <c r="S101" i="1" s="1"/>
  <c r="D101" i="1"/>
  <c r="J100" i="1"/>
  <c r="E100" i="1"/>
  <c r="T100" i="1" s="1"/>
  <c r="D100" i="1"/>
  <c r="J99" i="1"/>
  <c r="D99" i="1"/>
  <c r="E99" i="1" s="1"/>
  <c r="T99" i="1" s="1"/>
  <c r="J98" i="1"/>
  <c r="E98" i="1"/>
  <c r="T98" i="1" s="1"/>
  <c r="D98" i="1"/>
  <c r="J97" i="1"/>
  <c r="E97" i="1"/>
  <c r="S97" i="1" s="1"/>
  <c r="D97" i="1"/>
  <c r="J96" i="1"/>
  <c r="E96" i="1"/>
  <c r="T96" i="1" s="1"/>
  <c r="D96" i="1"/>
  <c r="T95" i="1"/>
  <c r="S95" i="1"/>
  <c r="J95" i="1"/>
  <c r="D95" i="1"/>
  <c r="E95" i="1" s="1"/>
  <c r="J94" i="1"/>
  <c r="D94" i="1"/>
  <c r="E94" i="1" s="1"/>
  <c r="J93" i="1"/>
  <c r="D93" i="1"/>
  <c r="E93" i="1" s="1"/>
  <c r="S92" i="1"/>
  <c r="J92" i="1"/>
  <c r="E92" i="1"/>
  <c r="T92" i="1" s="1"/>
  <c r="D92" i="1"/>
  <c r="T91" i="1"/>
  <c r="S91" i="1"/>
  <c r="J91" i="1"/>
  <c r="D91" i="1"/>
  <c r="E91" i="1" s="1"/>
  <c r="J90" i="1"/>
  <c r="D90" i="1"/>
  <c r="E90" i="1" s="1"/>
  <c r="J89" i="1"/>
  <c r="D89" i="1"/>
  <c r="E89" i="1" s="1"/>
  <c r="S88" i="1"/>
  <c r="J88" i="1"/>
  <c r="E88" i="1"/>
  <c r="T88" i="1" s="1"/>
  <c r="D88" i="1"/>
  <c r="J87" i="1"/>
  <c r="D87" i="1"/>
  <c r="E87" i="1" s="1"/>
  <c r="T87" i="1" s="1"/>
  <c r="J86" i="1"/>
  <c r="E86" i="1"/>
  <c r="T86" i="1" s="1"/>
  <c r="D86" i="1"/>
  <c r="J85" i="1"/>
  <c r="E85" i="1"/>
  <c r="S85" i="1" s="1"/>
  <c r="D85" i="1"/>
  <c r="J84" i="1"/>
  <c r="E84" i="1"/>
  <c r="T84" i="1" s="1"/>
  <c r="D84" i="1"/>
  <c r="J83" i="1"/>
  <c r="D83" i="1"/>
  <c r="E83" i="1" s="1"/>
  <c r="T83" i="1" s="1"/>
  <c r="J82" i="1"/>
  <c r="E82" i="1"/>
  <c r="T82" i="1" s="1"/>
  <c r="D82" i="1"/>
  <c r="J81" i="1"/>
  <c r="E81" i="1"/>
  <c r="S81" i="1" s="1"/>
  <c r="D81" i="1"/>
  <c r="J80" i="1"/>
  <c r="E80" i="1"/>
  <c r="T80" i="1" s="1"/>
  <c r="D80" i="1"/>
  <c r="T79" i="1"/>
  <c r="S79" i="1"/>
  <c r="J79" i="1"/>
  <c r="D79" i="1"/>
  <c r="E79" i="1" s="1"/>
  <c r="J78" i="1"/>
  <c r="D78" i="1"/>
  <c r="E78" i="1" s="1"/>
  <c r="J77" i="1"/>
  <c r="D77" i="1"/>
  <c r="E77" i="1" s="1"/>
  <c r="S76" i="1"/>
  <c r="J76" i="1"/>
  <c r="E76" i="1"/>
  <c r="T76" i="1" s="1"/>
  <c r="D76" i="1"/>
  <c r="T75" i="1"/>
  <c r="S75" i="1"/>
  <c r="J75" i="1"/>
  <c r="D75" i="1"/>
  <c r="E75" i="1" s="1"/>
  <c r="J74" i="1"/>
  <c r="D74" i="1"/>
  <c r="E74" i="1" s="1"/>
  <c r="J73" i="1"/>
  <c r="D73" i="1"/>
  <c r="E73" i="1" s="1"/>
  <c r="S72" i="1"/>
  <c r="J72" i="1"/>
  <c r="E72" i="1"/>
  <c r="T72" i="1" s="1"/>
  <c r="D72" i="1"/>
  <c r="J71" i="1"/>
  <c r="D71" i="1"/>
  <c r="E71" i="1" s="1"/>
  <c r="T71" i="1" s="1"/>
  <c r="J70" i="1"/>
  <c r="E70" i="1"/>
  <c r="T70" i="1" s="1"/>
  <c r="D70" i="1"/>
  <c r="J69" i="1"/>
  <c r="E69" i="1"/>
  <c r="S69" i="1" s="1"/>
  <c r="D69" i="1"/>
  <c r="J68" i="1"/>
  <c r="E68" i="1"/>
  <c r="T68" i="1" s="1"/>
  <c r="D68" i="1"/>
  <c r="J67" i="1"/>
  <c r="D67" i="1"/>
  <c r="E67" i="1" s="1"/>
  <c r="T67" i="1" s="1"/>
  <c r="J66" i="1"/>
  <c r="E66" i="1"/>
  <c r="T66" i="1" s="1"/>
  <c r="D66" i="1"/>
  <c r="J65" i="1"/>
  <c r="E65" i="1"/>
  <c r="S65" i="1" s="1"/>
  <c r="D65" i="1"/>
  <c r="J64" i="1"/>
  <c r="E64" i="1"/>
  <c r="T64" i="1" s="1"/>
  <c r="D64" i="1"/>
  <c r="T63" i="1"/>
  <c r="S63" i="1"/>
  <c r="J63" i="1"/>
  <c r="D63" i="1"/>
  <c r="E63" i="1" s="1"/>
  <c r="J62" i="1"/>
  <c r="D62" i="1"/>
  <c r="E62" i="1" s="1"/>
  <c r="J61" i="1"/>
  <c r="D61" i="1"/>
  <c r="E61" i="1" s="1"/>
  <c r="S60" i="1"/>
  <c r="J60" i="1"/>
  <c r="E60" i="1"/>
  <c r="T60" i="1" s="1"/>
  <c r="D60" i="1"/>
  <c r="T59" i="1"/>
  <c r="S59" i="1"/>
  <c r="J59" i="1"/>
  <c r="D59" i="1"/>
  <c r="E59" i="1" s="1"/>
  <c r="J58" i="1"/>
  <c r="D58" i="1"/>
  <c r="E58" i="1" s="1"/>
  <c r="J57" i="1"/>
  <c r="D57" i="1"/>
  <c r="E57" i="1" s="1"/>
  <c r="S56" i="1"/>
  <c r="J56" i="1"/>
  <c r="E56" i="1"/>
  <c r="T56" i="1" s="1"/>
  <c r="D56" i="1"/>
  <c r="J55" i="1"/>
  <c r="D55" i="1"/>
  <c r="E55" i="1" s="1"/>
  <c r="T55" i="1" s="1"/>
  <c r="J54" i="1"/>
  <c r="E54" i="1"/>
  <c r="T54" i="1" s="1"/>
  <c r="D54" i="1"/>
  <c r="J53" i="1"/>
  <c r="E53" i="1"/>
  <c r="S53" i="1" s="1"/>
  <c r="D53" i="1"/>
  <c r="J52" i="1"/>
  <c r="E52" i="1"/>
  <c r="T52" i="1" s="1"/>
  <c r="D52" i="1"/>
  <c r="J51" i="1"/>
  <c r="D51" i="1"/>
  <c r="E51" i="1" s="1"/>
  <c r="T51" i="1" s="1"/>
  <c r="J50" i="1"/>
  <c r="E50" i="1"/>
  <c r="T50" i="1" s="1"/>
  <c r="D50" i="1"/>
  <c r="J49" i="1"/>
  <c r="E49" i="1"/>
  <c r="S49" i="1" s="1"/>
  <c r="D49" i="1"/>
  <c r="J48" i="1"/>
  <c r="E48" i="1"/>
  <c r="T48" i="1" s="1"/>
  <c r="D48" i="1"/>
  <c r="T47" i="1"/>
  <c r="S47" i="1"/>
  <c r="J47" i="1"/>
  <c r="D47" i="1"/>
  <c r="E47" i="1" s="1"/>
  <c r="J46" i="1"/>
  <c r="D46" i="1"/>
  <c r="E46" i="1" s="1"/>
  <c r="J45" i="1"/>
  <c r="D45" i="1"/>
  <c r="E45" i="1" s="1"/>
  <c r="S44" i="1"/>
  <c r="J44" i="1"/>
  <c r="E44" i="1"/>
  <c r="T44" i="1" s="1"/>
  <c r="D44" i="1"/>
  <c r="T43" i="1"/>
  <c r="S43" i="1"/>
  <c r="J43" i="1"/>
  <c r="D43" i="1"/>
  <c r="E43" i="1" s="1"/>
  <c r="J42" i="1"/>
  <c r="D42" i="1"/>
  <c r="E42" i="1" s="1"/>
  <c r="J41" i="1"/>
  <c r="D41" i="1"/>
  <c r="E41" i="1" s="1"/>
  <c r="S40" i="1"/>
  <c r="J40" i="1"/>
  <c r="E40" i="1"/>
  <c r="T40" i="1" s="1"/>
  <c r="D40" i="1"/>
  <c r="J39" i="1"/>
  <c r="D39" i="1"/>
  <c r="E39" i="1" s="1"/>
  <c r="T39" i="1" s="1"/>
  <c r="J38" i="1"/>
  <c r="E38" i="1"/>
  <c r="T38" i="1" s="1"/>
  <c r="D38" i="1"/>
  <c r="J37" i="1"/>
  <c r="E37" i="1"/>
  <c r="S37" i="1" s="1"/>
  <c r="D37" i="1"/>
  <c r="K36" i="1"/>
  <c r="K1157" i="1" s="1"/>
  <c r="J36" i="1"/>
  <c r="D36" i="1"/>
  <c r="E36" i="1" s="1"/>
  <c r="T36" i="1" s="1"/>
  <c r="J35" i="1"/>
  <c r="E35" i="1"/>
  <c r="T35" i="1" s="1"/>
  <c r="D35" i="1"/>
  <c r="J34" i="1"/>
  <c r="E34" i="1"/>
  <c r="S34" i="1" s="1"/>
  <c r="D34" i="1"/>
  <c r="J33" i="1"/>
  <c r="E33" i="1"/>
  <c r="T33" i="1" s="1"/>
  <c r="D33" i="1"/>
  <c r="T32" i="1"/>
  <c r="S32" i="1"/>
  <c r="J32" i="1"/>
  <c r="D32" i="1"/>
  <c r="E32" i="1" s="1"/>
  <c r="J31" i="1"/>
  <c r="D31" i="1"/>
  <c r="E31" i="1" s="1"/>
  <c r="J30" i="1"/>
  <c r="D30" i="1"/>
  <c r="E30" i="1" s="1"/>
  <c r="S29" i="1"/>
  <c r="J29" i="1"/>
  <c r="E29" i="1"/>
  <c r="T29" i="1" s="1"/>
  <c r="D29" i="1"/>
  <c r="T28" i="1"/>
  <c r="S28" i="1"/>
  <c r="J28" i="1"/>
  <c r="D28" i="1"/>
  <c r="E28" i="1" s="1"/>
  <c r="J27" i="1"/>
  <c r="D27" i="1"/>
  <c r="E27" i="1" s="1"/>
  <c r="J26" i="1"/>
  <c r="D26" i="1"/>
  <c r="E26" i="1" s="1"/>
  <c r="S25" i="1"/>
  <c r="J25" i="1"/>
  <c r="E25" i="1"/>
  <c r="T25" i="1" s="1"/>
  <c r="D25" i="1"/>
  <c r="J24" i="1"/>
  <c r="D24" i="1"/>
  <c r="E24" i="1" s="1"/>
  <c r="T24" i="1" s="1"/>
  <c r="J23" i="1"/>
  <c r="E23" i="1"/>
  <c r="T23" i="1" s="1"/>
  <c r="D23" i="1"/>
  <c r="J22" i="1"/>
  <c r="E22" i="1"/>
  <c r="S22" i="1" s="1"/>
  <c r="D22" i="1"/>
  <c r="J21" i="1"/>
  <c r="E21" i="1"/>
  <c r="T21" i="1" s="1"/>
  <c r="D21" i="1"/>
  <c r="J20" i="1"/>
  <c r="D20" i="1"/>
  <c r="E20" i="1" s="1"/>
  <c r="T20" i="1" s="1"/>
  <c r="J19" i="1"/>
  <c r="E19" i="1"/>
  <c r="T19" i="1" s="1"/>
  <c r="D19" i="1"/>
  <c r="J18" i="1"/>
  <c r="E18" i="1"/>
  <c r="S18" i="1" s="1"/>
  <c r="D18" i="1"/>
  <c r="J17" i="1"/>
  <c r="E17" i="1"/>
  <c r="T17" i="1" s="1"/>
  <c r="D17" i="1"/>
  <c r="T16" i="1"/>
  <c r="S16" i="1"/>
  <c r="J16" i="1"/>
  <c r="D16" i="1"/>
  <c r="E16" i="1" s="1"/>
  <c r="J15" i="1"/>
  <c r="D15" i="1"/>
  <c r="E15" i="1" s="1"/>
  <c r="J14" i="1"/>
  <c r="D14" i="1"/>
  <c r="E14" i="1" s="1"/>
  <c r="S13" i="1"/>
  <c r="J13" i="1"/>
  <c r="E13" i="1"/>
  <c r="T13" i="1" s="1"/>
  <c r="D13" i="1"/>
  <c r="T12" i="1"/>
  <c r="S12" i="1"/>
  <c r="J12" i="1"/>
  <c r="D12" i="1"/>
  <c r="E12" i="1" s="1"/>
  <c r="J11" i="1"/>
  <c r="D11" i="1"/>
  <c r="E11" i="1" s="1"/>
  <c r="J10" i="1"/>
  <c r="D10" i="1"/>
  <c r="E10" i="1" s="1"/>
  <c r="S9" i="1"/>
  <c r="J9" i="1"/>
  <c r="E9" i="1"/>
  <c r="T9" i="1" s="1"/>
  <c r="D9" i="1"/>
  <c r="B2" i="1"/>
  <c r="S228" i="1" l="1"/>
  <c r="T228" i="1"/>
  <c r="S259" i="1"/>
  <c r="T259" i="1"/>
  <c r="S292" i="1"/>
  <c r="T292" i="1"/>
  <c r="S323" i="1"/>
  <c r="T323" i="1"/>
  <c r="S356" i="1"/>
  <c r="T356" i="1"/>
  <c r="S387" i="1"/>
  <c r="T387" i="1"/>
  <c r="T11" i="1"/>
  <c r="S11" i="1"/>
  <c r="S15" i="1"/>
  <c r="T15" i="1"/>
  <c r="S26" i="1"/>
  <c r="T26" i="1"/>
  <c r="S30" i="1"/>
  <c r="T30" i="1"/>
  <c r="S41" i="1"/>
  <c r="T41" i="1"/>
  <c r="S45" i="1"/>
  <c r="T45" i="1"/>
  <c r="T58" i="1"/>
  <c r="S58" i="1"/>
  <c r="S62" i="1"/>
  <c r="T62" i="1"/>
  <c r="S73" i="1"/>
  <c r="T73" i="1"/>
  <c r="S77" i="1"/>
  <c r="T77" i="1"/>
  <c r="T90" i="1"/>
  <c r="S90" i="1"/>
  <c r="S94" i="1"/>
  <c r="T94" i="1"/>
  <c r="S105" i="1"/>
  <c r="T105" i="1"/>
  <c r="S109" i="1"/>
  <c r="T109" i="1"/>
  <c r="T122" i="1"/>
  <c r="S122" i="1"/>
  <c r="S126" i="1"/>
  <c r="T126" i="1"/>
  <c r="S137" i="1"/>
  <c r="T137" i="1"/>
  <c r="S141" i="1"/>
  <c r="T141" i="1"/>
  <c r="T154" i="1"/>
  <c r="S154" i="1"/>
  <c r="S158" i="1"/>
  <c r="T158" i="1"/>
  <c r="S169" i="1"/>
  <c r="T169" i="1"/>
  <c r="S173" i="1"/>
  <c r="T173" i="1"/>
  <c r="T186" i="1"/>
  <c r="S186" i="1"/>
  <c r="S190" i="1"/>
  <c r="T190" i="1"/>
  <c r="S205" i="1"/>
  <c r="T205" i="1"/>
  <c r="S275" i="1"/>
  <c r="T275" i="1"/>
  <c r="S339" i="1"/>
  <c r="T339" i="1"/>
  <c r="S10" i="1"/>
  <c r="T10" i="1"/>
  <c r="S14" i="1"/>
  <c r="T14" i="1"/>
  <c r="T27" i="1"/>
  <c r="S27" i="1"/>
  <c r="S31" i="1"/>
  <c r="T31" i="1"/>
  <c r="T42" i="1"/>
  <c r="S42" i="1"/>
  <c r="S46" i="1"/>
  <c r="T46" i="1"/>
  <c r="S57" i="1"/>
  <c r="T57" i="1"/>
  <c r="S61" i="1"/>
  <c r="T61" i="1"/>
  <c r="S74" i="1"/>
  <c r="T74" i="1"/>
  <c r="S78" i="1"/>
  <c r="T78" i="1"/>
  <c r="S89" i="1"/>
  <c r="T89" i="1"/>
  <c r="S93" i="1"/>
  <c r="T93" i="1"/>
  <c r="T106" i="1"/>
  <c r="S106" i="1"/>
  <c r="S110" i="1"/>
  <c r="T110" i="1"/>
  <c r="S121" i="1"/>
  <c r="T121" i="1"/>
  <c r="S125" i="1"/>
  <c r="T125" i="1"/>
  <c r="T138" i="1"/>
  <c r="S138" i="1"/>
  <c r="S142" i="1"/>
  <c r="T142" i="1"/>
  <c r="S153" i="1"/>
  <c r="T153" i="1"/>
  <c r="S157" i="1"/>
  <c r="T157" i="1"/>
  <c r="T170" i="1"/>
  <c r="S170" i="1"/>
  <c r="S174" i="1"/>
  <c r="T174" i="1"/>
  <c r="S185" i="1"/>
  <c r="T185" i="1"/>
  <c r="S189" i="1"/>
  <c r="T189" i="1"/>
  <c r="S197" i="1"/>
  <c r="T197" i="1"/>
  <c r="S213" i="1"/>
  <c r="T213" i="1"/>
  <c r="S276" i="1"/>
  <c r="T276" i="1"/>
  <c r="S340" i="1"/>
  <c r="T340" i="1"/>
  <c r="S17" i="1"/>
  <c r="T18" i="1"/>
  <c r="S19" i="1"/>
  <c r="S20" i="1"/>
  <c r="S33" i="1"/>
  <c r="T34" i="1"/>
  <c r="S35" i="1"/>
  <c r="S48" i="1"/>
  <c r="T49" i="1"/>
  <c r="S50" i="1"/>
  <c r="S51" i="1"/>
  <c r="S64" i="1"/>
  <c r="T65" i="1"/>
  <c r="S66" i="1"/>
  <c r="S67" i="1"/>
  <c r="S80" i="1"/>
  <c r="T81" i="1"/>
  <c r="S82" i="1"/>
  <c r="S83" i="1"/>
  <c r="S96" i="1"/>
  <c r="T97" i="1"/>
  <c r="S98" i="1"/>
  <c r="S99" i="1"/>
  <c r="S112" i="1"/>
  <c r="T113" i="1"/>
  <c r="S114" i="1"/>
  <c r="S115" i="1"/>
  <c r="S128" i="1"/>
  <c r="T129" i="1"/>
  <c r="S130" i="1"/>
  <c r="S131" i="1"/>
  <c r="S144" i="1"/>
  <c r="T145" i="1"/>
  <c r="S146" i="1"/>
  <c r="S147" i="1"/>
  <c r="S160" i="1"/>
  <c r="T161" i="1"/>
  <c r="S162" i="1"/>
  <c r="S163" i="1"/>
  <c r="S176" i="1"/>
  <c r="T177" i="1"/>
  <c r="S178" i="1"/>
  <c r="S179" i="1"/>
  <c r="S192" i="1"/>
  <c r="T193" i="1"/>
  <c r="T201" i="1"/>
  <c r="T209" i="1"/>
  <c r="T215" i="1"/>
  <c r="T222" i="1"/>
  <c r="S222" i="1"/>
  <c r="S225" i="1"/>
  <c r="T225" i="1"/>
  <c r="S232" i="1"/>
  <c r="T235" i="1"/>
  <c r="S239" i="1"/>
  <c r="T239" i="1"/>
  <c r="T242" i="1"/>
  <c r="S242" i="1"/>
  <c r="T244" i="1"/>
  <c r="S252" i="1"/>
  <c r="S256" i="1"/>
  <c r="T256" i="1"/>
  <c r="T261" i="1"/>
  <c r="T279" i="1"/>
  <c r="T286" i="1"/>
  <c r="S286" i="1"/>
  <c r="S289" i="1"/>
  <c r="T289" i="1"/>
  <c r="S296" i="1"/>
  <c r="T299" i="1"/>
  <c r="S303" i="1"/>
  <c r="T303" i="1"/>
  <c r="T306" i="1"/>
  <c r="S306" i="1"/>
  <c r="T308" i="1"/>
  <c r="S316" i="1"/>
  <c r="S320" i="1"/>
  <c r="T320" i="1"/>
  <c r="T325" i="1"/>
  <c r="T343" i="1"/>
  <c r="T350" i="1"/>
  <c r="S350" i="1"/>
  <c r="S353" i="1"/>
  <c r="T353" i="1"/>
  <c r="S360" i="1"/>
  <c r="T363" i="1"/>
  <c r="S367" i="1"/>
  <c r="T367" i="1"/>
  <c r="T370" i="1"/>
  <c r="S370" i="1"/>
  <c r="T372" i="1"/>
  <c r="S380" i="1"/>
  <c r="S384" i="1"/>
  <c r="T384" i="1"/>
  <c r="T389" i="1"/>
  <c r="S403" i="1"/>
  <c r="T403" i="1"/>
  <c r="T404" i="1"/>
  <c r="T412" i="1"/>
  <c r="S412" i="1"/>
  <c r="S419" i="1"/>
  <c r="T419" i="1"/>
  <c r="T420" i="1"/>
  <c r="T428" i="1"/>
  <c r="S428" i="1"/>
  <c r="S435" i="1"/>
  <c r="T435" i="1"/>
  <c r="T436" i="1"/>
  <c r="T444" i="1"/>
  <c r="S444" i="1"/>
  <c r="S451" i="1"/>
  <c r="T451" i="1"/>
  <c r="T452" i="1"/>
  <c r="T460" i="1"/>
  <c r="S460" i="1"/>
  <c r="S467" i="1"/>
  <c r="T467" i="1"/>
  <c r="T468" i="1"/>
  <c r="S471" i="1"/>
  <c r="T471" i="1"/>
  <c r="S475" i="1"/>
  <c r="T475" i="1"/>
  <c r="T484" i="1"/>
  <c r="S484" i="1"/>
  <c r="T504" i="1"/>
  <c r="S504" i="1"/>
  <c r="S523" i="1"/>
  <c r="T523" i="1"/>
  <c r="S527" i="1"/>
  <c r="T527" i="1"/>
  <c r="S555" i="1"/>
  <c r="T555" i="1"/>
  <c r="S559" i="1"/>
  <c r="T559" i="1"/>
  <c r="S575" i="1"/>
  <c r="T575" i="1"/>
  <c r="S21" i="1"/>
  <c r="T22" i="1"/>
  <c r="S23" i="1"/>
  <c r="S24" i="1"/>
  <c r="S36" i="1"/>
  <c r="T37" i="1"/>
  <c r="S38" i="1"/>
  <c r="S39" i="1"/>
  <c r="S52" i="1"/>
  <c r="T53" i="1"/>
  <c r="S54" i="1"/>
  <c r="S55" i="1"/>
  <c r="S68" i="1"/>
  <c r="T69" i="1"/>
  <c r="S70" i="1"/>
  <c r="S71" i="1"/>
  <c r="S84" i="1"/>
  <c r="T85" i="1"/>
  <c r="S86" i="1"/>
  <c r="S87" i="1"/>
  <c r="S100" i="1"/>
  <c r="T101" i="1"/>
  <c r="S102" i="1"/>
  <c r="S103" i="1"/>
  <c r="S116" i="1"/>
  <c r="T117" i="1"/>
  <c r="S118" i="1"/>
  <c r="S119" i="1"/>
  <c r="S132" i="1"/>
  <c r="T133" i="1"/>
  <c r="S134" i="1"/>
  <c r="S135" i="1"/>
  <c r="S148" i="1"/>
  <c r="T149" i="1"/>
  <c r="S150" i="1"/>
  <c r="S151" i="1"/>
  <c r="S164" i="1"/>
  <c r="T165" i="1"/>
  <c r="S166" i="1"/>
  <c r="S167" i="1"/>
  <c r="S180" i="1"/>
  <c r="T181" i="1"/>
  <c r="S182" i="1"/>
  <c r="S183" i="1"/>
  <c r="S196" i="1"/>
  <c r="T196" i="1"/>
  <c r="S198" i="1"/>
  <c r="S199" i="1"/>
  <c r="S204" i="1"/>
  <c r="T204" i="1"/>
  <c r="S206" i="1"/>
  <c r="S207" i="1"/>
  <c r="S212" i="1"/>
  <c r="T212" i="1"/>
  <c r="S214" i="1"/>
  <c r="T231" i="1"/>
  <c r="T238" i="1"/>
  <c r="S238" i="1"/>
  <c r="S241" i="1"/>
  <c r="T241" i="1"/>
  <c r="S248" i="1"/>
  <c r="T251" i="1"/>
  <c r="S255" i="1"/>
  <c r="T255" i="1"/>
  <c r="T258" i="1"/>
  <c r="S258" i="1"/>
  <c r="T260" i="1"/>
  <c r="S268" i="1"/>
  <c r="S272" i="1"/>
  <c r="T272" i="1"/>
  <c r="T277" i="1"/>
  <c r="T295" i="1"/>
  <c r="T302" i="1"/>
  <c r="S302" i="1"/>
  <c r="S305" i="1"/>
  <c r="T305" i="1"/>
  <c r="S312" i="1"/>
  <c r="T315" i="1"/>
  <c r="S319" i="1"/>
  <c r="T319" i="1"/>
  <c r="T322" i="1"/>
  <c r="S322" i="1"/>
  <c r="T324" i="1"/>
  <c r="S332" i="1"/>
  <c r="S336" i="1"/>
  <c r="T336" i="1"/>
  <c r="T341" i="1"/>
  <c r="T359" i="1"/>
  <c r="T366" i="1"/>
  <c r="S366" i="1"/>
  <c r="S369" i="1"/>
  <c r="T369" i="1"/>
  <c r="S376" i="1"/>
  <c r="T379" i="1"/>
  <c r="S383" i="1"/>
  <c r="T383" i="1"/>
  <c r="T386" i="1"/>
  <c r="S386" i="1"/>
  <c r="T388" i="1"/>
  <c r="S396" i="1"/>
  <c r="S400" i="1"/>
  <c r="T400" i="1"/>
  <c r="S408" i="1"/>
  <c r="S416" i="1"/>
  <c r="T416" i="1"/>
  <c r="S424" i="1"/>
  <c r="S432" i="1"/>
  <c r="T432" i="1"/>
  <c r="S440" i="1"/>
  <c r="S448" i="1"/>
  <c r="T448" i="1"/>
  <c r="S456" i="1"/>
  <c r="S464" i="1"/>
  <c r="T464" i="1"/>
  <c r="S487" i="1"/>
  <c r="T487" i="1"/>
  <c r="S491" i="1"/>
  <c r="T491" i="1"/>
  <c r="T500" i="1"/>
  <c r="S500" i="1"/>
  <c r="S531" i="1"/>
  <c r="T531" i="1"/>
  <c r="S535" i="1"/>
  <c r="T535" i="1"/>
  <c r="S563" i="1"/>
  <c r="T563" i="1"/>
  <c r="S567" i="1"/>
  <c r="T567" i="1"/>
  <c r="S224" i="1"/>
  <c r="T224" i="1"/>
  <c r="S227" i="1"/>
  <c r="T227" i="1"/>
  <c r="T254" i="1"/>
  <c r="S254" i="1"/>
  <c r="S257" i="1"/>
  <c r="T257" i="1"/>
  <c r="S271" i="1"/>
  <c r="T271" i="1"/>
  <c r="T274" i="1"/>
  <c r="S274" i="1"/>
  <c r="S288" i="1"/>
  <c r="T288" i="1"/>
  <c r="S291" i="1"/>
  <c r="T291" i="1"/>
  <c r="T318" i="1"/>
  <c r="S318" i="1"/>
  <c r="S321" i="1"/>
  <c r="T321" i="1"/>
  <c r="S335" i="1"/>
  <c r="T335" i="1"/>
  <c r="T338" i="1"/>
  <c r="S338" i="1"/>
  <c r="S352" i="1"/>
  <c r="T352" i="1"/>
  <c r="S355" i="1"/>
  <c r="T355" i="1"/>
  <c r="T382" i="1"/>
  <c r="S382" i="1"/>
  <c r="S385" i="1"/>
  <c r="T385" i="1"/>
  <c r="S399" i="1"/>
  <c r="T399" i="1"/>
  <c r="S411" i="1"/>
  <c r="T411" i="1"/>
  <c r="S415" i="1"/>
  <c r="T415" i="1"/>
  <c r="S427" i="1"/>
  <c r="T427" i="1"/>
  <c r="S431" i="1"/>
  <c r="T431" i="1"/>
  <c r="S443" i="1"/>
  <c r="T443" i="1"/>
  <c r="S447" i="1"/>
  <c r="T447" i="1"/>
  <c r="S459" i="1"/>
  <c r="T459" i="1"/>
  <c r="S463" i="1"/>
  <c r="T463" i="1"/>
  <c r="T472" i="1"/>
  <c r="S472" i="1"/>
  <c r="T476" i="1"/>
  <c r="S476" i="1"/>
  <c r="S483" i="1"/>
  <c r="T483" i="1"/>
  <c r="S503" i="1"/>
  <c r="T503" i="1"/>
  <c r="S507" i="1"/>
  <c r="T507" i="1"/>
  <c r="S511" i="1"/>
  <c r="T511" i="1"/>
  <c r="S539" i="1"/>
  <c r="T539" i="1"/>
  <c r="S543" i="1"/>
  <c r="T543" i="1"/>
  <c r="S574" i="1"/>
  <c r="T574" i="1"/>
  <c r="S200" i="1"/>
  <c r="T200" i="1"/>
  <c r="S208" i="1"/>
  <c r="T208" i="1"/>
  <c r="S223" i="1"/>
  <c r="T223" i="1"/>
  <c r="T226" i="1"/>
  <c r="S226" i="1"/>
  <c r="S240" i="1"/>
  <c r="T240" i="1"/>
  <c r="S243" i="1"/>
  <c r="T243" i="1"/>
  <c r="T270" i="1"/>
  <c r="S270" i="1"/>
  <c r="S273" i="1"/>
  <c r="T273" i="1"/>
  <c r="S287" i="1"/>
  <c r="T287" i="1"/>
  <c r="T290" i="1"/>
  <c r="S290" i="1"/>
  <c r="S304" i="1"/>
  <c r="T304" i="1"/>
  <c r="S307" i="1"/>
  <c r="T307" i="1"/>
  <c r="T334" i="1"/>
  <c r="S334" i="1"/>
  <c r="S337" i="1"/>
  <c r="T337" i="1"/>
  <c r="S351" i="1"/>
  <c r="T351" i="1"/>
  <c r="T354" i="1"/>
  <c r="S354" i="1"/>
  <c r="S368" i="1"/>
  <c r="T368" i="1"/>
  <c r="S371" i="1"/>
  <c r="T371" i="1"/>
  <c r="T398" i="1"/>
  <c r="S398" i="1"/>
  <c r="S401" i="1"/>
  <c r="T401" i="1"/>
  <c r="T414" i="1"/>
  <c r="S414" i="1"/>
  <c r="S417" i="1"/>
  <c r="T417" i="1"/>
  <c r="T430" i="1"/>
  <c r="S430" i="1"/>
  <c r="S433" i="1"/>
  <c r="T433" i="1"/>
  <c r="T446" i="1"/>
  <c r="S446" i="1"/>
  <c r="S449" i="1"/>
  <c r="T449" i="1"/>
  <c r="T462" i="1"/>
  <c r="S462" i="1"/>
  <c r="S465" i="1"/>
  <c r="T465" i="1"/>
  <c r="T488" i="1"/>
  <c r="S488" i="1"/>
  <c r="T492" i="1"/>
  <c r="S492" i="1"/>
  <c r="S499" i="1"/>
  <c r="T499" i="1"/>
  <c r="S515" i="1"/>
  <c r="T515" i="1"/>
  <c r="S519" i="1"/>
  <c r="T519" i="1"/>
  <c r="S547" i="1"/>
  <c r="T547" i="1"/>
  <c r="S551" i="1"/>
  <c r="T551" i="1"/>
  <c r="S402" i="1"/>
  <c r="S418" i="1"/>
  <c r="S434" i="1"/>
  <c r="S450" i="1"/>
  <c r="S466" i="1"/>
  <c r="T480" i="1"/>
  <c r="T481" i="1"/>
  <c r="S482" i="1"/>
  <c r="T496" i="1"/>
  <c r="T497" i="1"/>
  <c r="S498" i="1"/>
  <c r="T512" i="1"/>
  <c r="T520" i="1"/>
  <c r="T528" i="1"/>
  <c r="T536" i="1"/>
  <c r="T544" i="1"/>
  <c r="T552" i="1"/>
  <c r="T560" i="1"/>
  <c r="T568" i="1"/>
  <c r="S571" i="1"/>
  <c r="T571" i="1"/>
  <c r="T576" i="1"/>
  <c r="S582" i="1"/>
  <c r="T582" i="1"/>
  <c r="S586" i="1"/>
  <c r="T586" i="1"/>
  <c r="T594" i="1"/>
  <c r="S599" i="1"/>
  <c r="T599" i="1"/>
  <c r="S610" i="1"/>
  <c r="T610" i="1"/>
  <c r="S614" i="1"/>
  <c r="T614" i="1"/>
  <c r="T616" i="1"/>
  <c r="S616" i="1"/>
  <c r="S625" i="1"/>
  <c r="T625" i="1"/>
  <c r="S631" i="1"/>
  <c r="T631" i="1"/>
  <c r="S642" i="1"/>
  <c r="T642" i="1"/>
  <c r="S646" i="1"/>
  <c r="T646" i="1"/>
  <c r="T648" i="1"/>
  <c r="S648" i="1"/>
  <c r="S657" i="1"/>
  <c r="T657" i="1"/>
  <c r="S663" i="1"/>
  <c r="T663" i="1"/>
  <c r="S674" i="1"/>
  <c r="T674" i="1"/>
  <c r="S678" i="1"/>
  <c r="T678" i="1"/>
  <c r="S706" i="1"/>
  <c r="T706" i="1"/>
  <c r="S710" i="1"/>
  <c r="T710" i="1"/>
  <c r="S730" i="1"/>
  <c r="T730" i="1"/>
  <c r="S746" i="1"/>
  <c r="T746" i="1"/>
  <c r="S514" i="1"/>
  <c r="T514" i="1"/>
  <c r="S522" i="1"/>
  <c r="T522" i="1"/>
  <c r="S530" i="1"/>
  <c r="T530" i="1"/>
  <c r="S538" i="1"/>
  <c r="T538" i="1"/>
  <c r="S546" i="1"/>
  <c r="T546" i="1"/>
  <c r="S554" i="1"/>
  <c r="T554" i="1"/>
  <c r="S562" i="1"/>
  <c r="T562" i="1"/>
  <c r="S570" i="1"/>
  <c r="T570" i="1"/>
  <c r="T573" i="1"/>
  <c r="S573" i="1"/>
  <c r="T585" i="1"/>
  <c r="S585" i="1"/>
  <c r="S588" i="1"/>
  <c r="T588" i="1"/>
  <c r="S601" i="1"/>
  <c r="T601" i="1"/>
  <c r="S607" i="1"/>
  <c r="T607" i="1"/>
  <c r="S618" i="1"/>
  <c r="T618" i="1"/>
  <c r="S622" i="1"/>
  <c r="T622" i="1"/>
  <c r="T624" i="1"/>
  <c r="S624" i="1"/>
  <c r="S633" i="1"/>
  <c r="T633" i="1"/>
  <c r="S639" i="1"/>
  <c r="T639" i="1"/>
  <c r="S650" i="1"/>
  <c r="T650" i="1"/>
  <c r="S654" i="1"/>
  <c r="T654" i="1"/>
  <c r="T656" i="1"/>
  <c r="S656" i="1"/>
  <c r="S665" i="1"/>
  <c r="T665" i="1"/>
  <c r="S682" i="1"/>
  <c r="T682" i="1"/>
  <c r="S686" i="1"/>
  <c r="T686" i="1"/>
  <c r="S714" i="1"/>
  <c r="T714" i="1"/>
  <c r="S718" i="1"/>
  <c r="T718" i="1"/>
  <c r="S572" i="1"/>
  <c r="T572" i="1"/>
  <c r="T583" i="1"/>
  <c r="S583" i="1"/>
  <c r="S590" i="1"/>
  <c r="T590" i="1"/>
  <c r="S598" i="1"/>
  <c r="T598" i="1"/>
  <c r="T600" i="1"/>
  <c r="S600" i="1"/>
  <c r="S609" i="1"/>
  <c r="T609" i="1"/>
  <c r="S615" i="1"/>
  <c r="T615" i="1"/>
  <c r="S626" i="1"/>
  <c r="T626" i="1"/>
  <c r="S630" i="1"/>
  <c r="T630" i="1"/>
  <c r="T632" i="1"/>
  <c r="S632" i="1"/>
  <c r="S641" i="1"/>
  <c r="T641" i="1"/>
  <c r="S647" i="1"/>
  <c r="T647" i="1"/>
  <c r="S658" i="1"/>
  <c r="T658" i="1"/>
  <c r="S662" i="1"/>
  <c r="T662" i="1"/>
  <c r="T664" i="1"/>
  <c r="S664" i="1"/>
  <c r="S690" i="1"/>
  <c r="T690" i="1"/>
  <c r="S694" i="1"/>
  <c r="T694" i="1"/>
  <c r="S722" i="1"/>
  <c r="T722" i="1"/>
  <c r="S738" i="1"/>
  <c r="T738" i="1"/>
  <c r="S478" i="1"/>
  <c r="T479" i="1"/>
  <c r="S494" i="1"/>
  <c r="T495" i="1"/>
  <c r="S510" i="1"/>
  <c r="T510" i="1"/>
  <c r="S513" i="1"/>
  <c r="S518" i="1"/>
  <c r="T518" i="1"/>
  <c r="S521" i="1"/>
  <c r="S526" i="1"/>
  <c r="T526" i="1"/>
  <c r="S529" i="1"/>
  <c r="S534" i="1"/>
  <c r="T534" i="1"/>
  <c r="S537" i="1"/>
  <c r="S542" i="1"/>
  <c r="T542" i="1"/>
  <c r="S545" i="1"/>
  <c r="S550" i="1"/>
  <c r="T550" i="1"/>
  <c r="S553" i="1"/>
  <c r="S558" i="1"/>
  <c r="T558" i="1"/>
  <c r="S561" i="1"/>
  <c r="S566" i="1"/>
  <c r="T566" i="1"/>
  <c r="S569" i="1"/>
  <c r="T578" i="1"/>
  <c r="S587" i="1"/>
  <c r="T587" i="1"/>
  <c r="S595" i="1"/>
  <c r="S602" i="1"/>
  <c r="T602" i="1"/>
  <c r="S606" i="1"/>
  <c r="T606" i="1"/>
  <c r="T608" i="1"/>
  <c r="S608" i="1"/>
  <c r="S617" i="1"/>
  <c r="T617" i="1"/>
  <c r="S623" i="1"/>
  <c r="T623" i="1"/>
  <c r="S634" i="1"/>
  <c r="T634" i="1"/>
  <c r="S638" i="1"/>
  <c r="T638" i="1"/>
  <c r="T640" i="1"/>
  <c r="S640" i="1"/>
  <c r="S649" i="1"/>
  <c r="T649" i="1"/>
  <c r="S655" i="1"/>
  <c r="T655" i="1"/>
  <c r="S666" i="1"/>
  <c r="T666" i="1"/>
  <c r="S670" i="1"/>
  <c r="T670" i="1"/>
  <c r="S698" i="1"/>
  <c r="T698" i="1"/>
  <c r="S702" i="1"/>
  <c r="T702" i="1"/>
  <c r="S589" i="1"/>
  <c r="T671" i="1"/>
  <c r="T679" i="1"/>
  <c r="T687" i="1"/>
  <c r="T695" i="1"/>
  <c r="T703" i="1"/>
  <c r="T711" i="1"/>
  <c r="T719" i="1"/>
  <c r="T726" i="1"/>
  <c r="T727" i="1"/>
  <c r="T734" i="1"/>
  <c r="T735" i="1"/>
  <c r="T742" i="1"/>
  <c r="T743" i="1"/>
  <c r="S748" i="1"/>
  <c r="T751" i="1"/>
  <c r="T758" i="1"/>
  <c r="S758" i="1"/>
  <c r="T761" i="1"/>
  <c r="S761" i="1"/>
  <c r="S784" i="1"/>
  <c r="T784" i="1"/>
  <c r="S799" i="1"/>
  <c r="T799" i="1"/>
  <c r="S673" i="1"/>
  <c r="T673" i="1"/>
  <c r="S681" i="1"/>
  <c r="T681" i="1"/>
  <c r="S689" i="1"/>
  <c r="T689" i="1"/>
  <c r="S697" i="1"/>
  <c r="T697" i="1"/>
  <c r="S705" i="1"/>
  <c r="T705" i="1"/>
  <c r="S713" i="1"/>
  <c r="T713" i="1"/>
  <c r="S721" i="1"/>
  <c r="T721" i="1"/>
  <c r="S729" i="1"/>
  <c r="T729" i="1"/>
  <c r="S737" i="1"/>
  <c r="T737" i="1"/>
  <c r="S745" i="1"/>
  <c r="T745" i="1"/>
  <c r="S768" i="1"/>
  <c r="T768" i="1"/>
  <c r="T788" i="1"/>
  <c r="S788" i="1"/>
  <c r="T760" i="1"/>
  <c r="S760" i="1"/>
  <c r="S763" i="1"/>
  <c r="T763" i="1"/>
  <c r="S783" i="1"/>
  <c r="T783" i="1"/>
  <c r="S800" i="1"/>
  <c r="T800" i="1"/>
  <c r="S847" i="1"/>
  <c r="T847" i="1"/>
  <c r="S597" i="1"/>
  <c r="T597" i="1"/>
  <c r="S605" i="1"/>
  <c r="T605" i="1"/>
  <c r="S613" i="1"/>
  <c r="T613" i="1"/>
  <c r="S621" i="1"/>
  <c r="T621" i="1"/>
  <c r="S629" i="1"/>
  <c r="T629" i="1"/>
  <c r="S637" i="1"/>
  <c r="T637" i="1"/>
  <c r="S645" i="1"/>
  <c r="T645" i="1"/>
  <c r="S653" i="1"/>
  <c r="T653" i="1"/>
  <c r="S661" i="1"/>
  <c r="T661" i="1"/>
  <c r="S669" i="1"/>
  <c r="T669" i="1"/>
  <c r="S672" i="1"/>
  <c r="S677" i="1"/>
  <c r="T677" i="1"/>
  <c r="S680" i="1"/>
  <c r="S685" i="1"/>
  <c r="T685" i="1"/>
  <c r="S688" i="1"/>
  <c r="S693" i="1"/>
  <c r="T693" i="1"/>
  <c r="S696" i="1"/>
  <c r="S701" i="1"/>
  <c r="T701" i="1"/>
  <c r="S704" i="1"/>
  <c r="S709" i="1"/>
  <c r="T709" i="1"/>
  <c r="S712" i="1"/>
  <c r="S717" i="1"/>
  <c r="T717" i="1"/>
  <c r="S720" i="1"/>
  <c r="S725" i="1"/>
  <c r="T725" i="1"/>
  <c r="S728" i="1"/>
  <c r="S733" i="1"/>
  <c r="T733" i="1"/>
  <c r="S736" i="1"/>
  <c r="S741" i="1"/>
  <c r="T741" i="1"/>
  <c r="S744" i="1"/>
  <c r="S759" i="1"/>
  <c r="T759" i="1"/>
  <c r="S767" i="1"/>
  <c r="T767" i="1"/>
  <c r="S769" i="1"/>
  <c r="T769" i="1"/>
  <c r="S787" i="1"/>
  <c r="T787" i="1"/>
  <c r="S816" i="1"/>
  <c r="T816" i="1"/>
  <c r="S831" i="1"/>
  <c r="T831" i="1"/>
  <c r="T756" i="1"/>
  <c r="T757" i="1"/>
  <c r="S770" i="1"/>
  <c r="T771" i="1"/>
  <c r="S772" i="1"/>
  <c r="S773" i="1"/>
  <c r="T775" i="1"/>
  <c r="T776" i="1"/>
  <c r="S778" i="1"/>
  <c r="T779" i="1"/>
  <c r="S780" i="1"/>
  <c r="T785" i="1"/>
  <c r="S786" i="1"/>
  <c r="T791" i="1"/>
  <c r="T792" i="1"/>
  <c r="T796" i="1"/>
  <c r="S796" i="1"/>
  <c r="T801" i="1"/>
  <c r="T819" i="1"/>
  <c r="T820" i="1"/>
  <c r="T826" i="1"/>
  <c r="S826" i="1"/>
  <c r="T829" i="1"/>
  <c r="S829" i="1"/>
  <c r="S836" i="1"/>
  <c r="T839" i="1"/>
  <c r="S843" i="1"/>
  <c r="T843" i="1"/>
  <c r="T846" i="1"/>
  <c r="S846" i="1"/>
  <c r="T848" i="1"/>
  <c r="S856" i="1"/>
  <c r="T782" i="1"/>
  <c r="S782" i="1"/>
  <c r="S795" i="1"/>
  <c r="T795" i="1"/>
  <c r="T798" i="1"/>
  <c r="S798" i="1"/>
  <c r="T812" i="1"/>
  <c r="S812" i="1"/>
  <c r="S815" i="1"/>
  <c r="T815" i="1"/>
  <c r="T842" i="1"/>
  <c r="S842" i="1"/>
  <c r="T845" i="1"/>
  <c r="S845" i="1"/>
  <c r="T864" i="1"/>
  <c r="S864" i="1"/>
  <c r="T794" i="1"/>
  <c r="S794" i="1"/>
  <c r="T797" i="1"/>
  <c r="S797" i="1"/>
  <c r="S811" i="1"/>
  <c r="T811" i="1"/>
  <c r="T814" i="1"/>
  <c r="S814" i="1"/>
  <c r="T828" i="1"/>
  <c r="S828" i="1"/>
  <c r="T858" i="1"/>
  <c r="S858" i="1"/>
  <c r="S863" i="1"/>
  <c r="T863" i="1"/>
  <c r="T866" i="1"/>
  <c r="S866" i="1"/>
  <c r="T874" i="1"/>
  <c r="S874" i="1"/>
  <c r="T882" i="1"/>
  <c r="S882" i="1"/>
  <c r="S754" i="1"/>
  <c r="T755" i="1"/>
  <c r="S781" i="1"/>
  <c r="T803" i="1"/>
  <c r="T810" i="1"/>
  <c r="S810" i="1"/>
  <c r="T813" i="1"/>
  <c r="S813" i="1"/>
  <c r="T823" i="1"/>
  <c r="S827" i="1"/>
  <c r="T827" i="1"/>
  <c r="T830" i="1"/>
  <c r="S830" i="1"/>
  <c r="T832" i="1"/>
  <c r="S840" i="1"/>
  <c r="T844" i="1"/>
  <c r="S844" i="1"/>
  <c r="T849" i="1"/>
  <c r="S865" i="1"/>
  <c r="T865" i="1"/>
  <c r="S873" i="1"/>
  <c r="T873" i="1"/>
  <c r="S881" i="1"/>
  <c r="T881" i="1"/>
  <c r="S964" i="1"/>
  <c r="T964" i="1"/>
  <c r="T981" i="1"/>
  <c r="S981" i="1"/>
  <c r="T985" i="1"/>
  <c r="S985" i="1"/>
  <c r="S988" i="1"/>
  <c r="T988" i="1"/>
  <c r="S996" i="1"/>
  <c r="T996" i="1"/>
  <c r="T889" i="1"/>
  <c r="S890" i="1"/>
  <c r="T897" i="1"/>
  <c r="S898" i="1"/>
  <c r="T905" i="1"/>
  <c r="S906" i="1"/>
  <c r="T913" i="1"/>
  <c r="S914" i="1"/>
  <c r="T921" i="1"/>
  <c r="S922" i="1"/>
  <c r="T929" i="1"/>
  <c r="S930" i="1"/>
  <c r="T937" i="1"/>
  <c r="S938" i="1"/>
  <c r="S951" i="1"/>
  <c r="T952" i="1"/>
  <c r="S953" i="1"/>
  <c r="S956" i="1"/>
  <c r="T956" i="1"/>
  <c r="T957" i="1"/>
  <c r="S959" i="1"/>
  <c r="T960" i="1"/>
  <c r="S961" i="1"/>
  <c r="S984" i="1"/>
  <c r="T984" i="1"/>
  <c r="S1059" i="1"/>
  <c r="T1059" i="1"/>
  <c r="T871" i="1"/>
  <c r="S872" i="1"/>
  <c r="T879" i="1"/>
  <c r="S880" i="1"/>
  <c r="T887" i="1"/>
  <c r="S888" i="1"/>
  <c r="T895" i="1"/>
  <c r="S896" i="1"/>
  <c r="T903" i="1"/>
  <c r="S904" i="1"/>
  <c r="T911" i="1"/>
  <c r="S912" i="1"/>
  <c r="T919" i="1"/>
  <c r="S920" i="1"/>
  <c r="T927" i="1"/>
  <c r="S928" i="1"/>
  <c r="T935" i="1"/>
  <c r="S936" i="1"/>
  <c r="S946" i="1"/>
  <c r="S948" i="1"/>
  <c r="T948" i="1"/>
  <c r="T949" i="1"/>
  <c r="S970" i="1"/>
  <c r="S980" i="1"/>
  <c r="T980" i="1"/>
  <c r="T983" i="1"/>
  <c r="S983" i="1"/>
  <c r="T986" i="1"/>
  <c r="S986" i="1"/>
  <c r="S997" i="1"/>
  <c r="T997" i="1"/>
  <c r="S1013" i="1"/>
  <c r="T1013" i="1"/>
  <c r="S1029" i="1"/>
  <c r="T1029" i="1"/>
  <c r="S972" i="1"/>
  <c r="T972" i="1"/>
  <c r="S1060" i="1"/>
  <c r="T1060" i="1"/>
  <c r="S1012" i="1"/>
  <c r="T1012" i="1"/>
  <c r="S1028" i="1"/>
  <c r="T1028" i="1"/>
  <c r="S1044" i="1"/>
  <c r="T1044" i="1"/>
  <c r="T1096" i="1"/>
  <c r="S1096" i="1"/>
  <c r="S1099" i="1"/>
  <c r="T1099" i="1"/>
  <c r="S1143" i="1"/>
  <c r="T1143" i="1"/>
  <c r="S947" i="1"/>
  <c r="S963" i="1"/>
  <c r="S979" i="1"/>
  <c r="T995" i="1"/>
  <c r="S995" i="1"/>
  <c r="T1011" i="1"/>
  <c r="S1011" i="1"/>
  <c r="T1027" i="1"/>
  <c r="S1027" i="1"/>
  <c r="T1043" i="1"/>
  <c r="S1043" i="1"/>
  <c r="T1061" i="1"/>
  <c r="S1062" i="1"/>
  <c r="T1063" i="1"/>
  <c r="S1064" i="1"/>
  <c r="S1103" i="1"/>
  <c r="T1103" i="1"/>
  <c r="T1051" i="1"/>
  <c r="S1054" i="1"/>
  <c r="T1055" i="1"/>
  <c r="S1056" i="1"/>
  <c r="S1076" i="1"/>
  <c r="T1076" i="1"/>
  <c r="T1077" i="1"/>
  <c r="S1078" i="1"/>
  <c r="S1095" i="1"/>
  <c r="T1095" i="1"/>
  <c r="T1100" i="1"/>
  <c r="S1100" i="1"/>
  <c r="S1075" i="1"/>
  <c r="T1075" i="1"/>
  <c r="S1091" i="1"/>
  <c r="T1091" i="1"/>
  <c r="S1127" i="1"/>
  <c r="T1127" i="1"/>
  <c r="T1110" i="1"/>
  <c r="S1110" i="1"/>
  <c r="T1114" i="1"/>
  <c r="S1114" i="1"/>
  <c r="S1119" i="1"/>
  <c r="T1119" i="1"/>
  <c r="T1130" i="1"/>
  <c r="S1130" i="1"/>
  <c r="S1135" i="1"/>
  <c r="T1135" i="1"/>
  <c r="T1137" i="1"/>
  <c r="S1137" i="1"/>
  <c r="T1058" i="1"/>
  <c r="S1058" i="1"/>
  <c r="T1074" i="1"/>
  <c r="S1074" i="1"/>
  <c r="T1090" i="1"/>
  <c r="S1090" i="1"/>
  <c r="S1101" i="1"/>
  <c r="S1105" i="1"/>
  <c r="T1118" i="1"/>
  <c r="S1118" i="1"/>
  <c r="T1122" i="1"/>
  <c r="S1122" i="1"/>
  <c r="T1123" i="1"/>
  <c r="T1129" i="1"/>
  <c r="S1129" i="1"/>
  <c r="S1144" i="1"/>
  <c r="T1144" i="1"/>
  <c r="T1094" i="1"/>
  <c r="S1094" i="1"/>
  <c r="T1098" i="1"/>
  <c r="S1098" i="1"/>
  <c r="S1104" i="1"/>
  <c r="S1108" i="1"/>
  <c r="S1109" i="1"/>
  <c r="S1113" i="1"/>
  <c r="S1136" i="1"/>
  <c r="T1136" i="1"/>
  <c r="T1147" i="1"/>
  <c r="T1102" i="1"/>
  <c r="S1102" i="1"/>
  <c r="T1106" i="1"/>
  <c r="S1106" i="1"/>
  <c r="S1111" i="1"/>
  <c r="T1111" i="1"/>
  <c r="S1128" i="1"/>
  <c r="T1128" i="1"/>
  <c r="T1138" i="1"/>
  <c r="S1138" i="1"/>
  <c r="T1151" i="1"/>
  <c r="T1152" i="1"/>
  <c r="T1146" i="1"/>
  <c r="S1146" i="1"/>
  <c r="T1154" i="1"/>
  <c r="S1154" i="1"/>
  <c r="T1126" i="1"/>
  <c r="S1126" i="1"/>
  <c r="T1134" i="1"/>
  <c r="S1134" i="1"/>
  <c r="T1142" i="1"/>
  <c r="S1142" i="1"/>
  <c r="S1145" i="1"/>
  <c r="T1150" i="1"/>
  <c r="S1150" i="1"/>
  <c r="S1153" i="1"/>
</calcChain>
</file>

<file path=xl/sharedStrings.xml><?xml version="1.0" encoding="utf-8"?>
<sst xmlns="http://schemas.openxmlformats.org/spreadsheetml/2006/main" count="2427" uniqueCount="53">
  <si>
    <t>FORMATO AIFT010 - Conciliación Cartera ERP – EBP</t>
  </si>
  <si>
    <t>EPS:</t>
  </si>
  <si>
    <t>IPS:</t>
  </si>
  <si>
    <t xml:space="preserve">IN CARE S.A </t>
  </si>
  <si>
    <t>FECHA DE CORTE DE CONCILIACION:</t>
  </si>
  <si>
    <t>JULIO</t>
  </si>
  <si>
    <t>FECHA DE CONCILIACION:</t>
  </si>
  <si>
    <t>9 DE AGOSTO 2021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</si>
  <si>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</si>
  <si>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</si>
  <si>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</si>
  <si>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</si>
  <si>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</si>
  <si>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</si>
  <si>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</si>
  <si>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</si>
  <si>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</si>
  <si>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</si>
  <si>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</si>
  <si>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</si>
  <si>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</si>
  <si>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</si>
  <si>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</si>
  <si>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</si>
  <si>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</si>
  <si>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</si>
  <si>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</si>
  <si>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</si>
  <si>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</si>
  <si>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</si>
  <si>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</si>
  <si>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</si>
  <si>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</si>
  <si>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</si>
  <si>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</si>
  <si>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</si>
  <si>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</si>
  <si>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</si>
  <si>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</si>
  <si>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</si>
  <si>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</si>
  <si>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</si>
  <si>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</si>
  <si>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</si>
  <si>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</si>
  <si>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 xml:space="preserve">EVENTO </t>
  </si>
  <si>
    <t>FE</t>
  </si>
  <si>
    <t>GL-0592739337375</t>
  </si>
  <si>
    <t>GL-05209345504</t>
  </si>
  <si>
    <t>FACTURA SIN EVIDENCIA DE RADICACION</t>
  </si>
  <si>
    <t>GL-0592739338141</t>
  </si>
  <si>
    <t>GL-0592739338142</t>
  </si>
  <si>
    <t>GL-057654328031657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</si>
</sst>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164" fontId="0" fillId="0" borderId="0" xfId="1" applyNumberFormat="1" applyFont="1"/>
    <xf numFmtId="43" fontId="0" fillId="0" borderId="0" xfId="1" applyFont="1"/>
    <xf numFmtId="0" fontId="0" fillId="0" borderId="0" xfId="0" applyAlignment="1">
      <alignment horizontal="right"/>
    </xf>
    <xf numFmtId="2" fontId="0" fillId="0" borderId="0" xfId="1" applyNumberFormat="1" applyFont="1" applyBorder="1"/>
    <xf numFmtId="43" fontId="0" fillId="0" borderId="0" xfId="1" applyFont="1" applyBorder="1"/>
    <xf numFmtId="14" fontId="0" fillId="0" borderId="0" xfId="0" applyNumberFormat="1"/>
    <xf numFmtId="0" fontId="0" fillId="0" borderId="1" xfId="0" applyBorder="1" applyAlignment="1">
      <alignment horizontal="center" vertical="center"/>
    </xf>
    <xf numFmtId="17" fontId="0" fillId="0" borderId="0" xfId="0" applyNumberFormat="1"/>
    <xf numFmtId="41" fontId="0" fillId="0" borderId="0" xfId="0" applyNumberForma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2" borderId="0" xfId="2" applyFont="1" applyFill="1" applyAlignment="1">
      <alignment horizontal="center" vertical="center" wrapText="1"/>
    </xf>
    <xf numFmtId="3" fontId="4" fillId="2" borderId="0" xfId="3" applyNumberFormat="1" applyFont="1" applyFill="1" applyBorder="1" applyAlignment="1" applyProtection="1">
      <alignment horizontal="center" vertical="center" wrapText="1"/>
    </xf>
    <xf numFmtId="14" fontId="4" fillId="0" borderId="0" xfId="2" applyNumberFormat="1" applyFont="1" applyAlignment="1">
      <alignment horizontal="center" vertical="center" wrapText="1"/>
    </xf>
    <xf numFmtId="3" fontId="4" fillId="3" borderId="0" xfId="3" applyNumberFormat="1" applyFont="1" applyFill="1" applyBorder="1" applyAlignment="1" applyProtection="1">
      <alignment horizontal="center" vertical="center" wrapText="1"/>
    </xf>
    <xf numFmtId="164" fontId="4" fillId="2" borderId="0" xfId="1" applyNumberFormat="1" applyFont="1" applyFill="1" applyAlignment="1">
      <alignment horizontal="center" vertical="center" wrapText="1"/>
    </xf>
    <xf numFmtId="43" fontId="4" fillId="2" borderId="0" xfId="1" applyFont="1" applyFill="1" applyBorder="1" applyAlignment="1" applyProtection="1">
      <alignment horizontal="center" vertical="center" wrapText="1"/>
    </xf>
    <xf numFmtId="3" fontId="4" fillId="2" borderId="0" xfId="2" applyNumberFormat="1" applyFont="1" applyFill="1" applyAlignment="1">
      <alignment horizontal="center" vertical="center" wrapText="1"/>
    </xf>
    <xf numFmtId="0" fontId="4" fillId="4" borderId="0" xfId="2" applyFont="1" applyFill="1" applyAlignment="1">
      <alignment horizontal="center" vertical="center" wrapText="1"/>
    </xf>
    <xf numFmtId="2" fontId="4" fillId="4" borderId="0" xfId="1" applyNumberFormat="1" applyFont="1" applyFill="1" applyBorder="1" applyAlignment="1">
      <alignment horizontal="center" vertical="center" wrapText="1"/>
    </xf>
    <xf numFmtId="3" fontId="4" fillId="3" borderId="0" xfId="2" applyNumberFormat="1" applyFont="1" applyFill="1" applyAlignment="1">
      <alignment horizontal="center" vertical="center" wrapText="1"/>
    </xf>
    <xf numFmtId="43" fontId="4" fillId="3" borderId="0" xfId="1" applyFont="1" applyFill="1" applyBorder="1" applyAlignment="1">
      <alignment horizontal="center" vertical="center" wrapText="1"/>
    </xf>
    <xf numFmtId="14" fontId="4" fillId="3" borderId="0" xfId="3" applyNumberFormat="1" applyFont="1" applyFill="1" applyBorder="1" applyAlignment="1" applyProtection="1">
      <alignment horizontal="center" vertical="center" wrapText="1"/>
    </xf>
    <xf numFmtId="43" fontId="4" fillId="3" borderId="0" xfId="1" applyFont="1" applyFill="1" applyBorder="1" applyAlignment="1" applyProtection="1">
      <alignment horizontal="center" vertical="center" wrapText="1"/>
    </xf>
    <xf numFmtId="43" fontId="4" fillId="4" borderId="0" xfId="1" applyFont="1" applyFill="1" applyBorder="1" applyAlignment="1" applyProtection="1">
      <alignment horizontal="center" vertical="center" wrapText="1"/>
    </xf>
    <xf numFmtId="3" fontId="4" fillId="4" borderId="0" xfId="3" applyNumberFormat="1" applyFont="1" applyFill="1" applyBorder="1" applyAlignment="1" applyProtection="1">
      <alignment horizontal="center" vertical="center" wrapText="1"/>
    </xf>
    <xf numFmtId="165" fontId="4" fillId="4" borderId="0" xfId="3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5" fillId="0" borderId="0" xfId="1" applyNumberFormat="1" applyFont="1" applyBorder="1" applyAlignment="1">
      <alignment vertical="center"/>
    </xf>
    <xf numFmtId="43" fontId="1" fillId="0" borderId="0" xfId="1" applyFont="1" applyBorder="1"/>
    <xf numFmtId="1" fontId="1" fillId="0" borderId="0" xfId="3" applyNumberFormat="1" applyFont="1"/>
    <xf numFmtId="43" fontId="0" fillId="0" borderId="0" xfId="0" applyNumberFormat="1"/>
    <xf numFmtId="164" fontId="1" fillId="0" borderId="0" xfId="1" applyNumberFormat="1" applyFont="1"/>
    <xf numFmtId="43" fontId="5" fillId="0" borderId="0" xfId="1" applyFont="1" applyBorder="1" applyAlignment="1">
      <alignment vertical="center"/>
    </xf>
    <xf numFmtId="164" fontId="0" fillId="0" borderId="0" xfId="1" applyNumberFormat="1" applyFont="1" applyBorder="1"/>
    <xf numFmtId="14" fontId="6" fillId="0" borderId="0" xfId="0" applyNumberFormat="1" applyFont="1"/>
    <xf numFmtId="3" fontId="0" fillId="0" borderId="0" xfId="0" applyNumberFormat="1"/>
    <xf numFmtId="0" fontId="7" fillId="0" borderId="0" xfId="0" applyFont="1" applyAlignment="1">
      <alignment vertical="center"/>
    </xf>
    <xf numFmtId="164" fontId="0" fillId="0" borderId="0" xfId="0" applyNumberFormat="1"/>
    <xf numFmtId="14" fontId="0" fillId="0" borderId="0" xfId="1" applyNumberFormat="1" applyFont="1" applyBorder="1"/>
    <xf numFmtId="2" fontId="0" fillId="0" borderId="0" xfId="0" applyNumberFormat="1"/>
    <xf numFmtId="164" fontId="5" fillId="0" borderId="0" xfId="1" applyNumberFormat="1" applyFont="1" applyAlignment="1">
      <alignment vertical="center"/>
    </xf>
    <xf numFmtId="43" fontId="5" fillId="0" borderId="0" xfId="1" applyFont="1" applyAlignment="1">
      <alignment vertical="center"/>
    </xf>
    <xf numFmtId="43" fontId="1" fillId="0" borderId="0" xfId="1" applyFont="1"/>
    <xf numFmtId="164" fontId="2" fillId="0" borderId="0" xfId="1" applyNumberFormat="1" applyFont="1"/>
  </cellXfs>
  <cellStyles count="4">
    <cellStyle name="Millares" xfId="1" builtinId="3"/>
    <cellStyle name="Millares 2" xfId="3" xr:uid="{16321581-41F8-40C8-B85F-26B848BB2A69}"/>
    <cellStyle name="Normal" xfId="0" builtinId="0"/>
    <cellStyle name="Normal 2 2" xfId="2" xr:uid="{754EB7E8-2343-4776-8E7C-E58F43D739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bvasquez_coosalud_com/Documents/Carteras%20IPS/Circular%20011/Archivos%20por%20Conciliar/Revision%20Cartera%20Hospital%20Floridablanca%20Circular%200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800196652%20INCARE%20SA%2025082021%20626%20v1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User/Desktop/COMPILADO/CARTERAS%20CRUZADAS/HOSPITAL%20SAN%20RAFAEL%20DE%20PITALITO/891180134-2%20HOSPITAL%20SAN%20RAFAEL%20DE%20PITALI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AIFT010 900"/>
      <sheetName val="informe 900 (3)"/>
      <sheetName val="cruce (3)"/>
      <sheetName val="Reportes 900 (3)"/>
      <sheetName val="pt25082021"/>
      <sheetName val="fact auditada"/>
      <sheetName val="PAGOS"/>
      <sheetName val="Cartera "/>
      <sheetName val="anexo incare"/>
      <sheetName val="pagos2"/>
      <sheetName val="cruce fact si"/>
      <sheetName val="td factu si"/>
      <sheetName val="anexo"/>
      <sheetName val="glosas anexo"/>
      <sheetName val="Factura auditada con tipo"/>
      <sheetName val="por digitar con tipo"/>
      <sheetName val="pt 1208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Asignación</v>
          </cell>
          <cell r="B1" t="str">
            <v>(Todas)</v>
          </cell>
        </row>
        <row r="3">
          <cell r="A3" t="str">
            <v>Etiquetas de fila</v>
          </cell>
          <cell r="B3" t="str">
            <v>Suma de Importe en moneda local</v>
          </cell>
        </row>
        <row r="4">
          <cell r="A4" t="str">
            <v>FE10113</v>
          </cell>
          <cell r="B4">
            <v>-25831</v>
          </cell>
        </row>
        <row r="5">
          <cell r="A5" t="str">
            <v>FE10901</v>
          </cell>
          <cell r="B5">
            <v>-755659</v>
          </cell>
        </row>
        <row r="6">
          <cell r="A6" t="str">
            <v>FE11153</v>
          </cell>
          <cell r="B6">
            <v>-8489</v>
          </cell>
        </row>
        <row r="7">
          <cell r="A7" t="str">
            <v>FE11173</v>
          </cell>
          <cell r="B7">
            <v>-8489</v>
          </cell>
        </row>
        <row r="8">
          <cell r="A8" t="str">
            <v>FE11236</v>
          </cell>
          <cell r="B8">
            <v>-8489</v>
          </cell>
        </row>
        <row r="9">
          <cell r="A9" t="str">
            <v>FE11764</v>
          </cell>
          <cell r="B9">
            <v>-8489</v>
          </cell>
        </row>
        <row r="10">
          <cell r="A10" t="str">
            <v>FE11900</v>
          </cell>
          <cell r="B10">
            <v>-8489</v>
          </cell>
        </row>
        <row r="11">
          <cell r="A11" t="str">
            <v>FE13012</v>
          </cell>
          <cell r="B11">
            <v>-4110304</v>
          </cell>
        </row>
        <row r="12">
          <cell r="A12" t="str">
            <v>FE13236</v>
          </cell>
          <cell r="B12">
            <v>-132355</v>
          </cell>
        </row>
        <row r="13">
          <cell r="A13" t="str">
            <v>FE13270</v>
          </cell>
          <cell r="B13">
            <v>-103008</v>
          </cell>
        </row>
        <row r="14">
          <cell r="A14" t="str">
            <v>FE13293</v>
          </cell>
          <cell r="B14">
            <v>-11989</v>
          </cell>
        </row>
        <row r="15">
          <cell r="A15" t="str">
            <v>FE13298</v>
          </cell>
          <cell r="B15">
            <v>-228243</v>
          </cell>
        </row>
        <row r="16">
          <cell r="A16" t="str">
            <v>FE13482</v>
          </cell>
          <cell r="B16">
            <v>-11989</v>
          </cell>
        </row>
        <row r="17">
          <cell r="A17" t="str">
            <v>FE13489</v>
          </cell>
          <cell r="B17">
            <v>-160403</v>
          </cell>
        </row>
        <row r="18">
          <cell r="A18" t="str">
            <v>FE13496</v>
          </cell>
          <cell r="B18">
            <v>-11989</v>
          </cell>
        </row>
        <row r="19">
          <cell r="A19" t="str">
            <v>FE13499</v>
          </cell>
          <cell r="B19">
            <v>-11989</v>
          </cell>
        </row>
        <row r="20">
          <cell r="A20" t="str">
            <v>FE13549</v>
          </cell>
          <cell r="B20">
            <v>-11989</v>
          </cell>
        </row>
        <row r="21">
          <cell r="A21" t="str">
            <v>FE13595</v>
          </cell>
          <cell r="B21">
            <v>-160403</v>
          </cell>
        </row>
        <row r="22">
          <cell r="A22" t="str">
            <v>FE13622</v>
          </cell>
          <cell r="B22">
            <v>-121855</v>
          </cell>
        </row>
        <row r="23">
          <cell r="A23" t="str">
            <v>FE13637</v>
          </cell>
          <cell r="B23">
            <v>-116393</v>
          </cell>
        </row>
        <row r="24">
          <cell r="A24" t="str">
            <v>FE13766</v>
          </cell>
          <cell r="B24">
            <v>-1798125</v>
          </cell>
        </row>
        <row r="25">
          <cell r="A25" t="str">
            <v>FE13768</v>
          </cell>
          <cell r="B25">
            <v>-2089680</v>
          </cell>
        </row>
        <row r="26">
          <cell r="A26" t="str">
            <v>FE13771</v>
          </cell>
          <cell r="B26">
            <v>-181246</v>
          </cell>
        </row>
        <row r="27">
          <cell r="A27" t="str">
            <v>FE13806</v>
          </cell>
          <cell r="B27">
            <v>-116393</v>
          </cell>
        </row>
        <row r="28">
          <cell r="A28" t="str">
            <v>FE13817</v>
          </cell>
          <cell r="B28">
            <v>-15489</v>
          </cell>
        </row>
        <row r="29">
          <cell r="A29" t="str">
            <v>FE13823</v>
          </cell>
          <cell r="B29">
            <v>-99124</v>
          </cell>
        </row>
        <row r="30">
          <cell r="A30" t="str">
            <v>FE13824</v>
          </cell>
          <cell r="B30">
            <v>-181246</v>
          </cell>
        </row>
        <row r="31">
          <cell r="A31" t="str">
            <v>FE13825</v>
          </cell>
          <cell r="B31">
            <v>-196179</v>
          </cell>
        </row>
        <row r="32">
          <cell r="A32" t="str">
            <v>FE13827</v>
          </cell>
          <cell r="B32">
            <v>-339170</v>
          </cell>
        </row>
        <row r="33">
          <cell r="A33" t="str">
            <v>FE13828</v>
          </cell>
          <cell r="B33">
            <v>-177746</v>
          </cell>
        </row>
        <row r="34">
          <cell r="A34" t="str">
            <v>FE13829</v>
          </cell>
          <cell r="B34">
            <v>-181246</v>
          </cell>
        </row>
        <row r="35">
          <cell r="A35" t="str">
            <v>FE13844</v>
          </cell>
          <cell r="B35">
            <v>-135855</v>
          </cell>
        </row>
        <row r="36">
          <cell r="A36" t="str">
            <v>FE13846</v>
          </cell>
          <cell r="B36">
            <v>-135855</v>
          </cell>
        </row>
        <row r="37">
          <cell r="A37" t="str">
            <v>FE13850</v>
          </cell>
          <cell r="B37">
            <v>-122270</v>
          </cell>
        </row>
        <row r="38">
          <cell r="A38" t="str">
            <v>FE13856</v>
          </cell>
          <cell r="B38">
            <v>-135855</v>
          </cell>
        </row>
        <row r="39">
          <cell r="A39" t="str">
            <v>FE13858</v>
          </cell>
          <cell r="B39">
            <v>-132355</v>
          </cell>
        </row>
        <row r="40">
          <cell r="A40" t="str">
            <v>FE13868</v>
          </cell>
          <cell r="B40">
            <v>-181246</v>
          </cell>
        </row>
        <row r="41">
          <cell r="A41" t="str">
            <v>FE13872</v>
          </cell>
          <cell r="B41">
            <v>-135855</v>
          </cell>
        </row>
        <row r="42">
          <cell r="A42" t="str">
            <v>FE13873</v>
          </cell>
          <cell r="B42">
            <v>-135855</v>
          </cell>
        </row>
        <row r="43">
          <cell r="A43" t="str">
            <v>FE13875</v>
          </cell>
          <cell r="B43">
            <v>-339170</v>
          </cell>
        </row>
        <row r="44">
          <cell r="A44" t="str">
            <v>FE13910</v>
          </cell>
          <cell r="B44">
            <v>-1622650</v>
          </cell>
        </row>
        <row r="45">
          <cell r="A45" t="str">
            <v>FE13917</v>
          </cell>
          <cell r="B45">
            <v>-160403</v>
          </cell>
        </row>
        <row r="46">
          <cell r="A46" t="str">
            <v>FE13919</v>
          </cell>
          <cell r="B46">
            <v>-181246</v>
          </cell>
        </row>
        <row r="47">
          <cell r="A47" t="str">
            <v>FE13928</v>
          </cell>
          <cell r="B47">
            <v>-15489</v>
          </cell>
        </row>
        <row r="48">
          <cell r="A48" t="str">
            <v>FE13938</v>
          </cell>
          <cell r="B48">
            <v>-135855</v>
          </cell>
        </row>
        <row r="49">
          <cell r="A49" t="str">
            <v>FE13940</v>
          </cell>
          <cell r="B49">
            <v>-135855</v>
          </cell>
        </row>
        <row r="50">
          <cell r="A50" t="str">
            <v>FE13947</v>
          </cell>
          <cell r="B50">
            <v>-15489</v>
          </cell>
        </row>
        <row r="51">
          <cell r="A51" t="str">
            <v>FE13948</v>
          </cell>
          <cell r="B51">
            <v>-116393</v>
          </cell>
        </row>
        <row r="52">
          <cell r="A52" t="str">
            <v>FE13951</v>
          </cell>
          <cell r="B52">
            <v>-15489</v>
          </cell>
        </row>
        <row r="53">
          <cell r="A53" t="str">
            <v>FE13952</v>
          </cell>
          <cell r="B53">
            <v>-116393</v>
          </cell>
        </row>
        <row r="54">
          <cell r="A54" t="str">
            <v>FE13958</v>
          </cell>
          <cell r="B54">
            <v>-15489</v>
          </cell>
        </row>
        <row r="55">
          <cell r="A55" t="str">
            <v>FE13960</v>
          </cell>
          <cell r="B55">
            <v>-120232</v>
          </cell>
        </row>
        <row r="56">
          <cell r="A56" t="str">
            <v>FE13963</v>
          </cell>
          <cell r="B56">
            <v>-250905</v>
          </cell>
        </row>
        <row r="57">
          <cell r="A57" t="str">
            <v>FE13974</v>
          </cell>
          <cell r="B57">
            <v>-317101</v>
          </cell>
        </row>
        <row r="58">
          <cell r="A58" t="str">
            <v>FE13979</v>
          </cell>
          <cell r="B58">
            <v>-15489</v>
          </cell>
        </row>
        <row r="59">
          <cell r="A59" t="str">
            <v>FE13991</v>
          </cell>
          <cell r="B59">
            <v>-163121</v>
          </cell>
        </row>
        <row r="60">
          <cell r="A60" t="str">
            <v>FE14002</v>
          </cell>
          <cell r="B60">
            <v>-181246</v>
          </cell>
        </row>
        <row r="61">
          <cell r="A61" t="str">
            <v>FE14003</v>
          </cell>
          <cell r="B61">
            <v>-181246</v>
          </cell>
        </row>
        <row r="62">
          <cell r="A62" t="str">
            <v>FE14006</v>
          </cell>
          <cell r="B62">
            <v>-181246</v>
          </cell>
        </row>
        <row r="63">
          <cell r="A63" t="str">
            <v>FE14009</v>
          </cell>
          <cell r="B63">
            <v>-280370</v>
          </cell>
        </row>
        <row r="64">
          <cell r="A64" t="str">
            <v>FE14014</v>
          </cell>
          <cell r="B64">
            <v>-15489</v>
          </cell>
        </row>
        <row r="65">
          <cell r="A65" t="str">
            <v>FE14017</v>
          </cell>
          <cell r="B65">
            <v>-15489</v>
          </cell>
        </row>
        <row r="66">
          <cell r="A66" t="str">
            <v>FE14024</v>
          </cell>
          <cell r="B66">
            <v>-160403</v>
          </cell>
        </row>
        <row r="67">
          <cell r="A67" t="str">
            <v>FE14032</v>
          </cell>
          <cell r="B67">
            <v>-181246</v>
          </cell>
        </row>
        <row r="68">
          <cell r="A68" t="str">
            <v>FE14035</v>
          </cell>
          <cell r="B68">
            <v>-181246</v>
          </cell>
        </row>
        <row r="69">
          <cell r="A69" t="str">
            <v>FE14036</v>
          </cell>
          <cell r="B69">
            <v>-14933</v>
          </cell>
        </row>
        <row r="70">
          <cell r="A70" t="str">
            <v>FE14041</v>
          </cell>
          <cell r="B70">
            <v>-317101</v>
          </cell>
        </row>
        <row r="71">
          <cell r="A71" t="str">
            <v>FE14045</v>
          </cell>
          <cell r="B71">
            <v>-120232</v>
          </cell>
        </row>
        <row r="72">
          <cell r="A72" t="str">
            <v>FE14046</v>
          </cell>
          <cell r="B72">
            <v>-310101</v>
          </cell>
        </row>
        <row r="73">
          <cell r="A73" t="str">
            <v>FE14055</v>
          </cell>
          <cell r="B73">
            <v>-8284283</v>
          </cell>
        </row>
        <row r="74">
          <cell r="A74" t="str">
            <v>FE14059</v>
          </cell>
          <cell r="B74">
            <v>-7585720</v>
          </cell>
        </row>
        <row r="75">
          <cell r="A75" t="str">
            <v>FE14061</v>
          </cell>
          <cell r="B75">
            <v>-15489</v>
          </cell>
        </row>
        <row r="76">
          <cell r="A76" t="str">
            <v>FE14078</v>
          </cell>
          <cell r="B76">
            <v>-132355</v>
          </cell>
        </row>
        <row r="77">
          <cell r="A77" t="str">
            <v>FE14087</v>
          </cell>
          <cell r="B77">
            <v>-15489</v>
          </cell>
        </row>
        <row r="78">
          <cell r="A78" t="str">
            <v>FE14088</v>
          </cell>
          <cell r="B78">
            <v>-15489</v>
          </cell>
        </row>
        <row r="79">
          <cell r="A79" t="str">
            <v>FE14119</v>
          </cell>
          <cell r="B79">
            <v>-42534093</v>
          </cell>
        </row>
        <row r="80">
          <cell r="A80" t="str">
            <v>FE14131</v>
          </cell>
          <cell r="B80">
            <v>-15489</v>
          </cell>
        </row>
        <row r="81">
          <cell r="A81" t="str">
            <v>FE14138</v>
          </cell>
          <cell r="B81">
            <v>-15489</v>
          </cell>
        </row>
        <row r="82">
          <cell r="A82" t="str">
            <v>FE14150</v>
          </cell>
          <cell r="B82">
            <v>-15489</v>
          </cell>
        </row>
        <row r="83">
          <cell r="A83" t="str">
            <v>FE14151</v>
          </cell>
          <cell r="B83">
            <v>-11989</v>
          </cell>
        </row>
        <row r="84">
          <cell r="A84" t="str">
            <v>FE14155</v>
          </cell>
          <cell r="B84">
            <v>-13440</v>
          </cell>
        </row>
        <row r="85">
          <cell r="A85" t="str">
            <v>FE14165</v>
          </cell>
          <cell r="B85">
            <v>-196179</v>
          </cell>
        </row>
        <row r="86">
          <cell r="A86" t="str">
            <v>FE14166</v>
          </cell>
          <cell r="B86">
            <v>-122270</v>
          </cell>
        </row>
        <row r="87">
          <cell r="A87" t="str">
            <v>FE14168</v>
          </cell>
          <cell r="B87">
            <v>-132355</v>
          </cell>
        </row>
        <row r="88">
          <cell r="A88" t="str">
            <v>FE14170</v>
          </cell>
          <cell r="B88">
            <v>-310101</v>
          </cell>
        </row>
        <row r="89">
          <cell r="A89" t="str">
            <v>FE14185</v>
          </cell>
          <cell r="B89">
            <v>-181246</v>
          </cell>
        </row>
        <row r="90">
          <cell r="A90" t="str">
            <v>FE14188</v>
          </cell>
          <cell r="B90">
            <v>-181246</v>
          </cell>
        </row>
        <row r="91">
          <cell r="A91" t="str">
            <v>FE14201</v>
          </cell>
          <cell r="B91">
            <v>-305253</v>
          </cell>
        </row>
        <row r="92">
          <cell r="A92" t="str">
            <v>FE14225</v>
          </cell>
          <cell r="B92">
            <v>-15489</v>
          </cell>
        </row>
        <row r="93">
          <cell r="A93" t="str">
            <v>FE14230</v>
          </cell>
          <cell r="B93">
            <v>-181246</v>
          </cell>
        </row>
        <row r="94">
          <cell r="A94" t="str">
            <v>FE14244</v>
          </cell>
          <cell r="B94">
            <v>-99388</v>
          </cell>
        </row>
        <row r="95">
          <cell r="A95" t="str">
            <v>FE14252</v>
          </cell>
          <cell r="B95">
            <v>-104754</v>
          </cell>
        </row>
        <row r="96">
          <cell r="A96" t="str">
            <v>FE14255</v>
          </cell>
          <cell r="B96">
            <v>-298831</v>
          </cell>
        </row>
        <row r="97">
          <cell r="A97" t="str">
            <v>FE14257</v>
          </cell>
          <cell r="B97">
            <v>-271710</v>
          </cell>
        </row>
        <row r="98">
          <cell r="A98" t="str">
            <v>FE14258</v>
          </cell>
          <cell r="B98">
            <v>-135855</v>
          </cell>
        </row>
        <row r="99">
          <cell r="A99" t="str">
            <v>FE14266</v>
          </cell>
          <cell r="B99">
            <v>-15489</v>
          </cell>
        </row>
        <row r="100">
          <cell r="A100" t="str">
            <v>FE14270</v>
          </cell>
          <cell r="B100">
            <v>-11989</v>
          </cell>
        </row>
        <row r="101">
          <cell r="A101" t="str">
            <v>FE14286</v>
          </cell>
          <cell r="B101">
            <v>-181246</v>
          </cell>
        </row>
        <row r="102">
          <cell r="A102" t="str">
            <v>FE14287</v>
          </cell>
          <cell r="B102">
            <v>-181246</v>
          </cell>
        </row>
        <row r="103">
          <cell r="A103" t="str">
            <v>FE14322</v>
          </cell>
          <cell r="B103">
            <v>-23422</v>
          </cell>
        </row>
        <row r="104">
          <cell r="A104" t="str">
            <v>FE14325</v>
          </cell>
          <cell r="B104">
            <v>-135855</v>
          </cell>
        </row>
        <row r="105">
          <cell r="A105" t="str">
            <v>FE14328</v>
          </cell>
          <cell r="B105">
            <v>-135855</v>
          </cell>
        </row>
        <row r="106">
          <cell r="A106" t="str">
            <v>FE14337</v>
          </cell>
          <cell r="B106">
            <v>-122952</v>
          </cell>
        </row>
        <row r="107">
          <cell r="A107" t="str">
            <v>FE14343</v>
          </cell>
          <cell r="B107">
            <v>-15489</v>
          </cell>
        </row>
        <row r="108">
          <cell r="A108" t="str">
            <v>FE14345</v>
          </cell>
          <cell r="B108">
            <v>-15489</v>
          </cell>
        </row>
        <row r="109">
          <cell r="A109" t="str">
            <v>FE14352</v>
          </cell>
          <cell r="B109">
            <v>-11989</v>
          </cell>
        </row>
        <row r="110">
          <cell r="A110" t="str">
            <v>FE14360</v>
          </cell>
          <cell r="B110">
            <v>-135855</v>
          </cell>
        </row>
        <row r="111">
          <cell r="A111" t="str">
            <v>FE14361</v>
          </cell>
          <cell r="B111">
            <v>-135855</v>
          </cell>
        </row>
        <row r="112">
          <cell r="A112" t="str">
            <v>FE14373</v>
          </cell>
          <cell r="B112">
            <v>-181246</v>
          </cell>
        </row>
        <row r="113">
          <cell r="A113" t="str">
            <v>FE14375</v>
          </cell>
          <cell r="B113">
            <v>-181246</v>
          </cell>
        </row>
        <row r="114">
          <cell r="A114" t="str">
            <v>FE14380</v>
          </cell>
          <cell r="B114">
            <v>-177746</v>
          </cell>
        </row>
        <row r="115">
          <cell r="A115" t="str">
            <v>FE14388</v>
          </cell>
          <cell r="B115">
            <v>-181246</v>
          </cell>
        </row>
        <row r="116">
          <cell r="A116" t="str">
            <v>FE14394</v>
          </cell>
          <cell r="B116">
            <v>-181246</v>
          </cell>
        </row>
        <row r="117">
          <cell r="A117" t="str">
            <v>FE14396</v>
          </cell>
          <cell r="B117">
            <v>-13940</v>
          </cell>
        </row>
        <row r="118">
          <cell r="A118" t="str">
            <v>FE14397</v>
          </cell>
          <cell r="B118">
            <v>-15489</v>
          </cell>
        </row>
        <row r="119">
          <cell r="A119" t="str">
            <v>FE14402</v>
          </cell>
          <cell r="B119">
            <v>-240463</v>
          </cell>
        </row>
        <row r="120">
          <cell r="A120" t="str">
            <v>FE14404</v>
          </cell>
          <cell r="B120">
            <v>-317101</v>
          </cell>
        </row>
        <row r="121">
          <cell r="A121" t="str">
            <v>FE14407</v>
          </cell>
          <cell r="B121">
            <v>-116393</v>
          </cell>
        </row>
        <row r="122">
          <cell r="A122" t="str">
            <v>FE14408</v>
          </cell>
          <cell r="B122">
            <v>-95888</v>
          </cell>
        </row>
        <row r="123">
          <cell r="A123" t="str">
            <v>FE14409</v>
          </cell>
          <cell r="B123">
            <v>-310101</v>
          </cell>
        </row>
        <row r="124">
          <cell r="A124" t="str">
            <v>FE14410</v>
          </cell>
          <cell r="B124">
            <v>-134512</v>
          </cell>
        </row>
        <row r="125">
          <cell r="A125" t="str">
            <v>FE14414</v>
          </cell>
          <cell r="B125">
            <v>-250905</v>
          </cell>
        </row>
        <row r="126">
          <cell r="A126" t="str">
            <v>FE14417</v>
          </cell>
          <cell r="B126">
            <v>-99388</v>
          </cell>
        </row>
        <row r="127">
          <cell r="A127" t="str">
            <v>FE14418</v>
          </cell>
          <cell r="B127">
            <v>-134512</v>
          </cell>
        </row>
        <row r="128">
          <cell r="A128" t="str">
            <v>FE14419</v>
          </cell>
          <cell r="B128">
            <v>-181246</v>
          </cell>
        </row>
        <row r="129">
          <cell r="A129" t="str">
            <v>FE14423</v>
          </cell>
          <cell r="B129">
            <v>-181246</v>
          </cell>
        </row>
        <row r="130">
          <cell r="A130" t="str">
            <v>FE14427</v>
          </cell>
          <cell r="B130">
            <v>-317101</v>
          </cell>
        </row>
        <row r="131">
          <cell r="A131" t="str">
            <v>FE14431</v>
          </cell>
          <cell r="B131">
            <v>-15489</v>
          </cell>
        </row>
        <row r="132">
          <cell r="A132" t="str">
            <v>FE14434</v>
          </cell>
          <cell r="B132">
            <v>-15489</v>
          </cell>
        </row>
        <row r="133">
          <cell r="A133" t="str">
            <v>FE14435</v>
          </cell>
          <cell r="B133">
            <v>-15489</v>
          </cell>
        </row>
        <row r="134">
          <cell r="A134" t="str">
            <v>FE14437</v>
          </cell>
          <cell r="B134">
            <v>-15489</v>
          </cell>
        </row>
        <row r="135">
          <cell r="A135" t="str">
            <v>FE14438</v>
          </cell>
          <cell r="B135">
            <v>-15489</v>
          </cell>
        </row>
        <row r="136">
          <cell r="A136" t="str">
            <v>FE14439</v>
          </cell>
          <cell r="B136">
            <v>-15489</v>
          </cell>
        </row>
        <row r="137">
          <cell r="A137" t="str">
            <v>FE14441</v>
          </cell>
          <cell r="B137">
            <v>-15489</v>
          </cell>
        </row>
        <row r="138">
          <cell r="A138" t="str">
            <v>FE14443</v>
          </cell>
          <cell r="B138">
            <v>-15489</v>
          </cell>
        </row>
        <row r="139">
          <cell r="A139" t="str">
            <v>FE14444</v>
          </cell>
          <cell r="B139">
            <v>-15489</v>
          </cell>
        </row>
        <row r="140">
          <cell r="A140" t="str">
            <v>FE14447</v>
          </cell>
          <cell r="B140">
            <v>-112893</v>
          </cell>
        </row>
        <row r="141">
          <cell r="A141" t="str">
            <v>FE14468</v>
          </cell>
          <cell r="B141">
            <v>-250905</v>
          </cell>
        </row>
        <row r="142">
          <cell r="A142" t="str">
            <v>FE14474</v>
          </cell>
          <cell r="B142">
            <v>-2121473</v>
          </cell>
        </row>
        <row r="143">
          <cell r="A143" t="str">
            <v>FE14483</v>
          </cell>
          <cell r="B143">
            <v>-181246</v>
          </cell>
        </row>
        <row r="144">
          <cell r="A144" t="str">
            <v>FE14497</v>
          </cell>
          <cell r="B144">
            <v>-160403</v>
          </cell>
        </row>
        <row r="145">
          <cell r="A145" t="str">
            <v>FE14498</v>
          </cell>
          <cell r="B145">
            <v>-163121</v>
          </cell>
        </row>
        <row r="146">
          <cell r="A146" t="str">
            <v>FE14517</v>
          </cell>
          <cell r="B146">
            <v>-160403</v>
          </cell>
        </row>
        <row r="147">
          <cell r="A147" t="str">
            <v>FE14518</v>
          </cell>
          <cell r="B147">
            <v>-181246</v>
          </cell>
        </row>
        <row r="148">
          <cell r="A148" t="str">
            <v>FE14519</v>
          </cell>
          <cell r="B148">
            <v>-181246</v>
          </cell>
        </row>
        <row r="149">
          <cell r="A149" t="str">
            <v>FE14521</v>
          </cell>
          <cell r="B149">
            <v>-181246</v>
          </cell>
        </row>
        <row r="150">
          <cell r="A150" t="str">
            <v>FE14523</v>
          </cell>
          <cell r="B150">
            <v>-181246</v>
          </cell>
        </row>
        <row r="151">
          <cell r="A151" t="str">
            <v>FE14526</v>
          </cell>
          <cell r="B151">
            <v>-181246</v>
          </cell>
        </row>
        <row r="152">
          <cell r="A152" t="str">
            <v>FE14530</v>
          </cell>
          <cell r="B152">
            <v>-339170</v>
          </cell>
        </row>
        <row r="153">
          <cell r="A153" t="str">
            <v>FE14534</v>
          </cell>
          <cell r="B153">
            <v>-181246</v>
          </cell>
        </row>
        <row r="154">
          <cell r="A154" t="str">
            <v>FE14535</v>
          </cell>
          <cell r="B154">
            <v>-196735</v>
          </cell>
        </row>
        <row r="155">
          <cell r="A155" t="str">
            <v>FE14538</v>
          </cell>
          <cell r="B155">
            <v>-181246</v>
          </cell>
        </row>
        <row r="156">
          <cell r="A156" t="str">
            <v>FE14544</v>
          </cell>
          <cell r="B156">
            <v>-196735</v>
          </cell>
        </row>
        <row r="157">
          <cell r="A157" t="str">
            <v>FE14546</v>
          </cell>
          <cell r="B157">
            <v>-181246</v>
          </cell>
        </row>
        <row r="158">
          <cell r="A158" t="str">
            <v>FE14547</v>
          </cell>
          <cell r="B158">
            <v>-181246</v>
          </cell>
        </row>
        <row r="159">
          <cell r="A159" t="str">
            <v>FE14549</v>
          </cell>
          <cell r="B159">
            <v>-160403</v>
          </cell>
        </row>
        <row r="160">
          <cell r="A160" t="str">
            <v>FE14551</v>
          </cell>
          <cell r="B160">
            <v>-15490</v>
          </cell>
        </row>
        <row r="161">
          <cell r="A161" t="str">
            <v>FE14561</v>
          </cell>
          <cell r="B161">
            <v>-11989</v>
          </cell>
        </row>
        <row r="162">
          <cell r="A162" t="str">
            <v>FE14570</v>
          </cell>
          <cell r="B162">
            <v>-163121</v>
          </cell>
        </row>
        <row r="163">
          <cell r="A163" t="str">
            <v>FE14571</v>
          </cell>
          <cell r="B163">
            <v>-181246</v>
          </cell>
        </row>
        <row r="164">
          <cell r="A164" t="str">
            <v>FE14594</v>
          </cell>
          <cell r="B164">
            <v>-15489</v>
          </cell>
        </row>
        <row r="165">
          <cell r="A165" t="str">
            <v>FE14596</v>
          </cell>
          <cell r="B165">
            <v>-15489</v>
          </cell>
        </row>
        <row r="166">
          <cell r="A166" t="str">
            <v>FE14606</v>
          </cell>
          <cell r="B166">
            <v>-15489</v>
          </cell>
        </row>
        <row r="167">
          <cell r="A167" t="str">
            <v>FE14617</v>
          </cell>
          <cell r="B167">
            <v>-271710</v>
          </cell>
        </row>
        <row r="168">
          <cell r="A168" t="str">
            <v>FE14621</v>
          </cell>
          <cell r="B168">
            <v>-317101</v>
          </cell>
        </row>
        <row r="169">
          <cell r="A169" t="str">
            <v>FE14625</v>
          </cell>
          <cell r="B169">
            <v>-30979</v>
          </cell>
        </row>
        <row r="170">
          <cell r="A170" t="str">
            <v>FE14644</v>
          </cell>
          <cell r="B170">
            <v>-181246</v>
          </cell>
        </row>
        <row r="171">
          <cell r="A171" t="str">
            <v>FE14647</v>
          </cell>
          <cell r="B171">
            <v>-181246</v>
          </cell>
        </row>
        <row r="172">
          <cell r="A172" t="str">
            <v>FE14651</v>
          </cell>
          <cell r="B172">
            <v>-160403</v>
          </cell>
        </row>
        <row r="173">
          <cell r="A173" t="str">
            <v>FE14658</v>
          </cell>
          <cell r="B173">
            <v>-122952</v>
          </cell>
        </row>
        <row r="174">
          <cell r="A174" t="str">
            <v>FE14663</v>
          </cell>
          <cell r="B174">
            <v>-177746</v>
          </cell>
        </row>
        <row r="175">
          <cell r="A175" t="str">
            <v>FE14669</v>
          </cell>
          <cell r="B175">
            <v>-15489</v>
          </cell>
        </row>
        <row r="176">
          <cell r="A176" t="str">
            <v>FE14670</v>
          </cell>
          <cell r="B176">
            <v>-15489</v>
          </cell>
        </row>
        <row r="177">
          <cell r="A177" t="str">
            <v>FE14671</v>
          </cell>
          <cell r="B177">
            <v>-15489</v>
          </cell>
        </row>
        <row r="178">
          <cell r="A178" t="str">
            <v>FE14672</v>
          </cell>
          <cell r="B178">
            <v>-15489</v>
          </cell>
        </row>
        <row r="179">
          <cell r="A179" t="str">
            <v>FE14674</v>
          </cell>
          <cell r="B179">
            <v>-15489</v>
          </cell>
        </row>
        <row r="180">
          <cell r="A180" t="str">
            <v>FE14676</v>
          </cell>
          <cell r="B180">
            <v>-15489</v>
          </cell>
        </row>
        <row r="181">
          <cell r="A181" t="str">
            <v>FE14678</v>
          </cell>
          <cell r="B181">
            <v>-11989</v>
          </cell>
        </row>
        <row r="182">
          <cell r="A182" t="str">
            <v>FE14694</v>
          </cell>
          <cell r="B182">
            <v>-339170</v>
          </cell>
        </row>
        <row r="183">
          <cell r="A183" t="str">
            <v>FE14695</v>
          </cell>
          <cell r="B183">
            <v>-15489</v>
          </cell>
        </row>
        <row r="184">
          <cell r="A184" t="str">
            <v>FE14696</v>
          </cell>
          <cell r="B184">
            <v>-15489</v>
          </cell>
        </row>
        <row r="185">
          <cell r="A185" t="str">
            <v>FE14706</v>
          </cell>
          <cell r="B185">
            <v>-15489</v>
          </cell>
        </row>
        <row r="186">
          <cell r="A186" t="str">
            <v>FE14708</v>
          </cell>
          <cell r="B186">
            <v>-1155082</v>
          </cell>
        </row>
        <row r="187">
          <cell r="A187" t="str">
            <v>FE14709</v>
          </cell>
          <cell r="B187">
            <v>-4740633</v>
          </cell>
        </row>
        <row r="188">
          <cell r="A188" t="str">
            <v>FE14724</v>
          </cell>
          <cell r="B188">
            <v>-339170</v>
          </cell>
        </row>
        <row r="189">
          <cell r="A189" t="str">
            <v>FE14736</v>
          </cell>
          <cell r="B189">
            <v>-11989</v>
          </cell>
        </row>
        <row r="190">
          <cell r="A190" t="str">
            <v>FE14757</v>
          </cell>
          <cell r="B190">
            <v>-416225</v>
          </cell>
        </row>
        <row r="191">
          <cell r="A191" t="str">
            <v>FE14768</v>
          </cell>
          <cell r="B191">
            <v>-15489</v>
          </cell>
        </row>
        <row r="192">
          <cell r="A192" t="str">
            <v>FE14779</v>
          </cell>
          <cell r="B192">
            <v>-116393</v>
          </cell>
        </row>
        <row r="193">
          <cell r="A193" t="str">
            <v>FE14785</v>
          </cell>
          <cell r="B193">
            <v>-135855</v>
          </cell>
        </row>
        <row r="194">
          <cell r="A194" t="str">
            <v>FE14786</v>
          </cell>
          <cell r="B194">
            <v>-135855</v>
          </cell>
        </row>
        <row r="195">
          <cell r="A195" t="str">
            <v>FE14789</v>
          </cell>
          <cell r="B195">
            <v>-317101</v>
          </cell>
        </row>
        <row r="196">
          <cell r="A196" t="str">
            <v>FE14790</v>
          </cell>
          <cell r="B196">
            <v>-112352</v>
          </cell>
        </row>
        <row r="197">
          <cell r="A197" t="str">
            <v>FE14794</v>
          </cell>
          <cell r="B197">
            <v>-135855</v>
          </cell>
        </row>
        <row r="198">
          <cell r="A198" t="str">
            <v>FE14795</v>
          </cell>
          <cell r="B198">
            <v>-99124</v>
          </cell>
        </row>
        <row r="199">
          <cell r="A199" t="str">
            <v>FE14799</v>
          </cell>
          <cell r="B199">
            <v>-181246</v>
          </cell>
        </row>
        <row r="200">
          <cell r="A200" t="str">
            <v>FE14800</v>
          </cell>
          <cell r="B200">
            <v>-15489</v>
          </cell>
        </row>
        <row r="201">
          <cell r="A201" t="str">
            <v>FE14801</v>
          </cell>
          <cell r="B201">
            <v>-11989</v>
          </cell>
        </row>
        <row r="202">
          <cell r="A202" t="str">
            <v>FE14805</v>
          </cell>
          <cell r="B202">
            <v>-250905</v>
          </cell>
        </row>
        <row r="203">
          <cell r="A203" t="str">
            <v>FE14814</v>
          </cell>
          <cell r="B203">
            <v>-15489</v>
          </cell>
        </row>
        <row r="204">
          <cell r="A204" t="str">
            <v>FE14815</v>
          </cell>
          <cell r="B204">
            <v>-11989</v>
          </cell>
        </row>
        <row r="205">
          <cell r="A205" t="str">
            <v>FE14816</v>
          </cell>
          <cell r="B205">
            <v>-196179</v>
          </cell>
        </row>
        <row r="206">
          <cell r="A206" t="str">
            <v>FE14821</v>
          </cell>
          <cell r="B206">
            <v>-15489</v>
          </cell>
        </row>
        <row r="207">
          <cell r="A207" t="str">
            <v>FE14823</v>
          </cell>
          <cell r="B207">
            <v>-15489</v>
          </cell>
        </row>
        <row r="208">
          <cell r="A208" t="str">
            <v>FE14824</v>
          </cell>
          <cell r="B208">
            <v>-310101</v>
          </cell>
        </row>
        <row r="209">
          <cell r="A209" t="str">
            <v>FE14833</v>
          </cell>
          <cell r="B209">
            <v>-181246</v>
          </cell>
        </row>
        <row r="210">
          <cell r="A210" t="str">
            <v>FE14834</v>
          </cell>
          <cell r="B210">
            <v>-135855</v>
          </cell>
        </row>
        <row r="211">
          <cell r="A211" t="str">
            <v>FE14836</v>
          </cell>
          <cell r="B211">
            <v>-135855</v>
          </cell>
        </row>
        <row r="212">
          <cell r="A212" t="str">
            <v>FE14839</v>
          </cell>
          <cell r="B212">
            <v>-317101</v>
          </cell>
        </row>
        <row r="213">
          <cell r="A213" t="str">
            <v>FE14843</v>
          </cell>
          <cell r="B213">
            <v>-135855</v>
          </cell>
        </row>
        <row r="214">
          <cell r="A214" t="str">
            <v>FE14844</v>
          </cell>
          <cell r="B214">
            <v>-135855</v>
          </cell>
        </row>
        <row r="215">
          <cell r="A215" t="str">
            <v>FE14845</v>
          </cell>
          <cell r="B215">
            <v>-208190</v>
          </cell>
        </row>
        <row r="216">
          <cell r="A216" t="str">
            <v>FE14846</v>
          </cell>
          <cell r="B216">
            <v>-15489</v>
          </cell>
        </row>
        <row r="217">
          <cell r="A217" t="str">
            <v>FE14848</v>
          </cell>
          <cell r="B217">
            <v>-15489</v>
          </cell>
        </row>
        <row r="218">
          <cell r="A218" t="str">
            <v>FE14849</v>
          </cell>
          <cell r="B218">
            <v>-11989</v>
          </cell>
        </row>
        <row r="219">
          <cell r="A219" t="str">
            <v>FE14850</v>
          </cell>
          <cell r="B219">
            <v>-15489</v>
          </cell>
        </row>
        <row r="220">
          <cell r="A220" t="str">
            <v>FE14852</v>
          </cell>
          <cell r="B220">
            <v>-15489</v>
          </cell>
        </row>
        <row r="221">
          <cell r="A221" t="str">
            <v>FE14857</v>
          </cell>
          <cell r="B221">
            <v>-181246</v>
          </cell>
        </row>
        <row r="222">
          <cell r="A222" t="str">
            <v>FE14859</v>
          </cell>
          <cell r="B222">
            <v>-15489</v>
          </cell>
        </row>
        <row r="223">
          <cell r="A223" t="str">
            <v>FE14862</v>
          </cell>
          <cell r="B223">
            <v>-15489</v>
          </cell>
        </row>
        <row r="224">
          <cell r="A224" t="str">
            <v>FE14868</v>
          </cell>
          <cell r="B224">
            <v>-135855</v>
          </cell>
        </row>
        <row r="225">
          <cell r="A225" t="str">
            <v>FE14870</v>
          </cell>
          <cell r="B225">
            <v>-135855</v>
          </cell>
        </row>
        <row r="226">
          <cell r="A226" t="str">
            <v>FE14871</v>
          </cell>
          <cell r="B226">
            <v>-135855</v>
          </cell>
        </row>
        <row r="227">
          <cell r="A227" t="str">
            <v>FE14875</v>
          </cell>
          <cell r="B227">
            <v>-135855</v>
          </cell>
        </row>
        <row r="228">
          <cell r="A228" t="str">
            <v>FE14876</v>
          </cell>
          <cell r="B228">
            <v>-135855</v>
          </cell>
        </row>
        <row r="229">
          <cell r="A229" t="str">
            <v>FE14877</v>
          </cell>
          <cell r="B229">
            <v>-135855</v>
          </cell>
        </row>
        <row r="230">
          <cell r="A230" t="str">
            <v>FE14888</v>
          </cell>
          <cell r="B230">
            <v>-181246</v>
          </cell>
        </row>
        <row r="231">
          <cell r="A231" t="str">
            <v>FE14889</v>
          </cell>
          <cell r="B231">
            <v>-181246</v>
          </cell>
        </row>
        <row r="232">
          <cell r="A232" t="str">
            <v>FE14892</v>
          </cell>
          <cell r="B232">
            <v>-181246</v>
          </cell>
        </row>
        <row r="233">
          <cell r="A233" t="str">
            <v>FE14902</v>
          </cell>
          <cell r="B233">
            <v>-163121</v>
          </cell>
        </row>
        <row r="234">
          <cell r="A234" t="str">
            <v>FE14911</v>
          </cell>
          <cell r="B234">
            <v>-181246</v>
          </cell>
        </row>
        <row r="235">
          <cell r="A235" t="str">
            <v>FE14912</v>
          </cell>
          <cell r="B235">
            <v>-177746</v>
          </cell>
        </row>
        <row r="236">
          <cell r="A236" t="str">
            <v>FE14916</v>
          </cell>
          <cell r="B236">
            <v>-181246</v>
          </cell>
        </row>
        <row r="237">
          <cell r="A237" t="str">
            <v>FE14917</v>
          </cell>
          <cell r="B237">
            <v>-181246</v>
          </cell>
        </row>
        <row r="238">
          <cell r="A238" t="str">
            <v>FE14918</v>
          </cell>
          <cell r="B238">
            <v>-181246</v>
          </cell>
        </row>
        <row r="239">
          <cell r="A239" t="str">
            <v>FE14919</v>
          </cell>
          <cell r="B239">
            <v>-181246</v>
          </cell>
        </row>
        <row r="240">
          <cell r="A240" t="str">
            <v>FE14927</v>
          </cell>
          <cell r="B240">
            <v>-15489</v>
          </cell>
        </row>
        <row r="241">
          <cell r="A241" t="str">
            <v>FE14930</v>
          </cell>
          <cell r="B241">
            <v>-15489</v>
          </cell>
        </row>
        <row r="242">
          <cell r="A242" t="str">
            <v>FE14931</v>
          </cell>
          <cell r="B242">
            <v>-15489</v>
          </cell>
        </row>
        <row r="243">
          <cell r="A243" t="str">
            <v>FE14932</v>
          </cell>
          <cell r="B243">
            <v>-15489</v>
          </cell>
        </row>
        <row r="244">
          <cell r="A244" t="str">
            <v>FE14948</v>
          </cell>
          <cell r="B244">
            <v>-15489</v>
          </cell>
        </row>
        <row r="245">
          <cell r="A245" t="str">
            <v>FE14950</v>
          </cell>
          <cell r="B245">
            <v>-181246</v>
          </cell>
        </row>
        <row r="246">
          <cell r="A246" t="str">
            <v>FE14951</v>
          </cell>
          <cell r="B246">
            <v>-181246</v>
          </cell>
        </row>
        <row r="247">
          <cell r="A247" t="str">
            <v>FE14952</v>
          </cell>
          <cell r="B247">
            <v>-181246</v>
          </cell>
        </row>
        <row r="248">
          <cell r="A248" t="str">
            <v>FE14955</v>
          </cell>
          <cell r="B248">
            <v>-181246</v>
          </cell>
        </row>
        <row r="249">
          <cell r="A249" t="str">
            <v>FE14958</v>
          </cell>
          <cell r="B249">
            <v>-181246</v>
          </cell>
        </row>
        <row r="250">
          <cell r="A250" t="str">
            <v>FE14964</v>
          </cell>
          <cell r="B250">
            <v>-177746</v>
          </cell>
        </row>
        <row r="251">
          <cell r="A251" t="str">
            <v>FE14966</v>
          </cell>
          <cell r="B251">
            <v>-181246</v>
          </cell>
        </row>
        <row r="252">
          <cell r="A252" t="str">
            <v>FE14968</v>
          </cell>
          <cell r="B252">
            <v>-339170</v>
          </cell>
        </row>
        <row r="253">
          <cell r="A253" t="str">
            <v>FE14972</v>
          </cell>
          <cell r="B253">
            <v>-181246</v>
          </cell>
        </row>
        <row r="254">
          <cell r="A254" t="str">
            <v>FE14974</v>
          </cell>
          <cell r="B254">
            <v>-339170</v>
          </cell>
        </row>
        <row r="255">
          <cell r="A255" t="str">
            <v>FE14976</v>
          </cell>
          <cell r="B255">
            <v>-280634</v>
          </cell>
        </row>
        <row r="256">
          <cell r="A256" t="str">
            <v>FE14978</v>
          </cell>
          <cell r="B256">
            <v>-181246</v>
          </cell>
        </row>
        <row r="257">
          <cell r="A257" t="str">
            <v>FE14983</v>
          </cell>
          <cell r="B257">
            <v>-181246</v>
          </cell>
        </row>
        <row r="258">
          <cell r="A258" t="str">
            <v>FE14984</v>
          </cell>
          <cell r="B258">
            <v>-339170</v>
          </cell>
        </row>
        <row r="259">
          <cell r="A259" t="str">
            <v>FE14987</v>
          </cell>
          <cell r="B259">
            <v>-359252</v>
          </cell>
        </row>
        <row r="260">
          <cell r="A260" t="str">
            <v>FE14988</v>
          </cell>
          <cell r="B260">
            <v>-181246</v>
          </cell>
        </row>
        <row r="261">
          <cell r="A261" t="str">
            <v>FE14992</v>
          </cell>
          <cell r="B261">
            <v>-134512</v>
          </cell>
        </row>
        <row r="262">
          <cell r="A262" t="str">
            <v>FE14998</v>
          </cell>
          <cell r="B262">
            <v>-134512</v>
          </cell>
        </row>
        <row r="263">
          <cell r="A263" t="str">
            <v>FE14999</v>
          </cell>
          <cell r="B263">
            <v>-116393</v>
          </cell>
        </row>
        <row r="264">
          <cell r="A264" t="str">
            <v>FE15005</v>
          </cell>
          <cell r="B264">
            <v>-339170</v>
          </cell>
        </row>
        <row r="265">
          <cell r="A265" t="str">
            <v>FE15007</v>
          </cell>
          <cell r="B265">
            <v>-15489</v>
          </cell>
        </row>
        <row r="266">
          <cell r="A266" t="str">
            <v>FE15008</v>
          </cell>
          <cell r="B266">
            <v>-15489</v>
          </cell>
        </row>
        <row r="267">
          <cell r="A267" t="str">
            <v>FE15011</v>
          </cell>
          <cell r="B267">
            <v>-15489</v>
          </cell>
        </row>
        <row r="268">
          <cell r="A268" t="str">
            <v>FE15012</v>
          </cell>
          <cell r="B268">
            <v>-15489</v>
          </cell>
        </row>
        <row r="269">
          <cell r="A269" t="str">
            <v>FE15015</v>
          </cell>
          <cell r="B269">
            <v>-15489</v>
          </cell>
        </row>
        <row r="270">
          <cell r="A270" t="str">
            <v>FE15016</v>
          </cell>
          <cell r="B270">
            <v>-11989</v>
          </cell>
        </row>
        <row r="271">
          <cell r="A271" t="str">
            <v>FE15017</v>
          </cell>
          <cell r="B271">
            <v>-15489</v>
          </cell>
        </row>
        <row r="272">
          <cell r="A272" t="str">
            <v>FE15019</v>
          </cell>
          <cell r="B272">
            <v>-15489</v>
          </cell>
        </row>
        <row r="273">
          <cell r="A273" t="str">
            <v>FE15023</v>
          </cell>
          <cell r="B273">
            <v>-15489</v>
          </cell>
        </row>
        <row r="274">
          <cell r="A274" t="str">
            <v>FE15028</v>
          </cell>
          <cell r="B274">
            <v>-15489</v>
          </cell>
        </row>
        <row r="275">
          <cell r="A275" t="str">
            <v>FE15030</v>
          </cell>
          <cell r="B275">
            <v>-15489</v>
          </cell>
        </row>
        <row r="276">
          <cell r="A276" t="str">
            <v>FE15044</v>
          </cell>
          <cell r="B276">
            <v>-317101</v>
          </cell>
        </row>
        <row r="277">
          <cell r="A277" t="str">
            <v>FE15051</v>
          </cell>
          <cell r="B277">
            <v>-181246</v>
          </cell>
        </row>
        <row r="278">
          <cell r="A278" t="str">
            <v>FE15055</v>
          </cell>
          <cell r="B278">
            <v>-181246</v>
          </cell>
        </row>
        <row r="279">
          <cell r="A279" t="str">
            <v>FE15066</v>
          </cell>
          <cell r="B279">
            <v>-99388</v>
          </cell>
        </row>
        <row r="280">
          <cell r="A280" t="str">
            <v>FE15067</v>
          </cell>
          <cell r="B280">
            <v>-317101</v>
          </cell>
        </row>
        <row r="281">
          <cell r="A281" t="str">
            <v>FE15070</v>
          </cell>
          <cell r="B281">
            <v>-13940</v>
          </cell>
        </row>
        <row r="282">
          <cell r="A282" t="str">
            <v>FE15099</v>
          </cell>
          <cell r="B282">
            <v>-196735</v>
          </cell>
        </row>
        <row r="283">
          <cell r="A283" t="str">
            <v>FE15100</v>
          </cell>
          <cell r="B283">
            <v>-181246</v>
          </cell>
        </row>
        <row r="284">
          <cell r="A284" t="str">
            <v>FE15103</v>
          </cell>
          <cell r="B284">
            <v>-181246</v>
          </cell>
        </row>
        <row r="285">
          <cell r="A285" t="str">
            <v>FE15106</v>
          </cell>
          <cell r="B285">
            <v>-339170</v>
          </cell>
        </row>
        <row r="286">
          <cell r="A286" t="str">
            <v>FE15114</v>
          </cell>
          <cell r="B286">
            <v>-116393</v>
          </cell>
        </row>
        <row r="287">
          <cell r="A287" t="str">
            <v>FE15119</v>
          </cell>
          <cell r="B287">
            <v>-181246</v>
          </cell>
        </row>
        <row r="288">
          <cell r="A288" t="str">
            <v>FE15125</v>
          </cell>
          <cell r="B288">
            <v>-14933</v>
          </cell>
        </row>
        <row r="289">
          <cell r="A289" t="str">
            <v>FE15133</v>
          </cell>
          <cell r="B289">
            <v>-15489</v>
          </cell>
        </row>
        <row r="290">
          <cell r="A290" t="str">
            <v>FE15135</v>
          </cell>
          <cell r="B290">
            <v>-8597102</v>
          </cell>
        </row>
        <row r="291">
          <cell r="A291" t="str">
            <v>FE15138</v>
          </cell>
          <cell r="B291">
            <v>-150788</v>
          </cell>
        </row>
        <row r="292">
          <cell r="A292" t="str">
            <v>FE15139</v>
          </cell>
          <cell r="B292">
            <v>-9288449</v>
          </cell>
        </row>
        <row r="293">
          <cell r="A293" t="str">
            <v>FE15140</v>
          </cell>
          <cell r="B293">
            <v>-331763</v>
          </cell>
        </row>
        <row r="294">
          <cell r="A294" t="str">
            <v>FE15141</v>
          </cell>
          <cell r="B294">
            <v>-181246</v>
          </cell>
        </row>
        <row r="295">
          <cell r="A295" t="str">
            <v>FE15144</v>
          </cell>
          <cell r="B295">
            <v>-132355</v>
          </cell>
        </row>
        <row r="296">
          <cell r="A296" t="str">
            <v>FE15145</v>
          </cell>
          <cell r="B296">
            <v>-135855</v>
          </cell>
        </row>
        <row r="297">
          <cell r="A297" t="str">
            <v>FE15152</v>
          </cell>
          <cell r="B297">
            <v>-317101</v>
          </cell>
        </row>
        <row r="298">
          <cell r="A298" t="str">
            <v>FE15162</v>
          </cell>
          <cell r="B298">
            <v>-177746</v>
          </cell>
        </row>
        <row r="299">
          <cell r="A299" t="str">
            <v>FE15169</v>
          </cell>
          <cell r="B299">
            <v>-144344</v>
          </cell>
        </row>
        <row r="300">
          <cell r="A300" t="str">
            <v>FE15173</v>
          </cell>
          <cell r="B300">
            <v>-132355</v>
          </cell>
        </row>
        <row r="301">
          <cell r="A301" t="str">
            <v>FE15176</v>
          </cell>
          <cell r="B301">
            <v>-132355</v>
          </cell>
        </row>
        <row r="302">
          <cell r="A302" t="str">
            <v>FE15180</v>
          </cell>
          <cell r="B302">
            <v>-135855</v>
          </cell>
        </row>
        <row r="303">
          <cell r="A303" t="str">
            <v>FE15182</v>
          </cell>
          <cell r="B303">
            <v>-135855</v>
          </cell>
        </row>
        <row r="304">
          <cell r="A304" t="str">
            <v>FE15183</v>
          </cell>
          <cell r="B304">
            <v>-132355</v>
          </cell>
        </row>
        <row r="305">
          <cell r="A305" t="str">
            <v>FE15184</v>
          </cell>
          <cell r="B305">
            <v>-135855</v>
          </cell>
        </row>
        <row r="306">
          <cell r="A306" t="str">
            <v>FE15187</v>
          </cell>
          <cell r="B306">
            <v>-317101</v>
          </cell>
        </row>
        <row r="307">
          <cell r="A307" t="str">
            <v>FE15189</v>
          </cell>
          <cell r="B307">
            <v>-135855</v>
          </cell>
        </row>
        <row r="308">
          <cell r="A308" t="str">
            <v>FE15192</v>
          </cell>
          <cell r="B308">
            <v>-122270</v>
          </cell>
        </row>
        <row r="309">
          <cell r="A309" t="str">
            <v>FE15193</v>
          </cell>
          <cell r="B309">
            <v>-2585033</v>
          </cell>
        </row>
        <row r="310">
          <cell r="A310" t="str">
            <v>FE15196</v>
          </cell>
          <cell r="B310">
            <v>-181246</v>
          </cell>
        </row>
        <row r="311">
          <cell r="A311" t="str">
            <v>FE15203</v>
          </cell>
          <cell r="B311">
            <v>-2734578</v>
          </cell>
        </row>
        <row r="312">
          <cell r="A312" t="str">
            <v>FE15204</v>
          </cell>
          <cell r="B312">
            <v>-181246</v>
          </cell>
        </row>
        <row r="313">
          <cell r="A313" t="str">
            <v>FE15213</v>
          </cell>
          <cell r="B313">
            <v>-49114</v>
          </cell>
        </row>
        <row r="314">
          <cell r="A314" t="str">
            <v>FE15216</v>
          </cell>
          <cell r="B314">
            <v>-2356764</v>
          </cell>
        </row>
        <row r="315">
          <cell r="A315" t="str">
            <v>FE15217</v>
          </cell>
          <cell r="B315">
            <v>-11989</v>
          </cell>
        </row>
        <row r="316">
          <cell r="A316" t="str">
            <v>FE15237</v>
          </cell>
          <cell r="B316">
            <v>-99124</v>
          </cell>
        </row>
        <row r="317">
          <cell r="A317" t="str">
            <v>FE15239</v>
          </cell>
          <cell r="B317">
            <v>-181246</v>
          </cell>
        </row>
        <row r="318">
          <cell r="A318" t="str">
            <v>FE15241</v>
          </cell>
          <cell r="B318">
            <v>-181246</v>
          </cell>
        </row>
        <row r="319">
          <cell r="A319" t="str">
            <v>FE15242</v>
          </cell>
          <cell r="B319">
            <v>-181246</v>
          </cell>
        </row>
        <row r="320">
          <cell r="A320" t="str">
            <v>FE15245</v>
          </cell>
          <cell r="B320">
            <v>-181246</v>
          </cell>
        </row>
        <row r="321">
          <cell r="A321" t="str">
            <v>FE15246</v>
          </cell>
          <cell r="B321">
            <v>-181246</v>
          </cell>
        </row>
        <row r="322">
          <cell r="A322" t="str">
            <v>FE15248</v>
          </cell>
          <cell r="B322">
            <v>-177746</v>
          </cell>
        </row>
        <row r="323">
          <cell r="A323" t="str">
            <v>FE15251</v>
          </cell>
          <cell r="B323">
            <v>-15489</v>
          </cell>
        </row>
        <row r="324">
          <cell r="A324" t="str">
            <v>FE15252</v>
          </cell>
          <cell r="B324">
            <v>-15489</v>
          </cell>
        </row>
        <row r="325">
          <cell r="A325" t="str">
            <v>FE15253</v>
          </cell>
          <cell r="B325">
            <v>-15489</v>
          </cell>
        </row>
        <row r="326">
          <cell r="A326" t="str">
            <v>FE15256</v>
          </cell>
          <cell r="B326">
            <v>-181246</v>
          </cell>
        </row>
        <row r="327">
          <cell r="A327" t="str">
            <v>FE15259</v>
          </cell>
          <cell r="B327">
            <v>-15489</v>
          </cell>
        </row>
        <row r="328">
          <cell r="A328" t="str">
            <v>FE15274</v>
          </cell>
          <cell r="B328">
            <v>-15489</v>
          </cell>
        </row>
        <row r="329">
          <cell r="A329" t="str">
            <v>FE15275</v>
          </cell>
          <cell r="B329">
            <v>-181246</v>
          </cell>
        </row>
        <row r="330">
          <cell r="A330" t="str">
            <v>FE15279</v>
          </cell>
          <cell r="B330">
            <v>-11989</v>
          </cell>
        </row>
        <row r="331">
          <cell r="A331" t="str">
            <v>FE15285</v>
          </cell>
          <cell r="B331">
            <v>-15489</v>
          </cell>
        </row>
        <row r="332">
          <cell r="A332" t="str">
            <v>FE15287</v>
          </cell>
          <cell r="B332">
            <v>-15489</v>
          </cell>
        </row>
        <row r="333">
          <cell r="A333" t="str">
            <v>FE15292</v>
          </cell>
          <cell r="B333">
            <v>-15489</v>
          </cell>
        </row>
        <row r="334">
          <cell r="A334" t="str">
            <v>FE15297</v>
          </cell>
          <cell r="B334">
            <v>-181246</v>
          </cell>
        </row>
        <row r="335">
          <cell r="A335" t="str">
            <v>FE15299</v>
          </cell>
          <cell r="B335">
            <v>-181246</v>
          </cell>
        </row>
        <row r="336">
          <cell r="A336" t="str">
            <v>FE15300</v>
          </cell>
          <cell r="B336">
            <v>-181246</v>
          </cell>
        </row>
        <row r="337">
          <cell r="A337" t="str">
            <v>FE15301</v>
          </cell>
          <cell r="B337">
            <v>-181246</v>
          </cell>
        </row>
        <row r="338">
          <cell r="A338" t="str">
            <v>FE15302</v>
          </cell>
          <cell r="B338">
            <v>-181246</v>
          </cell>
        </row>
        <row r="339">
          <cell r="A339" t="str">
            <v>FE15306</v>
          </cell>
          <cell r="B339">
            <v>-181246</v>
          </cell>
        </row>
        <row r="340">
          <cell r="A340" t="str">
            <v>FE15308</v>
          </cell>
          <cell r="B340">
            <v>-181246</v>
          </cell>
        </row>
        <row r="341">
          <cell r="A341" t="str">
            <v>FE15316</v>
          </cell>
          <cell r="B341">
            <v>-135855</v>
          </cell>
        </row>
        <row r="342">
          <cell r="A342" t="str">
            <v>FE15324</v>
          </cell>
          <cell r="B342">
            <v>-13940</v>
          </cell>
        </row>
        <row r="343">
          <cell r="A343" t="str">
            <v>FE15328</v>
          </cell>
          <cell r="B343">
            <v>-14933</v>
          </cell>
        </row>
        <row r="344">
          <cell r="A344" t="str">
            <v>FE15330</v>
          </cell>
          <cell r="B344">
            <v>-122952</v>
          </cell>
        </row>
        <row r="345">
          <cell r="A345" t="str">
            <v>FE15335</v>
          </cell>
          <cell r="B345">
            <v>-181246</v>
          </cell>
        </row>
        <row r="346">
          <cell r="A346" t="str">
            <v>FE15336</v>
          </cell>
          <cell r="B346">
            <v>-135855</v>
          </cell>
        </row>
        <row r="347">
          <cell r="A347" t="str">
            <v>FE15340</v>
          </cell>
          <cell r="B347">
            <v>-177746</v>
          </cell>
        </row>
        <row r="348">
          <cell r="A348" t="str">
            <v>FE15341</v>
          </cell>
          <cell r="B348">
            <v>-181246</v>
          </cell>
        </row>
        <row r="349">
          <cell r="A349" t="str">
            <v>FE15344</v>
          </cell>
          <cell r="B349">
            <v>-13940</v>
          </cell>
        </row>
        <row r="350">
          <cell r="A350" t="str">
            <v>FE15345</v>
          </cell>
          <cell r="B350">
            <v>-99388</v>
          </cell>
        </row>
        <row r="351">
          <cell r="A351" t="str">
            <v>FE15348</v>
          </cell>
          <cell r="B351">
            <v>-250905</v>
          </cell>
        </row>
        <row r="352">
          <cell r="A352" t="str">
            <v>FE15349</v>
          </cell>
          <cell r="B352">
            <v>-116393</v>
          </cell>
        </row>
        <row r="353">
          <cell r="A353" t="str">
            <v>FE15353</v>
          </cell>
          <cell r="B353">
            <v>-181246</v>
          </cell>
        </row>
        <row r="354">
          <cell r="A354" t="str">
            <v>FE15354</v>
          </cell>
          <cell r="B354">
            <v>-177746</v>
          </cell>
        </row>
        <row r="355">
          <cell r="A355" t="str">
            <v>FE15359</v>
          </cell>
          <cell r="B355">
            <v>-99388</v>
          </cell>
        </row>
        <row r="356">
          <cell r="A356" t="str">
            <v>FE15360</v>
          </cell>
          <cell r="B356">
            <v>-15489</v>
          </cell>
        </row>
        <row r="357">
          <cell r="A357" t="str">
            <v>FE15364</v>
          </cell>
          <cell r="B357">
            <v>-13940</v>
          </cell>
        </row>
        <row r="358">
          <cell r="A358" t="str">
            <v>FE15365</v>
          </cell>
          <cell r="B358">
            <v>-15489</v>
          </cell>
        </row>
        <row r="359">
          <cell r="A359" t="str">
            <v>FE15369</v>
          </cell>
          <cell r="B359">
            <v>-15489</v>
          </cell>
        </row>
        <row r="360">
          <cell r="A360" t="str">
            <v>FE15374</v>
          </cell>
          <cell r="B360">
            <v>-15489</v>
          </cell>
        </row>
        <row r="361">
          <cell r="A361" t="str">
            <v>FE15375</v>
          </cell>
          <cell r="B361">
            <v>-15489</v>
          </cell>
        </row>
        <row r="362">
          <cell r="A362" t="str">
            <v>FE15376</v>
          </cell>
          <cell r="B362">
            <v>-15489</v>
          </cell>
        </row>
        <row r="363">
          <cell r="A363" t="str">
            <v>FE15377</v>
          </cell>
          <cell r="B363">
            <v>-11989</v>
          </cell>
        </row>
        <row r="364">
          <cell r="A364" t="str">
            <v>FE15379</v>
          </cell>
          <cell r="B364">
            <v>-181246</v>
          </cell>
        </row>
        <row r="365">
          <cell r="A365" t="str">
            <v>FE15384</v>
          </cell>
          <cell r="B365">
            <v>-181246</v>
          </cell>
        </row>
        <row r="366">
          <cell r="A366" t="str">
            <v>FE15385</v>
          </cell>
          <cell r="B366">
            <v>-181246</v>
          </cell>
        </row>
        <row r="367">
          <cell r="A367" t="str">
            <v>FE15386</v>
          </cell>
          <cell r="B367">
            <v>-181246</v>
          </cell>
        </row>
        <row r="368">
          <cell r="A368" t="str">
            <v>FE15388</v>
          </cell>
          <cell r="B368">
            <v>-160403</v>
          </cell>
        </row>
        <row r="369">
          <cell r="A369" t="str">
            <v>FE15389</v>
          </cell>
          <cell r="B369">
            <v>-181246</v>
          </cell>
        </row>
        <row r="370">
          <cell r="A370" t="str">
            <v>FE15390</v>
          </cell>
          <cell r="B370">
            <v>-181246</v>
          </cell>
        </row>
        <row r="371">
          <cell r="A371" t="str">
            <v>FE15393</v>
          </cell>
          <cell r="B371">
            <v>-181246</v>
          </cell>
        </row>
        <row r="372">
          <cell r="A372" t="str">
            <v>FE15401</v>
          </cell>
          <cell r="B372">
            <v>-15489</v>
          </cell>
        </row>
        <row r="373">
          <cell r="A373" t="str">
            <v>FE15403</v>
          </cell>
          <cell r="B373">
            <v>-15489</v>
          </cell>
        </row>
        <row r="374">
          <cell r="A374" t="str">
            <v>FE15404</v>
          </cell>
          <cell r="B374">
            <v>-15489</v>
          </cell>
        </row>
        <row r="375">
          <cell r="A375" t="str">
            <v>FE15406</v>
          </cell>
          <cell r="B375">
            <v>-15489</v>
          </cell>
        </row>
        <row r="376">
          <cell r="A376" t="str">
            <v>FE15407</v>
          </cell>
          <cell r="B376">
            <v>-11989</v>
          </cell>
        </row>
        <row r="377">
          <cell r="A377" t="str">
            <v>FE15412</v>
          </cell>
          <cell r="B377">
            <v>-15489</v>
          </cell>
        </row>
        <row r="378">
          <cell r="A378" t="str">
            <v>FE15421</v>
          </cell>
          <cell r="B378">
            <v>-317101</v>
          </cell>
        </row>
        <row r="379">
          <cell r="A379" t="str">
            <v>FE15422</v>
          </cell>
          <cell r="B379">
            <v>-177746</v>
          </cell>
        </row>
        <row r="380">
          <cell r="A380" t="str">
            <v>FE15425</v>
          </cell>
          <cell r="B380">
            <v>-135855</v>
          </cell>
        </row>
        <row r="381">
          <cell r="A381" t="str">
            <v>FE15439</v>
          </cell>
          <cell r="B381">
            <v>-181246</v>
          </cell>
        </row>
        <row r="382">
          <cell r="A382" t="str">
            <v>FE15440</v>
          </cell>
          <cell r="B382">
            <v>-15489</v>
          </cell>
        </row>
        <row r="383">
          <cell r="A383" t="str">
            <v>FE15444</v>
          </cell>
          <cell r="B383">
            <v>-15489</v>
          </cell>
        </row>
        <row r="384">
          <cell r="A384" t="str">
            <v>FE15446</v>
          </cell>
          <cell r="B384">
            <v>-13940</v>
          </cell>
        </row>
        <row r="385">
          <cell r="A385" t="str">
            <v>FE15447</v>
          </cell>
          <cell r="B385">
            <v>-135855</v>
          </cell>
        </row>
        <row r="386">
          <cell r="A386" t="str">
            <v>FE15451</v>
          </cell>
          <cell r="B386">
            <v>-135855</v>
          </cell>
        </row>
        <row r="387">
          <cell r="A387" t="str">
            <v>FE15452</v>
          </cell>
          <cell r="B387">
            <v>-135855</v>
          </cell>
        </row>
        <row r="388">
          <cell r="A388" t="str">
            <v>FE15453</v>
          </cell>
          <cell r="B388">
            <v>-135855</v>
          </cell>
        </row>
        <row r="389">
          <cell r="A389" t="str">
            <v>FE15456</v>
          </cell>
          <cell r="B389">
            <v>-13985528</v>
          </cell>
        </row>
        <row r="390">
          <cell r="A390" t="str">
            <v>FE15458</v>
          </cell>
          <cell r="B390">
            <v>-177746</v>
          </cell>
        </row>
        <row r="391">
          <cell r="A391" t="str">
            <v>FE15460</v>
          </cell>
          <cell r="B391">
            <v>-181246</v>
          </cell>
        </row>
        <row r="392">
          <cell r="A392" t="str">
            <v>FE15461</v>
          </cell>
          <cell r="B392">
            <v>-181246</v>
          </cell>
        </row>
        <row r="393">
          <cell r="A393" t="str">
            <v>FE15463</v>
          </cell>
          <cell r="B393">
            <v>-135855</v>
          </cell>
        </row>
        <row r="394">
          <cell r="A394" t="str">
            <v>FE15464</v>
          </cell>
          <cell r="B394">
            <v>-317101</v>
          </cell>
        </row>
        <row r="395">
          <cell r="A395" t="str">
            <v>FE15469</v>
          </cell>
          <cell r="B395">
            <v>-99388</v>
          </cell>
        </row>
        <row r="396">
          <cell r="A396" t="str">
            <v>FE15474</v>
          </cell>
          <cell r="B396">
            <v>-135855</v>
          </cell>
        </row>
        <row r="397">
          <cell r="A397" t="str">
            <v>FE15475</v>
          </cell>
          <cell r="B397">
            <v>-135855</v>
          </cell>
        </row>
        <row r="398">
          <cell r="A398" t="str">
            <v>FE15476</v>
          </cell>
          <cell r="B398">
            <v>-558337</v>
          </cell>
        </row>
        <row r="399">
          <cell r="A399" t="str">
            <v>FE15478</v>
          </cell>
          <cell r="B399">
            <v>-122270</v>
          </cell>
        </row>
        <row r="400">
          <cell r="A400" t="str">
            <v>FE15480</v>
          </cell>
          <cell r="B400">
            <v>-317101</v>
          </cell>
        </row>
        <row r="401">
          <cell r="A401" t="str">
            <v>FE15510</v>
          </cell>
          <cell r="B401">
            <v>-14933</v>
          </cell>
        </row>
        <row r="402">
          <cell r="A402" t="str">
            <v>FE15513</v>
          </cell>
          <cell r="B402">
            <v>-135855</v>
          </cell>
        </row>
        <row r="403">
          <cell r="A403" t="str">
            <v>FE15516</v>
          </cell>
          <cell r="B403">
            <v>-317101</v>
          </cell>
        </row>
        <row r="404">
          <cell r="A404" t="str">
            <v>FE15517</v>
          </cell>
          <cell r="B404">
            <v>-135855</v>
          </cell>
        </row>
        <row r="405">
          <cell r="A405" t="str">
            <v>FE15518</v>
          </cell>
          <cell r="B405">
            <v>-15490</v>
          </cell>
        </row>
        <row r="406">
          <cell r="A406" t="str">
            <v>FE15523</v>
          </cell>
          <cell r="B406">
            <v>-11989</v>
          </cell>
        </row>
        <row r="407">
          <cell r="A407" t="str">
            <v>FE15526</v>
          </cell>
          <cell r="B407">
            <v>-163121</v>
          </cell>
        </row>
        <row r="408">
          <cell r="A408" t="str">
            <v>FE15529</v>
          </cell>
          <cell r="B408">
            <v>-11989</v>
          </cell>
        </row>
        <row r="409">
          <cell r="A409" t="str">
            <v>FE15531</v>
          </cell>
          <cell r="B409">
            <v>-177746</v>
          </cell>
        </row>
        <row r="410">
          <cell r="A410" t="str">
            <v>FE15544</v>
          </cell>
          <cell r="B410">
            <v>-15489</v>
          </cell>
        </row>
        <row r="411">
          <cell r="A411" t="str">
            <v>FE15548</v>
          </cell>
          <cell r="B411">
            <v>-277776</v>
          </cell>
        </row>
        <row r="412">
          <cell r="A412" t="str">
            <v>FE15549</v>
          </cell>
          <cell r="B412">
            <v>-181246</v>
          </cell>
        </row>
        <row r="413">
          <cell r="A413" t="str">
            <v>FE15552</v>
          </cell>
          <cell r="B413">
            <v>-976109</v>
          </cell>
        </row>
        <row r="414">
          <cell r="A414" t="str">
            <v>FE15566</v>
          </cell>
          <cell r="B414">
            <v>-181246</v>
          </cell>
        </row>
        <row r="415">
          <cell r="A415" t="str">
            <v>FE15569</v>
          </cell>
          <cell r="B415">
            <v>-181246</v>
          </cell>
        </row>
        <row r="416">
          <cell r="A416" t="str">
            <v>FE15571</v>
          </cell>
          <cell r="B416">
            <v>-181246</v>
          </cell>
        </row>
        <row r="417">
          <cell r="A417" t="str">
            <v>FE15572</v>
          </cell>
          <cell r="B417">
            <v>-181246</v>
          </cell>
        </row>
        <row r="418">
          <cell r="A418" t="str">
            <v>FE15573</v>
          </cell>
          <cell r="B418">
            <v>-181246</v>
          </cell>
        </row>
        <row r="419">
          <cell r="A419" t="str">
            <v>FE15576</v>
          </cell>
          <cell r="B419">
            <v>-339170</v>
          </cell>
        </row>
        <row r="420">
          <cell r="A420" t="str">
            <v>FE15577</v>
          </cell>
          <cell r="B420">
            <v>-27838473</v>
          </cell>
        </row>
        <row r="421">
          <cell r="A421" t="str">
            <v>FE15580</v>
          </cell>
          <cell r="B421">
            <v>-11193659</v>
          </cell>
        </row>
        <row r="422">
          <cell r="A422" t="str">
            <v>FE15584</v>
          </cell>
          <cell r="B422">
            <v>-339170</v>
          </cell>
        </row>
        <row r="423">
          <cell r="A423" t="str">
            <v>FE15589</v>
          </cell>
          <cell r="B423">
            <v>-3032359</v>
          </cell>
        </row>
        <row r="424">
          <cell r="A424" t="str">
            <v>FE15595</v>
          </cell>
          <cell r="B424">
            <v>-176561</v>
          </cell>
        </row>
        <row r="425">
          <cell r="A425" t="str">
            <v>FE15598</v>
          </cell>
          <cell r="B425">
            <v>-339170</v>
          </cell>
        </row>
        <row r="426">
          <cell r="A426" t="str">
            <v>FE15599</v>
          </cell>
          <cell r="B426">
            <v>-15489</v>
          </cell>
        </row>
        <row r="427">
          <cell r="A427" t="str">
            <v>FE15601</v>
          </cell>
          <cell r="B427">
            <v>-15489</v>
          </cell>
        </row>
        <row r="428">
          <cell r="A428" t="str">
            <v>FE15603</v>
          </cell>
          <cell r="B428">
            <v>-15489</v>
          </cell>
        </row>
        <row r="429">
          <cell r="A429" t="str">
            <v>FE15605</v>
          </cell>
          <cell r="B429">
            <v>-15764202</v>
          </cell>
        </row>
        <row r="430">
          <cell r="A430" t="str">
            <v>FE15606</v>
          </cell>
          <cell r="B430">
            <v>-2944610</v>
          </cell>
        </row>
        <row r="431">
          <cell r="A431" t="str">
            <v>FE15616</v>
          </cell>
          <cell r="B431">
            <v>-339170</v>
          </cell>
        </row>
        <row r="432">
          <cell r="A432" t="str">
            <v>FE15618</v>
          </cell>
          <cell r="B432">
            <v>-181246</v>
          </cell>
        </row>
        <row r="433">
          <cell r="A433" t="str">
            <v>FE15620</v>
          </cell>
          <cell r="B433">
            <v>-181246</v>
          </cell>
        </row>
        <row r="434">
          <cell r="A434" t="str">
            <v>FE15621</v>
          </cell>
          <cell r="B434">
            <v>-181246</v>
          </cell>
        </row>
        <row r="435">
          <cell r="A435" t="str">
            <v>FE15624</v>
          </cell>
          <cell r="B435">
            <v>-181246</v>
          </cell>
        </row>
        <row r="436">
          <cell r="A436" t="str">
            <v>FE15627</v>
          </cell>
          <cell r="B436">
            <v>-122270</v>
          </cell>
        </row>
        <row r="437">
          <cell r="A437" t="str">
            <v>FE15628</v>
          </cell>
          <cell r="B437">
            <v>-120232</v>
          </cell>
        </row>
        <row r="438">
          <cell r="A438" t="str">
            <v>FE15637</v>
          </cell>
          <cell r="B438">
            <v>-160403</v>
          </cell>
        </row>
        <row r="439">
          <cell r="A439" t="str">
            <v>FE15652</v>
          </cell>
          <cell r="B439">
            <v>-11989</v>
          </cell>
        </row>
        <row r="440">
          <cell r="A440" t="str">
            <v>FE15654</v>
          </cell>
          <cell r="B440">
            <v>-181246</v>
          </cell>
        </row>
        <row r="441">
          <cell r="A441" t="str">
            <v>FE15658</v>
          </cell>
          <cell r="B441">
            <v>-49114</v>
          </cell>
        </row>
        <row r="442">
          <cell r="A442" t="str">
            <v>FE15661</v>
          </cell>
          <cell r="B442">
            <v>-15489</v>
          </cell>
        </row>
        <row r="443">
          <cell r="A443" t="str">
            <v>FE15666</v>
          </cell>
          <cell r="B443">
            <v>-15489</v>
          </cell>
        </row>
        <row r="444">
          <cell r="A444" t="str">
            <v>FE15674</v>
          </cell>
          <cell r="B444">
            <v>-15489</v>
          </cell>
        </row>
        <row r="445">
          <cell r="A445" t="str">
            <v>FE15676</v>
          </cell>
          <cell r="B445">
            <v>-15489</v>
          </cell>
        </row>
        <row r="446">
          <cell r="A446" t="str">
            <v>FE15682</v>
          </cell>
          <cell r="B446">
            <v>-15489</v>
          </cell>
        </row>
        <row r="447">
          <cell r="A447" t="str">
            <v>FE15688</v>
          </cell>
          <cell r="B447">
            <v>-15489</v>
          </cell>
        </row>
        <row r="448">
          <cell r="A448" t="str">
            <v>FE15689</v>
          </cell>
          <cell r="B448">
            <v>-15489</v>
          </cell>
        </row>
        <row r="449">
          <cell r="A449" t="str">
            <v>FE15691</v>
          </cell>
          <cell r="B449">
            <v>-11989</v>
          </cell>
        </row>
        <row r="450">
          <cell r="A450" t="str">
            <v>FE15693</v>
          </cell>
          <cell r="B450">
            <v>-15489</v>
          </cell>
        </row>
        <row r="451">
          <cell r="A451" t="str">
            <v>FE15695</v>
          </cell>
          <cell r="B451">
            <v>-15489</v>
          </cell>
        </row>
        <row r="452">
          <cell r="A452" t="str">
            <v>FE15697</v>
          </cell>
          <cell r="B452">
            <v>-181246</v>
          </cell>
        </row>
        <row r="453">
          <cell r="A453" t="str">
            <v>FE15698</v>
          </cell>
          <cell r="B453">
            <v>-181246</v>
          </cell>
        </row>
        <row r="454">
          <cell r="A454" t="str">
            <v>FE15700</v>
          </cell>
          <cell r="B454">
            <v>-280370</v>
          </cell>
        </row>
        <row r="455">
          <cell r="A455" t="str">
            <v>FE15701</v>
          </cell>
          <cell r="B455">
            <v>-181246</v>
          </cell>
        </row>
        <row r="456">
          <cell r="A456" t="str">
            <v>FE15702</v>
          </cell>
          <cell r="B456">
            <v>-11989</v>
          </cell>
        </row>
        <row r="457">
          <cell r="A457" t="str">
            <v>FE15703</v>
          </cell>
          <cell r="B457">
            <v>-181246</v>
          </cell>
        </row>
        <row r="458">
          <cell r="A458" t="str">
            <v>FE15705</v>
          </cell>
          <cell r="B458">
            <v>-15489</v>
          </cell>
        </row>
        <row r="459">
          <cell r="A459" t="str">
            <v>FE15707</v>
          </cell>
          <cell r="B459">
            <v>-181246</v>
          </cell>
        </row>
        <row r="460">
          <cell r="A460" t="str">
            <v>FE15714</v>
          </cell>
          <cell r="B460">
            <v>-15489</v>
          </cell>
        </row>
        <row r="461">
          <cell r="A461" t="str">
            <v>FE15717</v>
          </cell>
          <cell r="B461">
            <v>-15489</v>
          </cell>
        </row>
        <row r="462">
          <cell r="A462" t="str">
            <v>FE15718</v>
          </cell>
          <cell r="B462">
            <v>-15489</v>
          </cell>
        </row>
        <row r="463">
          <cell r="A463" t="str">
            <v>FE15719</v>
          </cell>
          <cell r="B463">
            <v>-15489</v>
          </cell>
        </row>
        <row r="464">
          <cell r="A464" t="str">
            <v>FE15721</v>
          </cell>
          <cell r="B464">
            <v>-181246</v>
          </cell>
        </row>
        <row r="465">
          <cell r="A465" t="str">
            <v>FE15722</v>
          </cell>
          <cell r="B465">
            <v>-181246</v>
          </cell>
        </row>
        <row r="466">
          <cell r="A466" t="str">
            <v>FE15723</v>
          </cell>
          <cell r="B466">
            <v>-160403</v>
          </cell>
        </row>
        <row r="467">
          <cell r="A467" t="str">
            <v>FE15725</v>
          </cell>
          <cell r="B467">
            <v>-15489</v>
          </cell>
        </row>
        <row r="468">
          <cell r="A468" t="str">
            <v>FE15727</v>
          </cell>
          <cell r="B468">
            <v>-15489</v>
          </cell>
        </row>
        <row r="469">
          <cell r="A469" t="str">
            <v>FE15731</v>
          </cell>
          <cell r="B469">
            <v>-181246</v>
          </cell>
        </row>
        <row r="470">
          <cell r="A470" t="str">
            <v>FE15737</v>
          </cell>
          <cell r="B470">
            <v>-135855</v>
          </cell>
        </row>
        <row r="471">
          <cell r="A471" t="str">
            <v>FE15739</v>
          </cell>
          <cell r="B471">
            <v>-181246</v>
          </cell>
        </row>
        <row r="472">
          <cell r="A472" t="str">
            <v>FE15740</v>
          </cell>
          <cell r="B472">
            <v>-135855</v>
          </cell>
        </row>
        <row r="473">
          <cell r="A473" t="str">
            <v>FE15743</v>
          </cell>
          <cell r="B473">
            <v>-135855</v>
          </cell>
        </row>
        <row r="474">
          <cell r="A474" t="str">
            <v>FE15744</v>
          </cell>
          <cell r="B474">
            <v>-135855</v>
          </cell>
        </row>
        <row r="475">
          <cell r="A475" t="str">
            <v>FE15745</v>
          </cell>
          <cell r="B475">
            <v>-407661</v>
          </cell>
        </row>
        <row r="476">
          <cell r="A476" t="str">
            <v>FE15746</v>
          </cell>
          <cell r="B476">
            <v>-264710</v>
          </cell>
        </row>
        <row r="477">
          <cell r="A477" t="str">
            <v>FE15749</v>
          </cell>
          <cell r="B477">
            <v>-135855</v>
          </cell>
        </row>
        <row r="478">
          <cell r="A478" t="str">
            <v>FE15751</v>
          </cell>
          <cell r="B478">
            <v>-310101</v>
          </cell>
        </row>
        <row r="479">
          <cell r="A479" t="str">
            <v>FE15758</v>
          </cell>
          <cell r="B479">
            <v>-181246</v>
          </cell>
        </row>
        <row r="480">
          <cell r="A480" t="str">
            <v>FE15759</v>
          </cell>
          <cell r="B480">
            <v>-181246</v>
          </cell>
        </row>
        <row r="481">
          <cell r="A481" t="str">
            <v>FE15761</v>
          </cell>
          <cell r="B481">
            <v>-181246</v>
          </cell>
        </row>
        <row r="482">
          <cell r="A482" t="str">
            <v>FE15764</v>
          </cell>
          <cell r="B482">
            <v>-181246</v>
          </cell>
        </row>
        <row r="483">
          <cell r="A483" t="str">
            <v>FE15767</v>
          </cell>
          <cell r="B483">
            <v>-181246</v>
          </cell>
        </row>
        <row r="484">
          <cell r="A484" t="str">
            <v>FE15769</v>
          </cell>
          <cell r="B484">
            <v>-181246</v>
          </cell>
        </row>
        <row r="485">
          <cell r="A485" t="str">
            <v>FE15774</v>
          </cell>
          <cell r="B485">
            <v>-15489</v>
          </cell>
        </row>
        <row r="486">
          <cell r="A486" t="str">
            <v>FE15775</v>
          </cell>
          <cell r="B486">
            <v>-310101</v>
          </cell>
        </row>
        <row r="487">
          <cell r="A487" t="str">
            <v>FE15776</v>
          </cell>
          <cell r="B487">
            <v>-317101</v>
          </cell>
        </row>
        <row r="488">
          <cell r="A488" t="str">
            <v>FE15777</v>
          </cell>
          <cell r="B488">
            <v>-135855</v>
          </cell>
        </row>
        <row r="489">
          <cell r="A489" t="str">
            <v>FE15780</v>
          </cell>
          <cell r="B489">
            <v>-31746102</v>
          </cell>
        </row>
        <row r="490">
          <cell r="A490" t="str">
            <v>FE15790</v>
          </cell>
          <cell r="B490">
            <v>-11989</v>
          </cell>
        </row>
        <row r="491">
          <cell r="A491" t="str">
            <v>FE15792</v>
          </cell>
          <cell r="B491">
            <v>-10792108</v>
          </cell>
        </row>
        <row r="492">
          <cell r="A492" t="str">
            <v>FE15794</v>
          </cell>
          <cell r="B492">
            <v>-181246</v>
          </cell>
        </row>
        <row r="493">
          <cell r="A493" t="str">
            <v>FE15796</v>
          </cell>
          <cell r="B493">
            <v>-339170</v>
          </cell>
        </row>
        <row r="494">
          <cell r="A494" t="str">
            <v>FE15798</v>
          </cell>
          <cell r="B494">
            <v>-15489</v>
          </cell>
        </row>
        <row r="495">
          <cell r="A495" t="str">
            <v>FE15803</v>
          </cell>
          <cell r="B495">
            <v>-15489</v>
          </cell>
        </row>
        <row r="496">
          <cell r="A496" t="str">
            <v>FE15809</v>
          </cell>
          <cell r="B496">
            <v>-1851536</v>
          </cell>
        </row>
        <row r="497">
          <cell r="A497" t="str">
            <v>FE15812</v>
          </cell>
          <cell r="B497">
            <v>-317101</v>
          </cell>
        </row>
        <row r="498">
          <cell r="A498" t="str">
            <v>FE15813</v>
          </cell>
          <cell r="B498">
            <v>-11989</v>
          </cell>
        </row>
        <row r="499">
          <cell r="A499" t="str">
            <v>FE15819</v>
          </cell>
          <cell r="B499">
            <v>-1920055</v>
          </cell>
        </row>
        <row r="500">
          <cell r="A500" t="str">
            <v>FE15825</v>
          </cell>
          <cell r="B500">
            <v>-11989</v>
          </cell>
        </row>
        <row r="501">
          <cell r="A501" t="str">
            <v>FE15828</v>
          </cell>
          <cell r="B501">
            <v>-11989</v>
          </cell>
        </row>
        <row r="502">
          <cell r="A502" t="str">
            <v>FE15832</v>
          </cell>
          <cell r="B502">
            <v>-135855</v>
          </cell>
        </row>
        <row r="503">
          <cell r="A503" t="str">
            <v>FE15833</v>
          </cell>
          <cell r="B503">
            <v>-280634</v>
          </cell>
        </row>
        <row r="504">
          <cell r="A504" t="str">
            <v>FE15845</v>
          </cell>
          <cell r="B504">
            <v>-15490</v>
          </cell>
        </row>
        <row r="505">
          <cell r="A505" t="str">
            <v>FE15847</v>
          </cell>
          <cell r="B505">
            <v>-181246</v>
          </cell>
        </row>
        <row r="506">
          <cell r="A506" t="str">
            <v>FE15849</v>
          </cell>
          <cell r="B506">
            <v>-181246</v>
          </cell>
        </row>
        <row r="507">
          <cell r="A507" t="str">
            <v>FE15853</v>
          </cell>
          <cell r="B507">
            <v>-181246</v>
          </cell>
        </row>
        <row r="508">
          <cell r="A508" t="str">
            <v>FE15854</v>
          </cell>
          <cell r="B508">
            <v>-181246</v>
          </cell>
        </row>
        <row r="509">
          <cell r="A509" t="str">
            <v>FE15855</v>
          </cell>
          <cell r="B509">
            <v>-181246</v>
          </cell>
        </row>
        <row r="510">
          <cell r="A510" t="str">
            <v>FE15856</v>
          </cell>
          <cell r="B510">
            <v>-181246</v>
          </cell>
        </row>
        <row r="511">
          <cell r="A511" t="str">
            <v>FE15857</v>
          </cell>
          <cell r="B511">
            <v>-160403</v>
          </cell>
        </row>
        <row r="512">
          <cell r="A512" t="str">
            <v>FE15859</v>
          </cell>
          <cell r="B512">
            <v>-181246</v>
          </cell>
        </row>
        <row r="513">
          <cell r="A513" t="str">
            <v>FE15863</v>
          </cell>
          <cell r="B513">
            <v>-15490</v>
          </cell>
        </row>
        <row r="514">
          <cell r="A514" t="str">
            <v>FE15864</v>
          </cell>
          <cell r="B514">
            <v>-12874401</v>
          </cell>
        </row>
        <row r="515">
          <cell r="A515" t="str">
            <v>FE15865</v>
          </cell>
          <cell r="B515">
            <v>-181246</v>
          </cell>
        </row>
        <row r="516">
          <cell r="A516" t="str">
            <v>FE15866</v>
          </cell>
          <cell r="B516">
            <v>-15490</v>
          </cell>
        </row>
        <row r="517">
          <cell r="A517" t="str">
            <v>FE15867</v>
          </cell>
          <cell r="B517">
            <v>-9050682</v>
          </cell>
        </row>
        <row r="518">
          <cell r="A518" t="str">
            <v>FE15868</v>
          </cell>
          <cell r="B518">
            <v>-11990</v>
          </cell>
        </row>
        <row r="519">
          <cell r="A519" t="str">
            <v>FE15875</v>
          </cell>
          <cell r="B519">
            <v>-15489</v>
          </cell>
        </row>
        <row r="520">
          <cell r="A520" t="str">
            <v>FE15884</v>
          </cell>
          <cell r="B520">
            <v>-1489</v>
          </cell>
        </row>
        <row r="521">
          <cell r="A521" t="str">
            <v>FE15885</v>
          </cell>
          <cell r="B521">
            <v>-135855</v>
          </cell>
        </row>
        <row r="522">
          <cell r="A522" t="str">
            <v>FE15886</v>
          </cell>
          <cell r="B522">
            <v>-135855</v>
          </cell>
        </row>
        <row r="523">
          <cell r="A523" t="str">
            <v>FE15888</v>
          </cell>
          <cell r="B523">
            <v>-135855</v>
          </cell>
        </row>
        <row r="524">
          <cell r="A524" t="str">
            <v>FE15891</v>
          </cell>
          <cell r="B524">
            <v>-3183889</v>
          </cell>
        </row>
        <row r="525">
          <cell r="A525" t="str">
            <v>FE15899</v>
          </cell>
          <cell r="B525">
            <v>-12851392</v>
          </cell>
        </row>
        <row r="526">
          <cell r="A526" t="str">
            <v>FE15902</v>
          </cell>
          <cell r="B526">
            <v>-135855</v>
          </cell>
        </row>
        <row r="527">
          <cell r="A527" t="str">
            <v>FE15906</v>
          </cell>
          <cell r="B527">
            <v>-135855</v>
          </cell>
        </row>
        <row r="528">
          <cell r="A528" t="str">
            <v>FE15907</v>
          </cell>
          <cell r="B528">
            <v>-181246</v>
          </cell>
        </row>
        <row r="529">
          <cell r="A529" t="str">
            <v>FE15914</v>
          </cell>
          <cell r="B529">
            <v>-181246</v>
          </cell>
        </row>
        <row r="530">
          <cell r="A530" t="str">
            <v>FE15917</v>
          </cell>
          <cell r="B530">
            <v>-181246</v>
          </cell>
        </row>
        <row r="531">
          <cell r="A531" t="str">
            <v>FE15921</v>
          </cell>
          <cell r="B531">
            <v>-181246</v>
          </cell>
        </row>
        <row r="532">
          <cell r="A532" t="str">
            <v>FE15922</v>
          </cell>
          <cell r="B532">
            <v>-49114</v>
          </cell>
        </row>
        <row r="533">
          <cell r="A533" t="str">
            <v>FE15924</v>
          </cell>
          <cell r="B533">
            <v>-49114</v>
          </cell>
        </row>
        <row r="534">
          <cell r="A534" t="str">
            <v>FE15930</v>
          </cell>
          <cell r="B534">
            <v>-181246</v>
          </cell>
        </row>
        <row r="535">
          <cell r="A535" t="str">
            <v>FE15954</v>
          </cell>
          <cell r="B535">
            <v>-181246</v>
          </cell>
        </row>
        <row r="536">
          <cell r="A536" t="str">
            <v>FE15955</v>
          </cell>
          <cell r="B536">
            <v>-181246</v>
          </cell>
        </row>
        <row r="537">
          <cell r="A537" t="str">
            <v>FE15956</v>
          </cell>
          <cell r="B537">
            <v>-163121</v>
          </cell>
        </row>
        <row r="538">
          <cell r="A538" t="str">
            <v>FE15961</v>
          </cell>
          <cell r="B538">
            <v>-181246</v>
          </cell>
        </row>
        <row r="539">
          <cell r="A539" t="str">
            <v>FE15964</v>
          </cell>
          <cell r="B539">
            <v>-181246</v>
          </cell>
        </row>
        <row r="540">
          <cell r="A540" t="str">
            <v>FE15969</v>
          </cell>
          <cell r="B540">
            <v>-181246</v>
          </cell>
        </row>
        <row r="541">
          <cell r="A541" t="str">
            <v>FE15970</v>
          </cell>
          <cell r="B541">
            <v>-99124</v>
          </cell>
        </row>
        <row r="542">
          <cell r="A542" t="str">
            <v>FE15974</v>
          </cell>
          <cell r="B542">
            <v>-122952</v>
          </cell>
        </row>
        <row r="543">
          <cell r="A543" t="str">
            <v>FE15977</v>
          </cell>
          <cell r="B543">
            <v>-181246</v>
          </cell>
        </row>
        <row r="544">
          <cell r="A544" t="str">
            <v>FE15978</v>
          </cell>
          <cell r="B544">
            <v>-177746</v>
          </cell>
        </row>
        <row r="545">
          <cell r="A545" t="str">
            <v>FE15979</v>
          </cell>
          <cell r="B545">
            <v>-181246</v>
          </cell>
        </row>
        <row r="546">
          <cell r="A546" t="str">
            <v>FE15980</v>
          </cell>
          <cell r="B546">
            <v>-339170</v>
          </cell>
        </row>
        <row r="547">
          <cell r="A547" t="str">
            <v>FE15993</v>
          </cell>
          <cell r="B547">
            <v>-181246</v>
          </cell>
        </row>
        <row r="548">
          <cell r="A548" t="str">
            <v>FE15996</v>
          </cell>
          <cell r="B548">
            <v>-181246</v>
          </cell>
        </row>
        <row r="549">
          <cell r="A549" t="str">
            <v>FE15997</v>
          </cell>
          <cell r="B549">
            <v>-181246</v>
          </cell>
        </row>
        <row r="550">
          <cell r="A550" t="str">
            <v>FE15998</v>
          </cell>
          <cell r="B550">
            <v>-177746</v>
          </cell>
        </row>
        <row r="551">
          <cell r="A551" t="str">
            <v>FE15999</v>
          </cell>
          <cell r="B551">
            <v>-181246</v>
          </cell>
        </row>
        <row r="552">
          <cell r="A552" t="str">
            <v>FE16000</v>
          </cell>
          <cell r="B552">
            <v>-181246</v>
          </cell>
        </row>
        <row r="553">
          <cell r="A553" t="str">
            <v>FE16001</v>
          </cell>
          <cell r="B553">
            <v>-181246</v>
          </cell>
        </row>
        <row r="554">
          <cell r="A554" t="str">
            <v>FE16015</v>
          </cell>
          <cell r="B554">
            <v>-11989</v>
          </cell>
        </row>
        <row r="555">
          <cell r="A555" t="str">
            <v>FE16017</v>
          </cell>
          <cell r="B555">
            <v>-15489</v>
          </cell>
        </row>
        <row r="556">
          <cell r="A556" t="str">
            <v>FE16022</v>
          </cell>
          <cell r="B556">
            <v>-15489</v>
          </cell>
        </row>
        <row r="557">
          <cell r="A557" t="str">
            <v>FE16026</v>
          </cell>
          <cell r="B557">
            <v>-13940</v>
          </cell>
        </row>
        <row r="558">
          <cell r="A558" t="str">
            <v>FE16038</v>
          </cell>
          <cell r="B558">
            <v>-163121</v>
          </cell>
        </row>
        <row r="559">
          <cell r="A559" t="str">
            <v>FE16039</v>
          </cell>
          <cell r="B559">
            <v>-177746</v>
          </cell>
        </row>
        <row r="560">
          <cell r="A560" t="str">
            <v>FE16042</v>
          </cell>
          <cell r="B560">
            <v>-177746</v>
          </cell>
        </row>
        <row r="561">
          <cell r="A561" t="str">
            <v>FE16051</v>
          </cell>
          <cell r="B561">
            <v>-15489</v>
          </cell>
        </row>
        <row r="562">
          <cell r="A562" t="str">
            <v>FE16052</v>
          </cell>
          <cell r="B562">
            <v>-15489</v>
          </cell>
        </row>
        <row r="563">
          <cell r="A563" t="str">
            <v>FE16053</v>
          </cell>
          <cell r="B563">
            <v>-11989</v>
          </cell>
        </row>
        <row r="564">
          <cell r="A564" t="str">
            <v>FE16057</v>
          </cell>
          <cell r="B564">
            <v>-181246</v>
          </cell>
        </row>
        <row r="565">
          <cell r="A565" t="str">
            <v>FE16058</v>
          </cell>
          <cell r="B565">
            <v>-181246</v>
          </cell>
        </row>
        <row r="566">
          <cell r="A566" t="str">
            <v>FE16059</v>
          </cell>
          <cell r="B566">
            <v>-177746</v>
          </cell>
        </row>
        <row r="567">
          <cell r="A567" t="str">
            <v>FE16060</v>
          </cell>
          <cell r="B567">
            <v>-181246</v>
          </cell>
        </row>
        <row r="568">
          <cell r="A568" t="str">
            <v>FE16061</v>
          </cell>
          <cell r="B568">
            <v>-181246</v>
          </cell>
        </row>
        <row r="569">
          <cell r="A569" t="str">
            <v>FE16062</v>
          </cell>
          <cell r="B569">
            <v>-181246</v>
          </cell>
        </row>
        <row r="570">
          <cell r="A570" t="str">
            <v>FE16063</v>
          </cell>
          <cell r="B570">
            <v>-335670</v>
          </cell>
        </row>
        <row r="571">
          <cell r="A571" t="str">
            <v>FE16065</v>
          </cell>
          <cell r="B571">
            <v>-163121</v>
          </cell>
        </row>
        <row r="572">
          <cell r="A572" t="str">
            <v>FE16071</v>
          </cell>
          <cell r="B572">
            <v>-181246</v>
          </cell>
        </row>
        <row r="573">
          <cell r="A573" t="str">
            <v>FE16076</v>
          </cell>
          <cell r="B573">
            <v>-15489</v>
          </cell>
        </row>
        <row r="574">
          <cell r="A574" t="str">
            <v>FE16081</v>
          </cell>
          <cell r="B574">
            <v>-15489</v>
          </cell>
        </row>
        <row r="575">
          <cell r="A575" t="str">
            <v>FE16105</v>
          </cell>
          <cell r="B575">
            <v>-13940</v>
          </cell>
        </row>
        <row r="576">
          <cell r="A576" t="str">
            <v>FE16107</v>
          </cell>
          <cell r="B576">
            <v>-11989</v>
          </cell>
        </row>
        <row r="577">
          <cell r="A577" t="str">
            <v>FE16109</v>
          </cell>
          <cell r="B577">
            <v>-297639</v>
          </cell>
        </row>
        <row r="578">
          <cell r="A578" t="str">
            <v>FE16122</v>
          </cell>
          <cell r="B578">
            <v>-15489</v>
          </cell>
        </row>
        <row r="579">
          <cell r="A579" t="str">
            <v>FE16124</v>
          </cell>
          <cell r="B579">
            <v>-181246</v>
          </cell>
        </row>
        <row r="580">
          <cell r="A580" t="str">
            <v>FE16129</v>
          </cell>
          <cell r="B580">
            <v>-15489</v>
          </cell>
        </row>
        <row r="581">
          <cell r="A581" t="str">
            <v>FE16134</v>
          </cell>
          <cell r="B581">
            <v>-248361</v>
          </cell>
        </row>
        <row r="582">
          <cell r="A582" t="str">
            <v>FE16141</v>
          </cell>
          <cell r="B582">
            <v>-317101</v>
          </cell>
        </row>
        <row r="583">
          <cell r="A583" t="str">
            <v>FE16142</v>
          </cell>
          <cell r="B583">
            <v>-104754</v>
          </cell>
        </row>
        <row r="584">
          <cell r="A584" t="str">
            <v>FE16144</v>
          </cell>
          <cell r="B584">
            <v>-135855</v>
          </cell>
        </row>
        <row r="585">
          <cell r="A585" t="str">
            <v>FE16146</v>
          </cell>
          <cell r="B585">
            <v>-11989</v>
          </cell>
        </row>
        <row r="586">
          <cell r="A586" t="str">
            <v>FE16147</v>
          </cell>
          <cell r="B586">
            <v>-374603</v>
          </cell>
        </row>
        <row r="587">
          <cell r="A587" t="str">
            <v>FE16151</v>
          </cell>
          <cell r="B587">
            <v>-427523</v>
          </cell>
        </row>
        <row r="588">
          <cell r="A588" t="str">
            <v>FE16159</v>
          </cell>
          <cell r="B588">
            <v>-317101</v>
          </cell>
        </row>
        <row r="589">
          <cell r="A589" t="str">
            <v>FE16165</v>
          </cell>
          <cell r="B589">
            <v>-181246</v>
          </cell>
        </row>
        <row r="590">
          <cell r="A590" t="str">
            <v>FE16166</v>
          </cell>
          <cell r="B590">
            <v>-181246</v>
          </cell>
        </row>
        <row r="591">
          <cell r="A591" t="str">
            <v>FE16167</v>
          </cell>
          <cell r="B591">
            <v>-181246</v>
          </cell>
        </row>
        <row r="592">
          <cell r="A592" t="str">
            <v>FE16174</v>
          </cell>
          <cell r="B592">
            <v>-181246</v>
          </cell>
        </row>
        <row r="593">
          <cell r="A593" t="str">
            <v>FE16175</v>
          </cell>
          <cell r="B593">
            <v>-177746</v>
          </cell>
        </row>
        <row r="594">
          <cell r="A594" t="str">
            <v>FE16176</v>
          </cell>
          <cell r="B594">
            <v>-181246</v>
          </cell>
        </row>
        <row r="595">
          <cell r="A595" t="str">
            <v>FE16177</v>
          </cell>
          <cell r="B595">
            <v>-181246</v>
          </cell>
        </row>
        <row r="596">
          <cell r="A596" t="str">
            <v>FE16179</v>
          </cell>
          <cell r="B596">
            <v>-181246</v>
          </cell>
        </row>
        <row r="597">
          <cell r="A597" t="str">
            <v>FE16180</v>
          </cell>
          <cell r="B597">
            <v>-181246</v>
          </cell>
        </row>
        <row r="598">
          <cell r="A598" t="str">
            <v>FE16181</v>
          </cell>
          <cell r="B598">
            <v>-181246</v>
          </cell>
        </row>
        <row r="599">
          <cell r="A599" t="str">
            <v>FE16192</v>
          </cell>
          <cell r="B599">
            <v>-339170</v>
          </cell>
        </row>
        <row r="600">
          <cell r="A600" t="str">
            <v>FE16194</v>
          </cell>
          <cell r="B600">
            <v>-317101</v>
          </cell>
        </row>
        <row r="601">
          <cell r="A601" t="str">
            <v>FE16208</v>
          </cell>
          <cell r="B601">
            <v>-116393</v>
          </cell>
        </row>
        <row r="602">
          <cell r="A602" t="str">
            <v>FE16217</v>
          </cell>
          <cell r="B602">
            <v>-181246</v>
          </cell>
        </row>
        <row r="603">
          <cell r="A603" t="str">
            <v>FE16220</v>
          </cell>
          <cell r="B603">
            <v>-135855</v>
          </cell>
        </row>
        <row r="604">
          <cell r="A604" t="str">
            <v>FE16223</v>
          </cell>
          <cell r="B604">
            <v>-15489</v>
          </cell>
        </row>
        <row r="605">
          <cell r="A605" t="str">
            <v>FE16224</v>
          </cell>
          <cell r="B605">
            <v>-135855</v>
          </cell>
        </row>
        <row r="606">
          <cell r="A606" t="str">
            <v>FE16226</v>
          </cell>
          <cell r="B606">
            <v>-7252937</v>
          </cell>
        </row>
        <row r="607">
          <cell r="A607" t="str">
            <v>FE16235</v>
          </cell>
          <cell r="B607">
            <v>-122952</v>
          </cell>
        </row>
        <row r="608">
          <cell r="A608" t="str">
            <v>FE16237</v>
          </cell>
          <cell r="B608">
            <v>-181246</v>
          </cell>
        </row>
        <row r="609">
          <cell r="A609" t="str">
            <v>FE16238</v>
          </cell>
          <cell r="B609">
            <v>-181246</v>
          </cell>
        </row>
        <row r="610">
          <cell r="A610" t="str">
            <v>FE16239</v>
          </cell>
          <cell r="B610">
            <v>-181246</v>
          </cell>
        </row>
        <row r="611">
          <cell r="A611" t="str">
            <v>FE16245</v>
          </cell>
          <cell r="B611">
            <v>-15489</v>
          </cell>
        </row>
        <row r="612">
          <cell r="A612" t="str">
            <v>FE16246</v>
          </cell>
          <cell r="B612">
            <v>-15489</v>
          </cell>
        </row>
        <row r="613">
          <cell r="A613" t="str">
            <v>FE16251</v>
          </cell>
          <cell r="B613">
            <v>-135855</v>
          </cell>
        </row>
        <row r="614">
          <cell r="A614" t="str">
            <v>FE16253</v>
          </cell>
          <cell r="B614">
            <v>-181246</v>
          </cell>
        </row>
        <row r="615">
          <cell r="A615" t="str">
            <v>FE16254</v>
          </cell>
          <cell r="B615">
            <v>-135855</v>
          </cell>
        </row>
        <row r="616">
          <cell r="A616" t="str">
            <v>FE5507</v>
          </cell>
          <cell r="B616">
            <v>-181246</v>
          </cell>
        </row>
        <row r="617">
          <cell r="A617" t="str">
            <v>FE8624</v>
          </cell>
          <cell r="B617">
            <v>-3735875</v>
          </cell>
        </row>
        <row r="618">
          <cell r="A618" t="str">
            <v>FE9010</v>
          </cell>
          <cell r="B618">
            <v>-8489</v>
          </cell>
        </row>
        <row r="619">
          <cell r="A619" t="str">
            <v>(en blanco)</v>
          </cell>
        </row>
        <row r="620">
          <cell r="A620" t="str">
            <v>Total general</v>
          </cell>
          <cell r="B620">
            <v>-350811206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AIFT010 800"/>
      <sheetName val="FORMATO AIFT010 900"/>
      <sheetName val="informe 900"/>
      <sheetName val="informe 800"/>
      <sheetName val="Cartera "/>
      <sheetName val="cruce 900"/>
      <sheetName val="Reportes 900"/>
      <sheetName val="PAGOS"/>
      <sheetName val="pt 03082021"/>
      <sheetName val="factura auditada"/>
      <sheetName val="homologacion"/>
      <sheetName val="Hoja1"/>
      <sheetName val="cruce 800"/>
      <sheetName val="pt Nit 800"/>
      <sheetName val="Reportes 800"/>
      <sheetName val="Eventos Abi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270C1-7E9A-45A4-A20E-91A0D9420D16}">
  <sheetPr>
    <tabColor theme="4" tint="-0.249977111117893"/>
  </sheetPr>
  <dimension ref="A1:AL1158"/>
  <sheetViews>
    <sheetView showGridLines="0" tabSelected="1" workbookViewId="0">
      <selection activeCell="AD1153" sqref="AD1153"/>
    </sheetView>
  </sheetViews>
  <sheetFormatPr baseColWidth="10" defaultRowHeight="15" x14ac:dyDescent="0.25"/>
  <cols>
    <col min="8" max="8" width="14.140625" style="2" bestFit="1" customWidth="1"/>
    <col min="9" max="10" width="14.140625" style="2" customWidth="1"/>
    <col min="14" max="14" width="14.140625" style="3" bestFit="1" customWidth="1"/>
    <col min="15" max="15" width="13.85546875" customWidth="1"/>
    <col min="17" max="18" width="14.140625" bestFit="1" customWidth="1"/>
    <col min="19" max="19" width="11.42578125" style="4" customWidth="1"/>
    <col min="20" max="20" width="14.7109375" style="5" customWidth="1"/>
    <col min="21" max="22" width="11.42578125" customWidth="1"/>
    <col min="23" max="23" width="15.140625" customWidth="1"/>
    <col min="24" max="24" width="14.140625" style="6" customWidth="1"/>
    <col min="25" max="25" width="18" customWidth="1"/>
    <col min="26" max="26" width="11.42578125" style="7" customWidth="1"/>
    <col min="27" max="27" width="13.140625" style="3" bestFit="1" customWidth="1"/>
    <col min="28" max="28" width="11.42578125" customWidth="1"/>
    <col min="29" max="29" width="13.140625" customWidth="1"/>
    <col min="30" max="30" width="11.42578125" customWidth="1"/>
    <col min="31" max="31" width="11.42578125" style="3" customWidth="1"/>
    <col min="32" max="32" width="11.42578125" customWidth="1"/>
    <col min="33" max="33" width="15.85546875" bestFit="1" customWidth="1"/>
    <col min="34" max="34" width="13.140625" style="3" customWidth="1"/>
    <col min="35" max="35" width="11.42578125" customWidth="1"/>
    <col min="36" max="36" width="15.5703125" style="3" customWidth="1"/>
    <col min="37" max="37" width="16.42578125" customWidth="1"/>
    <col min="38" max="38" width="32.5703125" bestFit="1" customWidth="1"/>
  </cols>
  <sheetData>
    <row r="1" spans="1:38" x14ac:dyDescent="0.25">
      <c r="A1" s="1" t="s">
        <v>0</v>
      </c>
    </row>
    <row r="2" spans="1:38" x14ac:dyDescent="0.25">
      <c r="A2" s="1" t="s">
        <v>1</v>
      </c>
      <c r="B2" t="str">
        <f>LEFT('[1]Acta Nacional'!J1,17)</f>
        <v>COOSALUD EPS S.A.</v>
      </c>
    </row>
    <row r="3" spans="1:38" x14ac:dyDescent="0.25">
      <c r="A3" s="1" t="s">
        <v>2</v>
      </c>
      <c r="B3" s="8" t="s">
        <v>3</v>
      </c>
    </row>
    <row r="4" spans="1:38" x14ac:dyDescent="0.25">
      <c r="A4" s="1" t="s">
        <v>4</v>
      </c>
      <c r="B4" s="7"/>
      <c r="D4" s="9" t="s">
        <v>5</v>
      </c>
      <c r="E4" s="9"/>
      <c r="Q4" s="10"/>
    </row>
    <row r="5" spans="1:38" x14ac:dyDescent="0.25">
      <c r="A5" s="1" t="s">
        <v>6</v>
      </c>
      <c r="B5" s="7"/>
      <c r="D5" t="s">
        <v>7</v>
      </c>
    </row>
    <row r="7" spans="1:38" x14ac:dyDescent="0.25">
      <c r="A7" s="11" t="s">
        <v>8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2" t="s">
        <v>9</v>
      </c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</row>
    <row r="8" spans="1:38" ht="56.25" x14ac:dyDescent="0.25">
      <c r="A8" s="13" t="s">
        <v>10</v>
      </c>
      <c r="B8" s="14" t="s">
        <v>11</v>
      </c>
      <c r="C8" s="13" t="s">
        <v>12</v>
      </c>
      <c r="D8" s="13" t="s">
        <v>13</v>
      </c>
      <c r="E8" s="13"/>
      <c r="F8" s="15" t="s">
        <v>14</v>
      </c>
      <c r="G8" s="16" t="s">
        <v>15</v>
      </c>
      <c r="H8" s="17" t="s">
        <v>16</v>
      </c>
      <c r="I8" s="17"/>
      <c r="J8" s="17"/>
      <c r="K8" s="16" t="s">
        <v>17</v>
      </c>
      <c r="L8" s="16" t="s">
        <v>18</v>
      </c>
      <c r="M8" s="14" t="s">
        <v>19</v>
      </c>
      <c r="N8" s="18" t="s">
        <v>20</v>
      </c>
      <c r="O8" s="14" t="s">
        <v>21</v>
      </c>
      <c r="P8" s="14" t="s">
        <v>22</v>
      </c>
      <c r="Q8" s="19" t="s">
        <v>23</v>
      </c>
      <c r="R8" s="19" t="s">
        <v>24</v>
      </c>
      <c r="S8" s="20" t="s">
        <v>25</v>
      </c>
      <c r="T8" s="21" t="s">
        <v>26</v>
      </c>
      <c r="U8" s="22" t="s">
        <v>27</v>
      </c>
      <c r="V8" s="22" t="s">
        <v>28</v>
      </c>
      <c r="W8" s="16" t="s">
        <v>29</v>
      </c>
      <c r="X8" s="23" t="s">
        <v>30</v>
      </c>
      <c r="Y8" s="16" t="s">
        <v>31</v>
      </c>
      <c r="Z8" s="24" t="s">
        <v>32</v>
      </c>
      <c r="AA8" s="25" t="s">
        <v>33</v>
      </c>
      <c r="AB8" s="22" t="s">
        <v>34</v>
      </c>
      <c r="AC8" s="16" t="s">
        <v>35</v>
      </c>
      <c r="AD8" s="16" t="s">
        <v>36</v>
      </c>
      <c r="AE8" s="25" t="s">
        <v>37</v>
      </c>
      <c r="AF8" s="16" t="s">
        <v>38</v>
      </c>
      <c r="AG8" s="16" t="s">
        <v>39</v>
      </c>
      <c r="AH8" s="25" t="s">
        <v>40</v>
      </c>
      <c r="AI8" s="16" t="s">
        <v>41</v>
      </c>
      <c r="AJ8" s="26" t="s">
        <v>42</v>
      </c>
      <c r="AK8" s="27" t="s">
        <v>43</v>
      </c>
      <c r="AL8" s="28" t="s">
        <v>44</v>
      </c>
    </row>
    <row r="9" spans="1:38" x14ac:dyDescent="0.25">
      <c r="A9">
        <v>1</v>
      </c>
      <c r="B9" s="29" t="s">
        <v>45</v>
      </c>
      <c r="C9" s="29" t="s">
        <v>46</v>
      </c>
      <c r="D9" s="4" t="str">
        <f>"3971"</f>
        <v>3971</v>
      </c>
      <c r="E9" s="4" t="str">
        <f>_xlfn.CONCAT(C9,D9)</f>
        <v>FE3971</v>
      </c>
      <c r="F9" s="7">
        <v>44096</v>
      </c>
      <c r="G9" s="7">
        <v>44117</v>
      </c>
      <c r="H9" s="30">
        <v>7661262</v>
      </c>
      <c r="I9" s="31">
        <v>7661262</v>
      </c>
      <c r="J9" s="31">
        <f>+H9-I9</f>
        <v>0</v>
      </c>
      <c r="K9" s="2"/>
      <c r="N9" s="32">
        <v>0</v>
      </c>
      <c r="P9" s="33"/>
      <c r="Q9" s="34">
        <v>0</v>
      </c>
      <c r="R9" s="35"/>
      <c r="S9" s="4">
        <f>IFERROR(VLOOKUP(E9,'[2]td factu si'!$A:$B,1,0),0)</f>
        <v>0</v>
      </c>
      <c r="T9" s="2">
        <f>IFERROR(VLOOKUP(E9,'[2]td factu si'!$A:$B,2,0),0)*-1</f>
        <v>0</v>
      </c>
      <c r="V9" s="36"/>
      <c r="W9" s="37"/>
      <c r="X9" s="38">
        <v>0</v>
      </c>
      <c r="AB9" s="7"/>
      <c r="AC9" s="2"/>
      <c r="AH9" s="3">
        <v>795600</v>
      </c>
      <c r="AJ9" s="3">
        <v>0</v>
      </c>
      <c r="AK9" s="33"/>
      <c r="AL9" s="39"/>
    </row>
    <row r="10" spans="1:38" x14ac:dyDescent="0.25">
      <c r="A10">
        <v>2</v>
      </c>
      <c r="B10" s="29" t="s">
        <v>45</v>
      </c>
      <c r="C10" s="29" t="s">
        <v>46</v>
      </c>
      <c r="D10" s="4" t="str">
        <f>"3972"</f>
        <v>3972</v>
      </c>
      <c r="E10" s="4" t="str">
        <f t="shared" ref="E10:E73" si="0">_xlfn.CONCAT(C10,D10)</f>
        <v>FE3972</v>
      </c>
      <c r="F10" s="7">
        <v>44096</v>
      </c>
      <c r="G10" s="7">
        <v>44117</v>
      </c>
      <c r="H10" s="30">
        <v>4090019</v>
      </c>
      <c r="I10" s="31">
        <v>4090019</v>
      </c>
      <c r="J10" s="31">
        <f t="shared" ref="J10:J73" si="1">+H10-I10</f>
        <v>0</v>
      </c>
      <c r="K10" s="2"/>
      <c r="N10" s="32">
        <v>0</v>
      </c>
      <c r="Q10" s="34">
        <v>0</v>
      </c>
      <c r="R10" s="35"/>
      <c r="S10" s="4">
        <f>IFERROR(VLOOKUP(E10,'[2]td factu si'!$A:$B,1,0),0)</f>
        <v>0</v>
      </c>
      <c r="T10" s="2">
        <f>IFERROR(VLOOKUP(E10,'[2]td factu si'!$A:$B,2,0),0)*-1</f>
        <v>0</v>
      </c>
      <c r="V10" s="36">
        <v>4090019</v>
      </c>
      <c r="W10" s="37">
        <v>44292</v>
      </c>
      <c r="X10" s="38"/>
      <c r="AB10" s="7"/>
      <c r="AC10" s="2"/>
      <c r="AH10" s="3">
        <v>0</v>
      </c>
      <c r="AJ10" s="3">
        <v>4090019</v>
      </c>
      <c r="AK10" s="38"/>
      <c r="AL10" s="39"/>
    </row>
    <row r="11" spans="1:38" x14ac:dyDescent="0.25">
      <c r="A11">
        <v>3</v>
      </c>
      <c r="B11" s="29" t="s">
        <v>45</v>
      </c>
      <c r="C11" s="29" t="s">
        <v>46</v>
      </c>
      <c r="D11" s="4" t="str">
        <f>"5507"</f>
        <v>5507</v>
      </c>
      <c r="E11" s="4" t="str">
        <f t="shared" si="0"/>
        <v>FE5507</v>
      </c>
      <c r="F11" s="7">
        <v>44131</v>
      </c>
      <c r="G11" s="7">
        <v>44141</v>
      </c>
      <c r="H11" s="30">
        <v>181246</v>
      </c>
      <c r="I11" s="31">
        <v>148819</v>
      </c>
      <c r="J11" s="31">
        <f t="shared" si="1"/>
        <v>32427</v>
      </c>
      <c r="K11" s="2"/>
      <c r="N11" s="32">
        <v>148819</v>
      </c>
      <c r="Q11" s="34">
        <v>148819</v>
      </c>
      <c r="R11" s="35"/>
      <c r="S11" s="4" t="str">
        <f>IFERROR(VLOOKUP(E11,'[2]td factu si'!$A:$B,1,0),0)</f>
        <v>FE5507</v>
      </c>
      <c r="T11" s="2">
        <f>IFERROR(VLOOKUP(E11,'[2]td factu si'!$A:$B,2,0),0)*-1</f>
        <v>181246</v>
      </c>
      <c r="U11" s="40"/>
      <c r="V11" s="36"/>
      <c r="X11" s="38"/>
      <c r="AB11" s="7"/>
      <c r="AC11" s="2"/>
      <c r="AH11" s="3">
        <v>0</v>
      </c>
      <c r="AJ11" s="3">
        <v>0</v>
      </c>
      <c r="AK11" s="38"/>
      <c r="AL11" s="39"/>
    </row>
    <row r="12" spans="1:38" x14ac:dyDescent="0.25">
      <c r="A12">
        <v>4</v>
      </c>
      <c r="B12" s="29" t="s">
        <v>45</v>
      </c>
      <c r="C12" s="29" t="s">
        <v>46</v>
      </c>
      <c r="D12" s="4" t="str">
        <f>"7184"</f>
        <v>7184</v>
      </c>
      <c r="E12" s="4" t="str">
        <f t="shared" si="0"/>
        <v>FE7184</v>
      </c>
      <c r="F12" s="7">
        <v>44165</v>
      </c>
      <c r="G12" s="7">
        <v>44182</v>
      </c>
      <c r="H12" s="30">
        <v>181246</v>
      </c>
      <c r="I12" s="31">
        <v>181246</v>
      </c>
      <c r="J12" s="31">
        <f t="shared" si="1"/>
        <v>0</v>
      </c>
      <c r="K12" s="2"/>
      <c r="N12" s="32">
        <v>0</v>
      </c>
      <c r="Q12" s="34">
        <v>0</v>
      </c>
      <c r="R12" s="35"/>
      <c r="S12" s="4">
        <f>IFERROR(VLOOKUP(E12,'[2]td factu si'!$A:$B,1,0),0)</f>
        <v>0</v>
      </c>
      <c r="T12" s="2">
        <f>IFERROR(VLOOKUP(E12,'[2]td factu si'!$A:$B,2,0),0)*-1</f>
        <v>0</v>
      </c>
      <c r="V12" s="36">
        <v>181246</v>
      </c>
      <c r="W12" s="41">
        <v>44281</v>
      </c>
      <c r="X12" s="38"/>
      <c r="AB12" s="7"/>
      <c r="AC12" s="2"/>
      <c r="AH12" s="3">
        <v>0</v>
      </c>
      <c r="AJ12" s="3">
        <v>181246</v>
      </c>
      <c r="AL12" s="39"/>
    </row>
    <row r="13" spans="1:38" x14ac:dyDescent="0.25">
      <c r="A13">
        <v>5</v>
      </c>
      <c r="B13" s="29" t="s">
        <v>45</v>
      </c>
      <c r="C13" s="29" t="s">
        <v>46</v>
      </c>
      <c r="D13" s="4" t="str">
        <f>"8624"</f>
        <v>8624</v>
      </c>
      <c r="E13" s="4" t="str">
        <f t="shared" si="0"/>
        <v>FE8624</v>
      </c>
      <c r="F13" s="7">
        <v>44193</v>
      </c>
      <c r="G13" s="7">
        <v>44203</v>
      </c>
      <c r="H13" s="30">
        <v>3735875</v>
      </c>
      <c r="I13" s="31">
        <v>511100</v>
      </c>
      <c r="J13" s="31">
        <f t="shared" si="1"/>
        <v>3224775</v>
      </c>
      <c r="K13" s="2"/>
      <c r="N13" s="32">
        <v>0</v>
      </c>
      <c r="Q13" s="34">
        <v>0</v>
      </c>
      <c r="R13" s="35"/>
      <c r="S13" s="4" t="str">
        <f>IFERROR(VLOOKUP(E13,'[2]td factu si'!$A:$B,1,0),0)</f>
        <v>FE8624</v>
      </c>
      <c r="T13" s="2">
        <f>IFERROR(VLOOKUP(E13,'[2]td factu si'!$A:$B,2,0),0)*-1</f>
        <v>3735875</v>
      </c>
      <c r="U13" s="40"/>
      <c r="V13" s="36"/>
      <c r="W13" s="36"/>
      <c r="X13" s="38"/>
      <c r="Y13" t="s">
        <v>47</v>
      </c>
      <c r="AB13" s="7">
        <v>44260</v>
      </c>
      <c r="AC13" s="2"/>
      <c r="AH13" s="3">
        <v>0</v>
      </c>
      <c r="AJ13" s="3">
        <v>0</v>
      </c>
      <c r="AK13" s="38"/>
      <c r="AL13" s="39"/>
    </row>
    <row r="14" spans="1:38" x14ac:dyDescent="0.25">
      <c r="A14">
        <v>6</v>
      </c>
      <c r="B14" s="29" t="s">
        <v>45</v>
      </c>
      <c r="C14" s="29" t="s">
        <v>46</v>
      </c>
      <c r="D14" s="4" t="str">
        <f>"9010"</f>
        <v>9010</v>
      </c>
      <c r="E14" s="4" t="str">
        <f t="shared" si="0"/>
        <v>FE9010</v>
      </c>
      <c r="F14" s="7">
        <v>44210</v>
      </c>
      <c r="G14" s="7">
        <v>44214</v>
      </c>
      <c r="H14" s="30">
        <v>15489</v>
      </c>
      <c r="I14" s="31">
        <v>3500</v>
      </c>
      <c r="J14" s="31">
        <f t="shared" si="1"/>
        <v>11989</v>
      </c>
      <c r="K14" s="2">
        <v>3500</v>
      </c>
      <c r="N14" s="32">
        <v>0</v>
      </c>
      <c r="Q14" s="34">
        <v>0</v>
      </c>
      <c r="R14" s="35"/>
      <c r="S14" s="4" t="str">
        <f>IFERROR(VLOOKUP(E14,'[2]td factu si'!$A:$B,1,0),0)</f>
        <v>FE9010</v>
      </c>
      <c r="T14" s="2">
        <f>IFERROR(VLOOKUP(E14,'[2]td factu si'!$A:$B,2,0),0)*-1</f>
        <v>8489</v>
      </c>
      <c r="U14" s="40"/>
      <c r="V14" s="36"/>
      <c r="W14" s="41"/>
      <c r="X14" s="38"/>
      <c r="AB14" s="7"/>
      <c r="AC14" s="2"/>
      <c r="AH14" s="3">
        <v>0</v>
      </c>
      <c r="AJ14" s="3">
        <v>3500</v>
      </c>
      <c r="AK14" s="33"/>
      <c r="AL14" s="39"/>
    </row>
    <row r="15" spans="1:38" x14ac:dyDescent="0.25">
      <c r="A15">
        <v>7</v>
      </c>
      <c r="B15" s="29" t="s">
        <v>45</v>
      </c>
      <c r="C15" s="29" t="s">
        <v>46</v>
      </c>
      <c r="D15" s="4" t="str">
        <f>"9049"</f>
        <v>9049</v>
      </c>
      <c r="E15" s="4" t="str">
        <f t="shared" si="0"/>
        <v>FE9049</v>
      </c>
      <c r="F15" s="7">
        <v>44211</v>
      </c>
      <c r="G15" s="7">
        <v>44214</v>
      </c>
      <c r="H15" s="30">
        <v>181246</v>
      </c>
      <c r="I15" s="31">
        <v>181246</v>
      </c>
      <c r="J15" s="31">
        <f t="shared" si="1"/>
        <v>0</v>
      </c>
      <c r="K15" s="2"/>
      <c r="N15" s="32">
        <v>0</v>
      </c>
      <c r="Q15" s="34">
        <v>0</v>
      </c>
      <c r="R15" s="35"/>
      <c r="S15" s="4">
        <f>IFERROR(VLOOKUP(E15,'[2]td factu si'!$A:$B,1,0),0)</f>
        <v>0</v>
      </c>
      <c r="T15" s="2">
        <f>IFERROR(VLOOKUP(E15,'[2]td factu si'!$A:$B,2,0),0)*-1</f>
        <v>0</v>
      </c>
      <c r="U15" s="33"/>
      <c r="V15" s="36">
        <v>181246</v>
      </c>
      <c r="W15" s="36">
        <v>44252</v>
      </c>
      <c r="X15" s="38"/>
      <c r="AB15" s="7"/>
      <c r="AC15" s="2"/>
      <c r="AH15" s="3">
        <v>0</v>
      </c>
      <c r="AJ15" s="3">
        <v>181246</v>
      </c>
      <c r="AL15" s="39"/>
    </row>
    <row r="16" spans="1:38" x14ac:dyDescent="0.25">
      <c r="A16">
        <v>8</v>
      </c>
      <c r="B16" s="29" t="s">
        <v>45</v>
      </c>
      <c r="C16" s="29" t="s">
        <v>46</v>
      </c>
      <c r="D16" s="4" t="str">
        <f>"10113"</f>
        <v>10113</v>
      </c>
      <c r="E16" s="4" t="str">
        <f t="shared" si="0"/>
        <v>FE10113</v>
      </c>
      <c r="F16" s="7">
        <v>44236</v>
      </c>
      <c r="G16" s="7">
        <v>44246</v>
      </c>
      <c r="H16" s="30">
        <v>30422</v>
      </c>
      <c r="I16" s="31">
        <v>1549</v>
      </c>
      <c r="J16" s="31">
        <f t="shared" si="1"/>
        <v>28873</v>
      </c>
      <c r="K16" s="2">
        <v>1549</v>
      </c>
      <c r="N16" s="32">
        <v>0</v>
      </c>
      <c r="Q16" s="34">
        <v>0</v>
      </c>
      <c r="R16" s="35"/>
      <c r="S16" s="4" t="str">
        <f>IFERROR(VLOOKUP(E16,'[2]td factu si'!$A:$B,1,0),0)</f>
        <v>FE10113</v>
      </c>
      <c r="T16" s="2">
        <f>IFERROR(VLOOKUP(E16,'[2]td factu si'!$A:$B,2,0),0)*-1</f>
        <v>25831</v>
      </c>
      <c r="U16" s="40"/>
      <c r="V16" s="36"/>
      <c r="W16" s="36"/>
      <c r="X16" s="38"/>
      <c r="AB16" s="7"/>
      <c r="AC16" s="2"/>
      <c r="AH16" s="3">
        <v>0</v>
      </c>
      <c r="AJ16" s="3">
        <v>1549</v>
      </c>
      <c r="AL16" s="39"/>
    </row>
    <row r="17" spans="1:38" x14ac:dyDescent="0.25">
      <c r="A17">
        <v>9</v>
      </c>
      <c r="B17" s="29" t="s">
        <v>45</v>
      </c>
      <c r="C17" s="29" t="s">
        <v>46</v>
      </c>
      <c r="D17" s="4" t="str">
        <f>"10901"</f>
        <v>10901</v>
      </c>
      <c r="E17" s="4" t="str">
        <f t="shared" si="0"/>
        <v>FE10901</v>
      </c>
      <c r="F17" s="7">
        <v>44250</v>
      </c>
      <c r="G17" s="7">
        <v>44263</v>
      </c>
      <c r="H17" s="30">
        <v>755659</v>
      </c>
      <c r="I17" s="31">
        <v>12964</v>
      </c>
      <c r="J17" s="31">
        <f t="shared" si="1"/>
        <v>742695</v>
      </c>
      <c r="K17" s="2"/>
      <c r="N17" s="32">
        <v>0</v>
      </c>
      <c r="Q17" s="34">
        <v>0</v>
      </c>
      <c r="R17" s="35"/>
      <c r="S17" s="4" t="str">
        <f>IFERROR(VLOOKUP(E17,'[2]td factu si'!$A:$B,1,0),0)</f>
        <v>FE10901</v>
      </c>
      <c r="T17" s="2">
        <f>IFERROR(VLOOKUP(E17,'[2]td factu si'!$A:$B,2,0),0)*-1</f>
        <v>755659</v>
      </c>
      <c r="U17" s="40"/>
      <c r="V17" s="36"/>
      <c r="W17" s="41"/>
      <c r="X17" s="38"/>
      <c r="Y17" t="s">
        <v>48</v>
      </c>
      <c r="AB17" s="7">
        <v>44340</v>
      </c>
      <c r="AC17" s="2"/>
      <c r="AH17" s="3">
        <v>0</v>
      </c>
      <c r="AJ17" s="3">
        <v>0</v>
      </c>
      <c r="AL17" s="39"/>
    </row>
    <row r="18" spans="1:38" x14ac:dyDescent="0.25">
      <c r="A18">
        <v>10</v>
      </c>
      <c r="B18" s="29" t="s">
        <v>45</v>
      </c>
      <c r="C18" s="29" t="s">
        <v>46</v>
      </c>
      <c r="D18" s="4" t="str">
        <f>"11153"</f>
        <v>11153</v>
      </c>
      <c r="E18" s="4" t="str">
        <f t="shared" si="0"/>
        <v>FE11153</v>
      </c>
      <c r="F18" s="7">
        <v>44252</v>
      </c>
      <c r="G18" s="7">
        <v>44263</v>
      </c>
      <c r="H18" s="30">
        <v>15489</v>
      </c>
      <c r="I18" s="31">
        <v>3500</v>
      </c>
      <c r="J18" s="31">
        <f t="shared" si="1"/>
        <v>11989</v>
      </c>
      <c r="K18" s="2">
        <v>3500</v>
      </c>
      <c r="N18" s="32">
        <v>0</v>
      </c>
      <c r="Q18" s="34">
        <v>0</v>
      </c>
      <c r="R18" s="35"/>
      <c r="S18" s="4" t="str">
        <f>IFERROR(VLOOKUP(E18,'[2]td factu si'!$A:$B,1,0),0)</f>
        <v>FE11153</v>
      </c>
      <c r="T18" s="2">
        <f>IFERROR(VLOOKUP(E18,'[2]td factu si'!$A:$B,2,0),0)*-1</f>
        <v>8489</v>
      </c>
      <c r="U18" s="40"/>
      <c r="V18" s="36"/>
      <c r="W18" s="36"/>
      <c r="X18" s="38"/>
      <c r="AB18" s="7"/>
      <c r="AC18" s="2"/>
      <c r="AH18" s="3">
        <v>0</v>
      </c>
      <c r="AJ18" s="3">
        <v>3500</v>
      </c>
      <c r="AL18" s="39"/>
    </row>
    <row r="19" spans="1:38" x14ac:dyDescent="0.25">
      <c r="A19">
        <v>11</v>
      </c>
      <c r="B19" s="29" t="s">
        <v>45</v>
      </c>
      <c r="C19" s="29" t="s">
        <v>46</v>
      </c>
      <c r="D19" s="4" t="str">
        <f>"11173"</f>
        <v>11173</v>
      </c>
      <c r="E19" s="4" t="str">
        <f t="shared" si="0"/>
        <v>FE11173</v>
      </c>
      <c r="F19" s="7">
        <v>44252</v>
      </c>
      <c r="G19" s="7">
        <v>44263</v>
      </c>
      <c r="H19" s="30">
        <v>15489</v>
      </c>
      <c r="I19" s="31">
        <v>3500</v>
      </c>
      <c r="J19" s="31">
        <f t="shared" si="1"/>
        <v>11989</v>
      </c>
      <c r="K19" s="2">
        <v>3500</v>
      </c>
      <c r="N19" s="32">
        <v>0</v>
      </c>
      <c r="Q19" s="34">
        <v>0</v>
      </c>
      <c r="R19" s="35"/>
      <c r="S19" s="4" t="str">
        <f>IFERROR(VLOOKUP(E19,'[2]td factu si'!$A:$B,1,0),0)</f>
        <v>FE11173</v>
      </c>
      <c r="T19" s="2">
        <f>IFERROR(VLOOKUP(E19,'[2]td factu si'!$A:$B,2,0),0)*-1</f>
        <v>8489</v>
      </c>
      <c r="U19" s="40"/>
      <c r="V19" s="36"/>
      <c r="W19" s="36"/>
      <c r="X19" s="38"/>
      <c r="AB19" s="7"/>
      <c r="AC19" s="2"/>
      <c r="AH19" s="3">
        <v>0</v>
      </c>
      <c r="AJ19" s="3">
        <v>3500</v>
      </c>
      <c r="AL19" s="39"/>
    </row>
    <row r="20" spans="1:38" x14ac:dyDescent="0.25">
      <c r="A20">
        <v>12</v>
      </c>
      <c r="B20" s="29" t="s">
        <v>45</v>
      </c>
      <c r="C20" s="29" t="s">
        <v>46</v>
      </c>
      <c r="D20" s="4" t="str">
        <f>"11236"</f>
        <v>11236</v>
      </c>
      <c r="E20" s="4" t="str">
        <f t="shared" si="0"/>
        <v>FE11236</v>
      </c>
      <c r="F20" s="7">
        <v>44253</v>
      </c>
      <c r="G20" s="7">
        <v>44263</v>
      </c>
      <c r="H20" s="30">
        <v>15489</v>
      </c>
      <c r="I20" s="31">
        <v>3500</v>
      </c>
      <c r="J20" s="31">
        <f t="shared" si="1"/>
        <v>11989</v>
      </c>
      <c r="K20" s="2">
        <v>3500</v>
      </c>
      <c r="N20" s="32">
        <v>0</v>
      </c>
      <c r="Q20" s="34">
        <v>0</v>
      </c>
      <c r="R20" s="35"/>
      <c r="S20" s="4" t="str">
        <f>IFERROR(VLOOKUP(E20,'[2]td factu si'!$A:$B,1,0),0)</f>
        <v>FE11236</v>
      </c>
      <c r="T20" s="2">
        <f>IFERROR(VLOOKUP(E20,'[2]td factu si'!$A:$B,2,0),0)*-1</f>
        <v>8489</v>
      </c>
      <c r="U20" s="40"/>
      <c r="V20" s="36"/>
      <c r="W20" s="36"/>
      <c r="X20" s="38"/>
      <c r="AB20" s="7"/>
      <c r="AC20" s="2"/>
      <c r="AH20" s="3">
        <v>0</v>
      </c>
      <c r="AJ20" s="3">
        <v>3500</v>
      </c>
      <c r="AL20" s="39"/>
    </row>
    <row r="21" spans="1:38" x14ac:dyDescent="0.25">
      <c r="A21">
        <v>13</v>
      </c>
      <c r="B21" s="29" t="s">
        <v>45</v>
      </c>
      <c r="C21" s="29" t="s">
        <v>46</v>
      </c>
      <c r="D21" s="4" t="str">
        <f>"11569"</f>
        <v>11569</v>
      </c>
      <c r="E21" s="4" t="str">
        <f t="shared" si="0"/>
        <v>FE11569</v>
      </c>
      <c r="F21" s="7">
        <v>44261</v>
      </c>
      <c r="G21" s="7">
        <v>44271</v>
      </c>
      <c r="H21" s="30">
        <v>181246</v>
      </c>
      <c r="I21" s="31">
        <v>181246</v>
      </c>
      <c r="J21" s="31">
        <f t="shared" si="1"/>
        <v>0</v>
      </c>
      <c r="K21" s="2"/>
      <c r="N21" s="32">
        <v>0</v>
      </c>
      <c r="Q21" s="34">
        <v>0</v>
      </c>
      <c r="R21" s="35"/>
      <c r="S21" s="4">
        <f>IFERROR(VLOOKUP(E21,'[2]td factu si'!$A:$B,1,0),0)</f>
        <v>0</v>
      </c>
      <c r="T21" s="2">
        <f>IFERROR(VLOOKUP(E21,'[2]td factu si'!$A:$B,2,0),0)*-1</f>
        <v>0</v>
      </c>
      <c r="U21" s="33"/>
      <c r="V21" s="36"/>
      <c r="W21" s="36"/>
      <c r="X21" s="38"/>
      <c r="AB21" s="7"/>
      <c r="AC21" s="2"/>
      <c r="AH21" s="3">
        <v>0</v>
      </c>
      <c r="AJ21" s="3">
        <v>181246</v>
      </c>
      <c r="AL21" s="39" t="s">
        <v>49</v>
      </c>
    </row>
    <row r="22" spans="1:38" x14ac:dyDescent="0.25">
      <c r="A22">
        <v>14</v>
      </c>
      <c r="B22" s="29" t="s">
        <v>45</v>
      </c>
      <c r="C22" s="29" t="s">
        <v>46</v>
      </c>
      <c r="D22" s="4" t="str">
        <f>"11660"</f>
        <v>11660</v>
      </c>
      <c r="E22" s="4" t="str">
        <f t="shared" si="0"/>
        <v>FE11660</v>
      </c>
      <c r="F22" s="7">
        <v>44263</v>
      </c>
      <c r="G22" s="7">
        <v>44271</v>
      </c>
      <c r="H22" s="30">
        <v>15489</v>
      </c>
      <c r="I22" s="31">
        <v>15489</v>
      </c>
      <c r="J22" s="31">
        <f t="shared" si="1"/>
        <v>0</v>
      </c>
      <c r="K22" s="2"/>
      <c r="N22" s="32">
        <v>0</v>
      </c>
      <c r="Q22" s="34">
        <v>0</v>
      </c>
      <c r="R22" s="35"/>
      <c r="S22" s="4">
        <f>IFERROR(VLOOKUP(E22,'[2]td factu si'!$A:$B,1,0),0)</f>
        <v>0</v>
      </c>
      <c r="T22" s="2">
        <f>IFERROR(VLOOKUP(E22,'[2]td factu si'!$A:$B,2,0),0)*-1</f>
        <v>0</v>
      </c>
      <c r="U22" s="33"/>
      <c r="V22" s="36"/>
      <c r="W22" s="36"/>
      <c r="X22" s="38"/>
      <c r="AB22" s="7"/>
      <c r="AC22" s="2"/>
      <c r="AH22" s="3">
        <v>0</v>
      </c>
      <c r="AJ22" s="3">
        <v>15489</v>
      </c>
      <c r="AL22" s="39" t="s">
        <v>49</v>
      </c>
    </row>
    <row r="23" spans="1:38" x14ac:dyDescent="0.25">
      <c r="A23">
        <v>15</v>
      </c>
      <c r="B23" s="29" t="s">
        <v>45</v>
      </c>
      <c r="C23" s="29" t="s">
        <v>46</v>
      </c>
      <c r="D23" s="4" t="str">
        <f>"11764"</f>
        <v>11764</v>
      </c>
      <c r="E23" s="4" t="str">
        <f t="shared" si="0"/>
        <v>FE11764</v>
      </c>
      <c r="F23" s="7">
        <v>44264</v>
      </c>
      <c r="G23" s="7">
        <v>44271</v>
      </c>
      <c r="H23" s="30">
        <v>15489</v>
      </c>
      <c r="I23" s="31">
        <v>3500</v>
      </c>
      <c r="J23" s="31">
        <f t="shared" si="1"/>
        <v>11989</v>
      </c>
      <c r="K23" s="2">
        <v>3500</v>
      </c>
      <c r="N23" s="32">
        <v>0</v>
      </c>
      <c r="Q23" s="34">
        <v>0</v>
      </c>
      <c r="R23" s="35"/>
      <c r="S23" s="4" t="str">
        <f>IFERROR(VLOOKUP(E23,'[2]td factu si'!$A:$B,1,0),0)</f>
        <v>FE11764</v>
      </c>
      <c r="T23" s="2">
        <f>IFERROR(VLOOKUP(E23,'[2]td factu si'!$A:$B,2,0),0)*-1</f>
        <v>8489</v>
      </c>
      <c r="U23" s="40"/>
      <c r="V23" s="36"/>
      <c r="W23" s="36"/>
      <c r="X23" s="38"/>
      <c r="AB23" s="7"/>
      <c r="AC23" s="2"/>
      <c r="AH23" s="3">
        <v>0</v>
      </c>
      <c r="AJ23" s="3">
        <v>3500</v>
      </c>
      <c r="AL23" s="39"/>
    </row>
    <row r="24" spans="1:38" x14ac:dyDescent="0.25">
      <c r="A24">
        <v>16</v>
      </c>
      <c r="B24" s="29" t="s">
        <v>45</v>
      </c>
      <c r="C24" s="29" t="s">
        <v>46</v>
      </c>
      <c r="D24" s="4" t="str">
        <f>"11900"</f>
        <v>11900</v>
      </c>
      <c r="E24" s="4" t="str">
        <f t="shared" si="0"/>
        <v>FE11900</v>
      </c>
      <c r="F24" s="7">
        <v>44266</v>
      </c>
      <c r="G24" s="7">
        <v>44271</v>
      </c>
      <c r="H24" s="30">
        <v>15489</v>
      </c>
      <c r="I24" s="31">
        <v>3500</v>
      </c>
      <c r="J24" s="31">
        <f t="shared" si="1"/>
        <v>11989</v>
      </c>
      <c r="K24" s="2">
        <v>3500</v>
      </c>
      <c r="N24" s="32">
        <v>0</v>
      </c>
      <c r="Q24" s="34">
        <v>0</v>
      </c>
      <c r="R24" s="35"/>
      <c r="S24" s="4" t="str">
        <f>IFERROR(VLOOKUP(E24,'[2]td factu si'!$A:$B,1,0),0)</f>
        <v>FE11900</v>
      </c>
      <c r="T24" s="2">
        <f>IFERROR(VLOOKUP(E24,'[2]td factu si'!$A:$B,2,0),0)*-1</f>
        <v>8489</v>
      </c>
      <c r="U24" s="40"/>
      <c r="V24" s="36"/>
      <c r="W24" s="36"/>
      <c r="X24" s="38"/>
      <c r="AB24" s="7"/>
      <c r="AC24" s="2"/>
      <c r="AH24" s="3">
        <v>0</v>
      </c>
      <c r="AJ24" s="3">
        <v>3500</v>
      </c>
      <c r="AL24" s="39"/>
    </row>
    <row r="25" spans="1:38" x14ac:dyDescent="0.25">
      <c r="A25">
        <v>17</v>
      </c>
      <c r="B25" s="29" t="s">
        <v>45</v>
      </c>
      <c r="C25" s="29" t="s">
        <v>46</v>
      </c>
      <c r="D25" s="4" t="str">
        <f>"12733"</f>
        <v>12733</v>
      </c>
      <c r="E25" s="4" t="str">
        <f t="shared" si="0"/>
        <v>FE12733</v>
      </c>
      <c r="F25" s="7">
        <v>44281</v>
      </c>
      <c r="G25" s="7">
        <v>44295</v>
      </c>
      <c r="H25" s="30">
        <v>1250046</v>
      </c>
      <c r="I25" s="31">
        <v>1250046</v>
      </c>
      <c r="J25" s="31">
        <f t="shared" si="1"/>
        <v>0</v>
      </c>
      <c r="K25" s="2"/>
      <c r="N25" s="32">
        <v>0</v>
      </c>
      <c r="Q25" s="34">
        <v>0</v>
      </c>
      <c r="R25" s="35"/>
      <c r="S25" s="4">
        <f>IFERROR(VLOOKUP(E25,'[2]td factu si'!$A:$B,1,0),0)</f>
        <v>0</v>
      </c>
      <c r="T25" s="2">
        <f>IFERROR(VLOOKUP(E25,'[2]td factu si'!$A:$B,2,0),0)*-1</f>
        <v>0</v>
      </c>
      <c r="U25" s="33"/>
      <c r="V25" s="36">
        <v>1250046</v>
      </c>
      <c r="W25" s="36">
        <v>44313</v>
      </c>
      <c r="X25" s="38"/>
      <c r="AB25" s="7"/>
      <c r="AC25" s="2"/>
      <c r="AH25" s="3">
        <v>0</v>
      </c>
      <c r="AJ25" s="3">
        <v>1250046</v>
      </c>
      <c r="AL25" s="39"/>
    </row>
    <row r="26" spans="1:38" x14ac:dyDescent="0.25">
      <c r="A26">
        <v>18</v>
      </c>
      <c r="B26" s="29" t="s">
        <v>45</v>
      </c>
      <c r="C26" s="29" t="s">
        <v>46</v>
      </c>
      <c r="D26" s="4" t="str">
        <f>"13012"</f>
        <v>13012</v>
      </c>
      <c r="E26" s="4" t="str">
        <f t="shared" si="0"/>
        <v>FE13012</v>
      </c>
      <c r="F26" s="7">
        <v>44286</v>
      </c>
      <c r="G26" s="7">
        <v>44295</v>
      </c>
      <c r="H26" s="30">
        <v>4371051</v>
      </c>
      <c r="I26" s="31">
        <v>4110304</v>
      </c>
      <c r="J26" s="31">
        <f t="shared" si="1"/>
        <v>260747</v>
      </c>
      <c r="K26" s="2"/>
      <c r="N26" s="32">
        <v>4110304</v>
      </c>
      <c r="Q26" s="34">
        <v>4110304</v>
      </c>
      <c r="R26" s="35"/>
      <c r="S26" s="4" t="str">
        <f>IFERROR(VLOOKUP(E26,'[2]td factu si'!$A:$B,1,0),0)</f>
        <v>FE13012</v>
      </c>
      <c r="T26" s="2">
        <f>IFERROR(VLOOKUP(E26,'[2]td factu si'!$A:$B,2,0),0)*-1</f>
        <v>4110304</v>
      </c>
      <c r="U26" s="40"/>
      <c r="V26" s="36"/>
      <c r="W26" s="36"/>
      <c r="X26" s="38"/>
      <c r="AB26" s="7"/>
      <c r="AC26" s="2"/>
      <c r="AH26" s="3">
        <v>0</v>
      </c>
      <c r="AJ26" s="3">
        <v>0</v>
      </c>
      <c r="AL26" s="39"/>
    </row>
    <row r="27" spans="1:38" x14ac:dyDescent="0.25">
      <c r="A27">
        <v>19</v>
      </c>
      <c r="B27" s="29" t="s">
        <v>45</v>
      </c>
      <c r="C27" s="29" t="s">
        <v>46</v>
      </c>
      <c r="D27" s="4" t="str">
        <f>"13179"</f>
        <v>13179</v>
      </c>
      <c r="E27" s="4" t="str">
        <f t="shared" si="0"/>
        <v>FE13179</v>
      </c>
      <c r="F27" s="7">
        <v>44294</v>
      </c>
      <c r="G27" s="7">
        <v>44308</v>
      </c>
      <c r="H27" s="30">
        <v>15489</v>
      </c>
      <c r="I27" s="31">
        <v>15489</v>
      </c>
      <c r="J27" s="31">
        <f t="shared" si="1"/>
        <v>0</v>
      </c>
      <c r="K27" s="2"/>
      <c r="N27" s="32">
        <v>0</v>
      </c>
      <c r="Q27" s="34">
        <v>0</v>
      </c>
      <c r="R27" s="35"/>
      <c r="S27" s="4">
        <f>IFERROR(VLOOKUP(E27,'[2]td factu si'!$A:$B,1,0),0)</f>
        <v>0</v>
      </c>
      <c r="T27" s="2">
        <f>IFERROR(VLOOKUP(E27,'[2]td factu si'!$A:$B,2,0),0)*-1</f>
        <v>0</v>
      </c>
      <c r="U27" s="33"/>
      <c r="V27" s="36"/>
      <c r="W27" s="41"/>
      <c r="X27" s="38">
        <v>15489</v>
      </c>
      <c r="AB27" s="7"/>
      <c r="AC27" s="2"/>
      <c r="AH27" s="3">
        <v>0</v>
      </c>
      <c r="AJ27" s="3">
        <v>0</v>
      </c>
      <c r="AL27" s="39"/>
    </row>
    <row r="28" spans="1:38" x14ac:dyDescent="0.25">
      <c r="A28">
        <v>20</v>
      </c>
      <c r="B28" s="29" t="s">
        <v>45</v>
      </c>
      <c r="C28" s="29" t="s">
        <v>46</v>
      </c>
      <c r="D28" s="4" t="str">
        <f>"13214"</f>
        <v>13214</v>
      </c>
      <c r="E28" s="4" t="str">
        <f t="shared" si="0"/>
        <v>FE13214</v>
      </c>
      <c r="F28" s="7">
        <v>44295</v>
      </c>
      <c r="G28" s="7">
        <v>44308</v>
      </c>
      <c r="H28" s="30">
        <v>339170</v>
      </c>
      <c r="I28" s="31">
        <v>339170</v>
      </c>
      <c r="J28" s="31">
        <f t="shared" si="1"/>
        <v>0</v>
      </c>
      <c r="K28" s="2"/>
      <c r="N28" s="32">
        <v>0</v>
      </c>
      <c r="Q28" s="34">
        <v>0</v>
      </c>
      <c r="R28" s="35"/>
      <c r="S28" s="4">
        <f>IFERROR(VLOOKUP(E28,'[2]td factu si'!$A:$B,1,0),0)</f>
        <v>0</v>
      </c>
      <c r="T28" s="2">
        <f>IFERROR(VLOOKUP(E28,'[2]td factu si'!$A:$B,2,0),0)*-1</f>
        <v>0</v>
      </c>
      <c r="U28" s="33"/>
      <c r="V28" s="36"/>
      <c r="W28" s="36"/>
      <c r="X28" s="38">
        <v>339170</v>
      </c>
      <c r="AB28" s="7"/>
      <c r="AC28" s="2"/>
      <c r="AH28" s="3">
        <v>0</v>
      </c>
      <c r="AJ28" s="3">
        <v>0</v>
      </c>
      <c r="AL28" s="39"/>
    </row>
    <row r="29" spans="1:38" x14ac:dyDescent="0.25">
      <c r="A29">
        <v>21</v>
      </c>
      <c r="B29" s="29" t="s">
        <v>45</v>
      </c>
      <c r="C29" s="29" t="s">
        <v>46</v>
      </c>
      <c r="D29" s="4" t="str">
        <f>"13216"</f>
        <v>13216</v>
      </c>
      <c r="E29" s="4" t="str">
        <f t="shared" si="0"/>
        <v>FE13216</v>
      </c>
      <c r="F29" s="7">
        <v>44295</v>
      </c>
      <c r="G29" s="7">
        <v>44308</v>
      </c>
      <c r="H29" s="30">
        <v>339170</v>
      </c>
      <c r="I29" s="31">
        <v>335670</v>
      </c>
      <c r="J29" s="31">
        <f t="shared" si="1"/>
        <v>3500</v>
      </c>
      <c r="K29" s="2"/>
      <c r="N29" s="32">
        <v>0</v>
      </c>
      <c r="Q29" s="34">
        <v>0</v>
      </c>
      <c r="R29" s="35"/>
      <c r="S29" s="4">
        <f>IFERROR(VLOOKUP(E29,'[2]td factu si'!$A:$B,1,0),0)</f>
        <v>0</v>
      </c>
      <c r="T29" s="2">
        <f>IFERROR(VLOOKUP(E29,'[2]td factu si'!$A:$B,2,0),0)*-1</f>
        <v>0</v>
      </c>
      <c r="U29" s="33"/>
      <c r="V29" s="36"/>
      <c r="W29" s="36"/>
      <c r="X29" s="38">
        <v>335670</v>
      </c>
      <c r="Z29" s="42"/>
      <c r="AB29" s="7"/>
      <c r="AH29" s="3">
        <v>0</v>
      </c>
      <c r="AJ29" s="3">
        <v>0</v>
      </c>
      <c r="AL29" s="39"/>
    </row>
    <row r="30" spans="1:38" x14ac:dyDescent="0.25">
      <c r="A30">
        <v>22</v>
      </c>
      <c r="B30" s="29" t="s">
        <v>45</v>
      </c>
      <c r="C30" s="29" t="s">
        <v>46</v>
      </c>
      <c r="D30" s="4" t="str">
        <f>"13236"</f>
        <v>13236</v>
      </c>
      <c r="E30" s="4" t="str">
        <f t="shared" si="0"/>
        <v>FE13236</v>
      </c>
      <c r="F30" s="7">
        <v>44295</v>
      </c>
      <c r="G30" s="7">
        <v>44308</v>
      </c>
      <c r="H30" s="30">
        <v>135855</v>
      </c>
      <c r="I30" s="31">
        <v>132355</v>
      </c>
      <c r="J30" s="31">
        <f t="shared" si="1"/>
        <v>3500</v>
      </c>
      <c r="K30" s="2"/>
      <c r="N30" s="32">
        <v>132355</v>
      </c>
      <c r="Q30" s="34">
        <v>132355</v>
      </c>
      <c r="R30" s="35"/>
      <c r="S30" s="4" t="str">
        <f>IFERROR(VLOOKUP(E30,'[2]td factu si'!$A:$B,1,0),0)</f>
        <v>FE13236</v>
      </c>
      <c r="T30" s="2">
        <f>IFERROR(VLOOKUP(E30,'[2]td factu si'!$A:$B,2,0),0)*-1</f>
        <v>132355</v>
      </c>
      <c r="U30" s="40"/>
      <c r="V30" s="36"/>
      <c r="W30" s="36"/>
      <c r="X30" s="38"/>
      <c r="Z30" s="42"/>
      <c r="AB30" s="7"/>
      <c r="AH30" s="3">
        <v>0</v>
      </c>
      <c r="AJ30" s="3">
        <v>0</v>
      </c>
      <c r="AL30" s="39"/>
    </row>
    <row r="31" spans="1:38" x14ac:dyDescent="0.25">
      <c r="A31">
        <v>23</v>
      </c>
      <c r="B31" s="29" t="s">
        <v>45</v>
      </c>
      <c r="C31" s="29" t="s">
        <v>46</v>
      </c>
      <c r="D31" s="4" t="str">
        <f>"13265"</f>
        <v>13265</v>
      </c>
      <c r="E31" s="4" t="str">
        <f t="shared" si="0"/>
        <v>FE13265</v>
      </c>
      <c r="F31" s="7">
        <v>44295</v>
      </c>
      <c r="G31" s="7">
        <v>44308</v>
      </c>
      <c r="H31" s="30">
        <v>181246</v>
      </c>
      <c r="I31" s="31">
        <v>181246</v>
      </c>
      <c r="J31" s="31">
        <f t="shared" si="1"/>
        <v>0</v>
      </c>
      <c r="K31" s="2"/>
      <c r="N31" s="32">
        <v>0</v>
      </c>
      <c r="Q31" s="34">
        <v>0</v>
      </c>
      <c r="R31" s="35"/>
      <c r="S31" s="4">
        <f>IFERROR(VLOOKUP(E31,'[2]td factu si'!$A:$B,1,0),0)</f>
        <v>0</v>
      </c>
      <c r="T31" s="2">
        <f>IFERROR(VLOOKUP(E31,'[2]td factu si'!$A:$B,2,0),0)*-1</f>
        <v>0</v>
      </c>
      <c r="U31" s="33"/>
      <c r="V31" s="36"/>
      <c r="W31" s="36"/>
      <c r="X31" s="38">
        <v>181246</v>
      </c>
      <c r="Z31" s="42"/>
      <c r="AB31" s="7"/>
      <c r="AH31" s="3">
        <v>0</v>
      </c>
      <c r="AJ31" s="3">
        <v>0</v>
      </c>
      <c r="AL31" s="39"/>
    </row>
    <row r="32" spans="1:38" x14ac:dyDescent="0.25">
      <c r="A32">
        <v>24</v>
      </c>
      <c r="B32" s="29" t="s">
        <v>45</v>
      </c>
      <c r="C32" s="29" t="s">
        <v>46</v>
      </c>
      <c r="D32" s="4" t="str">
        <f>"13270"</f>
        <v>13270</v>
      </c>
      <c r="E32" s="4" t="str">
        <f t="shared" si="0"/>
        <v>FE13270</v>
      </c>
      <c r="F32" s="7">
        <v>44295</v>
      </c>
      <c r="G32" s="7">
        <v>44308</v>
      </c>
      <c r="H32" s="30">
        <v>116393</v>
      </c>
      <c r="I32" s="31">
        <v>103008</v>
      </c>
      <c r="J32" s="31">
        <f t="shared" si="1"/>
        <v>13385</v>
      </c>
      <c r="K32" s="2"/>
      <c r="N32" s="32">
        <v>103008</v>
      </c>
      <c r="Q32" s="34">
        <v>103008</v>
      </c>
      <c r="R32" s="35"/>
      <c r="S32" s="4" t="str">
        <f>IFERROR(VLOOKUP(E32,'[2]td factu si'!$A:$B,1,0),0)</f>
        <v>FE13270</v>
      </c>
      <c r="T32" s="2">
        <f>IFERROR(VLOOKUP(E32,'[2]td factu si'!$A:$B,2,0),0)*-1</f>
        <v>103008</v>
      </c>
      <c r="U32" s="40"/>
      <c r="V32" s="36"/>
      <c r="W32" s="36"/>
      <c r="X32" s="38"/>
      <c r="Z32" s="42"/>
      <c r="AB32" s="7"/>
      <c r="AH32" s="3">
        <v>0</v>
      </c>
      <c r="AJ32" s="3">
        <v>0</v>
      </c>
      <c r="AL32" s="39"/>
    </row>
    <row r="33" spans="1:38" x14ac:dyDescent="0.25">
      <c r="A33">
        <v>25</v>
      </c>
      <c r="B33" s="29" t="s">
        <v>45</v>
      </c>
      <c r="C33" s="29" t="s">
        <v>46</v>
      </c>
      <c r="D33" s="4" t="str">
        <f>"13281"</f>
        <v>13281</v>
      </c>
      <c r="E33" s="4" t="str">
        <f t="shared" si="0"/>
        <v>FE13281</v>
      </c>
      <c r="F33" s="7">
        <v>44296</v>
      </c>
      <c r="G33" s="7">
        <v>44308</v>
      </c>
      <c r="H33" s="30">
        <v>250905</v>
      </c>
      <c r="I33" s="31">
        <v>250905</v>
      </c>
      <c r="J33" s="31">
        <f t="shared" si="1"/>
        <v>0</v>
      </c>
      <c r="K33" s="2"/>
      <c r="N33" s="32">
        <v>0</v>
      </c>
      <c r="Q33" s="34">
        <v>0</v>
      </c>
      <c r="R33" s="35"/>
      <c r="S33" s="4">
        <f>IFERROR(VLOOKUP(E33,'[2]td factu si'!$A:$B,1,0),0)</f>
        <v>0</v>
      </c>
      <c r="T33" s="2">
        <f>IFERROR(VLOOKUP(E33,'[2]td factu si'!$A:$B,2,0),0)*-1</f>
        <v>0</v>
      </c>
      <c r="U33" s="33"/>
      <c r="V33" s="36"/>
      <c r="W33" s="36"/>
      <c r="X33" s="38">
        <v>250905</v>
      </c>
      <c r="Z33" s="42"/>
      <c r="AB33" s="7"/>
      <c r="AH33" s="3">
        <v>0</v>
      </c>
      <c r="AJ33" s="3">
        <v>0</v>
      </c>
      <c r="AL33" s="39"/>
    </row>
    <row r="34" spans="1:38" x14ac:dyDescent="0.25">
      <c r="A34">
        <v>26</v>
      </c>
      <c r="B34" s="29" t="s">
        <v>45</v>
      </c>
      <c r="C34" s="29" t="s">
        <v>46</v>
      </c>
      <c r="D34" s="4" t="str">
        <f>"13293"</f>
        <v>13293</v>
      </c>
      <c r="E34" s="4" t="str">
        <f t="shared" si="0"/>
        <v>FE13293</v>
      </c>
      <c r="F34" s="7">
        <v>44296</v>
      </c>
      <c r="G34" s="7">
        <v>44308</v>
      </c>
      <c r="H34" s="30">
        <v>15489</v>
      </c>
      <c r="I34" s="31">
        <v>11989</v>
      </c>
      <c r="J34" s="31">
        <f t="shared" si="1"/>
        <v>3500</v>
      </c>
      <c r="K34" s="2"/>
      <c r="N34" s="32">
        <v>11989</v>
      </c>
      <c r="Q34" s="34">
        <v>11989</v>
      </c>
      <c r="R34" s="35"/>
      <c r="S34" s="4" t="str">
        <f>IFERROR(VLOOKUP(E34,'[2]td factu si'!$A:$B,1,0),0)</f>
        <v>FE13293</v>
      </c>
      <c r="T34" s="2">
        <f>IFERROR(VLOOKUP(E34,'[2]td factu si'!$A:$B,2,0),0)*-1</f>
        <v>11989</v>
      </c>
      <c r="U34" s="40"/>
      <c r="V34" s="36"/>
      <c r="W34" s="36"/>
      <c r="X34" s="38"/>
      <c r="Z34" s="42"/>
      <c r="AB34" s="7"/>
      <c r="AH34" s="3">
        <v>0</v>
      </c>
      <c r="AJ34" s="3">
        <v>0</v>
      </c>
      <c r="AL34" s="39"/>
    </row>
    <row r="35" spans="1:38" x14ac:dyDescent="0.25">
      <c r="A35">
        <v>27</v>
      </c>
      <c r="B35" s="29" t="s">
        <v>45</v>
      </c>
      <c r="C35" s="29" t="s">
        <v>46</v>
      </c>
      <c r="D35" s="4" t="str">
        <f>"13298"</f>
        <v>13298</v>
      </c>
      <c r="E35" s="4" t="str">
        <f t="shared" si="0"/>
        <v>FE13298</v>
      </c>
      <c r="F35" s="7">
        <v>44296</v>
      </c>
      <c r="G35" s="7">
        <v>44308</v>
      </c>
      <c r="H35" s="30">
        <v>235243</v>
      </c>
      <c r="I35" s="31">
        <v>228243</v>
      </c>
      <c r="J35" s="31">
        <f t="shared" si="1"/>
        <v>7000</v>
      </c>
      <c r="K35" s="2"/>
      <c r="N35" s="32">
        <v>228243</v>
      </c>
      <c r="Q35" s="34">
        <v>228243</v>
      </c>
      <c r="R35" s="35"/>
      <c r="S35" s="4" t="str">
        <f>IFERROR(VLOOKUP(E35,'[2]td factu si'!$A:$B,1,0),0)</f>
        <v>FE13298</v>
      </c>
      <c r="T35" s="2">
        <f>IFERROR(VLOOKUP(E35,'[2]td factu si'!$A:$B,2,0),0)*-1</f>
        <v>228243</v>
      </c>
      <c r="U35" s="40"/>
      <c r="V35" s="36"/>
      <c r="W35" s="36"/>
      <c r="X35" s="38"/>
      <c r="Z35" s="42"/>
      <c r="AB35" s="7"/>
      <c r="AH35" s="3">
        <v>0</v>
      </c>
      <c r="AJ35" s="3">
        <v>0</v>
      </c>
      <c r="AL35" s="39"/>
    </row>
    <row r="36" spans="1:38" x14ac:dyDescent="0.25">
      <c r="A36">
        <v>28</v>
      </c>
      <c r="B36" s="29" t="s">
        <v>45</v>
      </c>
      <c r="C36" s="29" t="s">
        <v>46</v>
      </c>
      <c r="D36" s="4" t="str">
        <f>"13311"</f>
        <v>13311</v>
      </c>
      <c r="E36" s="4" t="str">
        <f t="shared" si="0"/>
        <v>FE13311</v>
      </c>
      <c r="F36" s="7">
        <v>44296</v>
      </c>
      <c r="G36" s="7">
        <v>44308</v>
      </c>
      <c r="H36" s="30">
        <v>181246</v>
      </c>
      <c r="I36" s="31">
        <v>181246</v>
      </c>
      <c r="J36" s="31">
        <f t="shared" si="1"/>
        <v>0</v>
      </c>
      <c r="K36" s="2">
        <f>SUM(H36)</f>
        <v>181246</v>
      </c>
      <c r="N36" s="32">
        <v>0</v>
      </c>
      <c r="Q36" s="34">
        <v>0</v>
      </c>
      <c r="R36" s="35"/>
      <c r="S36" s="4">
        <f>IFERROR(VLOOKUP(E36,'[2]td factu si'!$A:$B,1,0),0)</f>
        <v>0</v>
      </c>
      <c r="T36" s="2">
        <f>IFERROR(VLOOKUP(E36,'[2]td factu si'!$A:$B,2,0),0)*-1</f>
        <v>0</v>
      </c>
      <c r="U36" s="33"/>
      <c r="V36" s="36"/>
      <c r="W36" s="36"/>
      <c r="X36" s="38">
        <v>181246</v>
      </c>
      <c r="Z36" s="42"/>
      <c r="AB36" s="7"/>
      <c r="AH36" s="3">
        <v>0</v>
      </c>
      <c r="AJ36" s="3">
        <v>0</v>
      </c>
      <c r="AL36" s="39"/>
    </row>
    <row r="37" spans="1:38" x14ac:dyDescent="0.25">
      <c r="A37">
        <v>29</v>
      </c>
      <c r="B37" s="29" t="s">
        <v>45</v>
      </c>
      <c r="C37" s="29" t="s">
        <v>46</v>
      </c>
      <c r="D37" s="4" t="str">
        <f>"13463"</f>
        <v>13463</v>
      </c>
      <c r="E37" s="4" t="str">
        <f t="shared" si="0"/>
        <v>FE13463</v>
      </c>
      <c r="F37" s="7">
        <v>44300</v>
      </c>
      <c r="G37" s="7">
        <v>44308</v>
      </c>
      <c r="H37" s="30">
        <v>14933</v>
      </c>
      <c r="I37" s="31">
        <v>11433</v>
      </c>
      <c r="J37" s="31">
        <f t="shared" si="1"/>
        <v>3500</v>
      </c>
      <c r="K37" s="2"/>
      <c r="N37" s="32">
        <v>0</v>
      </c>
      <c r="Q37" s="34">
        <v>0</v>
      </c>
      <c r="R37" s="35"/>
      <c r="S37" s="4">
        <f>IFERROR(VLOOKUP(E37,'[2]td factu si'!$A:$B,1,0),0)</f>
        <v>0</v>
      </c>
      <c r="T37" s="2">
        <f>IFERROR(VLOOKUP(E37,'[2]td factu si'!$A:$B,2,0),0)*-1</f>
        <v>0</v>
      </c>
      <c r="U37" s="33"/>
      <c r="V37" s="36"/>
      <c r="W37" s="36"/>
      <c r="X37" s="38">
        <v>11433</v>
      </c>
      <c r="Z37" s="42"/>
      <c r="AB37" s="7"/>
      <c r="AH37" s="3">
        <v>0</v>
      </c>
      <c r="AJ37" s="3">
        <v>0</v>
      </c>
      <c r="AL37" s="39"/>
    </row>
    <row r="38" spans="1:38" x14ac:dyDescent="0.25">
      <c r="A38">
        <v>30</v>
      </c>
      <c r="B38" s="29" t="s">
        <v>45</v>
      </c>
      <c r="C38" s="29" t="s">
        <v>46</v>
      </c>
      <c r="D38" s="4" t="str">
        <f>"13482"</f>
        <v>13482</v>
      </c>
      <c r="E38" s="4" t="str">
        <f t="shared" si="0"/>
        <v>FE13482</v>
      </c>
      <c r="F38" s="7">
        <v>44300</v>
      </c>
      <c r="G38" s="7">
        <v>44308</v>
      </c>
      <c r="H38" s="30">
        <v>15489</v>
      </c>
      <c r="I38" s="31">
        <v>11989</v>
      </c>
      <c r="J38" s="31">
        <f t="shared" si="1"/>
        <v>3500</v>
      </c>
      <c r="K38" s="2"/>
      <c r="N38" s="32">
        <v>11989</v>
      </c>
      <c r="Q38" s="34">
        <v>11989</v>
      </c>
      <c r="R38" s="35"/>
      <c r="S38" s="4" t="str">
        <f>IFERROR(VLOOKUP(E38,'[2]td factu si'!$A:$B,1,0),0)</f>
        <v>FE13482</v>
      </c>
      <c r="T38" s="2">
        <f>IFERROR(VLOOKUP(E38,'[2]td factu si'!$A:$B,2,0),0)*-1</f>
        <v>11989</v>
      </c>
      <c r="U38" s="40"/>
      <c r="V38" s="36"/>
      <c r="W38" s="36"/>
      <c r="X38" s="38"/>
      <c r="Z38" s="42"/>
      <c r="AB38" s="7"/>
      <c r="AH38" s="3">
        <v>0</v>
      </c>
      <c r="AJ38" s="3">
        <v>0</v>
      </c>
      <c r="AL38" s="39"/>
    </row>
    <row r="39" spans="1:38" x14ac:dyDescent="0.25">
      <c r="A39">
        <v>31</v>
      </c>
      <c r="B39" s="29" t="s">
        <v>45</v>
      </c>
      <c r="C39" s="29" t="s">
        <v>46</v>
      </c>
      <c r="D39" s="4" t="str">
        <f>"13489"</f>
        <v>13489</v>
      </c>
      <c r="E39" s="4" t="str">
        <f t="shared" si="0"/>
        <v>FE13489</v>
      </c>
      <c r="F39" s="7">
        <v>44301</v>
      </c>
      <c r="G39" s="7">
        <v>44308</v>
      </c>
      <c r="H39" s="30">
        <v>181246</v>
      </c>
      <c r="I39" s="31">
        <v>160403</v>
      </c>
      <c r="J39" s="31">
        <f t="shared" si="1"/>
        <v>20843</v>
      </c>
      <c r="K39" s="2"/>
      <c r="N39" s="32">
        <v>160403</v>
      </c>
      <c r="Q39" s="34">
        <v>160403</v>
      </c>
      <c r="R39" s="35"/>
      <c r="S39" s="4" t="str">
        <f>IFERROR(VLOOKUP(E39,'[2]td factu si'!$A:$B,1,0),0)</f>
        <v>FE13489</v>
      </c>
      <c r="T39" s="2">
        <f>IFERROR(VLOOKUP(E39,'[2]td factu si'!$A:$B,2,0),0)*-1</f>
        <v>160403</v>
      </c>
      <c r="U39" s="40"/>
      <c r="V39" s="36"/>
      <c r="W39" s="36"/>
      <c r="X39" s="38"/>
      <c r="Z39" s="42"/>
      <c r="AB39" s="7"/>
      <c r="AH39" s="3">
        <v>0</v>
      </c>
      <c r="AJ39" s="3">
        <v>0</v>
      </c>
      <c r="AL39" s="39"/>
    </row>
    <row r="40" spans="1:38" x14ac:dyDescent="0.25">
      <c r="A40">
        <v>32</v>
      </c>
      <c r="B40" s="29" t="s">
        <v>45</v>
      </c>
      <c r="C40" s="29" t="s">
        <v>46</v>
      </c>
      <c r="D40" s="4" t="str">
        <f>"13496"</f>
        <v>13496</v>
      </c>
      <c r="E40" s="4" t="str">
        <f t="shared" si="0"/>
        <v>FE13496</v>
      </c>
      <c r="F40" s="7">
        <v>44301</v>
      </c>
      <c r="G40" s="7">
        <v>44308</v>
      </c>
      <c r="H40" s="30">
        <v>15489</v>
      </c>
      <c r="I40" s="31">
        <v>11989</v>
      </c>
      <c r="J40" s="31">
        <f t="shared" si="1"/>
        <v>3500</v>
      </c>
      <c r="K40" s="2"/>
      <c r="N40" s="32">
        <v>11989</v>
      </c>
      <c r="Q40" s="34">
        <v>11989</v>
      </c>
      <c r="R40" s="35"/>
      <c r="S40" s="4" t="str">
        <f>IFERROR(VLOOKUP(E40,'[2]td factu si'!$A:$B,1,0),0)</f>
        <v>FE13496</v>
      </c>
      <c r="T40" s="2">
        <f>IFERROR(VLOOKUP(E40,'[2]td factu si'!$A:$B,2,0),0)*-1</f>
        <v>11989</v>
      </c>
      <c r="U40" s="40"/>
      <c r="W40" s="36"/>
      <c r="AB40" s="7"/>
      <c r="AH40" s="3">
        <v>0</v>
      </c>
      <c r="AJ40" s="3">
        <v>0</v>
      </c>
      <c r="AL40" s="39"/>
    </row>
    <row r="41" spans="1:38" x14ac:dyDescent="0.25">
      <c r="A41">
        <v>33</v>
      </c>
      <c r="B41" s="29" t="s">
        <v>45</v>
      </c>
      <c r="C41" s="29" t="s">
        <v>46</v>
      </c>
      <c r="D41" s="4" t="str">
        <f>"13499"</f>
        <v>13499</v>
      </c>
      <c r="E41" s="4" t="str">
        <f t="shared" si="0"/>
        <v>FE13499</v>
      </c>
      <c r="F41" s="7">
        <v>44301</v>
      </c>
      <c r="G41" s="7">
        <v>44308</v>
      </c>
      <c r="H41" s="30">
        <v>15489</v>
      </c>
      <c r="I41" s="31">
        <v>11989</v>
      </c>
      <c r="J41" s="31">
        <f t="shared" si="1"/>
        <v>3500</v>
      </c>
      <c r="K41" s="2"/>
      <c r="N41" s="32">
        <v>11989</v>
      </c>
      <c r="Q41" s="34">
        <v>11989</v>
      </c>
      <c r="R41" s="35"/>
      <c r="S41" s="4" t="str">
        <f>IFERROR(VLOOKUP(E41,'[2]td factu si'!$A:$B,1,0),0)</f>
        <v>FE13499</v>
      </c>
      <c r="T41" s="2">
        <f>IFERROR(VLOOKUP(E41,'[2]td factu si'!$A:$B,2,0),0)*-1</f>
        <v>11989</v>
      </c>
      <c r="U41" s="40"/>
      <c r="W41" s="36"/>
      <c r="Z41" s="42"/>
      <c r="AB41" s="7"/>
      <c r="AH41" s="3">
        <v>0</v>
      </c>
      <c r="AJ41" s="3">
        <v>0</v>
      </c>
      <c r="AL41" s="39"/>
    </row>
    <row r="42" spans="1:38" x14ac:dyDescent="0.25">
      <c r="A42">
        <v>34</v>
      </c>
      <c r="B42" s="29" t="s">
        <v>45</v>
      </c>
      <c r="C42" s="29" t="s">
        <v>46</v>
      </c>
      <c r="D42" s="4" t="str">
        <f>"13549"</f>
        <v>13549</v>
      </c>
      <c r="E42" s="4" t="str">
        <f t="shared" si="0"/>
        <v>FE13549</v>
      </c>
      <c r="F42" s="7">
        <v>44301</v>
      </c>
      <c r="G42" s="7">
        <v>44308</v>
      </c>
      <c r="H42" s="30">
        <v>15489</v>
      </c>
      <c r="I42" s="31">
        <v>11989</v>
      </c>
      <c r="J42" s="31">
        <f t="shared" si="1"/>
        <v>3500</v>
      </c>
      <c r="K42" s="2"/>
      <c r="N42" s="32">
        <v>11989</v>
      </c>
      <c r="Q42" s="34">
        <v>11989</v>
      </c>
      <c r="R42" s="35"/>
      <c r="S42" s="4" t="str">
        <f>IFERROR(VLOOKUP(E42,'[2]td factu si'!$A:$B,1,0),0)</f>
        <v>FE13549</v>
      </c>
      <c r="T42" s="2">
        <f>IFERROR(VLOOKUP(E42,'[2]td factu si'!$A:$B,2,0),0)*-1</f>
        <v>11989</v>
      </c>
      <c r="U42" s="40"/>
      <c r="W42" s="36"/>
      <c r="Z42" s="42"/>
      <c r="AB42" s="7"/>
      <c r="AH42" s="3">
        <v>0</v>
      </c>
      <c r="AJ42" s="3">
        <v>0</v>
      </c>
      <c r="AL42" s="39"/>
    </row>
    <row r="43" spans="1:38" x14ac:dyDescent="0.25">
      <c r="A43">
        <v>35</v>
      </c>
      <c r="B43" s="29" t="s">
        <v>45</v>
      </c>
      <c r="C43" s="29" t="s">
        <v>46</v>
      </c>
      <c r="D43" s="4" t="str">
        <f>"13565"</f>
        <v>13565</v>
      </c>
      <c r="E43" s="4" t="str">
        <f t="shared" si="0"/>
        <v>FE13565</v>
      </c>
      <c r="F43" s="7">
        <v>44301</v>
      </c>
      <c r="G43" s="7">
        <v>44308</v>
      </c>
      <c r="H43" s="30">
        <v>14933</v>
      </c>
      <c r="I43" s="31">
        <v>14933</v>
      </c>
      <c r="J43" s="31">
        <f t="shared" si="1"/>
        <v>0</v>
      </c>
      <c r="K43" s="2"/>
      <c r="N43" s="32">
        <v>0</v>
      </c>
      <c r="Q43" s="34">
        <v>0</v>
      </c>
      <c r="R43" s="35"/>
      <c r="S43" s="4">
        <f>IFERROR(VLOOKUP(E43,'[2]td factu si'!$A:$B,1,0),0)</f>
        <v>0</v>
      </c>
      <c r="T43" s="2">
        <f>IFERROR(VLOOKUP(E43,'[2]td factu si'!$A:$B,2,0),0)*-1</f>
        <v>0</v>
      </c>
      <c r="U43" s="33"/>
      <c r="W43" s="36"/>
      <c r="X43" s="6">
        <v>14933</v>
      </c>
      <c r="Z43" s="42"/>
      <c r="AB43" s="7"/>
      <c r="AH43" s="3">
        <v>0</v>
      </c>
      <c r="AJ43" s="3">
        <v>0</v>
      </c>
      <c r="AL43" s="39"/>
    </row>
    <row r="44" spans="1:38" x14ac:dyDescent="0.25">
      <c r="A44">
        <v>36</v>
      </c>
      <c r="B44" s="29" t="s">
        <v>45</v>
      </c>
      <c r="C44" s="29" t="s">
        <v>46</v>
      </c>
      <c r="D44" s="4" t="str">
        <f>"13566"</f>
        <v>13566</v>
      </c>
      <c r="E44" s="4" t="str">
        <f t="shared" si="0"/>
        <v>FE13566</v>
      </c>
      <c r="F44" s="7">
        <v>44301</v>
      </c>
      <c r="G44" s="7">
        <v>44308</v>
      </c>
      <c r="H44" s="30">
        <v>14933</v>
      </c>
      <c r="I44" s="31">
        <v>11433</v>
      </c>
      <c r="J44" s="31">
        <f t="shared" si="1"/>
        <v>3500</v>
      </c>
      <c r="K44" s="2"/>
      <c r="N44" s="32">
        <v>0</v>
      </c>
      <c r="Q44" s="34">
        <v>0</v>
      </c>
      <c r="R44" s="35"/>
      <c r="S44" s="4">
        <f>IFERROR(VLOOKUP(E44,'[2]td factu si'!$A:$B,1,0),0)</f>
        <v>0</v>
      </c>
      <c r="T44" s="2">
        <f>IFERROR(VLOOKUP(E44,'[2]td factu si'!$A:$B,2,0),0)*-1</f>
        <v>0</v>
      </c>
      <c r="U44" s="33"/>
      <c r="W44" s="36"/>
      <c r="X44" s="6">
        <v>11433</v>
      </c>
      <c r="Z44" s="42"/>
      <c r="AB44" s="7"/>
      <c r="AH44" s="3">
        <v>0</v>
      </c>
      <c r="AJ44" s="3">
        <v>0</v>
      </c>
      <c r="AL44" s="39"/>
    </row>
    <row r="45" spans="1:38" x14ac:dyDescent="0.25">
      <c r="A45">
        <v>37</v>
      </c>
      <c r="B45" s="29" t="s">
        <v>45</v>
      </c>
      <c r="C45" s="29" t="s">
        <v>46</v>
      </c>
      <c r="D45" s="4" t="str">
        <f>"13585"</f>
        <v>13585</v>
      </c>
      <c r="E45" s="4" t="str">
        <f t="shared" si="0"/>
        <v>FE13585</v>
      </c>
      <c r="F45" s="7">
        <v>44302</v>
      </c>
      <c r="G45" s="7">
        <v>44308</v>
      </c>
      <c r="H45" s="30">
        <v>181246</v>
      </c>
      <c r="I45" s="31">
        <v>181246</v>
      </c>
      <c r="J45" s="31">
        <f t="shared" si="1"/>
        <v>0</v>
      </c>
      <c r="K45" s="2"/>
      <c r="N45" s="32">
        <v>0</v>
      </c>
      <c r="Q45" s="34">
        <v>0</v>
      </c>
      <c r="R45" s="35"/>
      <c r="S45" s="4">
        <f>IFERROR(VLOOKUP(E45,'[2]td factu si'!$A:$B,1,0),0)</f>
        <v>0</v>
      </c>
      <c r="T45" s="2">
        <f>IFERROR(VLOOKUP(E45,'[2]td factu si'!$A:$B,2,0),0)*-1</f>
        <v>0</v>
      </c>
      <c r="U45" s="33"/>
      <c r="W45" s="36"/>
      <c r="X45" s="6">
        <v>181246</v>
      </c>
      <c r="Z45" s="42"/>
      <c r="AB45" s="7"/>
      <c r="AH45" s="3">
        <v>0</v>
      </c>
      <c r="AJ45" s="3">
        <v>0</v>
      </c>
      <c r="AL45" s="39"/>
    </row>
    <row r="46" spans="1:38" x14ac:dyDescent="0.25">
      <c r="A46">
        <v>38</v>
      </c>
      <c r="B46" s="29" t="s">
        <v>45</v>
      </c>
      <c r="C46" s="29" t="s">
        <v>46</v>
      </c>
      <c r="D46" s="4" t="str">
        <f>"13595"</f>
        <v>13595</v>
      </c>
      <c r="E46" s="4" t="str">
        <f t="shared" si="0"/>
        <v>FE13595</v>
      </c>
      <c r="F46" s="7">
        <v>44302</v>
      </c>
      <c r="G46" s="7">
        <v>44323</v>
      </c>
      <c r="H46" s="30">
        <v>181246</v>
      </c>
      <c r="I46" s="31">
        <v>160403</v>
      </c>
      <c r="J46" s="31">
        <f t="shared" si="1"/>
        <v>20843</v>
      </c>
      <c r="K46" s="2"/>
      <c r="N46" s="32">
        <v>160403</v>
      </c>
      <c r="Q46" s="34">
        <v>160403</v>
      </c>
      <c r="R46" s="35"/>
      <c r="S46" s="4" t="str">
        <f>IFERROR(VLOOKUP(E46,'[2]td factu si'!$A:$B,1,0),0)</f>
        <v>FE13595</v>
      </c>
      <c r="T46" s="2">
        <f>IFERROR(VLOOKUP(E46,'[2]td factu si'!$A:$B,2,0),0)*-1</f>
        <v>160403</v>
      </c>
      <c r="U46" s="40"/>
      <c r="W46" s="36"/>
      <c r="Z46" s="42"/>
      <c r="AB46" s="7"/>
      <c r="AH46" s="3">
        <v>0</v>
      </c>
      <c r="AJ46" s="3">
        <v>0</v>
      </c>
      <c r="AL46" s="39"/>
    </row>
    <row r="47" spans="1:38" x14ac:dyDescent="0.25">
      <c r="A47">
        <v>39</v>
      </c>
      <c r="B47" s="29" t="s">
        <v>45</v>
      </c>
      <c r="C47" s="29" t="s">
        <v>46</v>
      </c>
      <c r="D47" s="4" t="str">
        <f>"13622"</f>
        <v>13622</v>
      </c>
      <c r="E47" s="4" t="str">
        <f t="shared" si="0"/>
        <v>FE13622</v>
      </c>
      <c r="F47" s="7">
        <v>44302</v>
      </c>
      <c r="G47" s="7">
        <v>44308</v>
      </c>
      <c r="H47" s="30">
        <v>135855</v>
      </c>
      <c r="I47" s="31">
        <v>121855</v>
      </c>
      <c r="J47" s="31">
        <f t="shared" si="1"/>
        <v>14000</v>
      </c>
      <c r="K47" s="2"/>
      <c r="N47" s="32">
        <v>121855</v>
      </c>
      <c r="Q47" s="34">
        <v>121855</v>
      </c>
      <c r="R47" s="35"/>
      <c r="S47" s="4" t="str">
        <f>IFERROR(VLOOKUP(E47,'[2]td factu si'!$A:$B,1,0),0)</f>
        <v>FE13622</v>
      </c>
      <c r="T47" s="2">
        <f>IFERROR(VLOOKUP(E47,'[2]td factu si'!$A:$B,2,0),0)*-1</f>
        <v>121855</v>
      </c>
      <c r="U47" s="40"/>
      <c r="W47" s="36"/>
      <c r="Z47" s="42"/>
      <c r="AB47" s="7"/>
      <c r="AH47" s="3">
        <v>0</v>
      </c>
      <c r="AJ47" s="3">
        <v>0</v>
      </c>
      <c r="AL47" s="39"/>
    </row>
    <row r="48" spans="1:38" x14ac:dyDescent="0.25">
      <c r="A48">
        <v>40</v>
      </c>
      <c r="B48" s="29" t="s">
        <v>45</v>
      </c>
      <c r="C48" s="29" t="s">
        <v>46</v>
      </c>
      <c r="D48" s="4" t="str">
        <f>"13637"</f>
        <v>13637</v>
      </c>
      <c r="E48" s="4" t="str">
        <f t="shared" si="0"/>
        <v>FE13637</v>
      </c>
      <c r="F48" s="7">
        <v>44302</v>
      </c>
      <c r="G48" s="7">
        <v>44308</v>
      </c>
      <c r="H48" s="30">
        <v>116393</v>
      </c>
      <c r="I48" s="31">
        <v>116393</v>
      </c>
      <c r="J48" s="31">
        <f t="shared" si="1"/>
        <v>0</v>
      </c>
      <c r="K48" s="2"/>
      <c r="N48" s="32">
        <v>116393</v>
      </c>
      <c r="Q48" s="34">
        <v>116393</v>
      </c>
      <c r="R48" s="35"/>
      <c r="S48" s="4" t="str">
        <f>IFERROR(VLOOKUP(E48,'[2]td factu si'!$A:$B,1,0),0)</f>
        <v>FE13637</v>
      </c>
      <c r="T48" s="2">
        <f>IFERROR(VLOOKUP(E48,'[2]td factu si'!$A:$B,2,0),0)*-1</f>
        <v>116393</v>
      </c>
      <c r="U48" s="40"/>
      <c r="W48" s="36"/>
      <c r="Z48" s="42"/>
      <c r="AB48" s="7"/>
      <c r="AH48" s="3">
        <v>0</v>
      </c>
      <c r="AJ48" s="3">
        <v>0</v>
      </c>
      <c r="AL48" s="39"/>
    </row>
    <row r="49" spans="1:38" x14ac:dyDescent="0.25">
      <c r="A49">
        <v>41</v>
      </c>
      <c r="B49" s="29" t="s">
        <v>45</v>
      </c>
      <c r="C49" s="29" t="s">
        <v>46</v>
      </c>
      <c r="D49" s="4" t="str">
        <f>"13715"</f>
        <v>13715</v>
      </c>
      <c r="E49" s="4" t="str">
        <f t="shared" si="0"/>
        <v>FE13715</v>
      </c>
      <c r="F49" s="7">
        <v>44305</v>
      </c>
      <c r="G49" s="7">
        <v>44308</v>
      </c>
      <c r="H49" s="30">
        <v>15489</v>
      </c>
      <c r="I49" s="31">
        <v>15489</v>
      </c>
      <c r="J49" s="31">
        <f t="shared" si="1"/>
        <v>0</v>
      </c>
      <c r="K49" s="2"/>
      <c r="N49" s="32">
        <v>0</v>
      </c>
      <c r="Q49" s="34">
        <v>0</v>
      </c>
      <c r="R49" s="35"/>
      <c r="S49" s="4">
        <f>IFERROR(VLOOKUP(E49,'[2]td factu si'!$A:$B,1,0),0)</f>
        <v>0</v>
      </c>
      <c r="T49" s="2">
        <f>IFERROR(VLOOKUP(E49,'[2]td factu si'!$A:$B,2,0),0)*-1</f>
        <v>0</v>
      </c>
      <c r="U49" s="33"/>
      <c r="W49" s="36"/>
      <c r="X49" s="6">
        <v>15489</v>
      </c>
      <c r="AB49" s="7"/>
      <c r="AH49" s="3">
        <v>0</v>
      </c>
      <c r="AJ49" s="3">
        <v>0</v>
      </c>
      <c r="AL49" s="39"/>
    </row>
    <row r="50" spans="1:38" x14ac:dyDescent="0.25">
      <c r="A50">
        <v>42</v>
      </c>
      <c r="B50" s="29" t="s">
        <v>45</v>
      </c>
      <c r="C50" s="29" t="s">
        <v>46</v>
      </c>
      <c r="D50" s="4" t="str">
        <f>"13749"</f>
        <v>13749</v>
      </c>
      <c r="E50" s="4" t="str">
        <f t="shared" si="0"/>
        <v>FE13749</v>
      </c>
      <c r="F50" s="7">
        <v>44306</v>
      </c>
      <c r="G50" s="7">
        <v>44308</v>
      </c>
      <c r="H50" s="30">
        <v>181246</v>
      </c>
      <c r="I50" s="31">
        <v>181246</v>
      </c>
      <c r="J50" s="31">
        <f t="shared" si="1"/>
        <v>0</v>
      </c>
      <c r="K50" s="2"/>
      <c r="N50" s="32">
        <v>0</v>
      </c>
      <c r="Q50" s="34">
        <v>0</v>
      </c>
      <c r="R50" s="35"/>
      <c r="S50" s="4">
        <f>IFERROR(VLOOKUP(E50,'[2]td factu si'!$A:$B,1,0),0)</f>
        <v>0</v>
      </c>
      <c r="T50" s="2">
        <f>IFERROR(VLOOKUP(E50,'[2]td factu si'!$A:$B,2,0),0)*-1</f>
        <v>0</v>
      </c>
      <c r="W50" s="36"/>
      <c r="X50" s="6">
        <v>181246</v>
      </c>
      <c r="Z50" s="42"/>
      <c r="AB50" s="7"/>
      <c r="AH50" s="3">
        <v>0</v>
      </c>
      <c r="AJ50" s="3">
        <v>0</v>
      </c>
      <c r="AL50" s="39"/>
    </row>
    <row r="51" spans="1:38" x14ac:dyDescent="0.25">
      <c r="A51">
        <v>43</v>
      </c>
      <c r="B51" s="29" t="s">
        <v>45</v>
      </c>
      <c r="C51" s="29" t="s">
        <v>46</v>
      </c>
      <c r="D51" s="4" t="str">
        <f>"13766"</f>
        <v>13766</v>
      </c>
      <c r="E51" s="4" t="str">
        <f t="shared" si="0"/>
        <v>FE13766</v>
      </c>
      <c r="F51" s="7">
        <v>44306</v>
      </c>
      <c r="G51" s="7">
        <v>44308</v>
      </c>
      <c r="H51" s="30">
        <v>1798125</v>
      </c>
      <c r="I51" s="31">
        <v>838459</v>
      </c>
      <c r="J51" s="31">
        <f t="shared" si="1"/>
        <v>959666</v>
      </c>
      <c r="K51" s="2"/>
      <c r="N51" s="32">
        <v>414015</v>
      </c>
      <c r="Q51" s="34">
        <v>414015</v>
      </c>
      <c r="R51" s="35"/>
      <c r="S51" s="4" t="str">
        <f>IFERROR(VLOOKUP(E51,'[2]td factu si'!$A:$B,1,0),0)</f>
        <v>FE13766</v>
      </c>
      <c r="T51" s="2">
        <f>IFERROR(VLOOKUP(E51,'[2]td factu si'!$A:$B,2,0),0)*-1</f>
        <v>1798125</v>
      </c>
      <c r="U51" s="40"/>
      <c r="W51" s="36"/>
      <c r="Y51" t="s">
        <v>50</v>
      </c>
      <c r="Z51" s="42"/>
      <c r="AB51" s="7">
        <v>44360</v>
      </c>
      <c r="AH51" s="3">
        <v>0</v>
      </c>
      <c r="AJ51" s="3">
        <v>0</v>
      </c>
      <c r="AL51" s="39"/>
    </row>
    <row r="52" spans="1:38" x14ac:dyDescent="0.25">
      <c r="A52">
        <v>44</v>
      </c>
      <c r="B52" s="29" t="s">
        <v>45</v>
      </c>
      <c r="C52" s="29" t="s">
        <v>46</v>
      </c>
      <c r="D52" s="4" t="str">
        <f>"13768"</f>
        <v>13768</v>
      </c>
      <c r="E52" s="4" t="str">
        <f t="shared" si="0"/>
        <v>FE13768</v>
      </c>
      <c r="F52" s="7">
        <v>44306</v>
      </c>
      <c r="G52" s="7">
        <v>44308</v>
      </c>
      <c r="H52" s="30">
        <v>2089680</v>
      </c>
      <c r="I52" s="31">
        <v>2089680</v>
      </c>
      <c r="J52" s="31">
        <f t="shared" si="1"/>
        <v>0</v>
      </c>
      <c r="K52" s="2"/>
      <c r="N52" s="32">
        <v>768406</v>
      </c>
      <c r="Q52" s="34">
        <v>768406</v>
      </c>
      <c r="R52" s="35"/>
      <c r="S52" s="4" t="str">
        <f>IFERROR(VLOOKUP(E52,'[2]td factu si'!$A:$B,1,0),0)</f>
        <v>FE13768</v>
      </c>
      <c r="T52" s="2">
        <f>IFERROR(VLOOKUP(E52,'[2]td factu si'!$A:$B,2,0),0)*-1</f>
        <v>2089680</v>
      </c>
      <c r="U52" s="40"/>
      <c r="W52" s="36"/>
      <c r="Y52" t="s">
        <v>51</v>
      </c>
      <c r="Z52" s="42"/>
      <c r="AB52" s="7">
        <v>44360</v>
      </c>
      <c r="AH52" s="3">
        <v>0</v>
      </c>
      <c r="AJ52" s="3">
        <v>0</v>
      </c>
      <c r="AL52" s="39"/>
    </row>
    <row r="53" spans="1:38" x14ac:dyDescent="0.25">
      <c r="A53">
        <v>45</v>
      </c>
      <c r="B53" s="29" t="s">
        <v>45</v>
      </c>
      <c r="C53" s="29" t="s">
        <v>46</v>
      </c>
      <c r="D53" s="4" t="str">
        <f>"13771"</f>
        <v>13771</v>
      </c>
      <c r="E53" s="4" t="str">
        <f t="shared" si="0"/>
        <v>FE13771</v>
      </c>
      <c r="F53" s="7">
        <v>44306</v>
      </c>
      <c r="G53" s="7">
        <v>44308</v>
      </c>
      <c r="H53" s="30">
        <v>181246</v>
      </c>
      <c r="I53" s="31">
        <v>181246</v>
      </c>
      <c r="J53" s="31">
        <f t="shared" si="1"/>
        <v>0</v>
      </c>
      <c r="K53" s="2"/>
      <c r="N53" s="32">
        <v>181246</v>
      </c>
      <c r="Q53" s="34">
        <v>181246</v>
      </c>
      <c r="R53" s="35"/>
      <c r="S53" s="4" t="str">
        <f>IFERROR(VLOOKUP(E53,'[2]td factu si'!$A:$B,1,0),0)</f>
        <v>FE13771</v>
      </c>
      <c r="T53" s="2">
        <f>IFERROR(VLOOKUP(E53,'[2]td factu si'!$A:$B,2,0),0)*-1</f>
        <v>181246</v>
      </c>
      <c r="U53" s="40"/>
      <c r="W53" s="36"/>
      <c r="AB53" s="7"/>
      <c r="AH53" s="3">
        <v>0</v>
      </c>
      <c r="AJ53" s="3">
        <v>0</v>
      </c>
      <c r="AL53" s="39"/>
    </row>
    <row r="54" spans="1:38" x14ac:dyDescent="0.25">
      <c r="A54">
        <v>46</v>
      </c>
      <c r="B54" s="29" t="s">
        <v>45</v>
      </c>
      <c r="C54" s="29" t="s">
        <v>46</v>
      </c>
      <c r="D54" s="4" t="str">
        <f>"13806"</f>
        <v>13806</v>
      </c>
      <c r="E54" s="4" t="str">
        <f t="shared" si="0"/>
        <v>FE13806</v>
      </c>
      <c r="F54" s="7">
        <v>44306</v>
      </c>
      <c r="G54" s="7">
        <v>44320</v>
      </c>
      <c r="H54" s="30">
        <v>116393</v>
      </c>
      <c r="I54" s="31">
        <v>116393</v>
      </c>
      <c r="J54" s="31">
        <f t="shared" si="1"/>
        <v>0</v>
      </c>
      <c r="K54" s="2"/>
      <c r="N54" s="32">
        <v>116393</v>
      </c>
      <c r="Q54" s="34">
        <v>116393</v>
      </c>
      <c r="R54" s="35"/>
      <c r="S54" s="4" t="str">
        <f>IFERROR(VLOOKUP(E54,'[2]td factu si'!$A:$B,1,0),0)</f>
        <v>FE13806</v>
      </c>
      <c r="T54" s="2">
        <f>IFERROR(VLOOKUP(E54,'[2]td factu si'!$A:$B,2,0),0)*-1</f>
        <v>116393</v>
      </c>
      <c r="U54" s="40"/>
      <c r="W54" s="36"/>
      <c r="Z54" s="42"/>
      <c r="AB54" s="7"/>
      <c r="AH54" s="3">
        <v>0</v>
      </c>
      <c r="AJ54" s="3">
        <v>0</v>
      </c>
      <c r="AL54" s="39"/>
    </row>
    <row r="55" spans="1:38" x14ac:dyDescent="0.25">
      <c r="A55">
        <v>47</v>
      </c>
      <c r="B55" s="29" t="s">
        <v>45</v>
      </c>
      <c r="C55" s="29" t="s">
        <v>46</v>
      </c>
      <c r="D55" s="4" t="str">
        <f>"13817"</f>
        <v>13817</v>
      </c>
      <c r="E55" s="4" t="str">
        <f t="shared" si="0"/>
        <v>FE13817</v>
      </c>
      <c r="F55" s="7">
        <v>44306</v>
      </c>
      <c r="G55" s="7">
        <v>44308</v>
      </c>
      <c r="H55" s="30">
        <v>15489</v>
      </c>
      <c r="I55" s="31">
        <v>15489</v>
      </c>
      <c r="J55" s="31">
        <f t="shared" si="1"/>
        <v>0</v>
      </c>
      <c r="K55" s="2"/>
      <c r="N55" s="32">
        <v>15489</v>
      </c>
      <c r="Q55" s="34">
        <v>15489</v>
      </c>
      <c r="R55" s="35"/>
      <c r="S55" s="4" t="str">
        <f>IFERROR(VLOOKUP(E55,'[2]td factu si'!$A:$B,1,0),0)</f>
        <v>FE13817</v>
      </c>
      <c r="T55" s="2">
        <f>IFERROR(VLOOKUP(E55,'[2]td factu si'!$A:$B,2,0),0)*-1</f>
        <v>15489</v>
      </c>
      <c r="U55" s="40"/>
      <c r="W55" s="36"/>
      <c r="Z55" s="42"/>
      <c r="AB55" s="7"/>
      <c r="AH55" s="3">
        <v>0</v>
      </c>
      <c r="AJ55" s="3">
        <v>0</v>
      </c>
      <c r="AL55" s="39"/>
    </row>
    <row r="56" spans="1:38" x14ac:dyDescent="0.25">
      <c r="A56">
        <v>48</v>
      </c>
      <c r="B56" s="29" t="s">
        <v>45</v>
      </c>
      <c r="C56" s="29" t="s">
        <v>46</v>
      </c>
      <c r="D56" s="4" t="str">
        <f>"13823"</f>
        <v>13823</v>
      </c>
      <c r="E56" s="4" t="str">
        <f t="shared" si="0"/>
        <v>FE13823</v>
      </c>
      <c r="F56" s="7">
        <v>44307</v>
      </c>
      <c r="G56" s="7">
        <v>44308</v>
      </c>
      <c r="H56" s="30">
        <v>99124</v>
      </c>
      <c r="I56" s="31">
        <v>99124</v>
      </c>
      <c r="J56" s="31">
        <f t="shared" si="1"/>
        <v>0</v>
      </c>
      <c r="K56" s="2"/>
      <c r="N56" s="32">
        <v>99124</v>
      </c>
      <c r="Q56" s="34">
        <v>99124</v>
      </c>
      <c r="R56" s="35"/>
      <c r="S56" s="4" t="str">
        <f>IFERROR(VLOOKUP(E56,'[2]td factu si'!$A:$B,1,0),0)</f>
        <v>FE13823</v>
      </c>
      <c r="T56" s="2">
        <f>IFERROR(VLOOKUP(E56,'[2]td factu si'!$A:$B,2,0),0)*-1</f>
        <v>99124</v>
      </c>
      <c r="U56" s="40"/>
      <c r="W56" s="36"/>
      <c r="Z56" s="42"/>
      <c r="AB56" s="7"/>
      <c r="AH56" s="3">
        <v>0</v>
      </c>
      <c r="AJ56" s="3">
        <v>0</v>
      </c>
      <c r="AL56" s="39"/>
    </row>
    <row r="57" spans="1:38" x14ac:dyDescent="0.25">
      <c r="A57">
        <v>49</v>
      </c>
      <c r="B57" s="29" t="s">
        <v>45</v>
      </c>
      <c r="C57" s="29" t="s">
        <v>46</v>
      </c>
      <c r="D57" s="4" t="str">
        <f>"13824"</f>
        <v>13824</v>
      </c>
      <c r="E57" s="4" t="str">
        <f t="shared" si="0"/>
        <v>FE13824</v>
      </c>
      <c r="F57" s="7">
        <v>44307</v>
      </c>
      <c r="G57" s="7">
        <v>44308</v>
      </c>
      <c r="H57" s="30">
        <v>181246</v>
      </c>
      <c r="I57" s="31">
        <v>181246</v>
      </c>
      <c r="J57" s="31">
        <f t="shared" si="1"/>
        <v>0</v>
      </c>
      <c r="K57" s="2"/>
      <c r="N57" s="32">
        <v>181246</v>
      </c>
      <c r="Q57" s="34">
        <v>181246</v>
      </c>
      <c r="R57" s="35"/>
      <c r="S57" s="4" t="str">
        <f>IFERROR(VLOOKUP(E57,'[2]td factu si'!$A:$B,1,0),0)</f>
        <v>FE13824</v>
      </c>
      <c r="T57" s="2">
        <f>IFERROR(VLOOKUP(E57,'[2]td factu si'!$A:$B,2,0),0)*-1</f>
        <v>181246</v>
      </c>
      <c r="U57" s="40"/>
      <c r="W57" s="36"/>
      <c r="Z57" s="42"/>
      <c r="AB57" s="7"/>
      <c r="AH57" s="3">
        <v>0</v>
      </c>
      <c r="AJ57" s="3">
        <v>0</v>
      </c>
      <c r="AL57" s="39"/>
    </row>
    <row r="58" spans="1:38" x14ac:dyDescent="0.25">
      <c r="A58">
        <v>50</v>
      </c>
      <c r="B58" s="29" t="s">
        <v>45</v>
      </c>
      <c r="C58" s="29" t="s">
        <v>46</v>
      </c>
      <c r="D58" s="4" t="str">
        <f>"13825"</f>
        <v>13825</v>
      </c>
      <c r="E58" s="4" t="str">
        <f t="shared" si="0"/>
        <v>FE13825</v>
      </c>
      <c r="F58" s="7">
        <v>44307</v>
      </c>
      <c r="G58" s="7">
        <v>44320</v>
      </c>
      <c r="H58" s="30">
        <v>196179</v>
      </c>
      <c r="I58" s="31">
        <v>196179</v>
      </c>
      <c r="J58" s="31">
        <f t="shared" si="1"/>
        <v>0</v>
      </c>
      <c r="K58" s="2"/>
      <c r="N58" s="32">
        <v>196179</v>
      </c>
      <c r="Q58" s="34">
        <v>196179</v>
      </c>
      <c r="R58" s="35"/>
      <c r="S58" s="4" t="str">
        <f>IFERROR(VLOOKUP(E58,'[2]td factu si'!$A:$B,1,0),0)</f>
        <v>FE13825</v>
      </c>
      <c r="T58" s="2">
        <f>IFERROR(VLOOKUP(E58,'[2]td factu si'!$A:$B,2,0),0)*-1</f>
        <v>196179</v>
      </c>
      <c r="U58" s="40"/>
      <c r="W58" s="36"/>
      <c r="Z58" s="42"/>
      <c r="AB58" s="7"/>
      <c r="AH58" s="3">
        <v>0</v>
      </c>
      <c r="AJ58" s="3">
        <v>0</v>
      </c>
      <c r="AL58" s="39"/>
    </row>
    <row r="59" spans="1:38" x14ac:dyDescent="0.25">
      <c r="A59">
        <v>51</v>
      </c>
      <c r="B59" s="29" t="s">
        <v>45</v>
      </c>
      <c r="C59" s="29" t="s">
        <v>46</v>
      </c>
      <c r="D59" s="4" t="str">
        <f>"13827"</f>
        <v>13827</v>
      </c>
      <c r="E59" s="4" t="str">
        <f t="shared" si="0"/>
        <v>FE13827</v>
      </c>
      <c r="F59" s="7">
        <v>44307</v>
      </c>
      <c r="G59" s="7">
        <v>44308</v>
      </c>
      <c r="H59" s="30">
        <v>339170</v>
      </c>
      <c r="I59" s="31">
        <v>339170</v>
      </c>
      <c r="J59" s="31">
        <f t="shared" si="1"/>
        <v>0</v>
      </c>
      <c r="K59" s="2"/>
      <c r="N59" s="32">
        <v>339170</v>
      </c>
      <c r="Q59" s="34">
        <v>339170</v>
      </c>
      <c r="R59" s="35"/>
      <c r="S59" s="4" t="str">
        <f>IFERROR(VLOOKUP(E59,'[2]td factu si'!$A:$B,1,0),0)</f>
        <v>FE13827</v>
      </c>
      <c r="T59" s="2">
        <f>IFERROR(VLOOKUP(E59,'[2]td factu si'!$A:$B,2,0),0)*-1</f>
        <v>339170</v>
      </c>
      <c r="U59" s="40"/>
      <c r="W59" s="36"/>
      <c r="Z59" s="42"/>
      <c r="AB59" s="7"/>
      <c r="AH59" s="3">
        <v>0</v>
      </c>
      <c r="AJ59" s="3">
        <v>0</v>
      </c>
      <c r="AL59" s="39"/>
    </row>
    <row r="60" spans="1:38" x14ac:dyDescent="0.25">
      <c r="A60">
        <v>52</v>
      </c>
      <c r="B60" s="29" t="s">
        <v>45</v>
      </c>
      <c r="C60" s="29" t="s">
        <v>46</v>
      </c>
      <c r="D60" s="4" t="str">
        <f>"13828"</f>
        <v>13828</v>
      </c>
      <c r="E60" s="4" t="str">
        <f t="shared" si="0"/>
        <v>FE13828</v>
      </c>
      <c r="F60" s="7">
        <v>44307</v>
      </c>
      <c r="G60" s="7">
        <v>44308</v>
      </c>
      <c r="H60" s="30">
        <v>181246</v>
      </c>
      <c r="I60" s="31">
        <v>177746</v>
      </c>
      <c r="J60" s="31">
        <f t="shared" si="1"/>
        <v>3500</v>
      </c>
      <c r="K60" s="2"/>
      <c r="N60" s="32">
        <v>177746</v>
      </c>
      <c r="Q60" s="34">
        <v>177746</v>
      </c>
      <c r="R60" s="35"/>
      <c r="S60" s="4" t="str">
        <f>IFERROR(VLOOKUP(E60,'[2]td factu si'!$A:$B,1,0),0)</f>
        <v>FE13828</v>
      </c>
      <c r="T60" s="2">
        <f>IFERROR(VLOOKUP(E60,'[2]td factu si'!$A:$B,2,0),0)*-1</f>
        <v>177746</v>
      </c>
      <c r="U60" s="40"/>
      <c r="W60" s="36"/>
      <c r="Z60" s="42"/>
      <c r="AB60" s="7"/>
      <c r="AH60" s="3">
        <v>0</v>
      </c>
      <c r="AJ60" s="3">
        <v>0</v>
      </c>
      <c r="AL60" s="39"/>
    </row>
    <row r="61" spans="1:38" x14ac:dyDescent="0.25">
      <c r="A61">
        <v>53</v>
      </c>
      <c r="B61" s="29" t="s">
        <v>45</v>
      </c>
      <c r="C61" s="29" t="s">
        <v>46</v>
      </c>
      <c r="D61" s="4" t="str">
        <f>"13829"</f>
        <v>13829</v>
      </c>
      <c r="E61" s="4" t="str">
        <f t="shared" si="0"/>
        <v>FE13829</v>
      </c>
      <c r="F61" s="7">
        <v>44307</v>
      </c>
      <c r="G61" s="7">
        <v>44308</v>
      </c>
      <c r="H61" s="30">
        <v>181246</v>
      </c>
      <c r="I61" s="31">
        <v>181246</v>
      </c>
      <c r="J61" s="31">
        <f t="shared" si="1"/>
        <v>0</v>
      </c>
      <c r="K61" s="2"/>
      <c r="N61" s="32">
        <v>181246</v>
      </c>
      <c r="Q61" s="34">
        <v>181246</v>
      </c>
      <c r="R61" s="35"/>
      <c r="S61" s="4" t="str">
        <f>IFERROR(VLOOKUP(E61,'[2]td factu si'!$A:$B,1,0),0)</f>
        <v>FE13829</v>
      </c>
      <c r="T61" s="2">
        <f>IFERROR(VLOOKUP(E61,'[2]td factu si'!$A:$B,2,0),0)*-1</f>
        <v>181246</v>
      </c>
      <c r="U61" s="40"/>
      <c r="W61" s="36"/>
      <c r="Z61" s="42"/>
      <c r="AB61" s="7"/>
      <c r="AH61" s="3">
        <v>0</v>
      </c>
      <c r="AJ61" s="3">
        <v>0</v>
      </c>
      <c r="AL61" s="39"/>
    </row>
    <row r="62" spans="1:38" x14ac:dyDescent="0.25">
      <c r="A62">
        <v>54</v>
      </c>
      <c r="B62" s="29" t="s">
        <v>45</v>
      </c>
      <c r="C62" s="29" t="s">
        <v>46</v>
      </c>
      <c r="D62" s="4" t="str">
        <f>"13844"</f>
        <v>13844</v>
      </c>
      <c r="E62" s="4" t="str">
        <f t="shared" si="0"/>
        <v>FE13844</v>
      </c>
      <c r="F62" s="7">
        <v>44307</v>
      </c>
      <c r="G62" s="7">
        <v>44308</v>
      </c>
      <c r="H62" s="30">
        <v>135855</v>
      </c>
      <c r="I62" s="31">
        <v>135855</v>
      </c>
      <c r="J62" s="31">
        <f t="shared" si="1"/>
        <v>0</v>
      </c>
      <c r="K62" s="2"/>
      <c r="N62" s="32">
        <v>135855</v>
      </c>
      <c r="Q62" s="34">
        <v>135855</v>
      </c>
      <c r="R62" s="35"/>
      <c r="S62" s="4" t="str">
        <f>IFERROR(VLOOKUP(E62,'[2]td factu si'!$A:$B,1,0),0)</f>
        <v>FE13844</v>
      </c>
      <c r="T62" s="2">
        <f>IFERROR(VLOOKUP(E62,'[2]td factu si'!$A:$B,2,0),0)*-1</f>
        <v>135855</v>
      </c>
      <c r="U62" s="40"/>
      <c r="W62" s="36"/>
      <c r="Z62" s="42"/>
      <c r="AB62" s="7"/>
      <c r="AH62" s="3">
        <v>0</v>
      </c>
      <c r="AJ62" s="3">
        <v>0</v>
      </c>
      <c r="AL62" s="39"/>
    </row>
    <row r="63" spans="1:38" x14ac:dyDescent="0.25">
      <c r="A63">
        <v>55</v>
      </c>
      <c r="B63" s="29" t="s">
        <v>45</v>
      </c>
      <c r="C63" s="29" t="s">
        <v>46</v>
      </c>
      <c r="D63" s="4" t="str">
        <f>"13846"</f>
        <v>13846</v>
      </c>
      <c r="E63" s="4" t="str">
        <f t="shared" si="0"/>
        <v>FE13846</v>
      </c>
      <c r="F63" s="7">
        <v>44307</v>
      </c>
      <c r="G63" s="7">
        <v>44308</v>
      </c>
      <c r="H63" s="30">
        <v>135855</v>
      </c>
      <c r="I63" s="31">
        <v>135855</v>
      </c>
      <c r="J63" s="31">
        <f t="shared" si="1"/>
        <v>0</v>
      </c>
      <c r="K63" s="2"/>
      <c r="N63" s="32">
        <v>135855</v>
      </c>
      <c r="Q63" s="34">
        <v>135855</v>
      </c>
      <c r="R63" s="35"/>
      <c r="S63" s="4" t="str">
        <f>IFERROR(VLOOKUP(E63,'[2]td factu si'!$A:$B,1,0),0)</f>
        <v>FE13846</v>
      </c>
      <c r="T63" s="2">
        <f>IFERROR(VLOOKUP(E63,'[2]td factu si'!$A:$B,2,0),0)*-1</f>
        <v>135855</v>
      </c>
      <c r="U63" s="40"/>
      <c r="W63" s="36"/>
      <c r="Z63" s="42"/>
      <c r="AB63" s="7"/>
      <c r="AH63" s="3">
        <v>0</v>
      </c>
      <c r="AJ63" s="3">
        <v>0</v>
      </c>
      <c r="AL63" s="39"/>
    </row>
    <row r="64" spans="1:38" x14ac:dyDescent="0.25">
      <c r="A64">
        <v>56</v>
      </c>
      <c r="B64" s="29" t="s">
        <v>45</v>
      </c>
      <c r="C64" s="29" t="s">
        <v>46</v>
      </c>
      <c r="D64" s="4" t="str">
        <f>"13850"</f>
        <v>13850</v>
      </c>
      <c r="E64" s="4" t="str">
        <f t="shared" si="0"/>
        <v>FE13850</v>
      </c>
      <c r="F64" s="7">
        <v>44307</v>
      </c>
      <c r="G64" s="7">
        <v>44322</v>
      </c>
      <c r="H64" s="30">
        <v>135855</v>
      </c>
      <c r="I64" s="31">
        <v>122270</v>
      </c>
      <c r="J64" s="31">
        <f t="shared" si="1"/>
        <v>13585</v>
      </c>
      <c r="K64" s="2"/>
      <c r="N64" s="32">
        <v>122270</v>
      </c>
      <c r="Q64" s="34">
        <v>122270</v>
      </c>
      <c r="R64" s="35"/>
      <c r="S64" s="4" t="str">
        <f>IFERROR(VLOOKUP(E64,'[2]td factu si'!$A:$B,1,0),0)</f>
        <v>FE13850</v>
      </c>
      <c r="T64" s="2">
        <f>IFERROR(VLOOKUP(E64,'[2]td factu si'!$A:$B,2,0),0)*-1</f>
        <v>122270</v>
      </c>
      <c r="U64" s="40"/>
      <c r="W64" s="36"/>
      <c r="Z64" s="42"/>
      <c r="AB64" s="7"/>
      <c r="AH64" s="3">
        <v>0</v>
      </c>
      <c r="AJ64" s="3">
        <v>0</v>
      </c>
      <c r="AL64" s="39"/>
    </row>
    <row r="65" spans="1:38" x14ac:dyDescent="0.25">
      <c r="A65">
        <v>57</v>
      </c>
      <c r="B65" s="29" t="s">
        <v>45</v>
      </c>
      <c r="C65" s="29" t="s">
        <v>46</v>
      </c>
      <c r="D65" s="4" t="str">
        <f>"13856"</f>
        <v>13856</v>
      </c>
      <c r="E65" s="4" t="str">
        <f t="shared" si="0"/>
        <v>FE13856</v>
      </c>
      <c r="F65" s="7">
        <v>44307</v>
      </c>
      <c r="G65" s="7">
        <v>44308</v>
      </c>
      <c r="H65" s="30">
        <v>135855</v>
      </c>
      <c r="I65" s="31">
        <v>135855</v>
      </c>
      <c r="J65" s="31">
        <f t="shared" si="1"/>
        <v>0</v>
      </c>
      <c r="K65" s="2"/>
      <c r="N65" s="32">
        <v>135855</v>
      </c>
      <c r="Q65" s="34">
        <v>135855</v>
      </c>
      <c r="R65" s="35"/>
      <c r="S65" s="4" t="str">
        <f>IFERROR(VLOOKUP(E65,'[2]td factu si'!$A:$B,1,0),0)</f>
        <v>FE13856</v>
      </c>
      <c r="T65" s="2">
        <f>IFERROR(VLOOKUP(E65,'[2]td factu si'!$A:$B,2,0),0)*-1</f>
        <v>135855</v>
      </c>
      <c r="U65" s="40"/>
      <c r="W65" s="36"/>
      <c r="Z65" s="42"/>
      <c r="AB65" s="7"/>
      <c r="AH65" s="3">
        <v>0</v>
      </c>
      <c r="AJ65" s="3">
        <v>0</v>
      </c>
      <c r="AL65" s="39"/>
    </row>
    <row r="66" spans="1:38" x14ac:dyDescent="0.25">
      <c r="A66">
        <v>58</v>
      </c>
      <c r="B66" s="29" t="s">
        <v>45</v>
      </c>
      <c r="C66" s="29" t="s">
        <v>46</v>
      </c>
      <c r="D66" s="4" t="str">
        <f>"13858"</f>
        <v>13858</v>
      </c>
      <c r="E66" s="4" t="str">
        <f t="shared" si="0"/>
        <v>FE13858</v>
      </c>
      <c r="F66" s="7">
        <v>44307</v>
      </c>
      <c r="G66" s="7">
        <v>44308</v>
      </c>
      <c r="H66" s="30">
        <v>135855</v>
      </c>
      <c r="I66" s="31">
        <v>132355</v>
      </c>
      <c r="J66" s="31">
        <f t="shared" si="1"/>
        <v>3500</v>
      </c>
      <c r="K66" s="2"/>
      <c r="N66" s="32">
        <v>132355</v>
      </c>
      <c r="Q66" s="34">
        <v>132355</v>
      </c>
      <c r="R66" s="35"/>
      <c r="S66" s="4" t="str">
        <f>IFERROR(VLOOKUP(E66,'[2]td factu si'!$A:$B,1,0),0)</f>
        <v>FE13858</v>
      </c>
      <c r="T66" s="2">
        <f>IFERROR(VLOOKUP(E66,'[2]td factu si'!$A:$B,2,0),0)*-1</f>
        <v>132355</v>
      </c>
      <c r="U66" s="40"/>
      <c r="W66" s="36"/>
      <c r="Z66" s="42"/>
      <c r="AB66" s="7"/>
      <c r="AH66" s="3">
        <v>0</v>
      </c>
      <c r="AJ66" s="3">
        <v>0</v>
      </c>
      <c r="AL66" s="39"/>
    </row>
    <row r="67" spans="1:38" x14ac:dyDescent="0.25">
      <c r="A67">
        <v>59</v>
      </c>
      <c r="B67" s="29" t="s">
        <v>45</v>
      </c>
      <c r="C67" s="29" t="s">
        <v>46</v>
      </c>
      <c r="D67" s="4" t="str">
        <f>"13868"</f>
        <v>13868</v>
      </c>
      <c r="E67" s="4" t="str">
        <f t="shared" si="0"/>
        <v>FE13868</v>
      </c>
      <c r="F67" s="7">
        <v>44308</v>
      </c>
      <c r="G67" s="7">
        <v>44308</v>
      </c>
      <c r="H67" s="30">
        <v>181246</v>
      </c>
      <c r="I67" s="31">
        <v>181246</v>
      </c>
      <c r="J67" s="31">
        <f t="shared" si="1"/>
        <v>0</v>
      </c>
      <c r="K67" s="2"/>
      <c r="N67" s="32">
        <v>181246</v>
      </c>
      <c r="Q67" s="34">
        <v>181246</v>
      </c>
      <c r="R67" s="35"/>
      <c r="S67" s="4" t="str">
        <f>IFERROR(VLOOKUP(E67,'[2]td factu si'!$A:$B,1,0),0)</f>
        <v>FE13868</v>
      </c>
      <c r="T67" s="2">
        <f>IFERROR(VLOOKUP(E67,'[2]td factu si'!$A:$B,2,0),0)*-1</f>
        <v>181246</v>
      </c>
      <c r="U67" s="40"/>
      <c r="W67" s="36"/>
      <c r="Z67" s="42"/>
      <c r="AB67" s="7"/>
      <c r="AH67" s="3">
        <v>0</v>
      </c>
      <c r="AJ67" s="3">
        <v>0</v>
      </c>
      <c r="AL67" s="39"/>
    </row>
    <row r="68" spans="1:38" x14ac:dyDescent="0.25">
      <c r="A68">
        <v>60</v>
      </c>
      <c r="B68" s="29" t="s">
        <v>45</v>
      </c>
      <c r="C68" s="29" t="s">
        <v>46</v>
      </c>
      <c r="D68" s="4" t="str">
        <f>"13872"</f>
        <v>13872</v>
      </c>
      <c r="E68" s="4" t="str">
        <f t="shared" si="0"/>
        <v>FE13872</v>
      </c>
      <c r="F68" s="7">
        <v>44308</v>
      </c>
      <c r="G68" s="7">
        <v>44308</v>
      </c>
      <c r="H68" s="30">
        <v>135855</v>
      </c>
      <c r="I68" s="31">
        <v>135855</v>
      </c>
      <c r="J68" s="31">
        <f t="shared" si="1"/>
        <v>0</v>
      </c>
      <c r="K68" s="2"/>
      <c r="N68" s="32">
        <v>135855</v>
      </c>
      <c r="Q68" s="34">
        <v>135855</v>
      </c>
      <c r="R68" s="35"/>
      <c r="S68" s="4" t="str">
        <f>IFERROR(VLOOKUP(E68,'[2]td factu si'!$A:$B,1,0),0)</f>
        <v>FE13872</v>
      </c>
      <c r="T68" s="2">
        <f>IFERROR(VLOOKUP(E68,'[2]td factu si'!$A:$B,2,0),0)*-1</f>
        <v>135855</v>
      </c>
      <c r="U68" s="40"/>
      <c r="W68" s="36"/>
      <c r="Z68" s="42"/>
      <c r="AB68" s="7"/>
      <c r="AH68" s="3">
        <v>0</v>
      </c>
      <c r="AJ68" s="3">
        <v>0</v>
      </c>
      <c r="AL68" s="39"/>
    </row>
    <row r="69" spans="1:38" x14ac:dyDescent="0.25">
      <c r="A69">
        <v>61</v>
      </c>
      <c r="B69" s="29" t="s">
        <v>45</v>
      </c>
      <c r="C69" s="29" t="s">
        <v>46</v>
      </c>
      <c r="D69" s="4" t="str">
        <f>"13873"</f>
        <v>13873</v>
      </c>
      <c r="E69" s="4" t="str">
        <f t="shared" si="0"/>
        <v>FE13873</v>
      </c>
      <c r="F69" s="7">
        <v>44308</v>
      </c>
      <c r="G69" s="7">
        <v>44308</v>
      </c>
      <c r="H69" s="30">
        <v>135855</v>
      </c>
      <c r="I69" s="31">
        <v>135855</v>
      </c>
      <c r="J69" s="31">
        <f t="shared" si="1"/>
        <v>0</v>
      </c>
      <c r="K69" s="2"/>
      <c r="N69" s="32">
        <v>135855</v>
      </c>
      <c r="Q69" s="34">
        <v>135855</v>
      </c>
      <c r="R69" s="35"/>
      <c r="S69" s="4" t="str">
        <f>IFERROR(VLOOKUP(E69,'[2]td factu si'!$A:$B,1,0),0)</f>
        <v>FE13873</v>
      </c>
      <c r="T69" s="2">
        <f>IFERROR(VLOOKUP(E69,'[2]td factu si'!$A:$B,2,0),0)*-1</f>
        <v>135855</v>
      </c>
      <c r="U69" s="40"/>
      <c r="W69" s="36"/>
      <c r="Z69" s="42"/>
      <c r="AB69" s="7"/>
      <c r="AH69" s="3">
        <v>0</v>
      </c>
      <c r="AJ69" s="3">
        <v>0</v>
      </c>
      <c r="AL69" s="39"/>
    </row>
    <row r="70" spans="1:38" x14ac:dyDescent="0.25">
      <c r="A70">
        <v>62</v>
      </c>
      <c r="B70" s="29" t="s">
        <v>45</v>
      </c>
      <c r="C70" s="29" t="s">
        <v>46</v>
      </c>
      <c r="D70" s="4" t="str">
        <f>"13875"</f>
        <v>13875</v>
      </c>
      <c r="E70" s="4" t="str">
        <f t="shared" si="0"/>
        <v>FE13875</v>
      </c>
      <c r="F70" s="7">
        <v>44308</v>
      </c>
      <c r="G70" s="7">
        <v>44320</v>
      </c>
      <c r="H70" s="30">
        <v>339170</v>
      </c>
      <c r="I70" s="31">
        <v>339170</v>
      </c>
      <c r="J70" s="31">
        <f t="shared" si="1"/>
        <v>0</v>
      </c>
      <c r="K70" s="2"/>
      <c r="N70" s="32">
        <v>339170</v>
      </c>
      <c r="Q70" s="34">
        <v>339170</v>
      </c>
      <c r="R70" s="35"/>
      <c r="S70" s="4" t="str">
        <f>IFERROR(VLOOKUP(E70,'[2]td factu si'!$A:$B,1,0),0)</f>
        <v>FE13875</v>
      </c>
      <c r="T70" s="2">
        <f>IFERROR(VLOOKUP(E70,'[2]td factu si'!$A:$B,2,0),0)*-1</f>
        <v>339170</v>
      </c>
      <c r="U70" s="40"/>
      <c r="W70" s="36"/>
      <c r="Z70" s="42"/>
      <c r="AB70" s="7"/>
      <c r="AH70" s="3">
        <v>0</v>
      </c>
      <c r="AJ70" s="3">
        <v>0</v>
      </c>
      <c r="AL70" s="39"/>
    </row>
    <row r="71" spans="1:38" x14ac:dyDescent="0.25">
      <c r="A71">
        <v>63</v>
      </c>
      <c r="B71" s="29" t="s">
        <v>45</v>
      </c>
      <c r="C71" s="29" t="s">
        <v>46</v>
      </c>
      <c r="D71" s="4" t="str">
        <f>"13910"</f>
        <v>13910</v>
      </c>
      <c r="E71" s="4" t="str">
        <f t="shared" si="0"/>
        <v>FE13910</v>
      </c>
      <c r="F71" s="7">
        <v>44308</v>
      </c>
      <c r="G71" s="7">
        <v>44322</v>
      </c>
      <c r="H71" s="30">
        <v>1622650</v>
      </c>
      <c r="I71" s="31">
        <v>1622650</v>
      </c>
      <c r="J71" s="31">
        <f t="shared" si="1"/>
        <v>0</v>
      </c>
      <c r="K71" s="2"/>
      <c r="N71" s="32">
        <v>1316500</v>
      </c>
      <c r="Q71" s="34">
        <v>1316500</v>
      </c>
      <c r="R71" s="35"/>
      <c r="S71" s="4" t="str">
        <f>IFERROR(VLOOKUP(E71,'[2]td factu si'!$A:$B,1,0),0)</f>
        <v>FE13910</v>
      </c>
      <c r="T71" s="2">
        <f>IFERROR(VLOOKUP(E71,'[2]td factu si'!$A:$B,2,0),0)*-1</f>
        <v>1622650</v>
      </c>
      <c r="U71" s="40"/>
      <c r="W71" s="36"/>
      <c r="Y71" t="s">
        <v>52</v>
      </c>
      <c r="Z71" s="42"/>
      <c r="AB71" s="7">
        <v>44368</v>
      </c>
      <c r="AH71" s="3">
        <v>306150</v>
      </c>
      <c r="AJ71" s="3">
        <v>0</v>
      </c>
      <c r="AL71" s="39"/>
    </row>
    <row r="72" spans="1:38" x14ac:dyDescent="0.25">
      <c r="A72">
        <v>64</v>
      </c>
      <c r="B72" s="29" t="s">
        <v>45</v>
      </c>
      <c r="C72" s="29" t="s">
        <v>46</v>
      </c>
      <c r="D72" s="4" t="str">
        <f>"13917"</f>
        <v>13917</v>
      </c>
      <c r="E72" s="4" t="str">
        <f t="shared" si="0"/>
        <v>FE13917</v>
      </c>
      <c r="F72" s="7">
        <v>44308</v>
      </c>
      <c r="G72" s="7">
        <v>44323</v>
      </c>
      <c r="H72" s="30">
        <v>181246</v>
      </c>
      <c r="I72" s="31">
        <v>160403</v>
      </c>
      <c r="J72" s="31">
        <f t="shared" si="1"/>
        <v>20843</v>
      </c>
      <c r="K72" s="2"/>
      <c r="N72" s="32">
        <v>160403</v>
      </c>
      <c r="Q72" s="34">
        <v>160403</v>
      </c>
      <c r="R72" s="35"/>
      <c r="S72" s="4" t="str">
        <f>IFERROR(VLOOKUP(E72,'[2]td factu si'!$A:$B,1,0),0)</f>
        <v>FE13917</v>
      </c>
      <c r="T72" s="2">
        <f>IFERROR(VLOOKUP(E72,'[2]td factu si'!$A:$B,2,0),0)*-1</f>
        <v>160403</v>
      </c>
      <c r="U72" s="40"/>
      <c r="W72" s="36"/>
      <c r="Z72" s="42"/>
      <c r="AB72" s="7"/>
      <c r="AH72" s="3">
        <v>0</v>
      </c>
      <c r="AJ72" s="3">
        <v>0</v>
      </c>
      <c r="AL72" s="39"/>
    </row>
    <row r="73" spans="1:38" x14ac:dyDescent="0.25">
      <c r="A73">
        <v>65</v>
      </c>
      <c r="B73" s="29" t="s">
        <v>45</v>
      </c>
      <c r="C73" s="29" t="s">
        <v>46</v>
      </c>
      <c r="D73" s="4" t="str">
        <f>"13919"</f>
        <v>13919</v>
      </c>
      <c r="E73" s="4" t="str">
        <f t="shared" si="0"/>
        <v>FE13919</v>
      </c>
      <c r="F73" s="7">
        <v>44308</v>
      </c>
      <c r="G73" s="7">
        <v>44322</v>
      </c>
      <c r="H73" s="30">
        <v>181246</v>
      </c>
      <c r="I73" s="31">
        <v>181246</v>
      </c>
      <c r="J73" s="31">
        <f t="shared" si="1"/>
        <v>0</v>
      </c>
      <c r="K73" s="2"/>
      <c r="N73" s="32">
        <v>181246</v>
      </c>
      <c r="Q73" s="34">
        <v>181246</v>
      </c>
      <c r="R73" s="35"/>
      <c r="S73" s="4" t="str">
        <f>IFERROR(VLOOKUP(E73,'[2]td factu si'!$A:$B,1,0),0)</f>
        <v>FE13919</v>
      </c>
      <c r="T73" s="2">
        <f>IFERROR(VLOOKUP(E73,'[2]td factu si'!$A:$B,2,0),0)*-1</f>
        <v>181246</v>
      </c>
      <c r="U73" s="40"/>
      <c r="W73" s="36"/>
      <c r="Z73" s="42"/>
      <c r="AB73" s="7"/>
      <c r="AH73" s="3">
        <v>0</v>
      </c>
      <c r="AJ73" s="3">
        <v>0</v>
      </c>
      <c r="AL73" s="39"/>
    </row>
    <row r="74" spans="1:38" x14ac:dyDescent="0.25">
      <c r="A74">
        <v>66</v>
      </c>
      <c r="B74" s="29" t="s">
        <v>45</v>
      </c>
      <c r="C74" s="29" t="s">
        <v>46</v>
      </c>
      <c r="D74" s="4" t="str">
        <f>"13923"</f>
        <v>13923</v>
      </c>
      <c r="E74" s="4" t="str">
        <f t="shared" ref="E74:E137" si="2">_xlfn.CONCAT(C74,D74)</f>
        <v>FE13923</v>
      </c>
      <c r="F74" s="7">
        <v>44308</v>
      </c>
      <c r="G74" s="7">
        <v>44322</v>
      </c>
      <c r="H74" s="30">
        <v>339170</v>
      </c>
      <c r="I74" s="31">
        <v>339170</v>
      </c>
      <c r="J74" s="31">
        <f t="shared" ref="J74:J137" si="3">+H74-I74</f>
        <v>0</v>
      </c>
      <c r="K74" s="2"/>
      <c r="N74" s="32">
        <v>0</v>
      </c>
      <c r="Q74" s="34">
        <v>0</v>
      </c>
      <c r="R74" s="35"/>
      <c r="S74" s="4">
        <f>IFERROR(VLOOKUP(E74,'[2]td factu si'!$A:$B,1,0),0)</f>
        <v>0</v>
      </c>
      <c r="T74" s="2">
        <f>IFERROR(VLOOKUP(E74,'[2]td factu si'!$A:$B,2,0),0)*-1</f>
        <v>0</v>
      </c>
      <c r="U74" s="33"/>
      <c r="W74" s="36"/>
      <c r="X74" s="6">
        <v>339170</v>
      </c>
      <c r="Z74" s="42"/>
      <c r="AB74" s="7"/>
      <c r="AH74" s="3">
        <v>0</v>
      </c>
      <c r="AJ74" s="3">
        <v>0</v>
      </c>
      <c r="AL74" s="39"/>
    </row>
    <row r="75" spans="1:38" x14ac:dyDescent="0.25">
      <c r="A75">
        <v>67</v>
      </c>
      <c r="B75" s="29" t="s">
        <v>45</v>
      </c>
      <c r="C75" s="29" t="s">
        <v>46</v>
      </c>
      <c r="D75" s="4" t="str">
        <f>"13928"</f>
        <v>13928</v>
      </c>
      <c r="E75" s="4" t="str">
        <f t="shared" si="2"/>
        <v>FE13928</v>
      </c>
      <c r="F75" s="7">
        <v>44308</v>
      </c>
      <c r="G75" s="7">
        <v>44322</v>
      </c>
      <c r="H75" s="30">
        <v>15489</v>
      </c>
      <c r="I75" s="31">
        <v>15489</v>
      </c>
      <c r="J75" s="31">
        <f t="shared" si="3"/>
        <v>0</v>
      </c>
      <c r="K75" s="2"/>
      <c r="N75" s="32">
        <v>15489</v>
      </c>
      <c r="Q75" s="34">
        <v>15489</v>
      </c>
      <c r="R75" s="35"/>
      <c r="S75" s="4" t="str">
        <f>IFERROR(VLOOKUP(E75,'[2]td factu si'!$A:$B,1,0),0)</f>
        <v>FE13928</v>
      </c>
      <c r="T75" s="2">
        <f>IFERROR(VLOOKUP(E75,'[2]td factu si'!$A:$B,2,0),0)*-1</f>
        <v>15489</v>
      </c>
      <c r="U75" s="40"/>
      <c r="W75" s="36"/>
      <c r="Z75" s="42"/>
      <c r="AB75" s="7"/>
      <c r="AH75" s="3">
        <v>0</v>
      </c>
      <c r="AJ75" s="3">
        <v>0</v>
      </c>
      <c r="AL75" s="39"/>
    </row>
    <row r="76" spans="1:38" x14ac:dyDescent="0.25">
      <c r="A76">
        <v>68</v>
      </c>
      <c r="B76" s="29" t="s">
        <v>45</v>
      </c>
      <c r="C76" s="29" t="s">
        <v>46</v>
      </c>
      <c r="D76" s="4" t="str">
        <f>"13938"</f>
        <v>13938</v>
      </c>
      <c r="E76" s="4" t="str">
        <f t="shared" si="2"/>
        <v>FE13938</v>
      </c>
      <c r="F76" s="7">
        <v>44308</v>
      </c>
      <c r="G76" s="7">
        <v>44322</v>
      </c>
      <c r="H76" s="30">
        <v>135855</v>
      </c>
      <c r="I76" s="31">
        <v>135855</v>
      </c>
      <c r="J76" s="31">
        <f t="shared" si="3"/>
        <v>0</v>
      </c>
      <c r="K76" s="2"/>
      <c r="N76" s="32">
        <v>135855</v>
      </c>
      <c r="Q76" s="34">
        <v>135855</v>
      </c>
      <c r="R76" s="35"/>
      <c r="S76" s="4" t="str">
        <f>IFERROR(VLOOKUP(E76,'[2]td factu si'!$A:$B,1,0),0)</f>
        <v>FE13938</v>
      </c>
      <c r="T76" s="2">
        <f>IFERROR(VLOOKUP(E76,'[2]td factu si'!$A:$B,2,0),0)*-1</f>
        <v>135855</v>
      </c>
      <c r="U76" s="40"/>
      <c r="W76" s="36"/>
      <c r="Z76" s="42"/>
      <c r="AB76" s="7"/>
      <c r="AH76" s="3">
        <v>0</v>
      </c>
      <c r="AJ76" s="3">
        <v>0</v>
      </c>
      <c r="AL76" s="39"/>
    </row>
    <row r="77" spans="1:38" x14ac:dyDescent="0.25">
      <c r="A77">
        <v>69</v>
      </c>
      <c r="B77" s="29" t="s">
        <v>45</v>
      </c>
      <c r="C77" s="29" t="s">
        <v>46</v>
      </c>
      <c r="D77" s="4" t="str">
        <f>"13940"</f>
        <v>13940</v>
      </c>
      <c r="E77" s="4" t="str">
        <f t="shared" si="2"/>
        <v>FE13940</v>
      </c>
      <c r="F77" s="7">
        <v>44308</v>
      </c>
      <c r="G77" s="7">
        <v>44322</v>
      </c>
      <c r="H77" s="30">
        <v>135855</v>
      </c>
      <c r="I77" s="31">
        <v>135855</v>
      </c>
      <c r="J77" s="31">
        <f t="shared" si="3"/>
        <v>0</v>
      </c>
      <c r="K77" s="2"/>
      <c r="N77" s="32">
        <v>135855</v>
      </c>
      <c r="Q77" s="34">
        <v>135855</v>
      </c>
      <c r="R77" s="35"/>
      <c r="S77" s="4" t="str">
        <f>IFERROR(VLOOKUP(E77,'[2]td factu si'!$A:$B,1,0),0)</f>
        <v>FE13940</v>
      </c>
      <c r="T77" s="2">
        <f>IFERROR(VLOOKUP(E77,'[2]td factu si'!$A:$B,2,0),0)*-1</f>
        <v>135855</v>
      </c>
      <c r="U77" s="40"/>
      <c r="W77" s="36"/>
      <c r="Z77" s="42"/>
      <c r="AB77" s="7"/>
      <c r="AH77" s="3">
        <v>0</v>
      </c>
      <c r="AJ77" s="3">
        <v>0</v>
      </c>
      <c r="AL77" s="39"/>
    </row>
    <row r="78" spans="1:38" x14ac:dyDescent="0.25">
      <c r="A78">
        <v>70</v>
      </c>
      <c r="B78" s="29" t="s">
        <v>45</v>
      </c>
      <c r="C78" s="29" t="s">
        <v>46</v>
      </c>
      <c r="D78" s="4" t="str">
        <f>"13947"</f>
        <v>13947</v>
      </c>
      <c r="E78" s="4" t="str">
        <f t="shared" si="2"/>
        <v>FE13947</v>
      </c>
      <c r="F78" s="7">
        <v>44308</v>
      </c>
      <c r="G78" s="7">
        <v>44322</v>
      </c>
      <c r="H78" s="30">
        <v>15489</v>
      </c>
      <c r="I78" s="31">
        <v>15489</v>
      </c>
      <c r="J78" s="31">
        <f t="shared" si="3"/>
        <v>0</v>
      </c>
      <c r="K78" s="2"/>
      <c r="N78" s="32">
        <v>15489</v>
      </c>
      <c r="Q78" s="34">
        <v>15489</v>
      </c>
      <c r="R78" s="35"/>
      <c r="S78" s="4" t="str">
        <f>IFERROR(VLOOKUP(E78,'[2]td factu si'!$A:$B,1,0),0)</f>
        <v>FE13947</v>
      </c>
      <c r="T78" s="2">
        <f>IFERROR(VLOOKUP(E78,'[2]td factu si'!$A:$B,2,0),0)*-1</f>
        <v>15489</v>
      </c>
      <c r="U78" s="40"/>
      <c r="W78" s="36"/>
      <c r="Z78" s="42"/>
      <c r="AB78" s="7"/>
      <c r="AH78" s="3">
        <v>0</v>
      </c>
      <c r="AJ78" s="3">
        <v>0</v>
      </c>
      <c r="AL78" s="39"/>
    </row>
    <row r="79" spans="1:38" x14ac:dyDescent="0.25">
      <c r="A79">
        <v>71</v>
      </c>
      <c r="B79" s="29" t="s">
        <v>45</v>
      </c>
      <c r="C79" s="29" t="s">
        <v>46</v>
      </c>
      <c r="D79" s="4" t="str">
        <f>"13948"</f>
        <v>13948</v>
      </c>
      <c r="E79" s="4" t="str">
        <f t="shared" si="2"/>
        <v>FE13948</v>
      </c>
      <c r="F79" s="7">
        <v>44308</v>
      </c>
      <c r="G79" s="7">
        <v>44320</v>
      </c>
      <c r="H79" s="30">
        <v>116393</v>
      </c>
      <c r="I79" s="31">
        <v>116393</v>
      </c>
      <c r="J79" s="31">
        <f t="shared" si="3"/>
        <v>0</v>
      </c>
      <c r="K79" s="2"/>
      <c r="N79" s="32">
        <v>116393</v>
      </c>
      <c r="Q79" s="34">
        <v>116393</v>
      </c>
      <c r="R79" s="35"/>
      <c r="S79" s="4" t="str">
        <f>IFERROR(VLOOKUP(E79,'[2]td factu si'!$A:$B,1,0),0)</f>
        <v>FE13948</v>
      </c>
      <c r="T79" s="2">
        <f>IFERROR(VLOOKUP(E79,'[2]td factu si'!$A:$B,2,0),0)*-1</f>
        <v>116393</v>
      </c>
      <c r="U79" s="40"/>
      <c r="W79" s="36"/>
      <c r="Z79" s="42"/>
      <c r="AB79" s="7"/>
      <c r="AH79" s="3">
        <v>0</v>
      </c>
      <c r="AJ79" s="3">
        <v>0</v>
      </c>
      <c r="AL79" s="39"/>
    </row>
    <row r="80" spans="1:38" x14ac:dyDescent="0.25">
      <c r="A80">
        <v>72</v>
      </c>
      <c r="B80" s="29" t="s">
        <v>45</v>
      </c>
      <c r="C80" s="29" t="s">
        <v>46</v>
      </c>
      <c r="D80" s="4" t="str">
        <f>"13951"</f>
        <v>13951</v>
      </c>
      <c r="E80" s="4" t="str">
        <f t="shared" si="2"/>
        <v>FE13951</v>
      </c>
      <c r="F80" s="7">
        <v>44308</v>
      </c>
      <c r="G80" s="7">
        <v>44322</v>
      </c>
      <c r="H80" s="30">
        <v>15489</v>
      </c>
      <c r="I80" s="31">
        <v>15489</v>
      </c>
      <c r="J80" s="31">
        <f t="shared" si="3"/>
        <v>0</v>
      </c>
      <c r="K80" s="2"/>
      <c r="N80" s="32">
        <v>15489</v>
      </c>
      <c r="Q80" s="34">
        <v>15489</v>
      </c>
      <c r="R80" s="35"/>
      <c r="S80" s="4" t="str">
        <f>IFERROR(VLOOKUP(E80,'[2]td factu si'!$A:$B,1,0),0)</f>
        <v>FE13951</v>
      </c>
      <c r="T80" s="2">
        <f>IFERROR(VLOOKUP(E80,'[2]td factu si'!$A:$B,2,0),0)*-1</f>
        <v>15489</v>
      </c>
      <c r="U80" s="40"/>
      <c r="W80" s="36"/>
      <c r="Z80" s="42"/>
      <c r="AB80" s="7"/>
      <c r="AH80" s="3">
        <v>0</v>
      </c>
      <c r="AJ80" s="3">
        <v>0</v>
      </c>
      <c r="AL80" s="39"/>
    </row>
    <row r="81" spans="1:38" x14ac:dyDescent="0.25">
      <c r="A81">
        <v>73</v>
      </c>
      <c r="B81" s="29" t="s">
        <v>45</v>
      </c>
      <c r="C81" s="29" t="s">
        <v>46</v>
      </c>
      <c r="D81" s="4" t="str">
        <f>"13952"</f>
        <v>13952</v>
      </c>
      <c r="E81" s="4" t="str">
        <f t="shared" si="2"/>
        <v>FE13952</v>
      </c>
      <c r="F81" s="7">
        <v>44308</v>
      </c>
      <c r="G81" s="7">
        <v>44320</v>
      </c>
      <c r="H81" s="30">
        <v>116393</v>
      </c>
      <c r="I81" s="31">
        <v>116393</v>
      </c>
      <c r="J81" s="31">
        <f t="shared" si="3"/>
        <v>0</v>
      </c>
      <c r="K81" s="2"/>
      <c r="N81" s="32">
        <v>116393</v>
      </c>
      <c r="Q81" s="34">
        <v>116393</v>
      </c>
      <c r="R81" s="35"/>
      <c r="S81" s="4" t="str">
        <f>IFERROR(VLOOKUP(E81,'[2]td factu si'!$A:$B,1,0),0)</f>
        <v>FE13952</v>
      </c>
      <c r="T81" s="2">
        <f>IFERROR(VLOOKUP(E81,'[2]td factu si'!$A:$B,2,0),0)*-1</f>
        <v>116393</v>
      </c>
      <c r="U81" s="40"/>
      <c r="W81" s="36"/>
      <c r="Z81" s="42"/>
      <c r="AB81" s="7"/>
      <c r="AH81" s="3">
        <v>0</v>
      </c>
      <c r="AJ81" s="3">
        <v>0</v>
      </c>
      <c r="AL81" s="39"/>
    </row>
    <row r="82" spans="1:38" x14ac:dyDescent="0.25">
      <c r="A82">
        <v>74</v>
      </c>
      <c r="B82" s="29" t="s">
        <v>45</v>
      </c>
      <c r="C82" s="29" t="s">
        <v>46</v>
      </c>
      <c r="D82" s="4" t="str">
        <f>"13958"</f>
        <v>13958</v>
      </c>
      <c r="E82" s="4" t="str">
        <f t="shared" si="2"/>
        <v>FE13958</v>
      </c>
      <c r="F82" s="7">
        <v>44308</v>
      </c>
      <c r="G82" s="7">
        <v>44322</v>
      </c>
      <c r="H82" s="30">
        <v>15489</v>
      </c>
      <c r="I82" s="31">
        <v>15489</v>
      </c>
      <c r="J82" s="31">
        <f t="shared" si="3"/>
        <v>0</v>
      </c>
      <c r="K82" s="2"/>
      <c r="N82" s="32">
        <v>15489</v>
      </c>
      <c r="Q82" s="34">
        <v>15489</v>
      </c>
      <c r="R82" s="35"/>
      <c r="S82" s="4" t="str">
        <f>IFERROR(VLOOKUP(E82,'[2]td factu si'!$A:$B,1,0),0)</f>
        <v>FE13958</v>
      </c>
      <c r="T82" s="2">
        <f>IFERROR(VLOOKUP(E82,'[2]td factu si'!$A:$B,2,0),0)*-1</f>
        <v>15489</v>
      </c>
      <c r="U82" s="40"/>
      <c r="W82" s="36"/>
      <c r="Z82" s="42"/>
      <c r="AB82" s="7"/>
      <c r="AH82" s="3">
        <v>0</v>
      </c>
      <c r="AJ82" s="3">
        <v>0</v>
      </c>
      <c r="AL82" s="39"/>
    </row>
    <row r="83" spans="1:38" x14ac:dyDescent="0.25">
      <c r="A83">
        <v>75</v>
      </c>
      <c r="B83" s="29" t="s">
        <v>45</v>
      </c>
      <c r="C83" s="29" t="s">
        <v>46</v>
      </c>
      <c r="D83" s="4" t="str">
        <f>"13960"</f>
        <v>13960</v>
      </c>
      <c r="E83" s="4" t="str">
        <f t="shared" si="2"/>
        <v>FE13960</v>
      </c>
      <c r="F83" s="7">
        <v>44308</v>
      </c>
      <c r="G83" s="7">
        <v>44323</v>
      </c>
      <c r="H83" s="30">
        <v>135855</v>
      </c>
      <c r="I83" s="31">
        <v>120232</v>
      </c>
      <c r="J83" s="31">
        <f t="shared" si="3"/>
        <v>15623</v>
      </c>
      <c r="K83" s="2"/>
      <c r="N83" s="32">
        <v>120232</v>
      </c>
      <c r="Q83" s="34">
        <v>120232</v>
      </c>
      <c r="R83" s="35"/>
      <c r="S83" s="4" t="str">
        <f>IFERROR(VLOOKUP(E83,'[2]td factu si'!$A:$B,1,0),0)</f>
        <v>FE13960</v>
      </c>
      <c r="T83" s="2">
        <f>IFERROR(VLOOKUP(E83,'[2]td factu si'!$A:$B,2,0),0)*-1</f>
        <v>120232</v>
      </c>
      <c r="U83" s="40"/>
      <c r="W83" s="36"/>
      <c r="Z83" s="42"/>
      <c r="AB83" s="7"/>
      <c r="AH83" s="3">
        <v>0</v>
      </c>
      <c r="AJ83" s="3">
        <v>0</v>
      </c>
      <c r="AL83" s="39"/>
    </row>
    <row r="84" spans="1:38" x14ac:dyDescent="0.25">
      <c r="A84">
        <v>76</v>
      </c>
      <c r="B84" s="29" t="s">
        <v>45</v>
      </c>
      <c r="C84" s="29" t="s">
        <v>46</v>
      </c>
      <c r="D84" s="4" t="str">
        <f>"13963"</f>
        <v>13963</v>
      </c>
      <c r="E84" s="4" t="str">
        <f t="shared" si="2"/>
        <v>FE13963</v>
      </c>
      <c r="F84" s="7">
        <v>44309</v>
      </c>
      <c r="G84" s="7">
        <v>44320</v>
      </c>
      <c r="H84" s="30">
        <v>250905</v>
      </c>
      <c r="I84" s="31">
        <v>250905</v>
      </c>
      <c r="J84" s="31">
        <f t="shared" si="3"/>
        <v>0</v>
      </c>
      <c r="K84" s="2"/>
      <c r="N84" s="32">
        <v>250905</v>
      </c>
      <c r="Q84" s="34">
        <v>250905</v>
      </c>
      <c r="R84" s="35"/>
      <c r="S84" s="4" t="str">
        <f>IFERROR(VLOOKUP(E84,'[2]td factu si'!$A:$B,1,0),0)</f>
        <v>FE13963</v>
      </c>
      <c r="T84" s="2">
        <f>IFERROR(VLOOKUP(E84,'[2]td factu si'!$A:$B,2,0),0)*-1</f>
        <v>250905</v>
      </c>
      <c r="U84" s="40"/>
      <c r="W84" s="36"/>
      <c r="Z84" s="42"/>
      <c r="AB84" s="7"/>
      <c r="AH84" s="3">
        <v>0</v>
      </c>
      <c r="AJ84" s="3">
        <v>0</v>
      </c>
      <c r="AL84" s="39"/>
    </row>
    <row r="85" spans="1:38" x14ac:dyDescent="0.25">
      <c r="A85">
        <v>77</v>
      </c>
      <c r="B85" s="29" t="s">
        <v>45</v>
      </c>
      <c r="C85" s="29" t="s">
        <v>46</v>
      </c>
      <c r="D85" s="4" t="str">
        <f>"13974"</f>
        <v>13974</v>
      </c>
      <c r="E85" s="4" t="str">
        <f t="shared" si="2"/>
        <v>FE13974</v>
      </c>
      <c r="F85" s="7">
        <v>44309</v>
      </c>
      <c r="G85" s="7">
        <v>44323</v>
      </c>
      <c r="H85" s="30">
        <v>317101</v>
      </c>
      <c r="I85" s="31">
        <v>317101</v>
      </c>
      <c r="J85" s="31">
        <f t="shared" si="3"/>
        <v>0</v>
      </c>
      <c r="K85" s="2"/>
      <c r="N85" s="32">
        <v>317101</v>
      </c>
      <c r="Q85" s="34">
        <v>317101</v>
      </c>
      <c r="R85" s="35"/>
      <c r="S85" s="4" t="str">
        <f>IFERROR(VLOOKUP(E85,'[2]td factu si'!$A:$B,1,0),0)</f>
        <v>FE13974</v>
      </c>
      <c r="T85" s="2">
        <f>IFERROR(VLOOKUP(E85,'[2]td factu si'!$A:$B,2,0),0)*-1</f>
        <v>317101</v>
      </c>
      <c r="U85" s="40"/>
      <c r="W85" s="36"/>
      <c r="Z85" s="42"/>
      <c r="AB85" s="7"/>
      <c r="AH85" s="3">
        <v>0</v>
      </c>
      <c r="AJ85" s="3">
        <v>0</v>
      </c>
      <c r="AL85" s="39"/>
    </row>
    <row r="86" spans="1:38" x14ac:dyDescent="0.25">
      <c r="A86">
        <v>78</v>
      </c>
      <c r="B86" s="29" t="s">
        <v>45</v>
      </c>
      <c r="C86" s="29" t="s">
        <v>46</v>
      </c>
      <c r="D86" s="4" t="str">
        <f>"13979"</f>
        <v>13979</v>
      </c>
      <c r="E86" s="4" t="str">
        <f t="shared" si="2"/>
        <v>FE13979</v>
      </c>
      <c r="F86" s="7">
        <v>44309</v>
      </c>
      <c r="G86" s="7">
        <v>44322</v>
      </c>
      <c r="H86" s="30">
        <v>15489</v>
      </c>
      <c r="I86" s="31">
        <v>15489</v>
      </c>
      <c r="J86" s="31">
        <f t="shared" si="3"/>
        <v>0</v>
      </c>
      <c r="K86" s="2"/>
      <c r="N86" s="32">
        <v>15489</v>
      </c>
      <c r="Q86" s="34">
        <v>15489</v>
      </c>
      <c r="R86" s="35"/>
      <c r="S86" s="4" t="str">
        <f>IFERROR(VLOOKUP(E86,'[2]td factu si'!$A:$B,1,0),0)</f>
        <v>FE13979</v>
      </c>
      <c r="T86" s="2">
        <f>IFERROR(VLOOKUP(E86,'[2]td factu si'!$A:$B,2,0),0)*-1</f>
        <v>15489</v>
      </c>
      <c r="U86" s="40"/>
      <c r="W86" s="36"/>
      <c r="Z86" s="42"/>
      <c r="AB86" s="7"/>
      <c r="AH86" s="3">
        <v>0</v>
      </c>
      <c r="AJ86" s="3">
        <v>0</v>
      </c>
      <c r="AL86" s="39"/>
    </row>
    <row r="87" spans="1:38" x14ac:dyDescent="0.25">
      <c r="A87">
        <v>79</v>
      </c>
      <c r="B87" s="29" t="s">
        <v>45</v>
      </c>
      <c r="C87" s="29" t="s">
        <v>46</v>
      </c>
      <c r="D87" s="4" t="str">
        <f>"13991"</f>
        <v>13991</v>
      </c>
      <c r="E87" s="4" t="str">
        <f t="shared" si="2"/>
        <v>FE13991</v>
      </c>
      <c r="F87" s="7">
        <v>44309</v>
      </c>
      <c r="G87" s="7">
        <v>44322</v>
      </c>
      <c r="H87" s="30">
        <v>181246</v>
      </c>
      <c r="I87" s="31">
        <v>163121</v>
      </c>
      <c r="J87" s="31">
        <f t="shared" si="3"/>
        <v>18125</v>
      </c>
      <c r="K87" s="2"/>
      <c r="N87" s="32">
        <v>163121</v>
      </c>
      <c r="Q87" s="34">
        <v>163121</v>
      </c>
      <c r="R87" s="35"/>
      <c r="S87" s="4" t="str">
        <f>IFERROR(VLOOKUP(E87,'[2]td factu si'!$A:$B,1,0),0)</f>
        <v>FE13991</v>
      </c>
      <c r="T87" s="2">
        <f>IFERROR(VLOOKUP(E87,'[2]td factu si'!$A:$B,2,0),0)*-1</f>
        <v>163121</v>
      </c>
      <c r="U87" s="40"/>
      <c r="W87" s="36"/>
      <c r="Z87" s="42"/>
      <c r="AB87" s="7"/>
      <c r="AH87" s="3">
        <v>0</v>
      </c>
      <c r="AJ87" s="3">
        <v>0</v>
      </c>
      <c r="AL87" s="39"/>
    </row>
    <row r="88" spans="1:38" x14ac:dyDescent="0.25">
      <c r="A88">
        <v>80</v>
      </c>
      <c r="B88" s="29" t="s">
        <v>45</v>
      </c>
      <c r="C88" s="29" t="s">
        <v>46</v>
      </c>
      <c r="D88" s="4" t="str">
        <f>"14002"</f>
        <v>14002</v>
      </c>
      <c r="E88" s="4" t="str">
        <f t="shared" si="2"/>
        <v>FE14002</v>
      </c>
      <c r="F88" s="7">
        <v>44309</v>
      </c>
      <c r="G88" s="7">
        <v>44322</v>
      </c>
      <c r="H88" s="30">
        <v>181246</v>
      </c>
      <c r="I88" s="31">
        <v>181246</v>
      </c>
      <c r="J88" s="31">
        <f t="shared" si="3"/>
        <v>0</v>
      </c>
      <c r="K88" s="2"/>
      <c r="N88" s="32">
        <v>181246</v>
      </c>
      <c r="Q88" s="34">
        <v>181246</v>
      </c>
      <c r="R88" s="35"/>
      <c r="S88" s="4" t="str">
        <f>IFERROR(VLOOKUP(E88,'[2]td factu si'!$A:$B,1,0),0)</f>
        <v>FE14002</v>
      </c>
      <c r="T88" s="2">
        <f>IFERROR(VLOOKUP(E88,'[2]td factu si'!$A:$B,2,0),0)*-1</f>
        <v>181246</v>
      </c>
      <c r="U88" s="40"/>
      <c r="W88" s="36"/>
      <c r="Z88" s="42"/>
      <c r="AB88" s="7"/>
      <c r="AH88" s="3">
        <v>0</v>
      </c>
      <c r="AJ88" s="3">
        <v>0</v>
      </c>
      <c r="AL88" s="39"/>
    </row>
    <row r="89" spans="1:38" x14ac:dyDescent="0.25">
      <c r="A89">
        <v>81</v>
      </c>
      <c r="B89" s="29" t="s">
        <v>45</v>
      </c>
      <c r="C89" s="29" t="s">
        <v>46</v>
      </c>
      <c r="D89" s="4" t="str">
        <f>"14003"</f>
        <v>14003</v>
      </c>
      <c r="E89" s="4" t="str">
        <f t="shared" si="2"/>
        <v>FE14003</v>
      </c>
      <c r="F89" s="7">
        <v>44309</v>
      </c>
      <c r="G89" s="7">
        <v>44322</v>
      </c>
      <c r="H89" s="30">
        <v>181246</v>
      </c>
      <c r="I89" s="31">
        <v>181246</v>
      </c>
      <c r="J89" s="31">
        <f t="shared" si="3"/>
        <v>0</v>
      </c>
      <c r="K89" s="2"/>
      <c r="N89" s="32">
        <v>181246</v>
      </c>
      <c r="Q89" s="34">
        <v>181246</v>
      </c>
      <c r="R89" s="35"/>
      <c r="S89" s="4" t="str">
        <f>IFERROR(VLOOKUP(E89,'[2]td factu si'!$A:$B,1,0),0)</f>
        <v>FE14003</v>
      </c>
      <c r="T89" s="2">
        <f>IFERROR(VLOOKUP(E89,'[2]td factu si'!$A:$B,2,0),0)*-1</f>
        <v>181246</v>
      </c>
      <c r="U89" s="40"/>
      <c r="W89" s="36"/>
      <c r="Z89" s="42"/>
      <c r="AB89" s="7"/>
      <c r="AH89" s="3">
        <v>0</v>
      </c>
      <c r="AJ89" s="3">
        <v>0</v>
      </c>
      <c r="AL89" s="39"/>
    </row>
    <row r="90" spans="1:38" x14ac:dyDescent="0.25">
      <c r="A90">
        <v>82</v>
      </c>
      <c r="B90" s="29" t="s">
        <v>45</v>
      </c>
      <c r="C90" s="29" t="s">
        <v>46</v>
      </c>
      <c r="D90" s="4" t="str">
        <f>"14006"</f>
        <v>14006</v>
      </c>
      <c r="E90" s="4" t="str">
        <f t="shared" si="2"/>
        <v>FE14006</v>
      </c>
      <c r="F90" s="7">
        <v>44309</v>
      </c>
      <c r="G90" s="7">
        <v>44322</v>
      </c>
      <c r="H90" s="30">
        <v>181246</v>
      </c>
      <c r="I90" s="31">
        <v>181246</v>
      </c>
      <c r="J90" s="31">
        <f t="shared" si="3"/>
        <v>0</v>
      </c>
      <c r="K90" s="2"/>
      <c r="N90" s="32">
        <v>181246</v>
      </c>
      <c r="Q90" s="34">
        <v>181246</v>
      </c>
      <c r="R90" s="35"/>
      <c r="S90" s="4" t="str">
        <f>IFERROR(VLOOKUP(E90,'[2]td factu si'!$A:$B,1,0),0)</f>
        <v>FE14006</v>
      </c>
      <c r="T90" s="2">
        <f>IFERROR(VLOOKUP(E90,'[2]td factu si'!$A:$B,2,0),0)*-1</f>
        <v>181246</v>
      </c>
      <c r="U90" s="40"/>
      <c r="W90" s="36"/>
      <c r="Z90" s="42"/>
      <c r="AB90" s="7"/>
      <c r="AH90" s="3">
        <v>0</v>
      </c>
      <c r="AJ90" s="3">
        <v>0</v>
      </c>
      <c r="AL90" s="39"/>
    </row>
    <row r="91" spans="1:38" x14ac:dyDescent="0.25">
      <c r="A91">
        <v>83</v>
      </c>
      <c r="B91" s="29" t="s">
        <v>45</v>
      </c>
      <c r="C91" s="29" t="s">
        <v>46</v>
      </c>
      <c r="D91" s="4" t="str">
        <f>"14009"</f>
        <v>14009</v>
      </c>
      <c r="E91" s="4" t="str">
        <f t="shared" si="2"/>
        <v>FE14009</v>
      </c>
      <c r="F91" s="7">
        <v>44309</v>
      </c>
      <c r="G91" s="7">
        <v>44320</v>
      </c>
      <c r="H91" s="30">
        <v>280370</v>
      </c>
      <c r="I91" s="31">
        <v>280370</v>
      </c>
      <c r="J91" s="31">
        <f t="shared" si="3"/>
        <v>0</v>
      </c>
      <c r="K91" s="2"/>
      <c r="N91" s="32">
        <v>280370</v>
      </c>
      <c r="Q91" s="34">
        <v>280370</v>
      </c>
      <c r="R91" s="35"/>
      <c r="S91" s="4" t="str">
        <f>IFERROR(VLOOKUP(E91,'[2]td factu si'!$A:$B,1,0),0)</f>
        <v>FE14009</v>
      </c>
      <c r="T91" s="2">
        <f>IFERROR(VLOOKUP(E91,'[2]td factu si'!$A:$B,2,0),0)*-1</f>
        <v>280370</v>
      </c>
      <c r="U91" s="40"/>
      <c r="W91" s="36"/>
      <c r="Z91" s="42"/>
      <c r="AB91" s="7"/>
      <c r="AH91" s="3">
        <v>0</v>
      </c>
      <c r="AJ91" s="3">
        <v>0</v>
      </c>
      <c r="AL91" s="39"/>
    </row>
    <row r="92" spans="1:38" x14ac:dyDescent="0.25">
      <c r="A92">
        <v>84</v>
      </c>
      <c r="B92" s="29" t="s">
        <v>45</v>
      </c>
      <c r="C92" s="29" t="s">
        <v>46</v>
      </c>
      <c r="D92" s="4" t="str">
        <f>"14014"</f>
        <v>14014</v>
      </c>
      <c r="E92" s="4" t="str">
        <f t="shared" si="2"/>
        <v>FE14014</v>
      </c>
      <c r="F92" s="7">
        <v>44309</v>
      </c>
      <c r="G92" s="7">
        <v>44322</v>
      </c>
      <c r="H92" s="30">
        <v>15489</v>
      </c>
      <c r="I92" s="31">
        <v>15489</v>
      </c>
      <c r="J92" s="31">
        <f t="shared" si="3"/>
        <v>0</v>
      </c>
      <c r="K92" s="2"/>
      <c r="N92" s="32">
        <v>15489</v>
      </c>
      <c r="Q92" s="34">
        <v>15489</v>
      </c>
      <c r="R92" s="35"/>
      <c r="S92" s="4" t="str">
        <f>IFERROR(VLOOKUP(E92,'[2]td factu si'!$A:$B,1,0),0)</f>
        <v>FE14014</v>
      </c>
      <c r="T92" s="2">
        <f>IFERROR(VLOOKUP(E92,'[2]td factu si'!$A:$B,2,0),0)*-1</f>
        <v>15489</v>
      </c>
      <c r="U92" s="40"/>
      <c r="W92" s="36"/>
      <c r="Z92" s="42"/>
      <c r="AB92" s="7"/>
      <c r="AH92" s="3">
        <v>0</v>
      </c>
      <c r="AJ92" s="3">
        <v>0</v>
      </c>
      <c r="AL92" s="39"/>
    </row>
    <row r="93" spans="1:38" x14ac:dyDescent="0.25">
      <c r="A93">
        <v>85</v>
      </c>
      <c r="B93" s="29" t="s">
        <v>45</v>
      </c>
      <c r="C93" s="29" t="s">
        <v>46</v>
      </c>
      <c r="D93" s="4" t="str">
        <f>"14017"</f>
        <v>14017</v>
      </c>
      <c r="E93" s="4" t="str">
        <f t="shared" si="2"/>
        <v>FE14017</v>
      </c>
      <c r="F93" s="7">
        <v>44309</v>
      </c>
      <c r="G93" s="7">
        <v>44322</v>
      </c>
      <c r="H93" s="30">
        <v>15489</v>
      </c>
      <c r="I93" s="31">
        <v>15489</v>
      </c>
      <c r="J93" s="31">
        <f t="shared" si="3"/>
        <v>0</v>
      </c>
      <c r="K93" s="2"/>
      <c r="N93" s="32">
        <v>15489</v>
      </c>
      <c r="Q93" s="34">
        <v>15489</v>
      </c>
      <c r="R93" s="35"/>
      <c r="S93" s="4" t="str">
        <f>IFERROR(VLOOKUP(E93,'[2]td factu si'!$A:$B,1,0),0)</f>
        <v>FE14017</v>
      </c>
      <c r="T93" s="2">
        <f>IFERROR(VLOOKUP(E93,'[2]td factu si'!$A:$B,2,0),0)*-1</f>
        <v>15489</v>
      </c>
      <c r="U93" s="40"/>
      <c r="W93" s="36"/>
      <c r="Z93" s="42"/>
      <c r="AB93" s="7"/>
      <c r="AH93" s="3">
        <v>0</v>
      </c>
      <c r="AJ93" s="3">
        <v>0</v>
      </c>
      <c r="AL93" s="39"/>
    </row>
    <row r="94" spans="1:38" x14ac:dyDescent="0.25">
      <c r="A94">
        <v>86</v>
      </c>
      <c r="B94" s="29" t="s">
        <v>45</v>
      </c>
      <c r="C94" s="29" t="s">
        <v>46</v>
      </c>
      <c r="D94" s="4" t="str">
        <f>"14024"</f>
        <v>14024</v>
      </c>
      <c r="E94" s="4" t="str">
        <f t="shared" si="2"/>
        <v>FE14024</v>
      </c>
      <c r="F94" s="7">
        <v>44309</v>
      </c>
      <c r="G94" s="7">
        <v>44323</v>
      </c>
      <c r="H94" s="30">
        <v>181246</v>
      </c>
      <c r="I94" s="31">
        <v>160403</v>
      </c>
      <c r="J94" s="31">
        <f t="shared" si="3"/>
        <v>20843</v>
      </c>
      <c r="K94" s="2"/>
      <c r="N94" s="32">
        <v>160403</v>
      </c>
      <c r="Q94" s="34">
        <v>160403</v>
      </c>
      <c r="R94" s="35"/>
      <c r="S94" s="4" t="str">
        <f>IFERROR(VLOOKUP(E94,'[2]td factu si'!$A:$B,1,0),0)</f>
        <v>FE14024</v>
      </c>
      <c r="T94" s="2">
        <f>IFERROR(VLOOKUP(E94,'[2]td factu si'!$A:$B,2,0),0)*-1</f>
        <v>160403</v>
      </c>
      <c r="U94" s="40"/>
      <c r="W94" s="36"/>
      <c r="Z94" s="42"/>
      <c r="AB94" s="7"/>
      <c r="AH94" s="3">
        <v>0</v>
      </c>
      <c r="AJ94" s="3">
        <v>0</v>
      </c>
      <c r="AL94" s="39"/>
    </row>
    <row r="95" spans="1:38" x14ac:dyDescent="0.25">
      <c r="A95">
        <v>87</v>
      </c>
      <c r="B95" s="29" t="s">
        <v>45</v>
      </c>
      <c r="C95" s="29" t="s">
        <v>46</v>
      </c>
      <c r="D95" s="4" t="str">
        <f>"14032"</f>
        <v>14032</v>
      </c>
      <c r="E95" s="4" t="str">
        <f t="shared" si="2"/>
        <v>FE14032</v>
      </c>
      <c r="F95" s="7">
        <v>44309</v>
      </c>
      <c r="G95" s="7">
        <v>44322</v>
      </c>
      <c r="H95" s="30">
        <v>181246</v>
      </c>
      <c r="I95" s="31">
        <v>181246</v>
      </c>
      <c r="J95" s="31">
        <f t="shared" si="3"/>
        <v>0</v>
      </c>
      <c r="K95" s="2"/>
      <c r="N95" s="32">
        <v>181246</v>
      </c>
      <c r="Q95" s="34">
        <v>181246</v>
      </c>
      <c r="R95" s="35"/>
      <c r="S95" s="4" t="str">
        <f>IFERROR(VLOOKUP(E95,'[2]td factu si'!$A:$B,1,0),0)</f>
        <v>FE14032</v>
      </c>
      <c r="T95" s="2">
        <f>IFERROR(VLOOKUP(E95,'[2]td factu si'!$A:$B,2,0),0)*-1</f>
        <v>181246</v>
      </c>
      <c r="U95" s="40"/>
      <c r="W95" s="36"/>
      <c r="Z95" s="42"/>
      <c r="AB95" s="7"/>
      <c r="AH95" s="3">
        <v>0</v>
      </c>
      <c r="AJ95" s="3">
        <v>0</v>
      </c>
      <c r="AL95" s="39"/>
    </row>
    <row r="96" spans="1:38" x14ac:dyDescent="0.25">
      <c r="A96">
        <v>88</v>
      </c>
      <c r="B96" s="29" t="s">
        <v>45</v>
      </c>
      <c r="C96" s="29" t="s">
        <v>46</v>
      </c>
      <c r="D96" s="4" t="str">
        <f>"14035"</f>
        <v>14035</v>
      </c>
      <c r="E96" s="4" t="str">
        <f t="shared" si="2"/>
        <v>FE14035</v>
      </c>
      <c r="F96" s="7">
        <v>44309</v>
      </c>
      <c r="G96" s="7">
        <v>44322</v>
      </c>
      <c r="H96" s="30">
        <v>181246</v>
      </c>
      <c r="I96" s="31">
        <v>181246</v>
      </c>
      <c r="J96" s="31">
        <f t="shared" si="3"/>
        <v>0</v>
      </c>
      <c r="K96" s="2"/>
      <c r="N96" s="32">
        <v>181246</v>
      </c>
      <c r="Q96" s="34">
        <v>181246</v>
      </c>
      <c r="R96" s="35"/>
      <c r="S96" s="4" t="str">
        <f>IFERROR(VLOOKUP(E96,'[2]td factu si'!$A:$B,1,0),0)</f>
        <v>FE14035</v>
      </c>
      <c r="T96" s="2">
        <f>IFERROR(VLOOKUP(E96,'[2]td factu si'!$A:$B,2,0),0)*-1</f>
        <v>181246</v>
      </c>
      <c r="U96" s="40"/>
      <c r="W96" s="36"/>
      <c r="Z96" s="42"/>
      <c r="AB96" s="7"/>
      <c r="AH96" s="3">
        <v>0</v>
      </c>
      <c r="AJ96" s="3">
        <v>0</v>
      </c>
      <c r="AL96" s="39"/>
    </row>
    <row r="97" spans="1:38" x14ac:dyDescent="0.25">
      <c r="A97">
        <v>89</v>
      </c>
      <c r="B97" s="29" t="s">
        <v>45</v>
      </c>
      <c r="C97" s="29" t="s">
        <v>46</v>
      </c>
      <c r="D97" s="4" t="str">
        <f>"14036"</f>
        <v>14036</v>
      </c>
      <c r="E97" s="4" t="str">
        <f t="shared" si="2"/>
        <v>FE14036</v>
      </c>
      <c r="F97" s="7">
        <v>44309</v>
      </c>
      <c r="G97" s="7">
        <v>44322</v>
      </c>
      <c r="H97" s="30">
        <v>14933</v>
      </c>
      <c r="I97" s="31">
        <v>14933</v>
      </c>
      <c r="J97" s="31">
        <f t="shared" si="3"/>
        <v>0</v>
      </c>
      <c r="K97" s="2"/>
      <c r="N97" s="32">
        <v>14933</v>
      </c>
      <c r="Q97" s="34">
        <v>14933</v>
      </c>
      <c r="R97" s="35"/>
      <c r="S97" s="4" t="str">
        <f>IFERROR(VLOOKUP(E97,'[2]td factu si'!$A:$B,1,0),0)</f>
        <v>FE14036</v>
      </c>
      <c r="T97" s="2">
        <f>IFERROR(VLOOKUP(E97,'[2]td factu si'!$A:$B,2,0),0)*-1</f>
        <v>14933</v>
      </c>
      <c r="U97" s="40"/>
      <c r="W97" s="36"/>
      <c r="Z97" s="42"/>
      <c r="AB97" s="7"/>
      <c r="AH97" s="3">
        <v>0</v>
      </c>
      <c r="AJ97" s="3">
        <v>0</v>
      </c>
      <c r="AL97" s="39"/>
    </row>
    <row r="98" spans="1:38" x14ac:dyDescent="0.25">
      <c r="A98">
        <v>90</v>
      </c>
      <c r="B98" s="29" t="s">
        <v>45</v>
      </c>
      <c r="C98" s="29" t="s">
        <v>46</v>
      </c>
      <c r="D98" s="4" t="str">
        <f>"14041"</f>
        <v>14041</v>
      </c>
      <c r="E98" s="4" t="str">
        <f t="shared" si="2"/>
        <v>FE14041</v>
      </c>
      <c r="F98" s="7">
        <v>44309</v>
      </c>
      <c r="G98" s="7">
        <v>44322</v>
      </c>
      <c r="H98" s="30">
        <v>317101</v>
      </c>
      <c r="I98" s="31">
        <v>317101</v>
      </c>
      <c r="J98" s="31">
        <f t="shared" si="3"/>
        <v>0</v>
      </c>
      <c r="K98" s="2"/>
      <c r="N98" s="32">
        <v>317101</v>
      </c>
      <c r="Q98" s="34">
        <v>317101</v>
      </c>
      <c r="R98" s="35"/>
      <c r="S98" s="4" t="str">
        <f>IFERROR(VLOOKUP(E98,'[2]td factu si'!$A:$B,1,0),0)</f>
        <v>FE14041</v>
      </c>
      <c r="T98" s="2">
        <f>IFERROR(VLOOKUP(E98,'[2]td factu si'!$A:$B,2,0),0)*-1</f>
        <v>317101</v>
      </c>
      <c r="U98" s="40"/>
      <c r="W98" s="36"/>
      <c r="Z98" s="42"/>
      <c r="AB98" s="7"/>
      <c r="AH98" s="3">
        <v>0</v>
      </c>
      <c r="AJ98" s="3">
        <v>0</v>
      </c>
      <c r="AL98" s="39"/>
    </row>
    <row r="99" spans="1:38" x14ac:dyDescent="0.25">
      <c r="A99">
        <v>91</v>
      </c>
      <c r="B99" s="29" t="s">
        <v>45</v>
      </c>
      <c r="C99" s="29" t="s">
        <v>46</v>
      </c>
      <c r="D99" s="4" t="str">
        <f>"14045"</f>
        <v>14045</v>
      </c>
      <c r="E99" s="4" t="str">
        <f t="shared" si="2"/>
        <v>FE14045</v>
      </c>
      <c r="F99" s="7">
        <v>44309</v>
      </c>
      <c r="G99" s="7">
        <v>44323</v>
      </c>
      <c r="H99" s="30">
        <v>135855</v>
      </c>
      <c r="I99" s="31">
        <v>120232</v>
      </c>
      <c r="J99" s="31">
        <f t="shared" si="3"/>
        <v>15623</v>
      </c>
      <c r="K99" s="2"/>
      <c r="N99" s="32">
        <v>120232</v>
      </c>
      <c r="Q99" s="34">
        <v>120232</v>
      </c>
      <c r="R99" s="35"/>
      <c r="S99" s="4" t="str">
        <f>IFERROR(VLOOKUP(E99,'[2]td factu si'!$A:$B,1,0),0)</f>
        <v>FE14045</v>
      </c>
      <c r="T99" s="2">
        <f>IFERROR(VLOOKUP(E99,'[2]td factu si'!$A:$B,2,0),0)*-1</f>
        <v>120232</v>
      </c>
      <c r="U99" s="40"/>
      <c r="W99" s="36"/>
      <c r="Z99" s="42"/>
      <c r="AB99" s="7"/>
      <c r="AH99" s="3">
        <v>0</v>
      </c>
      <c r="AJ99" s="3">
        <v>0</v>
      </c>
      <c r="AL99" s="39"/>
    </row>
    <row r="100" spans="1:38" x14ac:dyDescent="0.25">
      <c r="A100">
        <v>92</v>
      </c>
      <c r="B100" s="29" t="s">
        <v>45</v>
      </c>
      <c r="C100" s="29" t="s">
        <v>46</v>
      </c>
      <c r="D100" s="4" t="str">
        <f>"14046"</f>
        <v>14046</v>
      </c>
      <c r="E100" s="4" t="str">
        <f t="shared" si="2"/>
        <v>FE14046</v>
      </c>
      <c r="F100" s="7">
        <v>44309</v>
      </c>
      <c r="G100" s="7">
        <v>44320</v>
      </c>
      <c r="H100" s="30">
        <v>317101</v>
      </c>
      <c r="I100" s="31">
        <v>310101</v>
      </c>
      <c r="J100" s="31">
        <f t="shared" si="3"/>
        <v>7000</v>
      </c>
      <c r="K100" s="2"/>
      <c r="N100" s="32">
        <v>310101</v>
      </c>
      <c r="Q100" s="34">
        <v>310101</v>
      </c>
      <c r="R100" s="35"/>
      <c r="S100" s="4" t="str">
        <f>IFERROR(VLOOKUP(E100,'[2]td factu si'!$A:$B,1,0),0)</f>
        <v>FE14046</v>
      </c>
      <c r="T100" s="2">
        <f>IFERROR(VLOOKUP(E100,'[2]td factu si'!$A:$B,2,0),0)*-1</f>
        <v>310101</v>
      </c>
      <c r="U100" s="40"/>
      <c r="W100" s="36"/>
      <c r="Z100" s="42"/>
      <c r="AB100" s="7"/>
      <c r="AH100" s="3">
        <v>0</v>
      </c>
      <c r="AJ100" s="3">
        <v>0</v>
      </c>
      <c r="AL100" s="39"/>
    </row>
    <row r="101" spans="1:38" x14ac:dyDescent="0.25">
      <c r="A101">
        <v>93</v>
      </c>
      <c r="B101" s="29" t="s">
        <v>45</v>
      </c>
      <c r="C101" s="29" t="s">
        <v>46</v>
      </c>
      <c r="D101" s="4" t="str">
        <f>"14055"</f>
        <v>14055</v>
      </c>
      <c r="E101" s="4" t="str">
        <f t="shared" si="2"/>
        <v>FE14055</v>
      </c>
      <c r="F101" s="7">
        <v>44309</v>
      </c>
      <c r="G101" s="7">
        <v>44322</v>
      </c>
      <c r="H101" s="30">
        <v>8284283</v>
      </c>
      <c r="I101" s="31">
        <v>8284283</v>
      </c>
      <c r="J101" s="31">
        <f t="shared" si="3"/>
        <v>0</v>
      </c>
      <c r="K101" s="2"/>
      <c r="N101" s="32">
        <v>8284283</v>
      </c>
      <c r="Q101" s="34">
        <v>8284283</v>
      </c>
      <c r="R101" s="35"/>
      <c r="S101" s="4" t="str">
        <f>IFERROR(VLOOKUP(E101,'[2]td factu si'!$A:$B,1,0),0)</f>
        <v>FE14055</v>
      </c>
      <c r="T101" s="2">
        <f>IFERROR(VLOOKUP(E101,'[2]td factu si'!$A:$B,2,0),0)*-1</f>
        <v>8284283</v>
      </c>
      <c r="U101" s="40"/>
      <c r="W101" s="36"/>
      <c r="Z101" s="42"/>
      <c r="AB101" s="7"/>
      <c r="AH101" s="3">
        <v>0</v>
      </c>
      <c r="AJ101" s="3">
        <v>0</v>
      </c>
      <c r="AL101" s="39"/>
    </row>
    <row r="102" spans="1:38" x14ac:dyDescent="0.25">
      <c r="A102">
        <v>94</v>
      </c>
      <c r="B102" s="29" t="s">
        <v>45</v>
      </c>
      <c r="C102" s="29" t="s">
        <v>46</v>
      </c>
      <c r="D102" s="4" t="str">
        <f>"14059"</f>
        <v>14059</v>
      </c>
      <c r="E102" s="4" t="str">
        <f t="shared" si="2"/>
        <v>FE14059</v>
      </c>
      <c r="F102" s="7">
        <v>44309</v>
      </c>
      <c r="G102" s="7">
        <v>44322</v>
      </c>
      <c r="H102" s="30">
        <v>7585720</v>
      </c>
      <c r="I102" s="31">
        <v>7585720</v>
      </c>
      <c r="J102" s="31">
        <f t="shared" si="3"/>
        <v>0</v>
      </c>
      <c r="K102" s="2"/>
      <c r="N102" s="32">
        <v>7585720</v>
      </c>
      <c r="Q102" s="34">
        <v>7585720</v>
      </c>
      <c r="R102" s="35"/>
      <c r="S102" s="4" t="str">
        <f>IFERROR(VLOOKUP(E102,'[2]td factu si'!$A:$B,1,0),0)</f>
        <v>FE14059</v>
      </c>
      <c r="T102" s="2">
        <f>IFERROR(VLOOKUP(E102,'[2]td factu si'!$A:$B,2,0),0)*-1</f>
        <v>7585720</v>
      </c>
      <c r="U102" s="40"/>
      <c r="W102" s="36"/>
      <c r="Z102" s="42"/>
      <c r="AB102" s="7"/>
      <c r="AH102" s="3">
        <v>0</v>
      </c>
      <c r="AJ102" s="3">
        <v>0</v>
      </c>
      <c r="AL102" s="39"/>
    </row>
    <row r="103" spans="1:38" x14ac:dyDescent="0.25">
      <c r="A103">
        <v>95</v>
      </c>
      <c r="B103" s="29" t="s">
        <v>45</v>
      </c>
      <c r="C103" s="29" t="s">
        <v>46</v>
      </c>
      <c r="D103" s="4" t="str">
        <f>"14061"</f>
        <v>14061</v>
      </c>
      <c r="E103" s="4" t="str">
        <f t="shared" si="2"/>
        <v>FE14061</v>
      </c>
      <c r="F103" s="7">
        <v>44309</v>
      </c>
      <c r="G103" s="7">
        <v>44320</v>
      </c>
      <c r="H103" s="43">
        <v>15489</v>
      </c>
      <c r="I103" s="31">
        <v>15489</v>
      </c>
      <c r="J103" s="31">
        <f t="shared" si="3"/>
        <v>0</v>
      </c>
      <c r="K103" s="2"/>
      <c r="N103" s="32">
        <v>15489</v>
      </c>
      <c r="Q103" s="34">
        <v>15489</v>
      </c>
      <c r="R103" s="44"/>
      <c r="S103" s="4" t="str">
        <f>IFERROR(VLOOKUP(E103,'[2]td factu si'!$A:$B,1,0),0)</f>
        <v>FE14061</v>
      </c>
      <c r="T103" s="2">
        <f>IFERROR(VLOOKUP(E103,'[2]td factu si'!$A:$B,2,0),0)*-1</f>
        <v>15489</v>
      </c>
      <c r="U103" s="40"/>
      <c r="W103" s="36"/>
      <c r="Z103" s="42"/>
      <c r="AB103" s="7"/>
      <c r="AH103" s="3">
        <v>0</v>
      </c>
      <c r="AJ103" s="3">
        <v>0</v>
      </c>
      <c r="AL103" s="39"/>
    </row>
    <row r="104" spans="1:38" x14ac:dyDescent="0.25">
      <c r="A104">
        <v>96</v>
      </c>
      <c r="B104" s="29" t="s">
        <v>45</v>
      </c>
      <c r="C104" s="29" t="s">
        <v>46</v>
      </c>
      <c r="D104" s="4" t="str">
        <f>"14078"</f>
        <v>14078</v>
      </c>
      <c r="E104" s="4" t="str">
        <f t="shared" si="2"/>
        <v>FE14078</v>
      </c>
      <c r="F104" s="7">
        <v>44310</v>
      </c>
      <c r="G104" s="7">
        <v>44323</v>
      </c>
      <c r="H104" s="43">
        <v>135855</v>
      </c>
      <c r="I104" s="31">
        <v>132355</v>
      </c>
      <c r="J104" s="31">
        <f t="shared" si="3"/>
        <v>3500</v>
      </c>
      <c r="K104" s="2"/>
      <c r="N104" s="32">
        <v>132355</v>
      </c>
      <c r="Q104" s="34">
        <v>132355</v>
      </c>
      <c r="R104" s="44"/>
      <c r="S104" s="4" t="str">
        <f>IFERROR(VLOOKUP(E104,'[2]td factu si'!$A:$B,1,0),0)</f>
        <v>FE14078</v>
      </c>
      <c r="T104" s="2">
        <f>IFERROR(VLOOKUP(E104,'[2]td factu si'!$A:$B,2,0),0)*-1</f>
        <v>132355</v>
      </c>
      <c r="U104" s="40"/>
      <c r="W104" s="36"/>
      <c r="Z104" s="42"/>
      <c r="AB104" s="7"/>
      <c r="AH104" s="3">
        <v>0</v>
      </c>
      <c r="AJ104" s="3">
        <v>0</v>
      </c>
      <c r="AL104" s="39"/>
    </row>
    <row r="105" spans="1:38" x14ac:dyDescent="0.25">
      <c r="A105">
        <v>97</v>
      </c>
      <c r="B105" s="29" t="s">
        <v>45</v>
      </c>
      <c r="C105" s="29" t="s">
        <v>46</v>
      </c>
      <c r="D105" s="4" t="str">
        <f>"14087"</f>
        <v>14087</v>
      </c>
      <c r="E105" s="4" t="str">
        <f t="shared" si="2"/>
        <v>FE14087</v>
      </c>
      <c r="F105" s="7">
        <v>44310</v>
      </c>
      <c r="G105" s="7">
        <v>44320</v>
      </c>
      <c r="H105" s="43">
        <v>15489</v>
      </c>
      <c r="I105" s="31">
        <v>15489</v>
      </c>
      <c r="J105" s="31">
        <f t="shared" si="3"/>
        <v>0</v>
      </c>
      <c r="K105" s="2"/>
      <c r="N105" s="32">
        <v>15489</v>
      </c>
      <c r="Q105" s="34">
        <v>15489</v>
      </c>
      <c r="R105" s="44"/>
      <c r="S105" s="4" t="str">
        <f>IFERROR(VLOOKUP(E105,'[2]td factu si'!$A:$B,1,0),0)</f>
        <v>FE14087</v>
      </c>
      <c r="T105" s="2">
        <f>IFERROR(VLOOKUP(E105,'[2]td factu si'!$A:$B,2,0),0)*-1</f>
        <v>15489</v>
      </c>
      <c r="U105" s="40"/>
      <c r="W105" s="36"/>
      <c r="Z105" s="42"/>
      <c r="AB105" s="7"/>
      <c r="AH105" s="3">
        <v>0</v>
      </c>
      <c r="AJ105" s="3">
        <v>0</v>
      </c>
      <c r="AL105" s="39"/>
    </row>
    <row r="106" spans="1:38" x14ac:dyDescent="0.25">
      <c r="A106">
        <v>98</v>
      </c>
      <c r="B106" s="29" t="s">
        <v>45</v>
      </c>
      <c r="C106" s="29" t="s">
        <v>46</v>
      </c>
      <c r="D106" s="4" t="str">
        <f>"14088"</f>
        <v>14088</v>
      </c>
      <c r="E106" s="4" t="str">
        <f t="shared" si="2"/>
        <v>FE14088</v>
      </c>
      <c r="F106" s="7">
        <v>44310</v>
      </c>
      <c r="G106" s="7">
        <v>44322</v>
      </c>
      <c r="H106" s="43">
        <v>15489</v>
      </c>
      <c r="I106" s="31">
        <v>15489</v>
      </c>
      <c r="J106" s="31">
        <f t="shared" si="3"/>
        <v>0</v>
      </c>
      <c r="K106" s="2"/>
      <c r="N106" s="32">
        <v>15489</v>
      </c>
      <c r="Q106" s="34">
        <v>15489</v>
      </c>
      <c r="R106" s="44"/>
      <c r="S106" s="4" t="str">
        <f>IFERROR(VLOOKUP(E106,'[2]td factu si'!$A:$B,1,0),0)</f>
        <v>FE14088</v>
      </c>
      <c r="T106" s="2">
        <f>IFERROR(VLOOKUP(E106,'[2]td factu si'!$A:$B,2,0),0)*-1</f>
        <v>15489</v>
      </c>
      <c r="U106" s="40"/>
      <c r="W106" s="36"/>
      <c r="AB106" s="7"/>
      <c r="AH106" s="3">
        <v>0</v>
      </c>
      <c r="AJ106" s="3">
        <v>0</v>
      </c>
      <c r="AL106" s="39"/>
    </row>
    <row r="107" spans="1:38" x14ac:dyDescent="0.25">
      <c r="A107">
        <v>99</v>
      </c>
      <c r="B107" s="29" t="s">
        <v>45</v>
      </c>
      <c r="C107" s="29" t="s">
        <v>46</v>
      </c>
      <c r="D107" s="4" t="str">
        <f>"14119"</f>
        <v>14119</v>
      </c>
      <c r="E107" s="4" t="str">
        <f t="shared" si="2"/>
        <v>FE14119</v>
      </c>
      <c r="F107" s="7">
        <v>44312</v>
      </c>
      <c r="G107" s="7">
        <v>44322</v>
      </c>
      <c r="H107" s="34">
        <v>42534093</v>
      </c>
      <c r="I107" s="31">
        <v>42534093</v>
      </c>
      <c r="J107" s="31">
        <f t="shared" si="3"/>
        <v>0</v>
      </c>
      <c r="K107" s="2"/>
      <c r="L107" s="38"/>
      <c r="M107" s="38"/>
      <c r="N107" s="32">
        <v>42534093</v>
      </c>
      <c r="O107" s="38"/>
      <c r="P107" s="38"/>
      <c r="Q107" s="34">
        <v>42534093</v>
      </c>
      <c r="R107" s="45"/>
      <c r="S107" s="4" t="str">
        <f>IFERROR(VLOOKUP(E107,'[2]td factu si'!$A:$B,1,0),0)</f>
        <v>FE14119</v>
      </c>
      <c r="T107" s="2">
        <f>IFERROR(VLOOKUP(E107,'[2]td factu si'!$A:$B,2,0),0)*-1</f>
        <v>42534093</v>
      </c>
      <c r="U107" s="40"/>
      <c r="W107" s="36"/>
      <c r="Z107" s="42"/>
      <c r="AH107" s="3">
        <v>0</v>
      </c>
      <c r="AJ107" s="3">
        <v>0</v>
      </c>
    </row>
    <row r="108" spans="1:38" x14ac:dyDescent="0.25">
      <c r="A108">
        <v>100</v>
      </c>
      <c r="B108" s="29" t="s">
        <v>45</v>
      </c>
      <c r="C108" s="29" t="s">
        <v>46</v>
      </c>
      <c r="D108" s="4" t="str">
        <f>"14131"</f>
        <v>14131</v>
      </c>
      <c r="E108" s="4" t="str">
        <f t="shared" si="2"/>
        <v>FE14131</v>
      </c>
      <c r="F108" s="7">
        <v>44312</v>
      </c>
      <c r="G108" s="7">
        <v>44322</v>
      </c>
      <c r="H108" s="34">
        <v>15489</v>
      </c>
      <c r="I108" s="31">
        <v>15489</v>
      </c>
      <c r="J108" s="31">
        <f t="shared" si="3"/>
        <v>0</v>
      </c>
      <c r="K108" s="2"/>
      <c r="N108" s="32">
        <v>15489</v>
      </c>
      <c r="Q108" s="34">
        <v>15489</v>
      </c>
      <c r="R108" s="45"/>
      <c r="S108" s="4" t="str">
        <f>IFERROR(VLOOKUP(E108,'[2]td factu si'!$A:$B,1,0),0)</f>
        <v>FE14131</v>
      </c>
      <c r="T108" s="2">
        <f>IFERROR(VLOOKUP(E108,'[2]td factu si'!$A:$B,2,0),0)*-1</f>
        <v>15489</v>
      </c>
      <c r="U108" s="40"/>
      <c r="W108" s="36"/>
      <c r="Z108" s="42"/>
      <c r="AH108" s="3">
        <v>0</v>
      </c>
      <c r="AJ108" s="3">
        <v>0</v>
      </c>
    </row>
    <row r="109" spans="1:38" x14ac:dyDescent="0.25">
      <c r="A109">
        <v>101</v>
      </c>
      <c r="B109" s="29" t="s">
        <v>45</v>
      </c>
      <c r="C109" s="29" t="s">
        <v>46</v>
      </c>
      <c r="D109" s="4" t="str">
        <f>"14138"</f>
        <v>14138</v>
      </c>
      <c r="E109" s="4" t="str">
        <f t="shared" si="2"/>
        <v>FE14138</v>
      </c>
      <c r="F109" s="7">
        <v>44312</v>
      </c>
      <c r="G109" s="7">
        <v>44322</v>
      </c>
      <c r="H109" s="34">
        <v>15489</v>
      </c>
      <c r="I109" s="31">
        <v>15489</v>
      </c>
      <c r="J109" s="31">
        <f t="shared" si="3"/>
        <v>0</v>
      </c>
      <c r="K109" s="2"/>
      <c r="N109" s="32">
        <v>15489</v>
      </c>
      <c r="Q109" s="34">
        <v>15489</v>
      </c>
      <c r="R109" s="45"/>
      <c r="S109" s="4" t="str">
        <f>IFERROR(VLOOKUP(E109,'[2]td factu si'!$A:$B,1,0),0)</f>
        <v>FE14138</v>
      </c>
      <c r="T109" s="2">
        <f>IFERROR(VLOOKUP(E109,'[2]td factu si'!$A:$B,2,0),0)*-1</f>
        <v>15489</v>
      </c>
      <c r="U109" s="40"/>
      <c r="W109" s="36"/>
      <c r="Z109" s="42"/>
      <c r="AH109" s="3">
        <v>0</v>
      </c>
      <c r="AJ109" s="3">
        <v>0</v>
      </c>
    </row>
    <row r="110" spans="1:38" x14ac:dyDescent="0.25">
      <c r="A110">
        <v>102</v>
      </c>
      <c r="B110" s="29" t="s">
        <v>45</v>
      </c>
      <c r="C110" s="29" t="s">
        <v>46</v>
      </c>
      <c r="D110" s="4" t="str">
        <f>"14150"</f>
        <v>14150</v>
      </c>
      <c r="E110" s="4" t="str">
        <f t="shared" si="2"/>
        <v>FE14150</v>
      </c>
      <c r="F110" s="7">
        <v>44312</v>
      </c>
      <c r="G110" s="7">
        <v>44322</v>
      </c>
      <c r="H110" s="34">
        <v>15489</v>
      </c>
      <c r="I110" s="31">
        <v>15489</v>
      </c>
      <c r="J110" s="31">
        <f t="shared" si="3"/>
        <v>0</v>
      </c>
      <c r="K110" s="2"/>
      <c r="N110" s="32">
        <v>15489</v>
      </c>
      <c r="Q110" s="34">
        <v>15489</v>
      </c>
      <c r="R110" s="45"/>
      <c r="S110" s="4" t="str">
        <f>IFERROR(VLOOKUP(E110,'[2]td factu si'!$A:$B,1,0),0)</f>
        <v>FE14150</v>
      </c>
      <c r="T110" s="2">
        <f>IFERROR(VLOOKUP(E110,'[2]td factu si'!$A:$B,2,0),0)*-1</f>
        <v>15489</v>
      </c>
      <c r="U110" s="40"/>
      <c r="W110" s="36"/>
      <c r="Z110" s="42"/>
      <c r="AH110" s="3">
        <v>0</v>
      </c>
      <c r="AJ110" s="3">
        <v>0</v>
      </c>
    </row>
    <row r="111" spans="1:38" x14ac:dyDescent="0.25">
      <c r="A111">
        <v>103</v>
      </c>
      <c r="B111" s="29" t="s">
        <v>45</v>
      </c>
      <c r="C111" s="29" t="s">
        <v>46</v>
      </c>
      <c r="D111" s="4" t="str">
        <f>"14151"</f>
        <v>14151</v>
      </c>
      <c r="E111" s="4" t="str">
        <f t="shared" si="2"/>
        <v>FE14151</v>
      </c>
      <c r="F111" s="7">
        <v>44312</v>
      </c>
      <c r="G111" s="7">
        <v>44323</v>
      </c>
      <c r="H111" s="34">
        <v>15489</v>
      </c>
      <c r="I111" s="31">
        <v>11989</v>
      </c>
      <c r="J111" s="31">
        <f t="shared" si="3"/>
        <v>3500</v>
      </c>
      <c r="K111" s="2"/>
      <c r="N111" s="32">
        <v>11989</v>
      </c>
      <c r="Q111" s="34">
        <v>11989</v>
      </c>
      <c r="R111" s="45"/>
      <c r="S111" s="4" t="str">
        <f>IFERROR(VLOOKUP(E111,'[2]td factu si'!$A:$B,1,0),0)</f>
        <v>FE14151</v>
      </c>
      <c r="T111" s="2">
        <f>IFERROR(VLOOKUP(E111,'[2]td factu si'!$A:$B,2,0),0)*-1</f>
        <v>11989</v>
      </c>
      <c r="U111" s="40"/>
      <c r="W111" s="36"/>
      <c r="Z111" s="42"/>
      <c r="AH111" s="3">
        <v>0</v>
      </c>
      <c r="AJ111" s="3">
        <v>0</v>
      </c>
    </row>
    <row r="112" spans="1:38" x14ac:dyDescent="0.25">
      <c r="A112">
        <v>104</v>
      </c>
      <c r="B112" s="29" t="s">
        <v>45</v>
      </c>
      <c r="C112" s="29" t="s">
        <v>46</v>
      </c>
      <c r="D112" s="4" t="str">
        <f>"14155"</f>
        <v>14155</v>
      </c>
      <c r="E112" s="4" t="str">
        <f t="shared" si="2"/>
        <v>FE14155</v>
      </c>
      <c r="F112" s="7">
        <v>44312</v>
      </c>
      <c r="G112" s="7">
        <v>44322</v>
      </c>
      <c r="H112" s="34">
        <v>14933</v>
      </c>
      <c r="I112" s="31">
        <v>13440</v>
      </c>
      <c r="J112" s="31">
        <f t="shared" si="3"/>
        <v>1493</v>
      </c>
      <c r="K112" s="2"/>
      <c r="N112" s="32">
        <v>13440</v>
      </c>
      <c r="Q112" s="34">
        <v>13440</v>
      </c>
      <c r="R112" s="45"/>
      <c r="S112" s="4" t="str">
        <f>IFERROR(VLOOKUP(E112,'[2]td factu si'!$A:$B,1,0),0)</f>
        <v>FE14155</v>
      </c>
      <c r="T112" s="2">
        <f>IFERROR(VLOOKUP(E112,'[2]td factu si'!$A:$B,2,0),0)*-1</f>
        <v>13440</v>
      </c>
      <c r="U112" s="40"/>
      <c r="W112" s="36"/>
      <c r="Z112" s="42"/>
      <c r="AH112" s="3">
        <v>0</v>
      </c>
      <c r="AJ112" s="3">
        <v>0</v>
      </c>
    </row>
    <row r="113" spans="1:36" x14ac:dyDescent="0.25">
      <c r="A113">
        <v>105</v>
      </c>
      <c r="B113" s="29" t="s">
        <v>45</v>
      </c>
      <c r="C113" s="29" t="s">
        <v>46</v>
      </c>
      <c r="D113" s="4" t="str">
        <f>"14165"</f>
        <v>14165</v>
      </c>
      <c r="E113" s="4" t="str">
        <f t="shared" si="2"/>
        <v>FE14165</v>
      </c>
      <c r="F113" s="7">
        <v>44312</v>
      </c>
      <c r="G113" s="7">
        <v>44322</v>
      </c>
      <c r="H113" s="34">
        <v>196179</v>
      </c>
      <c r="I113" s="31">
        <v>196179</v>
      </c>
      <c r="J113" s="31">
        <f t="shared" si="3"/>
        <v>0</v>
      </c>
      <c r="K113" s="2"/>
      <c r="N113" s="32">
        <v>196179</v>
      </c>
      <c r="Q113" s="34">
        <v>196179</v>
      </c>
      <c r="R113" s="45"/>
      <c r="S113" s="4" t="str">
        <f>IFERROR(VLOOKUP(E113,'[2]td factu si'!$A:$B,1,0),0)</f>
        <v>FE14165</v>
      </c>
      <c r="T113" s="2">
        <f>IFERROR(VLOOKUP(E113,'[2]td factu si'!$A:$B,2,0),0)*-1</f>
        <v>196179</v>
      </c>
      <c r="U113" s="40"/>
      <c r="W113" s="36"/>
      <c r="Z113" s="42"/>
      <c r="AH113" s="3">
        <v>0</v>
      </c>
      <c r="AJ113" s="3">
        <v>0</v>
      </c>
    </row>
    <row r="114" spans="1:36" x14ac:dyDescent="0.25">
      <c r="A114">
        <v>106</v>
      </c>
      <c r="B114" s="29" t="s">
        <v>45</v>
      </c>
      <c r="C114" s="29" t="s">
        <v>46</v>
      </c>
      <c r="D114" s="4" t="str">
        <f>"14166"</f>
        <v>14166</v>
      </c>
      <c r="E114" s="4" t="str">
        <f t="shared" si="2"/>
        <v>FE14166</v>
      </c>
      <c r="F114" s="7">
        <v>44312</v>
      </c>
      <c r="G114" s="7">
        <v>44322</v>
      </c>
      <c r="H114" s="34">
        <v>135855</v>
      </c>
      <c r="I114" s="31">
        <v>122270</v>
      </c>
      <c r="J114" s="31">
        <f t="shared" si="3"/>
        <v>13585</v>
      </c>
      <c r="K114" s="2"/>
      <c r="N114" s="32">
        <v>122270</v>
      </c>
      <c r="Q114" s="34">
        <v>122270</v>
      </c>
      <c r="R114" s="45"/>
      <c r="S114" s="4" t="str">
        <f>IFERROR(VLOOKUP(E114,'[2]td factu si'!$A:$B,1,0),0)</f>
        <v>FE14166</v>
      </c>
      <c r="T114" s="2">
        <f>IFERROR(VLOOKUP(E114,'[2]td factu si'!$A:$B,2,0),0)*-1</f>
        <v>122270</v>
      </c>
      <c r="U114" s="40"/>
      <c r="W114" s="36"/>
      <c r="Z114" s="42"/>
      <c r="AH114" s="3">
        <v>0</v>
      </c>
      <c r="AJ114" s="3">
        <v>0</v>
      </c>
    </row>
    <row r="115" spans="1:36" x14ac:dyDescent="0.25">
      <c r="A115">
        <v>107</v>
      </c>
      <c r="B115" s="29" t="s">
        <v>45</v>
      </c>
      <c r="C115" s="29" t="s">
        <v>46</v>
      </c>
      <c r="D115" s="4" t="str">
        <f>"14168"</f>
        <v>14168</v>
      </c>
      <c r="E115" s="4" t="str">
        <f t="shared" si="2"/>
        <v>FE14168</v>
      </c>
      <c r="F115" s="7">
        <v>44312</v>
      </c>
      <c r="G115" s="7">
        <v>44323</v>
      </c>
      <c r="H115" s="34">
        <v>135855</v>
      </c>
      <c r="I115" s="31">
        <v>132355</v>
      </c>
      <c r="J115" s="31">
        <f t="shared" si="3"/>
        <v>3500</v>
      </c>
      <c r="K115" s="2"/>
      <c r="N115" s="32">
        <v>132355</v>
      </c>
      <c r="Q115" s="34">
        <v>132355</v>
      </c>
      <c r="R115" s="45"/>
      <c r="S115" s="4" t="str">
        <f>IFERROR(VLOOKUP(E115,'[2]td factu si'!$A:$B,1,0),0)</f>
        <v>FE14168</v>
      </c>
      <c r="T115" s="2">
        <f>IFERROR(VLOOKUP(E115,'[2]td factu si'!$A:$B,2,0),0)*-1</f>
        <v>132355</v>
      </c>
      <c r="U115" s="40"/>
      <c r="W115" s="36"/>
      <c r="Z115" s="42"/>
      <c r="AH115" s="3">
        <v>0</v>
      </c>
      <c r="AJ115" s="3">
        <v>0</v>
      </c>
    </row>
    <row r="116" spans="1:36" x14ac:dyDescent="0.25">
      <c r="A116">
        <v>108</v>
      </c>
      <c r="B116" s="29" t="s">
        <v>45</v>
      </c>
      <c r="C116" s="29" t="s">
        <v>46</v>
      </c>
      <c r="D116" s="4" t="str">
        <f>"14170"</f>
        <v>14170</v>
      </c>
      <c r="E116" s="4" t="str">
        <f t="shared" si="2"/>
        <v>FE14170</v>
      </c>
      <c r="F116" s="7">
        <v>44312</v>
      </c>
      <c r="G116" s="7">
        <v>44323</v>
      </c>
      <c r="H116" s="34">
        <v>317101</v>
      </c>
      <c r="I116" s="31">
        <v>310101</v>
      </c>
      <c r="J116" s="31">
        <f t="shared" si="3"/>
        <v>7000</v>
      </c>
      <c r="K116" s="2"/>
      <c r="N116" s="32">
        <v>310101</v>
      </c>
      <c r="Q116" s="34">
        <v>310101</v>
      </c>
      <c r="R116" s="45"/>
      <c r="S116" s="4" t="str">
        <f>IFERROR(VLOOKUP(E116,'[2]td factu si'!$A:$B,1,0),0)</f>
        <v>FE14170</v>
      </c>
      <c r="T116" s="2">
        <f>IFERROR(VLOOKUP(E116,'[2]td factu si'!$A:$B,2,0),0)*-1</f>
        <v>310101</v>
      </c>
      <c r="U116" s="40"/>
      <c r="W116" s="36"/>
      <c r="Z116" s="42"/>
      <c r="AH116" s="3">
        <v>0</v>
      </c>
      <c r="AJ116" s="3">
        <v>0</v>
      </c>
    </row>
    <row r="117" spans="1:36" x14ac:dyDescent="0.25">
      <c r="A117">
        <v>109</v>
      </c>
      <c r="B117" s="29" t="s">
        <v>45</v>
      </c>
      <c r="C117" s="29" t="s">
        <v>46</v>
      </c>
      <c r="D117" s="4" t="str">
        <f>"14185"</f>
        <v>14185</v>
      </c>
      <c r="E117" s="4" t="str">
        <f t="shared" si="2"/>
        <v>FE14185</v>
      </c>
      <c r="F117" s="7">
        <v>44313</v>
      </c>
      <c r="G117" s="7">
        <v>44322</v>
      </c>
      <c r="H117" s="34">
        <v>181246</v>
      </c>
      <c r="I117" s="31">
        <v>181246</v>
      </c>
      <c r="J117" s="31">
        <f t="shared" si="3"/>
        <v>0</v>
      </c>
      <c r="K117" s="2"/>
      <c r="N117" s="32">
        <v>181246</v>
      </c>
      <c r="Q117" s="34">
        <v>181246</v>
      </c>
      <c r="R117" s="45"/>
      <c r="S117" s="4" t="str">
        <f>IFERROR(VLOOKUP(E117,'[2]td factu si'!$A:$B,1,0),0)</f>
        <v>FE14185</v>
      </c>
      <c r="T117" s="2">
        <f>IFERROR(VLOOKUP(E117,'[2]td factu si'!$A:$B,2,0),0)*-1</f>
        <v>181246</v>
      </c>
      <c r="U117" s="40"/>
      <c r="W117" s="36"/>
      <c r="Z117" s="42"/>
      <c r="AH117" s="3">
        <v>0</v>
      </c>
      <c r="AJ117" s="3">
        <v>0</v>
      </c>
    </row>
    <row r="118" spans="1:36" x14ac:dyDescent="0.25">
      <c r="A118">
        <v>110</v>
      </c>
      <c r="B118" s="29" t="s">
        <v>45</v>
      </c>
      <c r="C118" s="29" t="s">
        <v>46</v>
      </c>
      <c r="D118" s="4" t="str">
        <f>"14188"</f>
        <v>14188</v>
      </c>
      <c r="E118" s="4" t="str">
        <f t="shared" si="2"/>
        <v>FE14188</v>
      </c>
      <c r="F118" s="7">
        <v>44313</v>
      </c>
      <c r="G118" s="7">
        <v>44322</v>
      </c>
      <c r="H118" s="34">
        <v>181246</v>
      </c>
      <c r="I118" s="31">
        <v>181246</v>
      </c>
      <c r="J118" s="31">
        <f t="shared" si="3"/>
        <v>0</v>
      </c>
      <c r="K118" s="2"/>
      <c r="N118" s="32">
        <v>181246</v>
      </c>
      <c r="Q118" s="34">
        <v>181246</v>
      </c>
      <c r="R118" s="45"/>
      <c r="S118" s="4" t="str">
        <f>IFERROR(VLOOKUP(E118,'[2]td factu si'!$A:$B,1,0),0)</f>
        <v>FE14188</v>
      </c>
      <c r="T118" s="2">
        <f>IFERROR(VLOOKUP(E118,'[2]td factu si'!$A:$B,2,0),0)*-1</f>
        <v>181246</v>
      </c>
      <c r="U118" s="40"/>
      <c r="W118" s="36"/>
      <c r="Z118" s="42"/>
      <c r="AH118" s="3">
        <v>0</v>
      </c>
      <c r="AJ118" s="3">
        <v>0</v>
      </c>
    </row>
    <row r="119" spans="1:36" x14ac:dyDescent="0.25">
      <c r="A119">
        <v>111</v>
      </c>
      <c r="B119" s="29" t="s">
        <v>45</v>
      </c>
      <c r="C119" s="29" t="s">
        <v>46</v>
      </c>
      <c r="D119" s="4" t="str">
        <f>"14201"</f>
        <v>14201</v>
      </c>
      <c r="E119" s="4" t="str">
        <f t="shared" si="2"/>
        <v>FE14201</v>
      </c>
      <c r="F119" s="7">
        <v>44313</v>
      </c>
      <c r="G119" s="7">
        <v>44320</v>
      </c>
      <c r="H119" s="34">
        <v>339170</v>
      </c>
      <c r="I119" s="31">
        <v>305253</v>
      </c>
      <c r="J119" s="31">
        <f t="shared" si="3"/>
        <v>33917</v>
      </c>
      <c r="K119" s="2"/>
      <c r="N119" s="32">
        <v>305253</v>
      </c>
      <c r="Q119" s="34">
        <v>305253</v>
      </c>
      <c r="R119" s="45"/>
      <c r="S119" s="4" t="str">
        <f>IFERROR(VLOOKUP(E119,'[2]td factu si'!$A:$B,1,0),0)</f>
        <v>FE14201</v>
      </c>
      <c r="T119" s="2">
        <f>IFERROR(VLOOKUP(E119,'[2]td factu si'!$A:$B,2,0),0)*-1</f>
        <v>305253</v>
      </c>
      <c r="U119" s="40"/>
      <c r="W119" s="36"/>
      <c r="Z119" s="42"/>
      <c r="AH119" s="3">
        <v>0</v>
      </c>
      <c r="AJ119" s="3">
        <v>0</v>
      </c>
    </row>
    <row r="120" spans="1:36" x14ac:dyDescent="0.25">
      <c r="A120">
        <v>112</v>
      </c>
      <c r="B120" s="29" t="s">
        <v>45</v>
      </c>
      <c r="C120" s="29" t="s">
        <v>46</v>
      </c>
      <c r="D120" s="4" t="str">
        <f>"14225"</f>
        <v>14225</v>
      </c>
      <c r="E120" s="4" t="str">
        <f t="shared" si="2"/>
        <v>FE14225</v>
      </c>
      <c r="F120" s="7">
        <v>44314</v>
      </c>
      <c r="G120" s="7">
        <v>44322</v>
      </c>
      <c r="H120" s="34">
        <v>15489</v>
      </c>
      <c r="I120" s="31">
        <v>15489</v>
      </c>
      <c r="J120" s="31">
        <f t="shared" si="3"/>
        <v>0</v>
      </c>
      <c r="K120" s="2"/>
      <c r="N120" s="32">
        <v>15489</v>
      </c>
      <c r="Q120" s="34">
        <v>15489</v>
      </c>
      <c r="R120" s="45"/>
      <c r="S120" s="4" t="str">
        <f>IFERROR(VLOOKUP(E120,'[2]td factu si'!$A:$B,1,0),0)</f>
        <v>FE14225</v>
      </c>
      <c r="T120" s="2">
        <f>IFERROR(VLOOKUP(E120,'[2]td factu si'!$A:$B,2,0),0)*-1</f>
        <v>15489</v>
      </c>
      <c r="U120" s="40"/>
      <c r="W120" s="36"/>
      <c r="Z120" s="42"/>
      <c r="AH120" s="3">
        <v>0</v>
      </c>
      <c r="AJ120" s="3">
        <v>0</v>
      </c>
    </row>
    <row r="121" spans="1:36" x14ac:dyDescent="0.25">
      <c r="A121">
        <v>113</v>
      </c>
      <c r="B121" s="29" t="s">
        <v>45</v>
      </c>
      <c r="C121" s="29" t="s">
        <v>46</v>
      </c>
      <c r="D121" s="4" t="str">
        <f>"14230"</f>
        <v>14230</v>
      </c>
      <c r="E121" s="4" t="str">
        <f t="shared" si="2"/>
        <v>FE14230</v>
      </c>
      <c r="F121" s="7">
        <v>44314</v>
      </c>
      <c r="G121" s="7">
        <v>44320</v>
      </c>
      <c r="H121" s="34">
        <v>181246</v>
      </c>
      <c r="I121" s="31">
        <v>181246</v>
      </c>
      <c r="J121" s="31">
        <f t="shared" si="3"/>
        <v>0</v>
      </c>
      <c r="K121" s="2"/>
      <c r="N121" s="32">
        <v>181246</v>
      </c>
      <c r="Q121" s="34">
        <v>181246</v>
      </c>
      <c r="R121" s="45"/>
      <c r="S121" s="4" t="str">
        <f>IFERROR(VLOOKUP(E121,'[2]td factu si'!$A:$B,1,0),0)</f>
        <v>FE14230</v>
      </c>
      <c r="T121" s="2">
        <f>IFERROR(VLOOKUP(E121,'[2]td factu si'!$A:$B,2,0),0)*-1</f>
        <v>181246</v>
      </c>
      <c r="U121" s="40"/>
      <c r="W121" s="36"/>
      <c r="Z121" s="42"/>
      <c r="AH121" s="3">
        <v>0</v>
      </c>
      <c r="AJ121" s="3">
        <v>0</v>
      </c>
    </row>
    <row r="122" spans="1:36" x14ac:dyDescent="0.25">
      <c r="A122">
        <v>114</v>
      </c>
      <c r="B122" s="29" t="s">
        <v>45</v>
      </c>
      <c r="C122" s="29" t="s">
        <v>46</v>
      </c>
      <c r="D122" s="4" t="str">
        <f>"14244"</f>
        <v>14244</v>
      </c>
      <c r="E122" s="4" t="str">
        <f t="shared" si="2"/>
        <v>FE14244</v>
      </c>
      <c r="F122" s="7">
        <v>44314</v>
      </c>
      <c r="G122" s="7">
        <v>44320</v>
      </c>
      <c r="H122" s="34">
        <v>99388</v>
      </c>
      <c r="I122" s="31">
        <v>99388</v>
      </c>
      <c r="J122" s="31">
        <f t="shared" si="3"/>
        <v>0</v>
      </c>
      <c r="K122" s="2"/>
      <c r="N122" s="32">
        <v>99388</v>
      </c>
      <c r="Q122" s="34">
        <v>99388</v>
      </c>
      <c r="R122" s="45"/>
      <c r="S122" s="4" t="str">
        <f>IFERROR(VLOOKUP(E122,'[2]td factu si'!$A:$B,1,0),0)</f>
        <v>FE14244</v>
      </c>
      <c r="T122" s="2">
        <f>IFERROR(VLOOKUP(E122,'[2]td factu si'!$A:$B,2,0),0)*-1</f>
        <v>99388</v>
      </c>
      <c r="U122" s="40"/>
      <c r="W122" s="36"/>
      <c r="Z122" s="42"/>
      <c r="AH122" s="3">
        <v>0</v>
      </c>
      <c r="AJ122" s="3">
        <v>0</v>
      </c>
    </row>
    <row r="123" spans="1:36" x14ac:dyDescent="0.25">
      <c r="A123">
        <v>115</v>
      </c>
      <c r="B123" s="29" t="s">
        <v>45</v>
      </c>
      <c r="C123" s="29" t="s">
        <v>46</v>
      </c>
      <c r="D123" s="4" t="str">
        <f>"14252"</f>
        <v>14252</v>
      </c>
      <c r="E123" s="4" t="str">
        <f t="shared" si="2"/>
        <v>FE14252</v>
      </c>
      <c r="F123" s="7">
        <v>44314</v>
      </c>
      <c r="G123" s="7">
        <v>44320</v>
      </c>
      <c r="H123" s="34">
        <v>116393</v>
      </c>
      <c r="I123" s="31">
        <v>104754</v>
      </c>
      <c r="J123" s="31">
        <f t="shared" si="3"/>
        <v>11639</v>
      </c>
      <c r="K123" s="2"/>
      <c r="N123" s="32">
        <v>104754</v>
      </c>
      <c r="Q123" s="34">
        <v>104754</v>
      </c>
      <c r="R123" s="45"/>
      <c r="S123" s="4" t="str">
        <f>IFERROR(VLOOKUP(E123,'[2]td factu si'!$A:$B,1,0),0)</f>
        <v>FE14252</v>
      </c>
      <c r="T123" s="2">
        <f>IFERROR(VLOOKUP(E123,'[2]td factu si'!$A:$B,2,0),0)*-1</f>
        <v>104754</v>
      </c>
      <c r="U123" s="40"/>
      <c r="W123" s="36"/>
      <c r="Z123" s="42"/>
      <c r="AH123" s="3">
        <v>0</v>
      </c>
      <c r="AJ123" s="3">
        <v>0</v>
      </c>
    </row>
    <row r="124" spans="1:36" x14ac:dyDescent="0.25">
      <c r="A124">
        <v>116</v>
      </c>
      <c r="B124" s="29" t="s">
        <v>45</v>
      </c>
      <c r="C124" s="29" t="s">
        <v>46</v>
      </c>
      <c r="D124" s="4" t="str">
        <f>"14255"</f>
        <v>14255</v>
      </c>
      <c r="E124" s="4" t="str">
        <f t="shared" si="2"/>
        <v>FE14255</v>
      </c>
      <c r="F124" s="7">
        <v>44314</v>
      </c>
      <c r="G124" s="7">
        <v>44322</v>
      </c>
      <c r="H124" s="34">
        <v>332034</v>
      </c>
      <c r="I124" s="31">
        <v>298831</v>
      </c>
      <c r="J124" s="31">
        <f t="shared" si="3"/>
        <v>33203</v>
      </c>
      <c r="K124" s="2"/>
      <c r="N124" s="32">
        <v>298831</v>
      </c>
      <c r="Q124" s="34">
        <v>298831</v>
      </c>
      <c r="R124" s="45"/>
      <c r="S124" s="4" t="str">
        <f>IFERROR(VLOOKUP(E124,'[2]td factu si'!$A:$B,1,0),0)</f>
        <v>FE14255</v>
      </c>
      <c r="T124" s="2">
        <f>IFERROR(VLOOKUP(E124,'[2]td factu si'!$A:$B,2,0),0)*-1</f>
        <v>298831</v>
      </c>
      <c r="U124" s="40"/>
      <c r="W124" s="36"/>
      <c r="Z124" s="42"/>
      <c r="AH124" s="3">
        <v>0</v>
      </c>
      <c r="AJ124" s="3">
        <v>0</v>
      </c>
    </row>
    <row r="125" spans="1:36" x14ac:dyDescent="0.25">
      <c r="A125">
        <v>117</v>
      </c>
      <c r="B125" s="29" t="s">
        <v>45</v>
      </c>
      <c r="C125" s="29" t="s">
        <v>46</v>
      </c>
      <c r="D125" s="4" t="str">
        <f>"14257"</f>
        <v>14257</v>
      </c>
      <c r="E125" s="4" t="str">
        <f t="shared" si="2"/>
        <v>FE14257</v>
      </c>
      <c r="F125" s="7">
        <v>44314</v>
      </c>
      <c r="G125" s="7">
        <v>44322</v>
      </c>
      <c r="H125" s="34">
        <v>271710</v>
      </c>
      <c r="I125" s="31">
        <v>271710</v>
      </c>
      <c r="J125" s="31">
        <f t="shared" si="3"/>
        <v>0</v>
      </c>
      <c r="K125" s="2"/>
      <c r="N125" s="32">
        <v>271710</v>
      </c>
      <c r="Q125" s="34">
        <v>271710</v>
      </c>
      <c r="R125" s="45"/>
      <c r="S125" s="4" t="str">
        <f>IFERROR(VLOOKUP(E125,'[2]td factu si'!$A:$B,1,0),0)</f>
        <v>FE14257</v>
      </c>
      <c r="T125" s="2">
        <f>IFERROR(VLOOKUP(E125,'[2]td factu si'!$A:$B,2,0),0)*-1</f>
        <v>271710</v>
      </c>
      <c r="U125" s="40"/>
      <c r="W125" s="36"/>
      <c r="Z125" s="42"/>
      <c r="AH125" s="3">
        <v>0</v>
      </c>
      <c r="AJ125" s="3">
        <v>0</v>
      </c>
    </row>
    <row r="126" spans="1:36" x14ac:dyDescent="0.25">
      <c r="A126">
        <v>118</v>
      </c>
      <c r="B126" s="29" t="s">
        <v>45</v>
      </c>
      <c r="C126" s="29" t="s">
        <v>46</v>
      </c>
      <c r="D126" s="4" t="str">
        <f>"14258"</f>
        <v>14258</v>
      </c>
      <c r="E126" s="4" t="str">
        <f t="shared" si="2"/>
        <v>FE14258</v>
      </c>
      <c r="F126" s="7">
        <v>44314</v>
      </c>
      <c r="G126" s="7">
        <v>44322</v>
      </c>
      <c r="H126" s="34">
        <v>135855</v>
      </c>
      <c r="I126" s="31">
        <v>135855</v>
      </c>
      <c r="J126" s="31">
        <f t="shared" si="3"/>
        <v>0</v>
      </c>
      <c r="K126" s="2"/>
      <c r="N126" s="32">
        <v>135855</v>
      </c>
      <c r="Q126" s="34">
        <v>135855</v>
      </c>
      <c r="R126" s="45"/>
      <c r="S126" s="4" t="str">
        <f>IFERROR(VLOOKUP(E126,'[2]td factu si'!$A:$B,1,0),0)</f>
        <v>FE14258</v>
      </c>
      <c r="T126" s="2">
        <f>IFERROR(VLOOKUP(E126,'[2]td factu si'!$A:$B,2,0),0)*-1</f>
        <v>135855</v>
      </c>
      <c r="U126" s="40"/>
      <c r="W126" s="36"/>
      <c r="Z126" s="42"/>
      <c r="AH126" s="3">
        <v>0</v>
      </c>
      <c r="AJ126" s="3">
        <v>0</v>
      </c>
    </row>
    <row r="127" spans="1:36" x14ac:dyDescent="0.25">
      <c r="A127">
        <v>119</v>
      </c>
      <c r="B127" s="29" t="s">
        <v>45</v>
      </c>
      <c r="C127" s="29" t="s">
        <v>46</v>
      </c>
      <c r="D127" s="4" t="str">
        <f>"14266"</f>
        <v>14266</v>
      </c>
      <c r="E127" s="4" t="str">
        <f t="shared" si="2"/>
        <v>FE14266</v>
      </c>
      <c r="F127" s="7">
        <v>44314</v>
      </c>
      <c r="G127" s="7">
        <v>44322</v>
      </c>
      <c r="H127" s="34">
        <v>15489</v>
      </c>
      <c r="I127" s="31">
        <v>15489</v>
      </c>
      <c r="J127" s="31">
        <f t="shared" si="3"/>
        <v>0</v>
      </c>
      <c r="K127" s="2"/>
      <c r="N127" s="32">
        <v>15489</v>
      </c>
      <c r="Q127" s="34">
        <v>15489</v>
      </c>
      <c r="R127" s="45"/>
      <c r="S127" s="4" t="str">
        <f>IFERROR(VLOOKUP(E127,'[2]td factu si'!$A:$B,1,0),0)</f>
        <v>FE14266</v>
      </c>
      <c r="T127" s="2">
        <f>IFERROR(VLOOKUP(E127,'[2]td factu si'!$A:$B,2,0),0)*-1</f>
        <v>15489</v>
      </c>
      <c r="U127" s="40"/>
      <c r="W127" s="36"/>
      <c r="Z127" s="42"/>
      <c r="AH127" s="3">
        <v>0</v>
      </c>
      <c r="AJ127" s="3">
        <v>0</v>
      </c>
    </row>
    <row r="128" spans="1:36" x14ac:dyDescent="0.25">
      <c r="A128">
        <v>120</v>
      </c>
      <c r="B128" s="29" t="s">
        <v>45</v>
      </c>
      <c r="C128" s="29" t="s">
        <v>46</v>
      </c>
      <c r="D128" s="4" t="str">
        <f>"14270"</f>
        <v>14270</v>
      </c>
      <c r="E128" s="4" t="str">
        <f t="shared" si="2"/>
        <v>FE14270</v>
      </c>
      <c r="F128" s="7">
        <v>44314</v>
      </c>
      <c r="G128" s="7">
        <v>44323</v>
      </c>
      <c r="H128" s="34">
        <v>15489</v>
      </c>
      <c r="I128" s="31">
        <v>11989</v>
      </c>
      <c r="J128" s="31">
        <f t="shared" si="3"/>
        <v>3500</v>
      </c>
      <c r="K128" s="2"/>
      <c r="N128" s="32">
        <v>11989</v>
      </c>
      <c r="Q128" s="34">
        <v>11989</v>
      </c>
      <c r="R128" s="45"/>
      <c r="S128" s="4" t="str">
        <f>IFERROR(VLOOKUP(E128,'[2]td factu si'!$A:$B,1,0),0)</f>
        <v>FE14270</v>
      </c>
      <c r="T128" s="2">
        <f>IFERROR(VLOOKUP(E128,'[2]td factu si'!$A:$B,2,0),0)*-1</f>
        <v>11989</v>
      </c>
      <c r="U128" s="40"/>
      <c r="W128" s="36"/>
      <c r="Z128" s="42"/>
      <c r="AH128" s="3">
        <v>0</v>
      </c>
      <c r="AJ128" s="3">
        <v>0</v>
      </c>
    </row>
    <row r="129" spans="1:36" x14ac:dyDescent="0.25">
      <c r="A129">
        <v>121</v>
      </c>
      <c r="B129" s="29" t="s">
        <v>45</v>
      </c>
      <c r="C129" s="29" t="s">
        <v>46</v>
      </c>
      <c r="D129" s="4" t="str">
        <f>"14286"</f>
        <v>14286</v>
      </c>
      <c r="E129" s="4" t="str">
        <f t="shared" si="2"/>
        <v>FE14286</v>
      </c>
      <c r="F129" s="7">
        <v>44315</v>
      </c>
      <c r="G129" s="7">
        <v>44320</v>
      </c>
      <c r="H129" s="34">
        <v>181246</v>
      </c>
      <c r="I129" s="31">
        <v>181246</v>
      </c>
      <c r="J129" s="31">
        <f t="shared" si="3"/>
        <v>0</v>
      </c>
      <c r="K129" s="2"/>
      <c r="N129" s="32">
        <v>181246</v>
      </c>
      <c r="Q129" s="34">
        <v>181246</v>
      </c>
      <c r="R129" s="45"/>
      <c r="S129" s="4" t="str">
        <f>IFERROR(VLOOKUP(E129,'[2]td factu si'!$A:$B,1,0),0)</f>
        <v>FE14286</v>
      </c>
      <c r="T129" s="2">
        <f>IFERROR(VLOOKUP(E129,'[2]td factu si'!$A:$B,2,0),0)*-1</f>
        <v>181246</v>
      </c>
      <c r="U129" s="40"/>
      <c r="W129" s="36"/>
      <c r="Z129" s="42"/>
      <c r="AH129" s="3">
        <v>0</v>
      </c>
      <c r="AJ129" s="3">
        <v>0</v>
      </c>
    </row>
    <row r="130" spans="1:36" x14ac:dyDescent="0.25">
      <c r="A130">
        <v>122</v>
      </c>
      <c r="B130" s="29" t="s">
        <v>45</v>
      </c>
      <c r="C130" s="29" t="s">
        <v>46</v>
      </c>
      <c r="D130" s="4" t="str">
        <f>"14287"</f>
        <v>14287</v>
      </c>
      <c r="E130" s="4" t="str">
        <f t="shared" si="2"/>
        <v>FE14287</v>
      </c>
      <c r="F130" s="7">
        <v>44315</v>
      </c>
      <c r="G130" s="7">
        <v>44320</v>
      </c>
      <c r="H130" s="34">
        <v>181246</v>
      </c>
      <c r="I130" s="31">
        <v>181246</v>
      </c>
      <c r="J130" s="31">
        <f t="shared" si="3"/>
        <v>0</v>
      </c>
      <c r="K130" s="2"/>
      <c r="N130" s="32">
        <v>181246</v>
      </c>
      <c r="Q130" s="34">
        <v>181246</v>
      </c>
      <c r="R130" s="45"/>
      <c r="S130" s="4" t="str">
        <f>IFERROR(VLOOKUP(E130,'[2]td factu si'!$A:$B,1,0),0)</f>
        <v>FE14287</v>
      </c>
      <c r="T130" s="2">
        <f>IFERROR(VLOOKUP(E130,'[2]td factu si'!$A:$B,2,0),0)*-1</f>
        <v>181246</v>
      </c>
      <c r="U130" s="40"/>
      <c r="W130" s="36"/>
      <c r="Z130" s="42"/>
      <c r="AH130" s="3">
        <v>0</v>
      </c>
      <c r="AJ130" s="3">
        <v>0</v>
      </c>
    </row>
    <row r="131" spans="1:36" x14ac:dyDescent="0.25">
      <c r="A131">
        <v>123</v>
      </c>
      <c r="B131" s="29" t="s">
        <v>45</v>
      </c>
      <c r="C131" s="29" t="s">
        <v>46</v>
      </c>
      <c r="D131" s="4" t="str">
        <f>"14322"</f>
        <v>14322</v>
      </c>
      <c r="E131" s="4" t="str">
        <f t="shared" si="2"/>
        <v>FE14322</v>
      </c>
      <c r="F131" s="7">
        <v>44315</v>
      </c>
      <c r="G131" s="7">
        <v>44323</v>
      </c>
      <c r="H131" s="34">
        <v>30422</v>
      </c>
      <c r="I131" s="31">
        <v>23422</v>
      </c>
      <c r="J131" s="31">
        <f t="shared" si="3"/>
        <v>7000</v>
      </c>
      <c r="K131" s="2"/>
      <c r="N131" s="32">
        <v>23422</v>
      </c>
      <c r="Q131" s="34">
        <v>23422</v>
      </c>
      <c r="R131" s="45"/>
      <c r="S131" s="4" t="str">
        <f>IFERROR(VLOOKUP(E131,'[2]td factu si'!$A:$B,1,0),0)</f>
        <v>FE14322</v>
      </c>
      <c r="T131" s="2">
        <f>IFERROR(VLOOKUP(E131,'[2]td factu si'!$A:$B,2,0),0)*-1</f>
        <v>23422</v>
      </c>
      <c r="U131" s="40"/>
      <c r="W131" s="36"/>
      <c r="Z131" s="42"/>
      <c r="AH131" s="3">
        <v>0</v>
      </c>
      <c r="AJ131" s="3">
        <v>0</v>
      </c>
    </row>
    <row r="132" spans="1:36" x14ac:dyDescent="0.25">
      <c r="A132">
        <v>124</v>
      </c>
      <c r="B132" s="29" t="s">
        <v>45</v>
      </c>
      <c r="C132" s="29" t="s">
        <v>46</v>
      </c>
      <c r="D132" s="4" t="str">
        <f>"14325"</f>
        <v>14325</v>
      </c>
      <c r="E132" s="4" t="str">
        <f t="shared" si="2"/>
        <v>FE14325</v>
      </c>
      <c r="F132" s="7">
        <v>44315</v>
      </c>
      <c r="G132" s="7">
        <v>44322</v>
      </c>
      <c r="H132" s="34">
        <v>135855</v>
      </c>
      <c r="I132" s="31">
        <v>135855</v>
      </c>
      <c r="J132" s="31">
        <f t="shared" si="3"/>
        <v>0</v>
      </c>
      <c r="K132" s="2"/>
      <c r="N132" s="32">
        <v>135855</v>
      </c>
      <c r="Q132" s="34">
        <v>135855</v>
      </c>
      <c r="R132" s="45"/>
      <c r="S132" s="4" t="str">
        <f>IFERROR(VLOOKUP(E132,'[2]td factu si'!$A:$B,1,0),0)</f>
        <v>FE14325</v>
      </c>
      <c r="T132" s="2">
        <f>IFERROR(VLOOKUP(E132,'[2]td factu si'!$A:$B,2,0),0)*-1</f>
        <v>135855</v>
      </c>
      <c r="U132" s="40"/>
      <c r="W132" s="36"/>
      <c r="Z132" s="42"/>
      <c r="AH132" s="3">
        <v>0</v>
      </c>
      <c r="AJ132" s="3">
        <v>0</v>
      </c>
    </row>
    <row r="133" spans="1:36" x14ac:dyDescent="0.25">
      <c r="A133">
        <v>125</v>
      </c>
      <c r="B133" s="29" t="s">
        <v>45</v>
      </c>
      <c r="C133" s="29" t="s">
        <v>46</v>
      </c>
      <c r="D133" s="4" t="str">
        <f>"14328"</f>
        <v>14328</v>
      </c>
      <c r="E133" s="4" t="str">
        <f t="shared" si="2"/>
        <v>FE14328</v>
      </c>
      <c r="F133" s="7">
        <v>44315</v>
      </c>
      <c r="G133" s="7">
        <v>44322</v>
      </c>
      <c r="H133" s="34">
        <v>135855</v>
      </c>
      <c r="I133" s="31">
        <v>135855</v>
      </c>
      <c r="J133" s="31">
        <f t="shared" si="3"/>
        <v>0</v>
      </c>
      <c r="K133" s="2"/>
      <c r="N133" s="32">
        <v>135855</v>
      </c>
      <c r="Q133" s="34">
        <v>135855</v>
      </c>
      <c r="R133" s="45"/>
      <c r="S133" s="4" t="str">
        <f>IFERROR(VLOOKUP(E133,'[2]td factu si'!$A:$B,1,0),0)</f>
        <v>FE14328</v>
      </c>
      <c r="T133" s="2">
        <f>IFERROR(VLOOKUP(E133,'[2]td factu si'!$A:$B,2,0),0)*-1</f>
        <v>135855</v>
      </c>
      <c r="U133" s="40"/>
      <c r="W133" s="36"/>
      <c r="Z133" s="42"/>
      <c r="AH133" s="3">
        <v>0</v>
      </c>
      <c r="AJ133" s="3">
        <v>0</v>
      </c>
    </row>
    <row r="134" spans="1:36" x14ac:dyDescent="0.25">
      <c r="A134">
        <v>126</v>
      </c>
      <c r="B134" s="29" t="s">
        <v>45</v>
      </c>
      <c r="C134" s="29" t="s">
        <v>46</v>
      </c>
      <c r="D134" s="4" t="str">
        <f>"14337"</f>
        <v>14337</v>
      </c>
      <c r="E134" s="4" t="str">
        <f t="shared" si="2"/>
        <v>FE14337</v>
      </c>
      <c r="F134" s="7">
        <v>44315</v>
      </c>
      <c r="G134" s="7">
        <v>44322</v>
      </c>
      <c r="H134" s="34">
        <v>122952</v>
      </c>
      <c r="I134" s="31">
        <v>122952</v>
      </c>
      <c r="J134" s="31">
        <f t="shared" si="3"/>
        <v>0</v>
      </c>
      <c r="K134" s="2"/>
      <c r="N134" s="32">
        <v>122952</v>
      </c>
      <c r="Q134" s="34">
        <v>122952</v>
      </c>
      <c r="R134" s="45"/>
      <c r="S134" s="4" t="str">
        <f>IFERROR(VLOOKUP(E134,'[2]td factu si'!$A:$B,1,0),0)</f>
        <v>FE14337</v>
      </c>
      <c r="T134" s="2">
        <f>IFERROR(VLOOKUP(E134,'[2]td factu si'!$A:$B,2,0),0)*-1</f>
        <v>122952</v>
      </c>
      <c r="U134" s="40"/>
      <c r="W134" s="36"/>
      <c r="Z134" s="42"/>
      <c r="AH134" s="3">
        <v>0</v>
      </c>
      <c r="AJ134" s="3">
        <v>0</v>
      </c>
    </row>
    <row r="135" spans="1:36" x14ac:dyDescent="0.25">
      <c r="A135">
        <v>127</v>
      </c>
      <c r="B135" s="29" t="s">
        <v>45</v>
      </c>
      <c r="C135" s="29" t="s">
        <v>46</v>
      </c>
      <c r="D135" s="4" t="str">
        <f>"14343"</f>
        <v>14343</v>
      </c>
      <c r="E135" s="4" t="str">
        <f t="shared" si="2"/>
        <v>FE14343</v>
      </c>
      <c r="F135" s="7">
        <v>44315</v>
      </c>
      <c r="G135" s="7">
        <v>44322</v>
      </c>
      <c r="H135" s="34">
        <v>15489</v>
      </c>
      <c r="I135" s="31">
        <v>15489</v>
      </c>
      <c r="J135" s="31">
        <f t="shared" si="3"/>
        <v>0</v>
      </c>
      <c r="K135" s="2"/>
      <c r="N135" s="32">
        <v>15489</v>
      </c>
      <c r="Q135" s="34">
        <v>15489</v>
      </c>
      <c r="R135" s="45"/>
      <c r="S135" s="4" t="str">
        <f>IFERROR(VLOOKUP(E135,'[2]td factu si'!$A:$B,1,0),0)</f>
        <v>FE14343</v>
      </c>
      <c r="T135" s="2">
        <f>IFERROR(VLOOKUP(E135,'[2]td factu si'!$A:$B,2,0),0)*-1</f>
        <v>15489</v>
      </c>
      <c r="U135" s="40"/>
      <c r="W135" s="36"/>
      <c r="Z135" s="42"/>
      <c r="AH135" s="3">
        <v>0</v>
      </c>
      <c r="AJ135" s="3">
        <v>0</v>
      </c>
    </row>
    <row r="136" spans="1:36" x14ac:dyDescent="0.25">
      <c r="A136">
        <v>128</v>
      </c>
      <c r="B136" s="29" t="s">
        <v>45</v>
      </c>
      <c r="C136" s="29" t="s">
        <v>46</v>
      </c>
      <c r="D136" s="4" t="str">
        <f>"14345"</f>
        <v>14345</v>
      </c>
      <c r="E136" s="4" t="str">
        <f t="shared" si="2"/>
        <v>FE14345</v>
      </c>
      <c r="F136" s="7">
        <v>44315</v>
      </c>
      <c r="G136" s="7">
        <v>44322</v>
      </c>
      <c r="H136" s="34">
        <v>15489</v>
      </c>
      <c r="I136" s="31">
        <v>15489</v>
      </c>
      <c r="J136" s="31">
        <f t="shared" si="3"/>
        <v>0</v>
      </c>
      <c r="K136" s="2"/>
      <c r="N136" s="32">
        <v>15489</v>
      </c>
      <c r="Q136" s="34">
        <v>15489</v>
      </c>
      <c r="R136" s="45"/>
      <c r="S136" s="4" t="str">
        <f>IFERROR(VLOOKUP(E136,'[2]td factu si'!$A:$B,1,0),0)</f>
        <v>FE14345</v>
      </c>
      <c r="T136" s="2">
        <f>IFERROR(VLOOKUP(E136,'[2]td factu si'!$A:$B,2,0),0)*-1</f>
        <v>15489</v>
      </c>
      <c r="U136" s="40"/>
      <c r="W136" s="36"/>
      <c r="Z136" s="42"/>
      <c r="AH136" s="3">
        <v>0</v>
      </c>
      <c r="AJ136" s="3">
        <v>0</v>
      </c>
    </row>
    <row r="137" spans="1:36" x14ac:dyDescent="0.25">
      <c r="A137">
        <v>129</v>
      </c>
      <c r="B137" s="29" t="s">
        <v>45</v>
      </c>
      <c r="C137" s="29" t="s">
        <v>46</v>
      </c>
      <c r="D137" s="4" t="str">
        <f>"14352"</f>
        <v>14352</v>
      </c>
      <c r="E137" s="4" t="str">
        <f t="shared" si="2"/>
        <v>FE14352</v>
      </c>
      <c r="F137" s="7">
        <v>44315</v>
      </c>
      <c r="G137" s="7">
        <v>44323</v>
      </c>
      <c r="H137" s="34">
        <v>15489</v>
      </c>
      <c r="I137" s="31">
        <v>11989</v>
      </c>
      <c r="J137" s="31">
        <f t="shared" si="3"/>
        <v>3500</v>
      </c>
      <c r="K137" s="2"/>
      <c r="N137" s="32">
        <v>11989</v>
      </c>
      <c r="Q137" s="34">
        <v>11989</v>
      </c>
      <c r="R137" s="45"/>
      <c r="S137" s="4" t="str">
        <f>IFERROR(VLOOKUP(E137,'[2]td factu si'!$A:$B,1,0),0)</f>
        <v>FE14352</v>
      </c>
      <c r="T137" s="2">
        <f>IFERROR(VLOOKUP(E137,'[2]td factu si'!$A:$B,2,0),0)*-1</f>
        <v>11989</v>
      </c>
      <c r="U137" s="40"/>
      <c r="W137" s="36"/>
      <c r="Z137" s="42"/>
      <c r="AH137" s="3">
        <v>0</v>
      </c>
      <c r="AJ137" s="3">
        <v>0</v>
      </c>
    </row>
    <row r="138" spans="1:36" x14ac:dyDescent="0.25">
      <c r="A138">
        <v>130</v>
      </c>
      <c r="B138" s="29" t="s">
        <v>45</v>
      </c>
      <c r="C138" s="29" t="s">
        <v>46</v>
      </c>
      <c r="D138" s="4" t="str">
        <f>"14360"</f>
        <v>14360</v>
      </c>
      <c r="E138" s="4" t="str">
        <f t="shared" ref="E138:E201" si="4">_xlfn.CONCAT(C138,D138)</f>
        <v>FE14360</v>
      </c>
      <c r="F138" s="7">
        <v>44316</v>
      </c>
      <c r="G138" s="7">
        <v>44322</v>
      </c>
      <c r="H138" s="34">
        <v>135855</v>
      </c>
      <c r="I138" s="31">
        <v>135855</v>
      </c>
      <c r="J138" s="31">
        <f t="shared" ref="J138:J201" si="5">+H138-I138</f>
        <v>0</v>
      </c>
      <c r="K138" s="2"/>
      <c r="N138" s="32">
        <v>135855</v>
      </c>
      <c r="Q138" s="34">
        <v>135855</v>
      </c>
      <c r="R138" s="45"/>
      <c r="S138" s="4" t="str">
        <f>IFERROR(VLOOKUP(E138,'[2]td factu si'!$A:$B,1,0),0)</f>
        <v>FE14360</v>
      </c>
      <c r="T138" s="2">
        <f>IFERROR(VLOOKUP(E138,'[2]td factu si'!$A:$B,2,0),0)*-1</f>
        <v>135855</v>
      </c>
      <c r="U138" s="40"/>
      <c r="W138" s="36"/>
      <c r="Z138" s="42"/>
      <c r="AH138" s="3">
        <v>0</v>
      </c>
      <c r="AJ138" s="3">
        <v>0</v>
      </c>
    </row>
    <row r="139" spans="1:36" x14ac:dyDescent="0.25">
      <c r="A139">
        <v>131</v>
      </c>
      <c r="B139" s="29" t="s">
        <v>45</v>
      </c>
      <c r="C139" s="29" t="s">
        <v>46</v>
      </c>
      <c r="D139" s="4" t="str">
        <f>"14361"</f>
        <v>14361</v>
      </c>
      <c r="E139" s="4" t="str">
        <f t="shared" si="4"/>
        <v>FE14361</v>
      </c>
      <c r="F139" s="7">
        <v>44316</v>
      </c>
      <c r="G139" s="7">
        <v>44322</v>
      </c>
      <c r="H139" s="34">
        <v>135855</v>
      </c>
      <c r="I139" s="31">
        <v>135855</v>
      </c>
      <c r="J139" s="31">
        <f t="shared" si="5"/>
        <v>0</v>
      </c>
      <c r="K139" s="2"/>
      <c r="N139" s="32">
        <v>135855</v>
      </c>
      <c r="Q139" s="34">
        <v>135855</v>
      </c>
      <c r="R139" s="45"/>
      <c r="S139" s="4" t="str">
        <f>IFERROR(VLOOKUP(E139,'[2]td factu si'!$A:$B,1,0),0)</f>
        <v>FE14361</v>
      </c>
      <c r="T139" s="2">
        <f>IFERROR(VLOOKUP(E139,'[2]td factu si'!$A:$B,2,0),0)*-1</f>
        <v>135855</v>
      </c>
      <c r="U139" s="40"/>
      <c r="W139" s="36"/>
      <c r="Z139" s="42"/>
      <c r="AH139" s="3">
        <v>0</v>
      </c>
      <c r="AJ139" s="3">
        <v>0</v>
      </c>
    </row>
    <row r="140" spans="1:36" x14ac:dyDescent="0.25">
      <c r="A140">
        <v>132</v>
      </c>
      <c r="B140" s="29" t="s">
        <v>45</v>
      </c>
      <c r="C140" s="29" t="s">
        <v>46</v>
      </c>
      <c r="D140" s="4" t="str">
        <f>"14373"</f>
        <v>14373</v>
      </c>
      <c r="E140" s="4" t="str">
        <f t="shared" si="4"/>
        <v>FE14373</v>
      </c>
      <c r="F140" s="7">
        <v>44316</v>
      </c>
      <c r="G140" s="7">
        <v>44320</v>
      </c>
      <c r="H140" s="34">
        <v>181246</v>
      </c>
      <c r="I140" s="31">
        <v>181246</v>
      </c>
      <c r="J140" s="31">
        <f t="shared" si="5"/>
        <v>0</v>
      </c>
      <c r="K140" s="2"/>
      <c r="N140" s="32">
        <v>181246</v>
      </c>
      <c r="Q140" s="34">
        <v>181246</v>
      </c>
      <c r="R140" s="45"/>
      <c r="S140" s="4" t="str">
        <f>IFERROR(VLOOKUP(E140,'[2]td factu si'!$A:$B,1,0),0)</f>
        <v>FE14373</v>
      </c>
      <c r="T140" s="2">
        <f>IFERROR(VLOOKUP(E140,'[2]td factu si'!$A:$B,2,0),0)*-1</f>
        <v>181246</v>
      </c>
      <c r="U140" s="40"/>
      <c r="W140" s="36"/>
      <c r="Z140" s="42"/>
      <c r="AH140" s="3">
        <v>0</v>
      </c>
      <c r="AJ140" s="3">
        <v>0</v>
      </c>
    </row>
    <row r="141" spans="1:36" x14ac:dyDescent="0.25">
      <c r="A141">
        <v>133</v>
      </c>
      <c r="B141" s="29" t="s">
        <v>45</v>
      </c>
      <c r="C141" s="29" t="s">
        <v>46</v>
      </c>
      <c r="D141" s="4" t="str">
        <f>"14375"</f>
        <v>14375</v>
      </c>
      <c r="E141" s="4" t="str">
        <f t="shared" si="4"/>
        <v>FE14375</v>
      </c>
      <c r="F141" s="7">
        <v>44316</v>
      </c>
      <c r="G141" s="7">
        <v>44320</v>
      </c>
      <c r="H141" s="34">
        <v>181246</v>
      </c>
      <c r="I141" s="31">
        <v>181246</v>
      </c>
      <c r="J141" s="31">
        <f t="shared" si="5"/>
        <v>0</v>
      </c>
      <c r="K141" s="2"/>
      <c r="N141" s="32">
        <v>181246</v>
      </c>
      <c r="Q141" s="34">
        <v>181246</v>
      </c>
      <c r="R141" s="45"/>
      <c r="S141" s="4" t="str">
        <f>IFERROR(VLOOKUP(E141,'[2]td factu si'!$A:$B,1,0),0)</f>
        <v>FE14375</v>
      </c>
      <c r="T141" s="2">
        <f>IFERROR(VLOOKUP(E141,'[2]td factu si'!$A:$B,2,0),0)*-1</f>
        <v>181246</v>
      </c>
      <c r="U141" s="40"/>
      <c r="W141" s="36"/>
      <c r="Z141" s="42"/>
      <c r="AH141" s="3">
        <v>0</v>
      </c>
      <c r="AJ141" s="3">
        <v>0</v>
      </c>
    </row>
    <row r="142" spans="1:36" x14ac:dyDescent="0.25">
      <c r="A142">
        <v>134</v>
      </c>
      <c r="B142" s="29" t="s">
        <v>45</v>
      </c>
      <c r="C142" s="29" t="s">
        <v>46</v>
      </c>
      <c r="D142" s="4" t="str">
        <f>"14380"</f>
        <v>14380</v>
      </c>
      <c r="E142" s="4" t="str">
        <f t="shared" si="4"/>
        <v>FE14380</v>
      </c>
      <c r="F142" s="7">
        <v>44316</v>
      </c>
      <c r="G142" s="7">
        <v>44320</v>
      </c>
      <c r="H142" s="34">
        <v>181246</v>
      </c>
      <c r="I142" s="31">
        <v>177746</v>
      </c>
      <c r="J142" s="31">
        <f t="shared" si="5"/>
        <v>3500</v>
      </c>
      <c r="K142" s="2"/>
      <c r="N142" s="32">
        <v>177746</v>
      </c>
      <c r="Q142" s="34">
        <v>177746</v>
      </c>
      <c r="R142" s="45"/>
      <c r="S142" s="4" t="str">
        <f>IFERROR(VLOOKUP(E142,'[2]td factu si'!$A:$B,1,0),0)</f>
        <v>FE14380</v>
      </c>
      <c r="T142" s="2">
        <f>IFERROR(VLOOKUP(E142,'[2]td factu si'!$A:$B,2,0),0)*-1</f>
        <v>177746</v>
      </c>
      <c r="U142" s="40"/>
      <c r="W142" s="36"/>
      <c r="Z142" s="42"/>
      <c r="AH142" s="3">
        <v>0</v>
      </c>
      <c r="AJ142" s="3">
        <v>0</v>
      </c>
    </row>
    <row r="143" spans="1:36" x14ac:dyDescent="0.25">
      <c r="A143">
        <v>135</v>
      </c>
      <c r="B143" s="29" t="s">
        <v>45</v>
      </c>
      <c r="C143" s="29" t="s">
        <v>46</v>
      </c>
      <c r="D143" s="4" t="str">
        <f>"14388"</f>
        <v>14388</v>
      </c>
      <c r="E143" s="4" t="str">
        <f t="shared" si="4"/>
        <v>FE14388</v>
      </c>
      <c r="F143" s="7">
        <v>44316</v>
      </c>
      <c r="G143" s="7">
        <v>44322</v>
      </c>
      <c r="H143" s="34">
        <v>181246</v>
      </c>
      <c r="I143" s="31">
        <v>181246</v>
      </c>
      <c r="J143" s="31">
        <f t="shared" si="5"/>
        <v>0</v>
      </c>
      <c r="K143" s="2"/>
      <c r="N143" s="32">
        <v>181246</v>
      </c>
      <c r="Q143" s="34">
        <v>181246</v>
      </c>
      <c r="R143" s="45"/>
      <c r="S143" s="4" t="str">
        <f>IFERROR(VLOOKUP(E143,'[2]td factu si'!$A:$B,1,0),0)</f>
        <v>FE14388</v>
      </c>
      <c r="T143" s="2">
        <f>IFERROR(VLOOKUP(E143,'[2]td factu si'!$A:$B,2,0),0)*-1</f>
        <v>181246</v>
      </c>
      <c r="U143" s="40"/>
      <c r="W143" s="36"/>
      <c r="Z143" s="42"/>
      <c r="AH143" s="3">
        <v>0</v>
      </c>
      <c r="AJ143" s="3">
        <v>0</v>
      </c>
    </row>
    <row r="144" spans="1:36" x14ac:dyDescent="0.25">
      <c r="A144">
        <v>136</v>
      </c>
      <c r="B144" s="29" t="s">
        <v>45</v>
      </c>
      <c r="C144" s="29" t="s">
        <v>46</v>
      </c>
      <c r="D144" s="4" t="str">
        <f>"14394"</f>
        <v>14394</v>
      </c>
      <c r="E144" s="4" t="str">
        <f t="shared" si="4"/>
        <v>FE14394</v>
      </c>
      <c r="F144" s="7">
        <v>44316</v>
      </c>
      <c r="G144" s="7">
        <v>44322</v>
      </c>
      <c r="H144" s="34">
        <v>181246</v>
      </c>
      <c r="I144" s="31">
        <v>181246</v>
      </c>
      <c r="J144" s="31">
        <f t="shared" si="5"/>
        <v>0</v>
      </c>
      <c r="K144" s="2"/>
      <c r="N144" s="32">
        <v>181246</v>
      </c>
      <c r="Q144" s="34">
        <v>181246</v>
      </c>
      <c r="R144" s="45"/>
      <c r="S144" s="4" t="str">
        <f>IFERROR(VLOOKUP(E144,'[2]td factu si'!$A:$B,1,0),0)</f>
        <v>FE14394</v>
      </c>
      <c r="T144" s="2">
        <f>IFERROR(VLOOKUP(E144,'[2]td factu si'!$A:$B,2,0),0)*-1</f>
        <v>181246</v>
      </c>
      <c r="U144" s="40"/>
      <c r="W144" s="36"/>
      <c r="Z144" s="42"/>
      <c r="AH144" s="3">
        <v>0</v>
      </c>
      <c r="AJ144" s="3">
        <v>0</v>
      </c>
    </row>
    <row r="145" spans="1:36" x14ac:dyDescent="0.25">
      <c r="A145">
        <v>137</v>
      </c>
      <c r="B145" s="29" t="s">
        <v>45</v>
      </c>
      <c r="C145" s="29" t="s">
        <v>46</v>
      </c>
      <c r="D145" s="4" t="str">
        <f>"14396"</f>
        <v>14396</v>
      </c>
      <c r="E145" s="4" t="str">
        <f t="shared" si="4"/>
        <v>FE14396</v>
      </c>
      <c r="F145" s="7">
        <v>44316</v>
      </c>
      <c r="G145" s="7">
        <v>44322</v>
      </c>
      <c r="H145" s="34">
        <v>15489</v>
      </c>
      <c r="I145" s="31">
        <v>13940</v>
      </c>
      <c r="J145" s="31">
        <f t="shared" si="5"/>
        <v>1549</v>
      </c>
      <c r="K145" s="2"/>
      <c r="N145" s="32">
        <v>13940</v>
      </c>
      <c r="Q145" s="34">
        <v>13940</v>
      </c>
      <c r="R145" s="45"/>
      <c r="S145" s="4" t="str">
        <f>IFERROR(VLOOKUP(E145,'[2]td factu si'!$A:$B,1,0),0)</f>
        <v>FE14396</v>
      </c>
      <c r="T145" s="2">
        <f>IFERROR(VLOOKUP(E145,'[2]td factu si'!$A:$B,2,0),0)*-1</f>
        <v>13940</v>
      </c>
      <c r="U145" s="40"/>
      <c r="W145" s="36"/>
      <c r="Z145" s="42"/>
      <c r="AH145" s="3">
        <v>0</v>
      </c>
      <c r="AJ145" s="3">
        <v>0</v>
      </c>
    </row>
    <row r="146" spans="1:36" x14ac:dyDescent="0.25">
      <c r="A146">
        <v>138</v>
      </c>
      <c r="B146" s="29" t="s">
        <v>45</v>
      </c>
      <c r="C146" s="29" t="s">
        <v>46</v>
      </c>
      <c r="D146" s="4" t="str">
        <f>"14397"</f>
        <v>14397</v>
      </c>
      <c r="E146" s="4" t="str">
        <f t="shared" si="4"/>
        <v>FE14397</v>
      </c>
      <c r="F146" s="7">
        <v>44316</v>
      </c>
      <c r="G146" s="7">
        <v>44322</v>
      </c>
      <c r="H146" s="34">
        <v>15489</v>
      </c>
      <c r="I146" s="31">
        <v>15489</v>
      </c>
      <c r="J146" s="31">
        <f t="shared" si="5"/>
        <v>0</v>
      </c>
      <c r="K146" s="2"/>
      <c r="N146" s="32">
        <v>15489</v>
      </c>
      <c r="Q146" s="34">
        <v>15489</v>
      </c>
      <c r="R146" s="45"/>
      <c r="S146" s="4" t="str">
        <f>IFERROR(VLOOKUP(E146,'[2]td factu si'!$A:$B,1,0),0)</f>
        <v>FE14397</v>
      </c>
      <c r="T146" s="2">
        <f>IFERROR(VLOOKUP(E146,'[2]td factu si'!$A:$B,2,0),0)*-1</f>
        <v>15489</v>
      </c>
      <c r="U146" s="40"/>
      <c r="W146" s="36"/>
      <c r="Z146" s="42"/>
      <c r="AH146" s="3">
        <v>0</v>
      </c>
      <c r="AJ146" s="3">
        <v>0</v>
      </c>
    </row>
    <row r="147" spans="1:36" x14ac:dyDescent="0.25">
      <c r="A147">
        <v>139</v>
      </c>
      <c r="B147" s="29" t="s">
        <v>45</v>
      </c>
      <c r="C147" s="29" t="s">
        <v>46</v>
      </c>
      <c r="D147" s="4" t="str">
        <f>"14402"</f>
        <v>14402</v>
      </c>
      <c r="E147" s="4" t="str">
        <f t="shared" si="4"/>
        <v>FE14402</v>
      </c>
      <c r="F147" s="7">
        <v>44316</v>
      </c>
      <c r="G147" s="7">
        <v>44322</v>
      </c>
      <c r="H147" s="34">
        <v>271710</v>
      </c>
      <c r="I147" s="31">
        <v>240463</v>
      </c>
      <c r="J147" s="31">
        <f t="shared" si="5"/>
        <v>31247</v>
      </c>
      <c r="K147" s="2"/>
      <c r="N147" s="32">
        <v>240463</v>
      </c>
      <c r="Q147" s="34">
        <v>240463</v>
      </c>
      <c r="R147" s="45"/>
      <c r="S147" s="4" t="str">
        <f>IFERROR(VLOOKUP(E147,'[2]td factu si'!$A:$B,1,0),0)</f>
        <v>FE14402</v>
      </c>
      <c r="T147" s="2">
        <f>IFERROR(VLOOKUP(E147,'[2]td factu si'!$A:$B,2,0),0)*-1</f>
        <v>240463</v>
      </c>
      <c r="U147" s="40"/>
      <c r="W147" s="36"/>
      <c r="Z147" s="42"/>
      <c r="AH147" s="3">
        <v>0</v>
      </c>
      <c r="AJ147" s="3">
        <v>0</v>
      </c>
    </row>
    <row r="148" spans="1:36" x14ac:dyDescent="0.25">
      <c r="A148">
        <v>140</v>
      </c>
      <c r="B148" s="29" t="s">
        <v>45</v>
      </c>
      <c r="C148" s="29" t="s">
        <v>46</v>
      </c>
      <c r="D148" s="4" t="str">
        <f>"14404"</f>
        <v>14404</v>
      </c>
      <c r="E148" s="4" t="str">
        <f t="shared" si="4"/>
        <v>FE14404</v>
      </c>
      <c r="F148" s="7">
        <v>44316</v>
      </c>
      <c r="G148" s="7">
        <v>44322</v>
      </c>
      <c r="H148" s="34">
        <v>317101</v>
      </c>
      <c r="I148" s="31">
        <v>317101</v>
      </c>
      <c r="J148" s="31">
        <f t="shared" si="5"/>
        <v>0</v>
      </c>
      <c r="K148" s="2"/>
      <c r="N148" s="32">
        <v>317101</v>
      </c>
      <c r="Q148" s="34">
        <v>317101</v>
      </c>
      <c r="R148" s="45"/>
      <c r="S148" s="4" t="str">
        <f>IFERROR(VLOOKUP(E148,'[2]td factu si'!$A:$B,1,0),0)</f>
        <v>FE14404</v>
      </c>
      <c r="T148" s="2">
        <f>IFERROR(VLOOKUP(E148,'[2]td factu si'!$A:$B,2,0),0)*-1</f>
        <v>317101</v>
      </c>
      <c r="U148" s="40"/>
      <c r="W148" s="36"/>
      <c r="Z148" s="42"/>
      <c r="AH148" s="3">
        <v>0</v>
      </c>
      <c r="AJ148" s="3">
        <v>0</v>
      </c>
    </row>
    <row r="149" spans="1:36" x14ac:dyDescent="0.25">
      <c r="A149">
        <v>141</v>
      </c>
      <c r="B149" s="29" t="s">
        <v>45</v>
      </c>
      <c r="C149" s="29" t="s">
        <v>46</v>
      </c>
      <c r="D149" s="4" t="str">
        <f>"14407"</f>
        <v>14407</v>
      </c>
      <c r="E149" s="4" t="str">
        <f t="shared" si="4"/>
        <v>FE14407</v>
      </c>
      <c r="F149" s="7">
        <v>44316</v>
      </c>
      <c r="G149" s="7">
        <v>44322</v>
      </c>
      <c r="H149" s="34">
        <v>116393</v>
      </c>
      <c r="I149" s="31">
        <v>116393</v>
      </c>
      <c r="J149" s="31">
        <f t="shared" si="5"/>
        <v>0</v>
      </c>
      <c r="K149" s="2"/>
      <c r="N149" s="32">
        <v>116393</v>
      </c>
      <c r="Q149" s="34">
        <v>116393</v>
      </c>
      <c r="R149" s="45"/>
      <c r="S149" s="4" t="str">
        <f>IFERROR(VLOOKUP(E149,'[2]td factu si'!$A:$B,1,0),0)</f>
        <v>FE14407</v>
      </c>
      <c r="T149" s="2">
        <f>IFERROR(VLOOKUP(E149,'[2]td factu si'!$A:$B,2,0),0)*-1</f>
        <v>116393</v>
      </c>
      <c r="U149" s="40"/>
      <c r="W149" s="36"/>
      <c r="Z149" s="42"/>
      <c r="AH149" s="3">
        <v>0</v>
      </c>
      <c r="AJ149" s="3">
        <v>0</v>
      </c>
    </row>
    <row r="150" spans="1:36" x14ac:dyDescent="0.25">
      <c r="A150">
        <v>142</v>
      </c>
      <c r="B150" s="29" t="s">
        <v>45</v>
      </c>
      <c r="C150" s="29" t="s">
        <v>46</v>
      </c>
      <c r="D150" s="4" t="str">
        <f>"14408"</f>
        <v>14408</v>
      </c>
      <c r="E150" s="4" t="str">
        <f t="shared" si="4"/>
        <v>FE14408</v>
      </c>
      <c r="F150" s="7">
        <v>44316</v>
      </c>
      <c r="G150" s="7">
        <v>44323</v>
      </c>
      <c r="H150" s="34">
        <v>99388</v>
      </c>
      <c r="I150" s="31">
        <v>95888</v>
      </c>
      <c r="J150" s="31">
        <f t="shared" si="5"/>
        <v>3500</v>
      </c>
      <c r="K150" s="2"/>
      <c r="N150" s="32">
        <v>95888</v>
      </c>
      <c r="Q150" s="34">
        <v>95888</v>
      </c>
      <c r="R150" s="45"/>
      <c r="S150" s="4" t="str">
        <f>IFERROR(VLOOKUP(E150,'[2]td factu si'!$A:$B,1,0),0)</f>
        <v>FE14408</v>
      </c>
      <c r="T150" s="2">
        <f>IFERROR(VLOOKUP(E150,'[2]td factu si'!$A:$B,2,0),0)*-1</f>
        <v>95888</v>
      </c>
      <c r="U150" s="40"/>
      <c r="W150" s="36"/>
      <c r="Z150" s="42"/>
      <c r="AH150" s="3">
        <v>0</v>
      </c>
      <c r="AJ150" s="3">
        <v>0</v>
      </c>
    </row>
    <row r="151" spans="1:36" x14ac:dyDescent="0.25">
      <c r="A151">
        <v>143</v>
      </c>
      <c r="B151" s="29" t="s">
        <v>45</v>
      </c>
      <c r="C151" s="29" t="s">
        <v>46</v>
      </c>
      <c r="D151" s="4" t="str">
        <f>"14409"</f>
        <v>14409</v>
      </c>
      <c r="E151" s="4" t="str">
        <f t="shared" si="4"/>
        <v>FE14409</v>
      </c>
      <c r="F151" s="7">
        <v>44316</v>
      </c>
      <c r="G151" s="7">
        <v>44323</v>
      </c>
      <c r="H151" s="34">
        <v>317101</v>
      </c>
      <c r="I151" s="31">
        <v>310101</v>
      </c>
      <c r="J151" s="31">
        <f t="shared" si="5"/>
        <v>7000</v>
      </c>
      <c r="K151" s="2"/>
      <c r="N151" s="32">
        <v>310101</v>
      </c>
      <c r="Q151" s="34">
        <v>310101</v>
      </c>
      <c r="R151" s="45"/>
      <c r="S151" s="4" t="str">
        <f>IFERROR(VLOOKUP(E151,'[2]td factu si'!$A:$B,1,0),0)</f>
        <v>FE14409</v>
      </c>
      <c r="T151" s="2">
        <f>IFERROR(VLOOKUP(E151,'[2]td factu si'!$A:$B,2,0),0)*-1</f>
        <v>310101</v>
      </c>
      <c r="U151" s="40"/>
      <c r="W151" s="36"/>
      <c r="Z151" s="42"/>
      <c r="AH151" s="3">
        <v>0</v>
      </c>
      <c r="AJ151" s="3">
        <v>0</v>
      </c>
    </row>
    <row r="152" spans="1:36" x14ac:dyDescent="0.25">
      <c r="A152">
        <v>144</v>
      </c>
      <c r="B152" s="29" t="s">
        <v>45</v>
      </c>
      <c r="C152" s="29" t="s">
        <v>46</v>
      </c>
      <c r="D152" s="4" t="str">
        <f>"14410"</f>
        <v>14410</v>
      </c>
      <c r="E152" s="4" t="str">
        <f t="shared" si="4"/>
        <v>FE14410</v>
      </c>
      <c r="F152" s="7">
        <v>44316</v>
      </c>
      <c r="G152" s="7">
        <v>44322</v>
      </c>
      <c r="H152" s="34">
        <v>134512</v>
      </c>
      <c r="I152" s="31">
        <v>134512</v>
      </c>
      <c r="J152" s="31">
        <f t="shared" si="5"/>
        <v>0</v>
      </c>
      <c r="K152" s="2"/>
      <c r="N152" s="32">
        <v>134512</v>
      </c>
      <c r="Q152" s="34">
        <v>134512</v>
      </c>
      <c r="R152" s="45"/>
      <c r="S152" s="4" t="str">
        <f>IFERROR(VLOOKUP(E152,'[2]td factu si'!$A:$B,1,0),0)</f>
        <v>FE14410</v>
      </c>
      <c r="T152" s="2">
        <f>IFERROR(VLOOKUP(E152,'[2]td factu si'!$A:$B,2,0),0)*-1</f>
        <v>134512</v>
      </c>
      <c r="U152" s="40"/>
      <c r="W152" s="36"/>
      <c r="Z152" s="42"/>
      <c r="AH152" s="3">
        <v>0</v>
      </c>
      <c r="AJ152" s="3">
        <v>0</v>
      </c>
    </row>
    <row r="153" spans="1:36" x14ac:dyDescent="0.25">
      <c r="A153">
        <v>145</v>
      </c>
      <c r="B153" s="29" t="s">
        <v>45</v>
      </c>
      <c r="C153" s="29" t="s">
        <v>46</v>
      </c>
      <c r="D153" s="4" t="str">
        <f>"14414"</f>
        <v>14414</v>
      </c>
      <c r="E153" s="4" t="str">
        <f t="shared" si="4"/>
        <v>FE14414</v>
      </c>
      <c r="F153" s="7">
        <v>44316</v>
      </c>
      <c r="G153" s="7">
        <v>44322</v>
      </c>
      <c r="H153" s="34">
        <v>250905</v>
      </c>
      <c r="I153" s="31">
        <v>250905</v>
      </c>
      <c r="J153" s="31">
        <f t="shared" si="5"/>
        <v>0</v>
      </c>
      <c r="K153" s="2"/>
      <c r="N153" s="32">
        <v>250905</v>
      </c>
      <c r="Q153" s="34">
        <v>250905</v>
      </c>
      <c r="R153" s="45"/>
      <c r="S153" s="4" t="str">
        <f>IFERROR(VLOOKUP(E153,'[2]td factu si'!$A:$B,1,0),0)</f>
        <v>FE14414</v>
      </c>
      <c r="T153" s="2">
        <f>IFERROR(VLOOKUP(E153,'[2]td factu si'!$A:$B,2,0),0)*-1</f>
        <v>250905</v>
      </c>
      <c r="U153" s="40"/>
      <c r="W153" s="36"/>
      <c r="Z153" s="42"/>
      <c r="AH153" s="3">
        <v>0</v>
      </c>
      <c r="AJ153" s="3">
        <v>0</v>
      </c>
    </row>
    <row r="154" spans="1:36" x14ac:dyDescent="0.25">
      <c r="A154">
        <v>146</v>
      </c>
      <c r="B154" s="29" t="s">
        <v>45</v>
      </c>
      <c r="C154" s="29" t="s">
        <v>46</v>
      </c>
      <c r="D154" s="4" t="str">
        <f>"14417"</f>
        <v>14417</v>
      </c>
      <c r="E154" s="4" t="str">
        <f t="shared" si="4"/>
        <v>FE14417</v>
      </c>
      <c r="F154" s="7">
        <v>44316</v>
      </c>
      <c r="G154" s="7">
        <v>44322</v>
      </c>
      <c r="H154" s="34">
        <v>99388</v>
      </c>
      <c r="I154" s="31">
        <v>99388</v>
      </c>
      <c r="J154" s="31">
        <f t="shared" si="5"/>
        <v>0</v>
      </c>
      <c r="K154" s="2"/>
      <c r="N154" s="32">
        <v>99388</v>
      </c>
      <c r="Q154" s="34">
        <v>99388</v>
      </c>
      <c r="R154" s="45"/>
      <c r="S154" s="4" t="str">
        <f>IFERROR(VLOOKUP(E154,'[2]td factu si'!$A:$B,1,0),0)</f>
        <v>FE14417</v>
      </c>
      <c r="T154" s="2">
        <f>IFERROR(VLOOKUP(E154,'[2]td factu si'!$A:$B,2,0),0)*-1</f>
        <v>99388</v>
      </c>
      <c r="U154" s="40"/>
      <c r="W154" s="36"/>
      <c r="Z154" s="42"/>
      <c r="AH154" s="3">
        <v>0</v>
      </c>
      <c r="AJ154" s="3">
        <v>0</v>
      </c>
    </row>
    <row r="155" spans="1:36" x14ac:dyDescent="0.25">
      <c r="A155">
        <v>147</v>
      </c>
      <c r="B155" s="29" t="s">
        <v>45</v>
      </c>
      <c r="C155" s="29" t="s">
        <v>46</v>
      </c>
      <c r="D155" s="4" t="str">
        <f>"14418"</f>
        <v>14418</v>
      </c>
      <c r="E155" s="4" t="str">
        <f t="shared" si="4"/>
        <v>FE14418</v>
      </c>
      <c r="F155" s="7">
        <v>44316</v>
      </c>
      <c r="G155" s="7">
        <v>44322</v>
      </c>
      <c r="H155" s="34">
        <v>134512</v>
      </c>
      <c r="I155" s="31">
        <v>134512</v>
      </c>
      <c r="J155" s="31">
        <f t="shared" si="5"/>
        <v>0</v>
      </c>
      <c r="K155" s="2"/>
      <c r="N155" s="32">
        <v>134512</v>
      </c>
      <c r="Q155" s="34">
        <v>134512</v>
      </c>
      <c r="R155" s="45"/>
      <c r="S155" s="4" t="str">
        <f>IFERROR(VLOOKUP(E155,'[2]td factu si'!$A:$B,1,0),0)</f>
        <v>FE14418</v>
      </c>
      <c r="T155" s="2">
        <f>IFERROR(VLOOKUP(E155,'[2]td factu si'!$A:$B,2,0),0)*-1</f>
        <v>134512</v>
      </c>
      <c r="U155" s="40"/>
      <c r="W155" s="36"/>
      <c r="Z155" s="42"/>
      <c r="AH155" s="3">
        <v>0</v>
      </c>
      <c r="AJ155" s="3">
        <v>0</v>
      </c>
    </row>
    <row r="156" spans="1:36" x14ac:dyDescent="0.25">
      <c r="A156">
        <v>148</v>
      </c>
      <c r="B156" s="29" t="s">
        <v>45</v>
      </c>
      <c r="C156" s="29" t="s">
        <v>46</v>
      </c>
      <c r="D156" s="4" t="str">
        <f>"14419"</f>
        <v>14419</v>
      </c>
      <c r="E156" s="4" t="str">
        <f t="shared" si="4"/>
        <v>FE14419</v>
      </c>
      <c r="F156" s="7">
        <v>44316</v>
      </c>
      <c r="G156" s="7">
        <v>44320</v>
      </c>
      <c r="H156" s="34">
        <v>181246</v>
      </c>
      <c r="I156" s="31">
        <v>181246</v>
      </c>
      <c r="J156" s="31">
        <f t="shared" si="5"/>
        <v>0</v>
      </c>
      <c r="K156" s="2"/>
      <c r="N156" s="32">
        <v>181246</v>
      </c>
      <c r="Q156" s="34">
        <v>181246</v>
      </c>
      <c r="R156" s="45"/>
      <c r="S156" s="4" t="str">
        <f>IFERROR(VLOOKUP(E156,'[2]td factu si'!$A:$B,1,0),0)</f>
        <v>FE14419</v>
      </c>
      <c r="T156" s="2">
        <f>IFERROR(VLOOKUP(E156,'[2]td factu si'!$A:$B,2,0),0)*-1</f>
        <v>181246</v>
      </c>
      <c r="U156" s="40"/>
      <c r="W156" s="36"/>
      <c r="Z156" s="42"/>
      <c r="AH156" s="3">
        <v>0</v>
      </c>
      <c r="AJ156" s="3">
        <v>0</v>
      </c>
    </row>
    <row r="157" spans="1:36" x14ac:dyDescent="0.25">
      <c r="A157">
        <v>149</v>
      </c>
      <c r="B157" s="29" t="s">
        <v>45</v>
      </c>
      <c r="C157" s="29" t="s">
        <v>46</v>
      </c>
      <c r="D157" s="4" t="str">
        <f>"14423"</f>
        <v>14423</v>
      </c>
      <c r="E157" s="4" t="str">
        <f t="shared" si="4"/>
        <v>FE14423</v>
      </c>
      <c r="F157" s="7">
        <v>44316</v>
      </c>
      <c r="G157" s="7">
        <v>44320</v>
      </c>
      <c r="H157" s="34">
        <v>181246</v>
      </c>
      <c r="I157" s="31">
        <v>181246</v>
      </c>
      <c r="J157" s="31">
        <f t="shared" si="5"/>
        <v>0</v>
      </c>
      <c r="K157" s="2"/>
      <c r="N157" s="32">
        <v>181246</v>
      </c>
      <c r="Q157" s="34">
        <v>181246</v>
      </c>
      <c r="R157" s="45"/>
      <c r="S157" s="4" t="str">
        <f>IFERROR(VLOOKUP(E157,'[2]td factu si'!$A:$B,1,0),0)</f>
        <v>FE14423</v>
      </c>
      <c r="T157" s="2">
        <f>IFERROR(VLOOKUP(E157,'[2]td factu si'!$A:$B,2,0),0)*-1</f>
        <v>181246</v>
      </c>
      <c r="U157" s="40"/>
      <c r="W157" s="36"/>
      <c r="Z157" s="42"/>
      <c r="AH157" s="3">
        <v>0</v>
      </c>
      <c r="AJ157" s="3">
        <v>0</v>
      </c>
    </row>
    <row r="158" spans="1:36" x14ac:dyDescent="0.25">
      <c r="A158">
        <v>150</v>
      </c>
      <c r="B158" s="29" t="s">
        <v>45</v>
      </c>
      <c r="C158" s="29" t="s">
        <v>46</v>
      </c>
      <c r="D158" s="4" t="str">
        <f>"14427"</f>
        <v>14427</v>
      </c>
      <c r="E158" s="4" t="str">
        <f t="shared" si="4"/>
        <v>FE14427</v>
      </c>
      <c r="F158" s="7">
        <v>44316</v>
      </c>
      <c r="G158" s="7">
        <v>44320</v>
      </c>
      <c r="H158" s="34">
        <v>317101</v>
      </c>
      <c r="I158" s="31">
        <v>317101</v>
      </c>
      <c r="J158" s="31">
        <f t="shared" si="5"/>
        <v>0</v>
      </c>
      <c r="K158" s="2"/>
      <c r="N158" s="32">
        <v>317101</v>
      </c>
      <c r="Q158" s="34">
        <v>317101</v>
      </c>
      <c r="R158" s="45"/>
      <c r="S158" s="4" t="str">
        <f>IFERROR(VLOOKUP(E158,'[2]td factu si'!$A:$B,1,0),0)</f>
        <v>FE14427</v>
      </c>
      <c r="T158" s="2">
        <f>IFERROR(VLOOKUP(E158,'[2]td factu si'!$A:$B,2,0),0)*-1</f>
        <v>317101</v>
      </c>
      <c r="U158" s="40"/>
      <c r="W158" s="36"/>
      <c r="Z158" s="42"/>
      <c r="AH158" s="3">
        <v>0</v>
      </c>
      <c r="AJ158" s="3">
        <v>0</v>
      </c>
    </row>
    <row r="159" spans="1:36" x14ac:dyDescent="0.25">
      <c r="A159">
        <v>151</v>
      </c>
      <c r="B159" s="29" t="s">
        <v>45</v>
      </c>
      <c r="C159" s="29" t="s">
        <v>46</v>
      </c>
      <c r="D159" s="4" t="str">
        <f>"14431"</f>
        <v>14431</v>
      </c>
      <c r="E159" s="4" t="str">
        <f t="shared" si="4"/>
        <v>FE14431</v>
      </c>
      <c r="F159" s="7">
        <v>44316</v>
      </c>
      <c r="G159" s="7">
        <v>44322</v>
      </c>
      <c r="H159" s="34">
        <v>15489</v>
      </c>
      <c r="I159" s="31">
        <v>15489</v>
      </c>
      <c r="J159" s="31">
        <f t="shared" si="5"/>
        <v>0</v>
      </c>
      <c r="K159" s="2"/>
      <c r="N159" s="32">
        <v>15489</v>
      </c>
      <c r="Q159" s="34">
        <v>15489</v>
      </c>
      <c r="R159" s="45"/>
      <c r="S159" s="4" t="str">
        <f>IFERROR(VLOOKUP(E159,'[2]td factu si'!$A:$B,1,0),0)</f>
        <v>FE14431</v>
      </c>
      <c r="T159" s="2">
        <f>IFERROR(VLOOKUP(E159,'[2]td factu si'!$A:$B,2,0),0)*-1</f>
        <v>15489</v>
      </c>
      <c r="U159" s="40"/>
      <c r="W159" s="36"/>
      <c r="Z159" s="42"/>
      <c r="AH159" s="3">
        <v>0</v>
      </c>
      <c r="AJ159" s="3">
        <v>0</v>
      </c>
    </row>
    <row r="160" spans="1:36" x14ac:dyDescent="0.25">
      <c r="A160">
        <v>152</v>
      </c>
      <c r="B160" s="29" t="s">
        <v>45</v>
      </c>
      <c r="C160" s="29" t="s">
        <v>46</v>
      </c>
      <c r="D160" s="4" t="str">
        <f>"14434"</f>
        <v>14434</v>
      </c>
      <c r="E160" s="4" t="str">
        <f t="shared" si="4"/>
        <v>FE14434</v>
      </c>
      <c r="F160" s="7">
        <v>44316</v>
      </c>
      <c r="G160" s="7">
        <v>44322</v>
      </c>
      <c r="H160" s="34">
        <v>15489</v>
      </c>
      <c r="I160" s="31">
        <v>15489</v>
      </c>
      <c r="J160" s="31">
        <f t="shared" si="5"/>
        <v>0</v>
      </c>
      <c r="K160" s="2"/>
      <c r="N160" s="32">
        <v>15489</v>
      </c>
      <c r="Q160" s="34">
        <v>15489</v>
      </c>
      <c r="R160" s="45"/>
      <c r="S160" s="4" t="str">
        <f>IFERROR(VLOOKUP(E160,'[2]td factu si'!$A:$B,1,0),0)</f>
        <v>FE14434</v>
      </c>
      <c r="T160" s="2">
        <f>IFERROR(VLOOKUP(E160,'[2]td factu si'!$A:$B,2,0),0)*-1</f>
        <v>15489</v>
      </c>
      <c r="U160" s="40"/>
      <c r="W160" s="36"/>
      <c r="Z160" s="42"/>
      <c r="AH160" s="3">
        <v>0</v>
      </c>
      <c r="AJ160" s="3">
        <v>0</v>
      </c>
    </row>
    <row r="161" spans="1:36" x14ac:dyDescent="0.25">
      <c r="A161">
        <v>153</v>
      </c>
      <c r="B161" s="29" t="s">
        <v>45</v>
      </c>
      <c r="C161" s="29" t="s">
        <v>46</v>
      </c>
      <c r="D161" s="4" t="str">
        <f>"14435"</f>
        <v>14435</v>
      </c>
      <c r="E161" s="4" t="str">
        <f t="shared" si="4"/>
        <v>FE14435</v>
      </c>
      <c r="F161" s="7">
        <v>44316</v>
      </c>
      <c r="G161" s="7">
        <v>44323</v>
      </c>
      <c r="H161" s="34">
        <v>15489</v>
      </c>
      <c r="I161" s="31">
        <v>15489</v>
      </c>
      <c r="J161" s="31">
        <f t="shared" si="5"/>
        <v>0</v>
      </c>
      <c r="K161" s="2"/>
      <c r="N161" s="32">
        <v>15489</v>
      </c>
      <c r="Q161" s="34">
        <v>15489</v>
      </c>
      <c r="R161" s="45"/>
      <c r="S161" s="4" t="str">
        <f>IFERROR(VLOOKUP(E161,'[2]td factu si'!$A:$B,1,0),0)</f>
        <v>FE14435</v>
      </c>
      <c r="T161" s="2">
        <f>IFERROR(VLOOKUP(E161,'[2]td factu si'!$A:$B,2,0),0)*-1</f>
        <v>15489</v>
      </c>
      <c r="U161" s="40"/>
      <c r="W161" s="36"/>
      <c r="Z161" s="42"/>
      <c r="AH161" s="3">
        <v>0</v>
      </c>
      <c r="AJ161" s="3">
        <v>0</v>
      </c>
    </row>
    <row r="162" spans="1:36" x14ac:dyDescent="0.25">
      <c r="A162">
        <v>154</v>
      </c>
      <c r="B162" s="29" t="s">
        <v>45</v>
      </c>
      <c r="C162" s="29" t="s">
        <v>46</v>
      </c>
      <c r="D162" s="4" t="str">
        <f>"14437"</f>
        <v>14437</v>
      </c>
      <c r="E162" s="4" t="str">
        <f t="shared" si="4"/>
        <v>FE14437</v>
      </c>
      <c r="F162" s="7">
        <v>44316</v>
      </c>
      <c r="G162" s="7">
        <v>44322</v>
      </c>
      <c r="H162" s="34">
        <v>15489</v>
      </c>
      <c r="I162" s="31">
        <v>15489</v>
      </c>
      <c r="J162" s="31">
        <f t="shared" si="5"/>
        <v>0</v>
      </c>
      <c r="K162" s="2"/>
      <c r="N162" s="32">
        <v>15489</v>
      </c>
      <c r="Q162" s="34">
        <v>15489</v>
      </c>
      <c r="R162" s="45"/>
      <c r="S162" s="4" t="str">
        <f>IFERROR(VLOOKUP(E162,'[2]td factu si'!$A:$B,1,0),0)</f>
        <v>FE14437</v>
      </c>
      <c r="T162" s="2">
        <f>IFERROR(VLOOKUP(E162,'[2]td factu si'!$A:$B,2,0),0)*-1</f>
        <v>15489</v>
      </c>
      <c r="U162" s="40"/>
      <c r="W162" s="36"/>
      <c r="Z162" s="42"/>
      <c r="AH162" s="3">
        <v>0</v>
      </c>
      <c r="AJ162" s="3">
        <v>0</v>
      </c>
    </row>
    <row r="163" spans="1:36" x14ac:dyDescent="0.25">
      <c r="A163">
        <v>155</v>
      </c>
      <c r="B163" s="29" t="s">
        <v>45</v>
      </c>
      <c r="C163" s="29" t="s">
        <v>46</v>
      </c>
      <c r="D163" s="4" t="str">
        <f>"14438"</f>
        <v>14438</v>
      </c>
      <c r="E163" s="4" t="str">
        <f t="shared" si="4"/>
        <v>FE14438</v>
      </c>
      <c r="F163" s="7">
        <v>44316</v>
      </c>
      <c r="G163" s="7">
        <v>44322</v>
      </c>
      <c r="H163" s="34">
        <v>15489</v>
      </c>
      <c r="I163" s="31">
        <v>15489</v>
      </c>
      <c r="J163" s="31">
        <f t="shared" si="5"/>
        <v>0</v>
      </c>
      <c r="K163" s="2"/>
      <c r="N163" s="32">
        <v>15489</v>
      </c>
      <c r="Q163" s="34">
        <v>15489</v>
      </c>
      <c r="R163" s="45"/>
      <c r="S163" s="4" t="str">
        <f>IFERROR(VLOOKUP(E163,'[2]td factu si'!$A:$B,1,0),0)</f>
        <v>FE14438</v>
      </c>
      <c r="T163" s="2">
        <f>IFERROR(VLOOKUP(E163,'[2]td factu si'!$A:$B,2,0),0)*-1</f>
        <v>15489</v>
      </c>
      <c r="U163" s="40"/>
      <c r="W163" s="36"/>
      <c r="Z163" s="42"/>
      <c r="AH163" s="3">
        <v>0</v>
      </c>
      <c r="AJ163" s="3">
        <v>0</v>
      </c>
    </row>
    <row r="164" spans="1:36" x14ac:dyDescent="0.25">
      <c r="A164">
        <v>156</v>
      </c>
      <c r="B164" s="29" t="s">
        <v>45</v>
      </c>
      <c r="C164" s="29" t="s">
        <v>46</v>
      </c>
      <c r="D164" s="4" t="str">
        <f>"14439"</f>
        <v>14439</v>
      </c>
      <c r="E164" s="4" t="str">
        <f t="shared" si="4"/>
        <v>FE14439</v>
      </c>
      <c r="F164" s="7">
        <v>44316</v>
      </c>
      <c r="G164" s="7">
        <v>44322</v>
      </c>
      <c r="H164" s="34">
        <v>15489</v>
      </c>
      <c r="I164" s="31">
        <v>15489</v>
      </c>
      <c r="J164" s="31">
        <f t="shared" si="5"/>
        <v>0</v>
      </c>
      <c r="K164" s="2"/>
      <c r="N164" s="32">
        <v>15489</v>
      </c>
      <c r="Q164" s="34">
        <v>15489</v>
      </c>
      <c r="R164" s="45"/>
      <c r="S164" s="4" t="str">
        <f>IFERROR(VLOOKUP(E164,'[2]td factu si'!$A:$B,1,0),0)</f>
        <v>FE14439</v>
      </c>
      <c r="T164" s="2">
        <f>IFERROR(VLOOKUP(E164,'[2]td factu si'!$A:$B,2,0),0)*-1</f>
        <v>15489</v>
      </c>
      <c r="U164" s="40"/>
      <c r="W164" s="36"/>
      <c r="Z164" s="42"/>
      <c r="AH164" s="3">
        <v>0</v>
      </c>
      <c r="AJ164" s="3">
        <v>0</v>
      </c>
    </row>
    <row r="165" spans="1:36" x14ac:dyDescent="0.25">
      <c r="A165">
        <v>157</v>
      </c>
      <c r="B165" s="29" t="s">
        <v>45</v>
      </c>
      <c r="C165" s="29" t="s">
        <v>46</v>
      </c>
      <c r="D165" s="4" t="str">
        <f>"14441"</f>
        <v>14441</v>
      </c>
      <c r="E165" s="4" t="str">
        <f t="shared" si="4"/>
        <v>FE14441</v>
      </c>
      <c r="F165" s="7">
        <v>44316</v>
      </c>
      <c r="G165" s="7">
        <v>44322</v>
      </c>
      <c r="H165" s="34">
        <v>15489</v>
      </c>
      <c r="I165" s="31">
        <v>15489</v>
      </c>
      <c r="J165" s="31">
        <f t="shared" si="5"/>
        <v>0</v>
      </c>
      <c r="K165" s="2"/>
      <c r="N165" s="32">
        <v>15489</v>
      </c>
      <c r="Q165" s="34">
        <v>15489</v>
      </c>
      <c r="R165" s="45"/>
      <c r="S165" s="4" t="str">
        <f>IFERROR(VLOOKUP(E165,'[2]td factu si'!$A:$B,1,0),0)</f>
        <v>FE14441</v>
      </c>
      <c r="T165" s="2">
        <f>IFERROR(VLOOKUP(E165,'[2]td factu si'!$A:$B,2,0),0)*-1</f>
        <v>15489</v>
      </c>
      <c r="U165" s="40"/>
      <c r="W165" s="36"/>
      <c r="Z165" s="42"/>
      <c r="AH165" s="3">
        <v>0</v>
      </c>
      <c r="AJ165" s="3">
        <v>0</v>
      </c>
    </row>
    <row r="166" spans="1:36" x14ac:dyDescent="0.25">
      <c r="A166">
        <v>158</v>
      </c>
      <c r="B166" s="29" t="s">
        <v>45</v>
      </c>
      <c r="C166" s="29" t="s">
        <v>46</v>
      </c>
      <c r="D166" s="4" t="str">
        <f>"14443"</f>
        <v>14443</v>
      </c>
      <c r="E166" s="4" t="str">
        <f t="shared" si="4"/>
        <v>FE14443</v>
      </c>
      <c r="F166" s="7">
        <v>44316</v>
      </c>
      <c r="G166" s="7">
        <v>44322</v>
      </c>
      <c r="H166" s="34">
        <v>15489</v>
      </c>
      <c r="I166" s="31">
        <v>15489</v>
      </c>
      <c r="J166" s="31">
        <f t="shared" si="5"/>
        <v>0</v>
      </c>
      <c r="K166" s="2"/>
      <c r="N166" s="32">
        <v>15489</v>
      </c>
      <c r="Q166" s="34">
        <v>15489</v>
      </c>
      <c r="R166" s="45"/>
      <c r="S166" s="4" t="str">
        <f>IFERROR(VLOOKUP(E166,'[2]td factu si'!$A:$B,1,0),0)</f>
        <v>FE14443</v>
      </c>
      <c r="T166" s="2">
        <f>IFERROR(VLOOKUP(E166,'[2]td factu si'!$A:$B,2,0),0)*-1</f>
        <v>15489</v>
      </c>
      <c r="U166" s="40"/>
      <c r="W166" s="36"/>
      <c r="AH166" s="3">
        <v>0</v>
      </c>
      <c r="AJ166" s="3">
        <v>0</v>
      </c>
    </row>
    <row r="167" spans="1:36" x14ac:dyDescent="0.25">
      <c r="A167">
        <v>159</v>
      </c>
      <c r="B167" s="29" t="s">
        <v>45</v>
      </c>
      <c r="C167" s="29" t="s">
        <v>46</v>
      </c>
      <c r="D167" s="4" t="str">
        <f>"14444"</f>
        <v>14444</v>
      </c>
      <c r="E167" s="4" t="str">
        <f t="shared" si="4"/>
        <v>FE14444</v>
      </c>
      <c r="F167" s="7">
        <v>44316</v>
      </c>
      <c r="G167" s="7">
        <v>44322</v>
      </c>
      <c r="H167" s="34">
        <v>15489</v>
      </c>
      <c r="I167" s="31">
        <v>15489</v>
      </c>
      <c r="J167" s="31">
        <f t="shared" si="5"/>
        <v>0</v>
      </c>
      <c r="K167" s="2"/>
      <c r="N167" s="32">
        <v>15489</v>
      </c>
      <c r="Q167" s="34">
        <v>15489</v>
      </c>
      <c r="R167" s="45"/>
      <c r="S167" s="4" t="str">
        <f>IFERROR(VLOOKUP(E167,'[2]td factu si'!$A:$B,1,0),0)</f>
        <v>FE14444</v>
      </c>
      <c r="T167" s="2">
        <f>IFERROR(VLOOKUP(E167,'[2]td factu si'!$A:$B,2,0),0)*-1</f>
        <v>15489</v>
      </c>
      <c r="U167" s="40"/>
      <c r="W167" s="36"/>
      <c r="AH167" s="3">
        <v>0</v>
      </c>
      <c r="AJ167" s="3">
        <v>0</v>
      </c>
    </row>
    <row r="168" spans="1:36" x14ac:dyDescent="0.25">
      <c r="A168">
        <v>160</v>
      </c>
      <c r="B168" s="29" t="s">
        <v>45</v>
      </c>
      <c r="C168" s="29" t="s">
        <v>46</v>
      </c>
      <c r="D168" s="4" t="str">
        <f>"14447"</f>
        <v>14447</v>
      </c>
      <c r="E168" s="4" t="str">
        <f t="shared" si="4"/>
        <v>FE14447</v>
      </c>
      <c r="F168" s="7">
        <v>44316</v>
      </c>
      <c r="G168" s="7">
        <v>44323</v>
      </c>
      <c r="H168" s="34">
        <v>116393</v>
      </c>
      <c r="I168" s="31">
        <v>112893</v>
      </c>
      <c r="J168" s="31">
        <f t="shared" si="5"/>
        <v>3500</v>
      </c>
      <c r="K168" s="2"/>
      <c r="N168" s="32">
        <v>112893</v>
      </c>
      <c r="Q168" s="34">
        <v>112893</v>
      </c>
      <c r="R168" s="45"/>
      <c r="S168" s="4" t="str">
        <f>IFERROR(VLOOKUP(E168,'[2]td factu si'!$A:$B,1,0),0)</f>
        <v>FE14447</v>
      </c>
      <c r="T168" s="2">
        <f>IFERROR(VLOOKUP(E168,'[2]td factu si'!$A:$B,2,0),0)*-1</f>
        <v>112893</v>
      </c>
      <c r="U168" s="40"/>
      <c r="W168" s="36"/>
      <c r="Z168" s="42"/>
      <c r="AH168" s="3">
        <v>0</v>
      </c>
      <c r="AJ168" s="3">
        <v>0</v>
      </c>
    </row>
    <row r="169" spans="1:36" x14ac:dyDescent="0.25">
      <c r="A169">
        <v>161</v>
      </c>
      <c r="B169" s="29" t="s">
        <v>45</v>
      </c>
      <c r="C169" s="29" t="s">
        <v>46</v>
      </c>
      <c r="D169" s="4" t="str">
        <f>"14457"</f>
        <v>14457</v>
      </c>
      <c r="E169" s="4" t="str">
        <f t="shared" si="4"/>
        <v>FE14457</v>
      </c>
      <c r="F169" s="7">
        <v>44316</v>
      </c>
      <c r="G169" s="7">
        <v>44326</v>
      </c>
      <c r="H169" s="34">
        <v>54440411</v>
      </c>
      <c r="I169" s="31">
        <v>54440411</v>
      </c>
      <c r="J169" s="31">
        <f t="shared" si="5"/>
        <v>0</v>
      </c>
      <c r="K169" s="2"/>
      <c r="N169" s="32">
        <v>0</v>
      </c>
      <c r="Q169" s="34">
        <v>0</v>
      </c>
      <c r="R169" s="45"/>
      <c r="S169" s="4">
        <f>IFERROR(VLOOKUP(E169,'[2]td factu si'!$A:$B,1,0),0)</f>
        <v>0</v>
      </c>
      <c r="T169" s="2">
        <f>IFERROR(VLOOKUP(E169,'[2]td factu si'!$A:$B,2,0),0)*-1</f>
        <v>0</v>
      </c>
      <c r="U169" s="33"/>
      <c r="W169" s="36"/>
      <c r="X169" s="6">
        <v>54440411</v>
      </c>
      <c r="Z169" s="42"/>
      <c r="AH169" s="3">
        <v>0</v>
      </c>
      <c r="AJ169" s="3">
        <v>0</v>
      </c>
    </row>
    <row r="170" spans="1:36" x14ac:dyDescent="0.25">
      <c r="A170">
        <v>162</v>
      </c>
      <c r="B170" s="29" t="s">
        <v>45</v>
      </c>
      <c r="C170" s="29" t="s">
        <v>46</v>
      </c>
      <c r="D170" s="4" t="str">
        <f>"14468"</f>
        <v>14468</v>
      </c>
      <c r="E170" s="4" t="str">
        <f t="shared" si="4"/>
        <v>FE14468</v>
      </c>
      <c r="F170" s="7">
        <v>44316</v>
      </c>
      <c r="G170" s="7">
        <v>44320</v>
      </c>
      <c r="H170" s="34">
        <v>250905</v>
      </c>
      <c r="I170" s="31">
        <v>250905</v>
      </c>
      <c r="J170" s="31">
        <f t="shared" si="5"/>
        <v>0</v>
      </c>
      <c r="K170" s="2"/>
      <c r="N170" s="32">
        <v>250905</v>
      </c>
      <c r="Q170" s="34">
        <v>250905</v>
      </c>
      <c r="R170" s="45"/>
      <c r="S170" s="4" t="str">
        <f>IFERROR(VLOOKUP(E170,'[2]td factu si'!$A:$B,1,0),0)</f>
        <v>FE14468</v>
      </c>
      <c r="T170" s="2">
        <f>IFERROR(VLOOKUP(E170,'[2]td factu si'!$A:$B,2,0),0)*-1</f>
        <v>250905</v>
      </c>
      <c r="U170" s="40"/>
      <c r="W170" s="36"/>
      <c r="Z170" s="42"/>
      <c r="AH170" s="3">
        <v>0</v>
      </c>
      <c r="AJ170" s="3">
        <v>0</v>
      </c>
    </row>
    <row r="171" spans="1:36" x14ac:dyDescent="0.25">
      <c r="A171">
        <v>163</v>
      </c>
      <c r="B171" s="29" t="s">
        <v>45</v>
      </c>
      <c r="C171" s="29" t="s">
        <v>46</v>
      </c>
      <c r="D171" s="4" t="str">
        <f>"14474"</f>
        <v>14474</v>
      </c>
      <c r="E171" s="4" t="str">
        <f t="shared" si="4"/>
        <v>FE14474</v>
      </c>
      <c r="F171" s="7">
        <v>44316</v>
      </c>
      <c r="G171" s="7">
        <v>44323</v>
      </c>
      <c r="H171" s="34">
        <v>2124973</v>
      </c>
      <c r="I171" s="31">
        <v>2121473</v>
      </c>
      <c r="J171" s="31">
        <f t="shared" si="5"/>
        <v>3500</v>
      </c>
      <c r="K171" s="2"/>
      <c r="N171" s="32">
        <v>2121473</v>
      </c>
      <c r="Q171" s="34">
        <v>2121473</v>
      </c>
      <c r="R171" s="45"/>
      <c r="S171" s="4" t="str">
        <f>IFERROR(VLOOKUP(E171,'[2]td factu si'!$A:$B,1,0),0)</f>
        <v>FE14474</v>
      </c>
      <c r="T171" s="2">
        <f>IFERROR(VLOOKUP(E171,'[2]td factu si'!$A:$B,2,0),0)*-1</f>
        <v>2121473</v>
      </c>
      <c r="U171" s="40"/>
      <c r="W171" s="36"/>
      <c r="Z171" s="42"/>
      <c r="AH171" s="3">
        <v>0</v>
      </c>
      <c r="AJ171" s="3">
        <v>0</v>
      </c>
    </row>
    <row r="172" spans="1:36" x14ac:dyDescent="0.25">
      <c r="A172">
        <v>164</v>
      </c>
      <c r="B172" s="29" t="s">
        <v>45</v>
      </c>
      <c r="C172" s="29" t="s">
        <v>46</v>
      </c>
      <c r="D172" s="4" t="str">
        <f>"14483"</f>
        <v>14483</v>
      </c>
      <c r="E172" s="4" t="str">
        <f t="shared" si="4"/>
        <v>FE14483</v>
      </c>
      <c r="F172" s="7">
        <v>44319</v>
      </c>
      <c r="G172" s="7">
        <v>44326</v>
      </c>
      <c r="H172" s="34">
        <v>181246</v>
      </c>
      <c r="I172" s="31">
        <v>181246</v>
      </c>
      <c r="J172" s="31">
        <f t="shared" si="5"/>
        <v>0</v>
      </c>
      <c r="K172" s="2"/>
      <c r="N172" s="32">
        <v>181246</v>
      </c>
      <c r="Q172" s="34">
        <v>181246</v>
      </c>
      <c r="R172" s="45"/>
      <c r="S172" s="4" t="str">
        <f>IFERROR(VLOOKUP(E172,'[2]td factu si'!$A:$B,1,0),0)</f>
        <v>FE14483</v>
      </c>
      <c r="T172" s="2">
        <f>IFERROR(VLOOKUP(E172,'[2]td factu si'!$A:$B,2,0),0)*-1</f>
        <v>181246</v>
      </c>
      <c r="U172" s="40"/>
      <c r="W172" s="36"/>
      <c r="Z172" s="42"/>
      <c r="AH172" s="3">
        <v>0</v>
      </c>
      <c r="AJ172" s="3">
        <v>0</v>
      </c>
    </row>
    <row r="173" spans="1:36" x14ac:dyDescent="0.25">
      <c r="A173">
        <v>165</v>
      </c>
      <c r="B173" s="29" t="s">
        <v>45</v>
      </c>
      <c r="C173" s="29" t="s">
        <v>46</v>
      </c>
      <c r="D173" s="4" t="str">
        <f>"14485"</f>
        <v>14485</v>
      </c>
      <c r="E173" s="4" t="str">
        <f t="shared" si="4"/>
        <v>FE14485</v>
      </c>
      <c r="F173" s="7">
        <v>44319</v>
      </c>
      <c r="G173" s="7">
        <v>44326</v>
      </c>
      <c r="H173" s="34">
        <v>339170</v>
      </c>
      <c r="I173" s="31">
        <v>300165</v>
      </c>
      <c r="J173" s="31">
        <f t="shared" si="5"/>
        <v>39005</v>
      </c>
      <c r="K173" s="2"/>
      <c r="N173" s="32">
        <v>0</v>
      </c>
      <c r="Q173" s="34">
        <v>0</v>
      </c>
      <c r="R173" s="45"/>
      <c r="S173" s="4">
        <f>IFERROR(VLOOKUP(E173,'[2]td factu si'!$A:$B,1,0),0)</f>
        <v>0</v>
      </c>
      <c r="T173" s="2">
        <f>IFERROR(VLOOKUP(E173,'[2]td factu si'!$A:$B,2,0),0)*-1</f>
        <v>0</v>
      </c>
      <c r="U173" s="33"/>
      <c r="W173" s="36"/>
      <c r="X173" s="6">
        <v>300165</v>
      </c>
      <c r="Z173" s="42"/>
      <c r="AH173" s="3">
        <v>0</v>
      </c>
      <c r="AJ173" s="3">
        <v>0</v>
      </c>
    </row>
    <row r="174" spans="1:36" x14ac:dyDescent="0.25">
      <c r="A174">
        <v>166</v>
      </c>
      <c r="B174" s="29" t="s">
        <v>45</v>
      </c>
      <c r="C174" s="29" t="s">
        <v>46</v>
      </c>
      <c r="D174" s="4" t="str">
        <f>"14497"</f>
        <v>14497</v>
      </c>
      <c r="E174" s="4" t="str">
        <f t="shared" si="4"/>
        <v>FE14497</v>
      </c>
      <c r="F174" s="7">
        <v>44320</v>
      </c>
      <c r="G174" s="7">
        <v>44326</v>
      </c>
      <c r="H174" s="34">
        <v>181246</v>
      </c>
      <c r="I174" s="31">
        <v>160403</v>
      </c>
      <c r="J174" s="31">
        <f t="shared" si="5"/>
        <v>20843</v>
      </c>
      <c r="K174" s="2"/>
      <c r="N174" s="32">
        <v>160403</v>
      </c>
      <c r="Q174" s="34">
        <v>160403</v>
      </c>
      <c r="R174" s="45"/>
      <c r="S174" s="4" t="str">
        <f>IFERROR(VLOOKUP(E174,'[2]td factu si'!$A:$B,1,0),0)</f>
        <v>FE14497</v>
      </c>
      <c r="T174" s="2">
        <f>IFERROR(VLOOKUP(E174,'[2]td factu si'!$A:$B,2,0),0)*-1</f>
        <v>160403</v>
      </c>
      <c r="U174" s="40"/>
      <c r="W174" s="36"/>
      <c r="Z174" s="42"/>
      <c r="AH174" s="3">
        <v>0</v>
      </c>
      <c r="AJ174" s="3">
        <v>0</v>
      </c>
    </row>
    <row r="175" spans="1:36" x14ac:dyDescent="0.25">
      <c r="A175">
        <v>167</v>
      </c>
      <c r="B175" s="29" t="s">
        <v>45</v>
      </c>
      <c r="C175" s="29" t="s">
        <v>46</v>
      </c>
      <c r="D175" s="4" t="str">
        <f>"14498"</f>
        <v>14498</v>
      </c>
      <c r="E175" s="4" t="str">
        <f t="shared" si="4"/>
        <v>FE14498</v>
      </c>
      <c r="F175" s="7">
        <v>44320</v>
      </c>
      <c r="G175" s="7">
        <v>44326</v>
      </c>
      <c r="H175" s="34">
        <v>181246</v>
      </c>
      <c r="I175" s="31">
        <v>163121</v>
      </c>
      <c r="J175" s="31">
        <f t="shared" si="5"/>
        <v>18125</v>
      </c>
      <c r="K175" s="2"/>
      <c r="N175" s="32">
        <v>163121</v>
      </c>
      <c r="Q175" s="34">
        <v>163121</v>
      </c>
      <c r="R175" s="45"/>
      <c r="S175" s="4" t="str">
        <f>IFERROR(VLOOKUP(E175,'[2]td factu si'!$A:$B,1,0),0)</f>
        <v>FE14498</v>
      </c>
      <c r="T175" s="2">
        <f>IFERROR(VLOOKUP(E175,'[2]td factu si'!$A:$B,2,0),0)*-1</f>
        <v>163121</v>
      </c>
      <c r="U175" s="40"/>
      <c r="W175" s="36"/>
      <c r="Z175" s="42"/>
      <c r="AH175" s="3">
        <v>0</v>
      </c>
      <c r="AJ175" s="3">
        <v>0</v>
      </c>
    </row>
    <row r="176" spans="1:36" x14ac:dyDescent="0.25">
      <c r="A176">
        <v>168</v>
      </c>
      <c r="B176" s="29" t="s">
        <v>45</v>
      </c>
      <c r="C176" s="29" t="s">
        <v>46</v>
      </c>
      <c r="D176" s="4" t="str">
        <f>"14517"</f>
        <v>14517</v>
      </c>
      <c r="E176" s="4" t="str">
        <f t="shared" si="4"/>
        <v>FE14517</v>
      </c>
      <c r="F176" s="7">
        <v>44321</v>
      </c>
      <c r="G176" s="7">
        <v>44326</v>
      </c>
      <c r="H176" s="34">
        <v>181246</v>
      </c>
      <c r="I176" s="31">
        <v>160403</v>
      </c>
      <c r="J176" s="31">
        <f t="shared" si="5"/>
        <v>20843</v>
      </c>
      <c r="K176" s="2"/>
      <c r="N176" s="32">
        <v>160403</v>
      </c>
      <c r="Q176" s="34">
        <v>160403</v>
      </c>
      <c r="R176" s="45"/>
      <c r="S176" s="4" t="str">
        <f>IFERROR(VLOOKUP(E176,'[2]td factu si'!$A:$B,1,0),0)</f>
        <v>FE14517</v>
      </c>
      <c r="T176" s="2">
        <f>IFERROR(VLOOKUP(E176,'[2]td factu si'!$A:$B,2,0),0)*-1</f>
        <v>160403</v>
      </c>
      <c r="U176" s="40"/>
      <c r="W176" s="36"/>
      <c r="Z176" s="42"/>
      <c r="AH176" s="3">
        <v>0</v>
      </c>
      <c r="AJ176" s="3">
        <v>0</v>
      </c>
    </row>
    <row r="177" spans="1:36" x14ac:dyDescent="0.25">
      <c r="A177">
        <v>169</v>
      </c>
      <c r="B177" s="29" t="s">
        <v>45</v>
      </c>
      <c r="C177" s="29" t="s">
        <v>46</v>
      </c>
      <c r="D177" s="4" t="str">
        <f>"14518"</f>
        <v>14518</v>
      </c>
      <c r="E177" s="4" t="str">
        <f t="shared" si="4"/>
        <v>FE14518</v>
      </c>
      <c r="F177" s="7">
        <v>44321</v>
      </c>
      <c r="G177" s="7">
        <v>44326</v>
      </c>
      <c r="H177" s="34">
        <v>181246</v>
      </c>
      <c r="I177" s="31">
        <v>181246</v>
      </c>
      <c r="J177" s="31">
        <f t="shared" si="5"/>
        <v>0</v>
      </c>
      <c r="K177" s="2"/>
      <c r="N177" s="32">
        <v>181246</v>
      </c>
      <c r="Q177" s="34">
        <v>181246</v>
      </c>
      <c r="R177" s="45"/>
      <c r="S177" s="4" t="str">
        <f>IFERROR(VLOOKUP(E177,'[2]td factu si'!$A:$B,1,0),0)</f>
        <v>FE14518</v>
      </c>
      <c r="T177" s="2">
        <f>IFERROR(VLOOKUP(E177,'[2]td factu si'!$A:$B,2,0),0)*-1</f>
        <v>181246</v>
      </c>
      <c r="U177" s="40"/>
      <c r="W177" s="36"/>
      <c r="Z177" s="42"/>
      <c r="AH177" s="3">
        <v>0</v>
      </c>
      <c r="AJ177" s="3">
        <v>0</v>
      </c>
    </row>
    <row r="178" spans="1:36" x14ac:dyDescent="0.25">
      <c r="A178">
        <v>170</v>
      </c>
      <c r="B178" s="29" t="s">
        <v>45</v>
      </c>
      <c r="C178" s="29" t="s">
        <v>46</v>
      </c>
      <c r="D178" s="4" t="str">
        <f>"14519"</f>
        <v>14519</v>
      </c>
      <c r="E178" s="4" t="str">
        <f t="shared" si="4"/>
        <v>FE14519</v>
      </c>
      <c r="F178" s="7">
        <v>44321</v>
      </c>
      <c r="G178" s="7">
        <v>44326</v>
      </c>
      <c r="H178" s="34">
        <v>181246</v>
      </c>
      <c r="I178" s="31">
        <v>181246</v>
      </c>
      <c r="J178" s="31">
        <f t="shared" si="5"/>
        <v>0</v>
      </c>
      <c r="K178" s="2"/>
      <c r="N178" s="32">
        <v>181246</v>
      </c>
      <c r="Q178" s="34">
        <v>181246</v>
      </c>
      <c r="R178" s="45"/>
      <c r="S178" s="4" t="str">
        <f>IFERROR(VLOOKUP(E178,'[2]td factu si'!$A:$B,1,0),0)</f>
        <v>FE14519</v>
      </c>
      <c r="T178" s="2">
        <f>IFERROR(VLOOKUP(E178,'[2]td factu si'!$A:$B,2,0),0)*-1</f>
        <v>181246</v>
      </c>
      <c r="U178" s="40"/>
      <c r="W178" s="36"/>
      <c r="Z178" s="42"/>
      <c r="AH178" s="3">
        <v>0</v>
      </c>
      <c r="AJ178" s="3">
        <v>0</v>
      </c>
    </row>
    <row r="179" spans="1:36" x14ac:dyDescent="0.25">
      <c r="A179">
        <v>171</v>
      </c>
      <c r="B179" s="29" t="s">
        <v>45</v>
      </c>
      <c r="C179" s="29" t="s">
        <v>46</v>
      </c>
      <c r="D179" s="4" t="str">
        <f>"14521"</f>
        <v>14521</v>
      </c>
      <c r="E179" s="4" t="str">
        <f t="shared" si="4"/>
        <v>FE14521</v>
      </c>
      <c r="F179" s="7">
        <v>44321</v>
      </c>
      <c r="G179" s="7">
        <v>44326</v>
      </c>
      <c r="H179" s="34">
        <v>181246</v>
      </c>
      <c r="I179" s="31">
        <v>181246</v>
      </c>
      <c r="J179" s="31">
        <f t="shared" si="5"/>
        <v>0</v>
      </c>
      <c r="K179" s="2"/>
      <c r="N179" s="32">
        <v>181246</v>
      </c>
      <c r="Q179" s="34">
        <v>181246</v>
      </c>
      <c r="R179" s="45"/>
      <c r="S179" s="4" t="str">
        <f>IFERROR(VLOOKUP(E179,'[2]td factu si'!$A:$B,1,0),0)</f>
        <v>FE14521</v>
      </c>
      <c r="T179" s="2">
        <f>IFERROR(VLOOKUP(E179,'[2]td factu si'!$A:$B,2,0),0)*-1</f>
        <v>181246</v>
      </c>
      <c r="U179" s="40"/>
      <c r="W179" s="36"/>
      <c r="Z179" s="42"/>
      <c r="AH179" s="3">
        <v>0</v>
      </c>
      <c r="AJ179" s="3">
        <v>0</v>
      </c>
    </row>
    <row r="180" spans="1:36" x14ac:dyDescent="0.25">
      <c r="A180">
        <v>172</v>
      </c>
      <c r="B180" s="29" t="s">
        <v>45</v>
      </c>
      <c r="C180" s="29" t="s">
        <v>46</v>
      </c>
      <c r="D180" s="4" t="str">
        <f>"14523"</f>
        <v>14523</v>
      </c>
      <c r="E180" s="4" t="str">
        <f t="shared" si="4"/>
        <v>FE14523</v>
      </c>
      <c r="F180" s="7">
        <v>44321</v>
      </c>
      <c r="G180" s="7">
        <v>44326</v>
      </c>
      <c r="H180" s="34">
        <v>181246</v>
      </c>
      <c r="I180" s="31">
        <v>181246</v>
      </c>
      <c r="J180" s="31">
        <f t="shared" si="5"/>
        <v>0</v>
      </c>
      <c r="K180" s="2"/>
      <c r="N180" s="32">
        <v>181246</v>
      </c>
      <c r="Q180" s="34">
        <v>181246</v>
      </c>
      <c r="R180" s="45"/>
      <c r="S180" s="4" t="str">
        <f>IFERROR(VLOOKUP(E180,'[2]td factu si'!$A:$B,1,0),0)</f>
        <v>FE14523</v>
      </c>
      <c r="T180" s="2">
        <f>IFERROR(VLOOKUP(E180,'[2]td factu si'!$A:$B,2,0),0)*-1</f>
        <v>181246</v>
      </c>
      <c r="U180" s="40"/>
      <c r="W180" s="36"/>
      <c r="AH180" s="3">
        <v>0</v>
      </c>
      <c r="AJ180" s="3">
        <v>0</v>
      </c>
    </row>
    <row r="181" spans="1:36" x14ac:dyDescent="0.25">
      <c r="A181">
        <v>173</v>
      </c>
      <c r="B181" s="29" t="s">
        <v>45</v>
      </c>
      <c r="C181" s="29" t="s">
        <v>46</v>
      </c>
      <c r="D181" s="4" t="str">
        <f>"14526"</f>
        <v>14526</v>
      </c>
      <c r="E181" s="4" t="str">
        <f t="shared" si="4"/>
        <v>FE14526</v>
      </c>
      <c r="F181" s="7">
        <v>44321</v>
      </c>
      <c r="G181" s="7">
        <v>44326</v>
      </c>
      <c r="H181" s="34">
        <v>181246</v>
      </c>
      <c r="I181" s="31">
        <v>181246</v>
      </c>
      <c r="J181" s="31">
        <f t="shared" si="5"/>
        <v>0</v>
      </c>
      <c r="K181" s="2"/>
      <c r="N181" s="32">
        <v>181246</v>
      </c>
      <c r="Q181" s="34">
        <v>181246</v>
      </c>
      <c r="R181" s="45"/>
      <c r="S181" s="4" t="str">
        <f>IFERROR(VLOOKUP(E181,'[2]td factu si'!$A:$B,1,0),0)</f>
        <v>FE14526</v>
      </c>
      <c r="T181" s="2">
        <f>IFERROR(VLOOKUP(E181,'[2]td factu si'!$A:$B,2,0),0)*-1</f>
        <v>181246</v>
      </c>
      <c r="U181" s="40"/>
      <c r="W181" s="36"/>
      <c r="Z181" s="42"/>
      <c r="AH181" s="3">
        <v>0</v>
      </c>
      <c r="AJ181" s="3">
        <v>0</v>
      </c>
    </row>
    <row r="182" spans="1:36" x14ac:dyDescent="0.25">
      <c r="A182">
        <v>174</v>
      </c>
      <c r="B182" s="29" t="s">
        <v>45</v>
      </c>
      <c r="C182" s="29" t="s">
        <v>46</v>
      </c>
      <c r="D182" s="4" t="str">
        <f>"14530"</f>
        <v>14530</v>
      </c>
      <c r="E182" s="4" t="str">
        <f t="shared" si="4"/>
        <v>FE14530</v>
      </c>
      <c r="F182" s="7">
        <v>44321</v>
      </c>
      <c r="G182" s="7">
        <v>44326</v>
      </c>
      <c r="H182" s="34">
        <v>339170</v>
      </c>
      <c r="I182" s="31">
        <v>339170</v>
      </c>
      <c r="J182" s="31">
        <f t="shared" si="5"/>
        <v>0</v>
      </c>
      <c r="K182" s="2"/>
      <c r="N182" s="32">
        <v>339170</v>
      </c>
      <c r="Q182" s="34">
        <v>339170</v>
      </c>
      <c r="R182" s="45"/>
      <c r="S182" s="4" t="str">
        <f>IFERROR(VLOOKUP(E182,'[2]td factu si'!$A:$B,1,0),0)</f>
        <v>FE14530</v>
      </c>
      <c r="T182" s="2">
        <f>IFERROR(VLOOKUP(E182,'[2]td factu si'!$A:$B,2,0),0)*-1</f>
        <v>339170</v>
      </c>
      <c r="U182" s="40"/>
      <c r="W182" s="36"/>
      <c r="Z182" s="42"/>
      <c r="AH182" s="3">
        <v>0</v>
      </c>
      <c r="AJ182" s="3">
        <v>0</v>
      </c>
    </row>
    <row r="183" spans="1:36" x14ac:dyDescent="0.25">
      <c r="A183">
        <v>175</v>
      </c>
      <c r="B183" s="29" t="s">
        <v>45</v>
      </c>
      <c r="C183" s="29" t="s">
        <v>46</v>
      </c>
      <c r="D183" s="4" t="str">
        <f>"14534"</f>
        <v>14534</v>
      </c>
      <c r="E183" s="4" t="str">
        <f t="shared" si="4"/>
        <v>FE14534</v>
      </c>
      <c r="F183" s="7">
        <v>44321</v>
      </c>
      <c r="G183" s="7">
        <v>44326</v>
      </c>
      <c r="H183" s="34">
        <v>181246</v>
      </c>
      <c r="I183" s="31">
        <v>181246</v>
      </c>
      <c r="J183" s="31">
        <f t="shared" si="5"/>
        <v>0</v>
      </c>
      <c r="K183" s="2"/>
      <c r="N183" s="32">
        <v>181246</v>
      </c>
      <c r="Q183" s="34">
        <v>181246</v>
      </c>
      <c r="R183" s="45"/>
      <c r="S183" s="4" t="str">
        <f>IFERROR(VLOOKUP(E183,'[2]td factu si'!$A:$B,1,0),0)</f>
        <v>FE14534</v>
      </c>
      <c r="T183" s="2">
        <f>IFERROR(VLOOKUP(E183,'[2]td factu si'!$A:$B,2,0),0)*-1</f>
        <v>181246</v>
      </c>
      <c r="U183" s="40"/>
      <c r="W183" s="36"/>
      <c r="Z183" s="42"/>
      <c r="AH183" s="3">
        <v>0</v>
      </c>
      <c r="AJ183" s="3">
        <v>0</v>
      </c>
    </row>
    <row r="184" spans="1:36" x14ac:dyDescent="0.25">
      <c r="A184">
        <v>176</v>
      </c>
      <c r="B184" s="29" t="s">
        <v>45</v>
      </c>
      <c r="C184" s="29" t="s">
        <v>46</v>
      </c>
      <c r="D184" s="4" t="str">
        <f>"14535"</f>
        <v>14535</v>
      </c>
      <c r="E184" s="4" t="str">
        <f t="shared" si="4"/>
        <v>FE14535</v>
      </c>
      <c r="F184" s="7">
        <v>44321</v>
      </c>
      <c r="G184" s="7">
        <v>44326</v>
      </c>
      <c r="H184" s="34">
        <v>196735</v>
      </c>
      <c r="I184" s="31">
        <v>196735</v>
      </c>
      <c r="J184" s="31">
        <f t="shared" si="5"/>
        <v>0</v>
      </c>
      <c r="K184" s="2"/>
      <c r="N184" s="32">
        <v>196735</v>
      </c>
      <c r="Q184" s="34">
        <v>196735</v>
      </c>
      <c r="R184" s="45"/>
      <c r="S184" s="4" t="str">
        <f>IFERROR(VLOOKUP(E184,'[2]td factu si'!$A:$B,1,0),0)</f>
        <v>FE14535</v>
      </c>
      <c r="T184" s="2">
        <f>IFERROR(VLOOKUP(E184,'[2]td factu si'!$A:$B,2,0),0)*-1</f>
        <v>196735</v>
      </c>
      <c r="U184" s="40"/>
      <c r="W184" s="36"/>
      <c r="Z184" s="42"/>
      <c r="AH184" s="3">
        <v>0</v>
      </c>
      <c r="AJ184" s="3">
        <v>0</v>
      </c>
    </row>
    <row r="185" spans="1:36" x14ac:dyDescent="0.25">
      <c r="A185">
        <v>177</v>
      </c>
      <c r="B185" s="29" t="s">
        <v>45</v>
      </c>
      <c r="C185" s="29" t="s">
        <v>46</v>
      </c>
      <c r="D185" s="4" t="str">
        <f>"14538"</f>
        <v>14538</v>
      </c>
      <c r="E185" s="4" t="str">
        <f t="shared" si="4"/>
        <v>FE14538</v>
      </c>
      <c r="F185" s="7">
        <v>44321</v>
      </c>
      <c r="G185" s="7">
        <v>44326</v>
      </c>
      <c r="H185" s="34">
        <v>181246</v>
      </c>
      <c r="I185" s="31">
        <v>181246</v>
      </c>
      <c r="J185" s="31">
        <f t="shared" si="5"/>
        <v>0</v>
      </c>
      <c r="K185" s="2"/>
      <c r="N185" s="32">
        <v>181246</v>
      </c>
      <c r="Q185" s="34">
        <v>181246</v>
      </c>
      <c r="R185" s="45"/>
      <c r="S185" s="4" t="str">
        <f>IFERROR(VLOOKUP(E185,'[2]td factu si'!$A:$B,1,0),0)</f>
        <v>FE14538</v>
      </c>
      <c r="T185" s="2">
        <f>IFERROR(VLOOKUP(E185,'[2]td factu si'!$A:$B,2,0),0)*-1</f>
        <v>181246</v>
      </c>
      <c r="U185" s="40"/>
      <c r="W185" s="36"/>
      <c r="Z185" s="42"/>
      <c r="AH185" s="3">
        <v>0</v>
      </c>
      <c r="AJ185" s="3">
        <v>0</v>
      </c>
    </row>
    <row r="186" spans="1:36" x14ac:dyDescent="0.25">
      <c r="A186">
        <v>178</v>
      </c>
      <c r="B186" s="29" t="s">
        <v>45</v>
      </c>
      <c r="C186" s="29" t="s">
        <v>46</v>
      </c>
      <c r="D186" s="4" t="str">
        <f>"14544"</f>
        <v>14544</v>
      </c>
      <c r="E186" s="4" t="str">
        <f t="shared" si="4"/>
        <v>FE14544</v>
      </c>
      <c r="F186" s="7">
        <v>44321</v>
      </c>
      <c r="G186" s="7">
        <v>44326</v>
      </c>
      <c r="H186" s="34">
        <v>196735</v>
      </c>
      <c r="I186" s="31">
        <v>196735</v>
      </c>
      <c r="J186" s="31">
        <f t="shared" si="5"/>
        <v>0</v>
      </c>
      <c r="K186" s="2"/>
      <c r="N186" s="32">
        <v>196735</v>
      </c>
      <c r="Q186" s="34">
        <v>196735</v>
      </c>
      <c r="R186" s="45"/>
      <c r="S186" s="4" t="str">
        <f>IFERROR(VLOOKUP(E186,'[2]td factu si'!$A:$B,1,0),0)</f>
        <v>FE14544</v>
      </c>
      <c r="T186" s="2">
        <f>IFERROR(VLOOKUP(E186,'[2]td factu si'!$A:$B,2,0),0)*-1</f>
        <v>196735</v>
      </c>
      <c r="U186" s="40"/>
      <c r="W186" s="36"/>
      <c r="Z186" s="42"/>
      <c r="AH186" s="3">
        <v>0</v>
      </c>
      <c r="AJ186" s="3">
        <v>0</v>
      </c>
    </row>
    <row r="187" spans="1:36" x14ac:dyDescent="0.25">
      <c r="A187">
        <v>179</v>
      </c>
      <c r="B187" s="29" t="s">
        <v>45</v>
      </c>
      <c r="C187" s="29" t="s">
        <v>46</v>
      </c>
      <c r="D187" s="4" t="str">
        <f>"14546"</f>
        <v>14546</v>
      </c>
      <c r="E187" s="4" t="str">
        <f t="shared" si="4"/>
        <v>FE14546</v>
      </c>
      <c r="F187" s="7">
        <v>44321</v>
      </c>
      <c r="G187" s="7">
        <v>44326</v>
      </c>
      <c r="H187" s="34">
        <v>181246</v>
      </c>
      <c r="I187" s="31">
        <v>181246</v>
      </c>
      <c r="J187" s="31">
        <f t="shared" si="5"/>
        <v>0</v>
      </c>
      <c r="K187" s="2"/>
      <c r="N187" s="32">
        <v>181246</v>
      </c>
      <c r="Q187" s="34">
        <v>181246</v>
      </c>
      <c r="R187" s="45"/>
      <c r="S187" s="4" t="str">
        <f>IFERROR(VLOOKUP(E187,'[2]td factu si'!$A:$B,1,0),0)</f>
        <v>FE14546</v>
      </c>
      <c r="T187" s="2">
        <f>IFERROR(VLOOKUP(E187,'[2]td factu si'!$A:$B,2,0),0)*-1</f>
        <v>181246</v>
      </c>
      <c r="U187" s="40"/>
      <c r="W187" s="36"/>
      <c r="Z187" s="42"/>
      <c r="AH187" s="3">
        <v>0</v>
      </c>
      <c r="AJ187" s="3">
        <v>0</v>
      </c>
    </row>
    <row r="188" spans="1:36" x14ac:dyDescent="0.25">
      <c r="A188">
        <v>180</v>
      </c>
      <c r="B188" s="29" t="s">
        <v>45</v>
      </c>
      <c r="C188" s="29" t="s">
        <v>46</v>
      </c>
      <c r="D188" s="4" t="str">
        <f>"14547"</f>
        <v>14547</v>
      </c>
      <c r="E188" s="4" t="str">
        <f t="shared" si="4"/>
        <v>FE14547</v>
      </c>
      <c r="F188" s="7">
        <v>44321</v>
      </c>
      <c r="G188" s="7">
        <v>44326</v>
      </c>
      <c r="H188" s="34">
        <v>181246</v>
      </c>
      <c r="I188" s="31">
        <v>181246</v>
      </c>
      <c r="J188" s="31">
        <f t="shared" si="5"/>
        <v>0</v>
      </c>
      <c r="K188" s="2"/>
      <c r="N188" s="32">
        <v>181246</v>
      </c>
      <c r="Q188" s="34">
        <v>181246</v>
      </c>
      <c r="R188" s="45"/>
      <c r="S188" s="4" t="str">
        <f>IFERROR(VLOOKUP(E188,'[2]td factu si'!$A:$B,1,0),0)</f>
        <v>FE14547</v>
      </c>
      <c r="T188" s="2">
        <f>IFERROR(VLOOKUP(E188,'[2]td factu si'!$A:$B,2,0),0)*-1</f>
        <v>181246</v>
      </c>
      <c r="U188" s="40"/>
      <c r="W188" s="36"/>
      <c r="Z188" s="42"/>
      <c r="AH188" s="3">
        <v>0</v>
      </c>
      <c r="AJ188" s="3">
        <v>0</v>
      </c>
    </row>
    <row r="189" spans="1:36" x14ac:dyDescent="0.25">
      <c r="A189">
        <v>181</v>
      </c>
      <c r="B189" s="29" t="s">
        <v>45</v>
      </c>
      <c r="C189" s="29" t="s">
        <v>46</v>
      </c>
      <c r="D189" s="4" t="str">
        <f>"14549"</f>
        <v>14549</v>
      </c>
      <c r="E189" s="4" t="str">
        <f t="shared" si="4"/>
        <v>FE14549</v>
      </c>
      <c r="F189" s="7">
        <v>44321</v>
      </c>
      <c r="G189" s="7">
        <v>44326</v>
      </c>
      <c r="H189" s="34">
        <v>181246</v>
      </c>
      <c r="I189" s="31">
        <v>160403</v>
      </c>
      <c r="J189" s="31">
        <f t="shared" si="5"/>
        <v>20843</v>
      </c>
      <c r="K189" s="2"/>
      <c r="N189" s="32">
        <v>160403</v>
      </c>
      <c r="Q189" s="34">
        <v>160403</v>
      </c>
      <c r="R189" s="45"/>
      <c r="S189" s="4" t="str">
        <f>IFERROR(VLOOKUP(E189,'[2]td factu si'!$A:$B,1,0),0)</f>
        <v>FE14549</v>
      </c>
      <c r="T189" s="2">
        <f>IFERROR(VLOOKUP(E189,'[2]td factu si'!$A:$B,2,0),0)*-1</f>
        <v>160403</v>
      </c>
      <c r="U189" s="40"/>
      <c r="W189" s="36"/>
      <c r="Z189" s="42"/>
      <c r="AH189" s="3">
        <v>0</v>
      </c>
      <c r="AJ189" s="3">
        <v>0</v>
      </c>
    </row>
    <row r="190" spans="1:36" x14ac:dyDescent="0.25">
      <c r="A190">
        <v>182</v>
      </c>
      <c r="B190" s="29" t="s">
        <v>45</v>
      </c>
      <c r="C190" s="29" t="s">
        <v>46</v>
      </c>
      <c r="D190" s="4" t="str">
        <f>"14551"</f>
        <v>14551</v>
      </c>
      <c r="E190" s="4" t="str">
        <f t="shared" si="4"/>
        <v>FE14551</v>
      </c>
      <c r="F190" s="7">
        <v>44321</v>
      </c>
      <c r="G190" s="7">
        <v>44326</v>
      </c>
      <c r="H190" s="34">
        <v>15490</v>
      </c>
      <c r="I190" s="31">
        <v>15490</v>
      </c>
      <c r="J190" s="31">
        <f t="shared" si="5"/>
        <v>0</v>
      </c>
      <c r="K190" s="2"/>
      <c r="N190" s="32">
        <v>15490</v>
      </c>
      <c r="Q190" s="34">
        <v>15490</v>
      </c>
      <c r="R190" s="45"/>
      <c r="S190" s="4" t="str">
        <f>IFERROR(VLOOKUP(E190,'[2]td factu si'!$A:$B,1,0),0)</f>
        <v>FE14551</v>
      </c>
      <c r="T190" s="2">
        <f>IFERROR(VLOOKUP(E190,'[2]td factu si'!$A:$B,2,0),0)*-1</f>
        <v>15490</v>
      </c>
      <c r="U190" s="40"/>
      <c r="W190" s="36"/>
      <c r="Z190" s="42"/>
      <c r="AH190" s="3">
        <v>0</v>
      </c>
      <c r="AJ190" s="3">
        <v>0</v>
      </c>
    </row>
    <row r="191" spans="1:36" x14ac:dyDescent="0.25">
      <c r="A191">
        <v>183</v>
      </c>
      <c r="B191" s="29" t="s">
        <v>45</v>
      </c>
      <c r="C191" s="29" t="s">
        <v>46</v>
      </c>
      <c r="D191" s="4" t="str">
        <f>"14561"</f>
        <v>14561</v>
      </c>
      <c r="E191" s="4" t="str">
        <f t="shared" si="4"/>
        <v>FE14561</v>
      </c>
      <c r="F191" s="7">
        <v>44322</v>
      </c>
      <c r="G191" s="7">
        <v>44326</v>
      </c>
      <c r="H191" s="34">
        <v>15489</v>
      </c>
      <c r="I191" s="31">
        <v>11989</v>
      </c>
      <c r="J191" s="31">
        <f t="shared" si="5"/>
        <v>3500</v>
      </c>
      <c r="K191" s="2"/>
      <c r="N191" s="32">
        <v>11989</v>
      </c>
      <c r="Q191" s="34">
        <v>11989</v>
      </c>
      <c r="R191" s="45"/>
      <c r="S191" s="4" t="str">
        <f>IFERROR(VLOOKUP(E191,'[2]td factu si'!$A:$B,1,0),0)</f>
        <v>FE14561</v>
      </c>
      <c r="T191" s="2">
        <f>IFERROR(VLOOKUP(E191,'[2]td factu si'!$A:$B,2,0),0)*-1</f>
        <v>11989</v>
      </c>
      <c r="U191" s="40"/>
      <c r="W191" s="36"/>
      <c r="Z191" s="42"/>
      <c r="AH191" s="3">
        <v>0</v>
      </c>
      <c r="AJ191" s="3">
        <v>0</v>
      </c>
    </row>
    <row r="192" spans="1:36" x14ac:dyDescent="0.25">
      <c r="A192">
        <v>184</v>
      </c>
      <c r="B192" s="29" t="s">
        <v>45</v>
      </c>
      <c r="C192" s="29" t="s">
        <v>46</v>
      </c>
      <c r="D192" s="4" t="str">
        <f>"14570"</f>
        <v>14570</v>
      </c>
      <c r="E192" s="4" t="str">
        <f t="shared" si="4"/>
        <v>FE14570</v>
      </c>
      <c r="F192" s="7">
        <v>44322</v>
      </c>
      <c r="G192" s="7">
        <v>44326</v>
      </c>
      <c r="H192" s="34">
        <v>181246</v>
      </c>
      <c r="I192" s="31">
        <v>163121</v>
      </c>
      <c r="J192" s="31">
        <f t="shared" si="5"/>
        <v>18125</v>
      </c>
      <c r="K192" s="2"/>
      <c r="N192" s="32">
        <v>163121</v>
      </c>
      <c r="Q192" s="34">
        <v>163121</v>
      </c>
      <c r="R192" s="45"/>
      <c r="S192" s="4" t="str">
        <f>IFERROR(VLOOKUP(E192,'[2]td factu si'!$A:$B,1,0),0)</f>
        <v>FE14570</v>
      </c>
      <c r="T192" s="2">
        <f>IFERROR(VLOOKUP(E192,'[2]td factu si'!$A:$B,2,0),0)*-1</f>
        <v>163121</v>
      </c>
      <c r="U192" s="40"/>
      <c r="W192" s="36"/>
      <c r="Z192" s="42"/>
      <c r="AH192" s="3">
        <v>0</v>
      </c>
      <c r="AJ192" s="3">
        <v>0</v>
      </c>
    </row>
    <row r="193" spans="1:36" x14ac:dyDescent="0.25">
      <c r="A193">
        <v>185</v>
      </c>
      <c r="B193" s="29" t="s">
        <v>45</v>
      </c>
      <c r="C193" s="29" t="s">
        <v>46</v>
      </c>
      <c r="D193" s="4" t="str">
        <f>"14571"</f>
        <v>14571</v>
      </c>
      <c r="E193" s="4" t="str">
        <f t="shared" si="4"/>
        <v>FE14571</v>
      </c>
      <c r="F193" s="7">
        <v>44322</v>
      </c>
      <c r="G193" s="7">
        <v>44326</v>
      </c>
      <c r="H193" s="34">
        <v>181246</v>
      </c>
      <c r="I193" s="31">
        <v>181246</v>
      </c>
      <c r="J193" s="31">
        <f t="shared" si="5"/>
        <v>0</v>
      </c>
      <c r="K193" s="2"/>
      <c r="N193" s="32">
        <v>181246</v>
      </c>
      <c r="Q193" s="34">
        <v>181246</v>
      </c>
      <c r="R193" s="45"/>
      <c r="S193" s="4" t="str">
        <f>IFERROR(VLOOKUP(E193,'[2]td factu si'!$A:$B,1,0),0)</f>
        <v>FE14571</v>
      </c>
      <c r="T193" s="2">
        <f>IFERROR(VLOOKUP(E193,'[2]td factu si'!$A:$B,2,0),0)*-1</f>
        <v>181246</v>
      </c>
      <c r="U193" s="40"/>
      <c r="W193" s="36"/>
      <c r="Z193" s="42"/>
      <c r="AH193" s="3">
        <v>0</v>
      </c>
      <c r="AJ193" s="3">
        <v>0</v>
      </c>
    </row>
    <row r="194" spans="1:36" x14ac:dyDescent="0.25">
      <c r="A194">
        <v>186</v>
      </c>
      <c r="B194" s="29" t="s">
        <v>45</v>
      </c>
      <c r="C194" s="29" t="s">
        <v>46</v>
      </c>
      <c r="D194" s="4" t="str">
        <f>"14594"</f>
        <v>14594</v>
      </c>
      <c r="E194" s="4" t="str">
        <f t="shared" si="4"/>
        <v>FE14594</v>
      </c>
      <c r="F194" s="7">
        <v>44322</v>
      </c>
      <c r="G194" s="7">
        <v>44326</v>
      </c>
      <c r="H194" s="34">
        <v>15489</v>
      </c>
      <c r="I194" s="31">
        <v>15489</v>
      </c>
      <c r="J194" s="31">
        <f t="shared" si="5"/>
        <v>0</v>
      </c>
      <c r="K194" s="2"/>
      <c r="N194" s="32">
        <v>15489</v>
      </c>
      <c r="Q194" s="34">
        <v>15489</v>
      </c>
      <c r="R194" s="45"/>
      <c r="S194" s="4" t="str">
        <f>IFERROR(VLOOKUP(E194,'[2]td factu si'!$A:$B,1,0),0)</f>
        <v>FE14594</v>
      </c>
      <c r="T194" s="2">
        <f>IFERROR(VLOOKUP(E194,'[2]td factu si'!$A:$B,2,0),0)*-1</f>
        <v>15489</v>
      </c>
      <c r="U194" s="40"/>
      <c r="W194" s="36"/>
      <c r="Z194" s="42"/>
      <c r="AH194" s="3">
        <v>0</v>
      </c>
      <c r="AJ194" s="3">
        <v>0</v>
      </c>
    </row>
    <row r="195" spans="1:36" x14ac:dyDescent="0.25">
      <c r="A195">
        <v>187</v>
      </c>
      <c r="B195" s="29" t="s">
        <v>45</v>
      </c>
      <c r="C195" s="29" t="s">
        <v>46</v>
      </c>
      <c r="D195" s="4" t="str">
        <f>"14596"</f>
        <v>14596</v>
      </c>
      <c r="E195" s="4" t="str">
        <f t="shared" si="4"/>
        <v>FE14596</v>
      </c>
      <c r="F195" s="7">
        <v>44322</v>
      </c>
      <c r="G195" s="7">
        <v>44326</v>
      </c>
      <c r="H195" s="34">
        <v>15489</v>
      </c>
      <c r="I195" s="31">
        <v>15489</v>
      </c>
      <c r="J195" s="31">
        <f t="shared" si="5"/>
        <v>0</v>
      </c>
      <c r="K195" s="2"/>
      <c r="N195" s="32">
        <v>15489</v>
      </c>
      <c r="Q195" s="34">
        <v>15489</v>
      </c>
      <c r="R195" s="45"/>
      <c r="S195" s="4" t="str">
        <f>IFERROR(VLOOKUP(E195,'[2]td factu si'!$A:$B,1,0),0)</f>
        <v>FE14596</v>
      </c>
      <c r="T195" s="2">
        <f>IFERROR(VLOOKUP(E195,'[2]td factu si'!$A:$B,2,0),0)*-1</f>
        <v>15489</v>
      </c>
      <c r="U195" s="40"/>
      <c r="W195" s="36"/>
      <c r="Z195" s="42"/>
      <c r="AH195" s="3">
        <v>0</v>
      </c>
      <c r="AJ195" s="3">
        <v>0</v>
      </c>
    </row>
    <row r="196" spans="1:36" x14ac:dyDescent="0.25">
      <c r="A196">
        <v>188</v>
      </c>
      <c r="B196" s="29" t="s">
        <v>45</v>
      </c>
      <c r="C196" s="29" t="s">
        <v>46</v>
      </c>
      <c r="D196" s="4" t="str">
        <f>"14606"</f>
        <v>14606</v>
      </c>
      <c r="E196" s="4" t="str">
        <f t="shared" si="4"/>
        <v>FE14606</v>
      </c>
      <c r="F196" s="7">
        <v>44322</v>
      </c>
      <c r="G196" s="7">
        <v>44326</v>
      </c>
      <c r="H196" s="34">
        <v>15489</v>
      </c>
      <c r="I196" s="31">
        <v>15489</v>
      </c>
      <c r="J196" s="31">
        <f t="shared" si="5"/>
        <v>0</v>
      </c>
      <c r="K196" s="2"/>
      <c r="N196" s="32">
        <v>15489</v>
      </c>
      <c r="Q196" s="34">
        <v>15489</v>
      </c>
      <c r="R196" s="45"/>
      <c r="S196" s="4" t="str">
        <f>IFERROR(VLOOKUP(E196,'[2]td factu si'!$A:$B,1,0),0)</f>
        <v>FE14606</v>
      </c>
      <c r="T196" s="2">
        <f>IFERROR(VLOOKUP(E196,'[2]td factu si'!$A:$B,2,0),0)*-1</f>
        <v>15489</v>
      </c>
      <c r="U196" s="40"/>
      <c r="W196" s="36"/>
      <c r="Z196" s="42"/>
      <c r="AH196" s="3">
        <v>0</v>
      </c>
      <c r="AJ196" s="3">
        <v>0</v>
      </c>
    </row>
    <row r="197" spans="1:36" x14ac:dyDescent="0.25">
      <c r="A197">
        <v>189</v>
      </c>
      <c r="B197" s="29" t="s">
        <v>45</v>
      </c>
      <c r="C197" s="29" t="s">
        <v>46</v>
      </c>
      <c r="D197" s="4" t="str">
        <f>"14617"</f>
        <v>14617</v>
      </c>
      <c r="E197" s="4" t="str">
        <f t="shared" si="4"/>
        <v>FE14617</v>
      </c>
      <c r="F197" s="7">
        <v>44323</v>
      </c>
      <c r="G197" s="7">
        <v>44326</v>
      </c>
      <c r="H197" s="34">
        <v>271710</v>
      </c>
      <c r="I197" s="31">
        <v>271710</v>
      </c>
      <c r="J197" s="31">
        <f t="shared" si="5"/>
        <v>0</v>
      </c>
      <c r="K197" s="2"/>
      <c r="N197" s="32">
        <v>271710</v>
      </c>
      <c r="Q197" s="34">
        <v>271710</v>
      </c>
      <c r="R197" s="45"/>
      <c r="S197" s="4" t="str">
        <f>IFERROR(VLOOKUP(E197,'[2]td factu si'!$A:$B,1,0),0)</f>
        <v>FE14617</v>
      </c>
      <c r="T197" s="2">
        <f>IFERROR(VLOOKUP(E197,'[2]td factu si'!$A:$B,2,0),0)*-1</f>
        <v>271710</v>
      </c>
      <c r="U197" s="40"/>
      <c r="W197" s="36"/>
      <c r="Z197" s="42"/>
      <c r="AH197" s="3">
        <v>0</v>
      </c>
      <c r="AJ197" s="3">
        <v>0</v>
      </c>
    </row>
    <row r="198" spans="1:36" x14ac:dyDescent="0.25">
      <c r="A198">
        <v>190</v>
      </c>
      <c r="B198" s="29" t="s">
        <v>45</v>
      </c>
      <c r="C198" s="29" t="s">
        <v>46</v>
      </c>
      <c r="D198" s="4" t="str">
        <f>"14621"</f>
        <v>14621</v>
      </c>
      <c r="E198" s="4" t="str">
        <f t="shared" si="4"/>
        <v>FE14621</v>
      </c>
      <c r="F198" s="7">
        <v>44323</v>
      </c>
      <c r="G198" s="7">
        <v>44326</v>
      </c>
      <c r="H198" s="34">
        <v>317101</v>
      </c>
      <c r="I198" s="31">
        <v>317101</v>
      </c>
      <c r="J198" s="31">
        <f t="shared" si="5"/>
        <v>0</v>
      </c>
      <c r="K198" s="2"/>
      <c r="N198" s="32">
        <v>317101</v>
      </c>
      <c r="Q198" s="34">
        <v>317101</v>
      </c>
      <c r="R198" s="45"/>
      <c r="S198" s="4" t="str">
        <f>IFERROR(VLOOKUP(E198,'[2]td factu si'!$A:$B,1,0),0)</f>
        <v>FE14621</v>
      </c>
      <c r="T198" s="2">
        <f>IFERROR(VLOOKUP(E198,'[2]td factu si'!$A:$B,2,0),0)*-1</f>
        <v>317101</v>
      </c>
      <c r="U198" s="40"/>
      <c r="W198" s="36"/>
      <c r="Z198" s="42"/>
      <c r="AH198" s="3">
        <v>0</v>
      </c>
      <c r="AJ198" s="3">
        <v>0</v>
      </c>
    </row>
    <row r="199" spans="1:36" x14ac:dyDescent="0.25">
      <c r="A199">
        <v>191</v>
      </c>
      <c r="B199" s="29" t="s">
        <v>45</v>
      </c>
      <c r="C199" s="29" t="s">
        <v>46</v>
      </c>
      <c r="D199" s="4" t="str">
        <f>"14625"</f>
        <v>14625</v>
      </c>
      <c r="E199" s="4" t="str">
        <f t="shared" si="4"/>
        <v>FE14625</v>
      </c>
      <c r="F199" s="7">
        <v>44323</v>
      </c>
      <c r="G199" s="7">
        <v>44326</v>
      </c>
      <c r="H199" s="34">
        <v>30979</v>
      </c>
      <c r="I199" s="31">
        <v>30979</v>
      </c>
      <c r="J199" s="31">
        <f t="shared" si="5"/>
        <v>0</v>
      </c>
      <c r="K199" s="2"/>
      <c r="N199" s="32">
        <v>30979</v>
      </c>
      <c r="Q199" s="34">
        <v>30979</v>
      </c>
      <c r="R199" s="45"/>
      <c r="S199" s="4" t="str">
        <f>IFERROR(VLOOKUP(E199,'[2]td factu si'!$A:$B,1,0),0)</f>
        <v>FE14625</v>
      </c>
      <c r="T199" s="2">
        <f>IFERROR(VLOOKUP(E199,'[2]td factu si'!$A:$B,2,0),0)*-1</f>
        <v>30979</v>
      </c>
      <c r="U199" s="40"/>
      <c r="W199" s="36"/>
      <c r="Z199" s="42"/>
      <c r="AH199" s="3">
        <v>0</v>
      </c>
      <c r="AJ199" s="3">
        <v>0</v>
      </c>
    </row>
    <row r="200" spans="1:36" x14ac:dyDescent="0.25">
      <c r="A200">
        <v>192</v>
      </c>
      <c r="B200" s="29" t="s">
        <v>45</v>
      </c>
      <c r="C200" s="29" t="s">
        <v>46</v>
      </c>
      <c r="D200" s="4" t="str">
        <f>"14644"</f>
        <v>14644</v>
      </c>
      <c r="E200" s="4" t="str">
        <f t="shared" si="4"/>
        <v>FE14644</v>
      </c>
      <c r="F200" s="7">
        <v>44323</v>
      </c>
      <c r="G200" s="7">
        <v>44326</v>
      </c>
      <c r="H200" s="34">
        <v>181246</v>
      </c>
      <c r="I200" s="31">
        <v>181246</v>
      </c>
      <c r="J200" s="31">
        <f t="shared" si="5"/>
        <v>0</v>
      </c>
      <c r="K200" s="2"/>
      <c r="N200" s="32">
        <v>181246</v>
      </c>
      <c r="Q200" s="34">
        <v>181246</v>
      </c>
      <c r="R200" s="45"/>
      <c r="S200" s="4" t="str">
        <f>IFERROR(VLOOKUP(E200,'[2]td factu si'!$A:$B,1,0),0)</f>
        <v>FE14644</v>
      </c>
      <c r="T200" s="2">
        <f>IFERROR(VLOOKUP(E200,'[2]td factu si'!$A:$B,2,0),0)*-1</f>
        <v>181246</v>
      </c>
      <c r="U200" s="40"/>
      <c r="W200" s="36"/>
      <c r="Z200" s="42"/>
      <c r="AH200" s="3">
        <v>0</v>
      </c>
      <c r="AJ200" s="3">
        <v>0</v>
      </c>
    </row>
    <row r="201" spans="1:36" x14ac:dyDescent="0.25">
      <c r="A201">
        <v>193</v>
      </c>
      <c r="B201" s="29" t="s">
        <v>45</v>
      </c>
      <c r="C201" s="29" t="s">
        <v>46</v>
      </c>
      <c r="D201" s="4" t="str">
        <f>"14647"</f>
        <v>14647</v>
      </c>
      <c r="E201" s="4" t="str">
        <f t="shared" si="4"/>
        <v>FE14647</v>
      </c>
      <c r="F201" s="7">
        <v>44323</v>
      </c>
      <c r="G201" s="7">
        <v>44326</v>
      </c>
      <c r="H201" s="34">
        <v>181246</v>
      </c>
      <c r="I201" s="31">
        <v>181246</v>
      </c>
      <c r="J201" s="31">
        <f t="shared" si="5"/>
        <v>0</v>
      </c>
      <c r="K201" s="2"/>
      <c r="N201" s="32">
        <v>181246</v>
      </c>
      <c r="Q201" s="34">
        <v>181246</v>
      </c>
      <c r="R201" s="45"/>
      <c r="S201" s="4" t="str">
        <f>IFERROR(VLOOKUP(E201,'[2]td factu si'!$A:$B,1,0),0)</f>
        <v>FE14647</v>
      </c>
      <c r="T201" s="2">
        <f>IFERROR(VLOOKUP(E201,'[2]td factu si'!$A:$B,2,0),0)*-1</f>
        <v>181246</v>
      </c>
      <c r="U201" s="40"/>
      <c r="W201" s="36"/>
      <c r="Z201" s="42"/>
      <c r="AH201" s="3">
        <v>0</v>
      </c>
      <c r="AJ201" s="3">
        <v>0</v>
      </c>
    </row>
    <row r="202" spans="1:36" x14ac:dyDescent="0.25">
      <c r="A202">
        <v>194</v>
      </c>
      <c r="B202" s="29" t="s">
        <v>45</v>
      </c>
      <c r="C202" s="29" t="s">
        <v>46</v>
      </c>
      <c r="D202" s="4" t="str">
        <f>"14651"</f>
        <v>14651</v>
      </c>
      <c r="E202" s="4" t="str">
        <f t="shared" ref="E202:E265" si="6">_xlfn.CONCAT(C202,D202)</f>
        <v>FE14651</v>
      </c>
      <c r="F202" s="7">
        <v>44323</v>
      </c>
      <c r="G202" s="7">
        <v>44326</v>
      </c>
      <c r="H202" s="34">
        <v>181246</v>
      </c>
      <c r="I202" s="31">
        <v>160403</v>
      </c>
      <c r="J202" s="31">
        <f t="shared" ref="J202:J265" si="7">+H202-I202</f>
        <v>20843</v>
      </c>
      <c r="K202" s="2"/>
      <c r="N202" s="32">
        <v>160403</v>
      </c>
      <c r="Q202" s="34">
        <v>160403</v>
      </c>
      <c r="R202" s="45"/>
      <c r="S202" s="4" t="str">
        <f>IFERROR(VLOOKUP(E202,'[2]td factu si'!$A:$B,1,0),0)</f>
        <v>FE14651</v>
      </c>
      <c r="T202" s="2">
        <f>IFERROR(VLOOKUP(E202,'[2]td factu si'!$A:$B,2,0),0)*-1</f>
        <v>160403</v>
      </c>
      <c r="U202" s="40"/>
      <c r="W202" s="36"/>
      <c r="Z202" s="42"/>
      <c r="AH202" s="3">
        <v>0</v>
      </c>
      <c r="AJ202" s="3">
        <v>0</v>
      </c>
    </row>
    <row r="203" spans="1:36" x14ac:dyDescent="0.25">
      <c r="A203">
        <v>195</v>
      </c>
      <c r="B203" s="29" t="s">
        <v>45</v>
      </c>
      <c r="C203" s="29" t="s">
        <v>46</v>
      </c>
      <c r="D203" s="4" t="str">
        <f>"14658"</f>
        <v>14658</v>
      </c>
      <c r="E203" s="4" t="str">
        <f t="shared" si="6"/>
        <v>FE14658</v>
      </c>
      <c r="F203" s="7">
        <v>44323</v>
      </c>
      <c r="G203" s="7">
        <v>44326</v>
      </c>
      <c r="H203" s="34">
        <v>122952</v>
      </c>
      <c r="I203" s="31">
        <v>122952</v>
      </c>
      <c r="J203" s="31">
        <f t="shared" si="7"/>
        <v>0</v>
      </c>
      <c r="K203" s="2"/>
      <c r="N203" s="32">
        <v>122952</v>
      </c>
      <c r="Q203" s="34">
        <v>122952</v>
      </c>
      <c r="R203" s="45"/>
      <c r="S203" s="4" t="str">
        <f>IFERROR(VLOOKUP(E203,'[2]td factu si'!$A:$B,1,0),0)</f>
        <v>FE14658</v>
      </c>
      <c r="T203" s="2">
        <f>IFERROR(VLOOKUP(E203,'[2]td factu si'!$A:$B,2,0),0)*-1</f>
        <v>122952</v>
      </c>
      <c r="U203" s="40"/>
      <c r="W203" s="36"/>
      <c r="Z203" s="42"/>
      <c r="AH203" s="3">
        <v>0</v>
      </c>
      <c r="AJ203" s="3">
        <v>0</v>
      </c>
    </row>
    <row r="204" spans="1:36" x14ac:dyDescent="0.25">
      <c r="A204">
        <v>196</v>
      </c>
      <c r="B204" s="29" t="s">
        <v>45</v>
      </c>
      <c r="C204" s="29" t="s">
        <v>46</v>
      </c>
      <c r="D204" s="4" t="str">
        <f>"14663"</f>
        <v>14663</v>
      </c>
      <c r="E204" s="4" t="str">
        <f t="shared" si="6"/>
        <v>FE14663</v>
      </c>
      <c r="F204" s="7">
        <v>44323</v>
      </c>
      <c r="G204" s="7">
        <v>44326</v>
      </c>
      <c r="H204" s="34">
        <v>181246</v>
      </c>
      <c r="I204" s="31">
        <v>177746</v>
      </c>
      <c r="J204" s="31">
        <f t="shared" si="7"/>
        <v>3500</v>
      </c>
      <c r="K204" s="2"/>
      <c r="N204" s="32">
        <v>177746</v>
      </c>
      <c r="Q204" s="34">
        <v>177746</v>
      </c>
      <c r="R204" s="45"/>
      <c r="S204" s="4" t="str">
        <f>IFERROR(VLOOKUP(E204,'[2]td factu si'!$A:$B,1,0),0)</f>
        <v>FE14663</v>
      </c>
      <c r="T204" s="2">
        <f>IFERROR(VLOOKUP(E204,'[2]td factu si'!$A:$B,2,0),0)*-1</f>
        <v>177746</v>
      </c>
      <c r="U204" s="40"/>
      <c r="W204" s="36"/>
      <c r="Z204" s="42"/>
      <c r="AH204" s="3">
        <v>0</v>
      </c>
      <c r="AJ204" s="3">
        <v>0</v>
      </c>
    </row>
    <row r="205" spans="1:36" x14ac:dyDescent="0.25">
      <c r="A205">
        <v>197</v>
      </c>
      <c r="B205" s="29" t="s">
        <v>45</v>
      </c>
      <c r="C205" s="29" t="s">
        <v>46</v>
      </c>
      <c r="D205" s="4" t="str">
        <f>"14669"</f>
        <v>14669</v>
      </c>
      <c r="E205" s="4" t="str">
        <f t="shared" si="6"/>
        <v>FE14669</v>
      </c>
      <c r="F205" s="7">
        <v>44323</v>
      </c>
      <c r="G205" s="7">
        <v>44326</v>
      </c>
      <c r="H205" s="34">
        <v>15489</v>
      </c>
      <c r="I205" s="31">
        <v>15489</v>
      </c>
      <c r="J205" s="31">
        <f t="shared" si="7"/>
        <v>0</v>
      </c>
      <c r="K205" s="2"/>
      <c r="N205" s="32">
        <v>15489</v>
      </c>
      <c r="Q205" s="34">
        <v>15489</v>
      </c>
      <c r="R205" s="45"/>
      <c r="S205" s="4" t="str">
        <f>IFERROR(VLOOKUP(E205,'[2]td factu si'!$A:$B,1,0),0)</f>
        <v>FE14669</v>
      </c>
      <c r="T205" s="2">
        <f>IFERROR(VLOOKUP(E205,'[2]td factu si'!$A:$B,2,0),0)*-1</f>
        <v>15489</v>
      </c>
      <c r="U205" s="40"/>
      <c r="W205" s="36"/>
      <c r="Z205" s="42"/>
      <c r="AH205" s="3">
        <v>0</v>
      </c>
      <c r="AJ205" s="3">
        <v>0</v>
      </c>
    </row>
    <row r="206" spans="1:36" x14ac:dyDescent="0.25">
      <c r="A206">
        <v>198</v>
      </c>
      <c r="B206" s="29" t="s">
        <v>45</v>
      </c>
      <c r="C206" s="29" t="s">
        <v>46</v>
      </c>
      <c r="D206" s="4" t="str">
        <f>"14670"</f>
        <v>14670</v>
      </c>
      <c r="E206" s="4" t="str">
        <f t="shared" si="6"/>
        <v>FE14670</v>
      </c>
      <c r="F206" s="7">
        <v>44323</v>
      </c>
      <c r="G206" s="7">
        <v>44326</v>
      </c>
      <c r="H206" s="34">
        <v>15489</v>
      </c>
      <c r="I206" s="31">
        <v>15489</v>
      </c>
      <c r="J206" s="31">
        <f t="shared" si="7"/>
        <v>0</v>
      </c>
      <c r="K206" s="2"/>
      <c r="N206" s="32">
        <v>15489</v>
      </c>
      <c r="Q206" s="34">
        <v>15489</v>
      </c>
      <c r="R206" s="45"/>
      <c r="S206" s="4" t="str">
        <f>IFERROR(VLOOKUP(E206,'[2]td factu si'!$A:$B,1,0),0)</f>
        <v>FE14670</v>
      </c>
      <c r="T206" s="2">
        <f>IFERROR(VLOOKUP(E206,'[2]td factu si'!$A:$B,2,0),0)*-1</f>
        <v>15489</v>
      </c>
      <c r="U206" s="40"/>
      <c r="W206" s="36"/>
      <c r="Z206" s="42"/>
      <c r="AH206" s="3">
        <v>0</v>
      </c>
      <c r="AJ206" s="3">
        <v>0</v>
      </c>
    </row>
    <row r="207" spans="1:36" x14ac:dyDescent="0.25">
      <c r="A207">
        <v>199</v>
      </c>
      <c r="B207" s="29" t="s">
        <v>45</v>
      </c>
      <c r="C207" s="29" t="s">
        <v>46</v>
      </c>
      <c r="D207" s="4" t="str">
        <f>"14671"</f>
        <v>14671</v>
      </c>
      <c r="E207" s="4" t="str">
        <f t="shared" si="6"/>
        <v>FE14671</v>
      </c>
      <c r="F207" s="7">
        <v>44323</v>
      </c>
      <c r="G207" s="7">
        <v>44326</v>
      </c>
      <c r="H207" s="34">
        <v>15489</v>
      </c>
      <c r="I207" s="31">
        <v>15489</v>
      </c>
      <c r="J207" s="31">
        <f t="shared" si="7"/>
        <v>0</v>
      </c>
      <c r="K207" s="2"/>
      <c r="N207" s="32">
        <v>15489</v>
      </c>
      <c r="Q207" s="34">
        <v>15489</v>
      </c>
      <c r="R207" s="45"/>
      <c r="S207" s="4" t="str">
        <f>IFERROR(VLOOKUP(E207,'[2]td factu si'!$A:$B,1,0),0)</f>
        <v>FE14671</v>
      </c>
      <c r="T207" s="2">
        <f>IFERROR(VLOOKUP(E207,'[2]td factu si'!$A:$B,2,0),0)*-1</f>
        <v>15489</v>
      </c>
      <c r="U207" s="40"/>
      <c r="W207" s="36"/>
      <c r="Z207" s="42"/>
      <c r="AH207" s="3">
        <v>0</v>
      </c>
      <c r="AJ207" s="3">
        <v>0</v>
      </c>
    </row>
    <row r="208" spans="1:36" x14ac:dyDescent="0.25">
      <c r="A208">
        <v>200</v>
      </c>
      <c r="B208" s="29" t="s">
        <v>45</v>
      </c>
      <c r="C208" s="29" t="s">
        <v>46</v>
      </c>
      <c r="D208" s="4" t="str">
        <f>"14672"</f>
        <v>14672</v>
      </c>
      <c r="E208" s="4" t="str">
        <f t="shared" si="6"/>
        <v>FE14672</v>
      </c>
      <c r="F208" s="7">
        <v>44323</v>
      </c>
      <c r="G208" s="7">
        <v>44326</v>
      </c>
      <c r="H208" s="34">
        <v>15489</v>
      </c>
      <c r="I208" s="31">
        <v>15489</v>
      </c>
      <c r="J208" s="31">
        <f t="shared" si="7"/>
        <v>0</v>
      </c>
      <c r="K208" s="2"/>
      <c r="N208" s="32">
        <v>15489</v>
      </c>
      <c r="Q208" s="34">
        <v>15489</v>
      </c>
      <c r="R208" s="45"/>
      <c r="S208" s="4" t="str">
        <f>IFERROR(VLOOKUP(E208,'[2]td factu si'!$A:$B,1,0),0)</f>
        <v>FE14672</v>
      </c>
      <c r="T208" s="2">
        <f>IFERROR(VLOOKUP(E208,'[2]td factu si'!$A:$B,2,0),0)*-1</f>
        <v>15489</v>
      </c>
      <c r="U208" s="40"/>
      <c r="W208" s="36"/>
      <c r="Z208" s="42"/>
      <c r="AH208" s="3">
        <v>0</v>
      </c>
      <c r="AJ208" s="3">
        <v>0</v>
      </c>
    </row>
    <row r="209" spans="1:36" x14ac:dyDescent="0.25">
      <c r="A209">
        <v>201</v>
      </c>
      <c r="B209" s="29" t="s">
        <v>45</v>
      </c>
      <c r="C209" s="29" t="s">
        <v>46</v>
      </c>
      <c r="D209" s="4" t="str">
        <f>"14674"</f>
        <v>14674</v>
      </c>
      <c r="E209" s="4" t="str">
        <f t="shared" si="6"/>
        <v>FE14674</v>
      </c>
      <c r="F209" s="7">
        <v>44323</v>
      </c>
      <c r="G209" s="7">
        <v>44326</v>
      </c>
      <c r="H209" s="34">
        <v>15489</v>
      </c>
      <c r="I209" s="31">
        <v>15489</v>
      </c>
      <c r="J209" s="31">
        <f t="shared" si="7"/>
        <v>0</v>
      </c>
      <c r="K209" s="2"/>
      <c r="N209" s="32">
        <v>15489</v>
      </c>
      <c r="Q209" s="34">
        <v>15489</v>
      </c>
      <c r="R209" s="45"/>
      <c r="S209" s="4" t="str">
        <f>IFERROR(VLOOKUP(E209,'[2]td factu si'!$A:$B,1,0),0)</f>
        <v>FE14674</v>
      </c>
      <c r="T209" s="2">
        <f>IFERROR(VLOOKUP(E209,'[2]td factu si'!$A:$B,2,0),0)*-1</f>
        <v>15489</v>
      </c>
      <c r="U209" s="40"/>
      <c r="W209" s="36"/>
      <c r="Z209" s="42"/>
      <c r="AH209" s="3">
        <v>0</v>
      </c>
      <c r="AJ209" s="3">
        <v>0</v>
      </c>
    </row>
    <row r="210" spans="1:36" x14ac:dyDescent="0.25">
      <c r="A210">
        <v>202</v>
      </c>
      <c r="B210" s="29" t="s">
        <v>45</v>
      </c>
      <c r="C210" s="29" t="s">
        <v>46</v>
      </c>
      <c r="D210" s="4" t="str">
        <f>"14676"</f>
        <v>14676</v>
      </c>
      <c r="E210" s="4" t="str">
        <f t="shared" si="6"/>
        <v>FE14676</v>
      </c>
      <c r="F210" s="7">
        <v>44323</v>
      </c>
      <c r="G210" s="7">
        <v>44326</v>
      </c>
      <c r="H210" s="34">
        <v>15489</v>
      </c>
      <c r="I210" s="31">
        <v>15489</v>
      </c>
      <c r="J210" s="31">
        <f t="shared" si="7"/>
        <v>0</v>
      </c>
      <c r="K210" s="2"/>
      <c r="N210" s="32">
        <v>15489</v>
      </c>
      <c r="Q210" s="34">
        <v>15489</v>
      </c>
      <c r="R210" s="45"/>
      <c r="S210" s="4" t="str">
        <f>IFERROR(VLOOKUP(E210,'[2]td factu si'!$A:$B,1,0),0)</f>
        <v>FE14676</v>
      </c>
      <c r="T210" s="2">
        <f>IFERROR(VLOOKUP(E210,'[2]td factu si'!$A:$B,2,0),0)*-1</f>
        <v>15489</v>
      </c>
      <c r="U210" s="40"/>
      <c r="W210" s="36"/>
      <c r="Z210" s="42"/>
      <c r="AH210" s="3">
        <v>0</v>
      </c>
      <c r="AJ210" s="3">
        <v>0</v>
      </c>
    </row>
    <row r="211" spans="1:36" x14ac:dyDescent="0.25">
      <c r="A211">
        <v>203</v>
      </c>
      <c r="B211" s="29" t="s">
        <v>45</v>
      </c>
      <c r="C211" s="29" t="s">
        <v>46</v>
      </c>
      <c r="D211" s="4" t="str">
        <f>"14678"</f>
        <v>14678</v>
      </c>
      <c r="E211" s="4" t="str">
        <f t="shared" si="6"/>
        <v>FE14678</v>
      </c>
      <c r="F211" s="7">
        <v>44323</v>
      </c>
      <c r="G211" s="7">
        <v>44326</v>
      </c>
      <c r="H211" s="34">
        <v>15489</v>
      </c>
      <c r="I211" s="31">
        <v>11989</v>
      </c>
      <c r="J211" s="31">
        <f t="shared" si="7"/>
        <v>3500</v>
      </c>
      <c r="K211" s="2"/>
      <c r="N211" s="32">
        <v>11989</v>
      </c>
      <c r="Q211" s="34">
        <v>11989</v>
      </c>
      <c r="R211" s="45"/>
      <c r="S211" s="4" t="str">
        <f>IFERROR(VLOOKUP(E211,'[2]td factu si'!$A:$B,1,0),0)</f>
        <v>FE14678</v>
      </c>
      <c r="T211" s="2">
        <f>IFERROR(VLOOKUP(E211,'[2]td factu si'!$A:$B,2,0),0)*-1</f>
        <v>11989</v>
      </c>
      <c r="U211" s="40"/>
      <c r="W211" s="36"/>
      <c r="Z211" s="42"/>
      <c r="AH211" s="3">
        <v>0</v>
      </c>
      <c r="AJ211" s="3">
        <v>0</v>
      </c>
    </row>
    <row r="212" spans="1:36" x14ac:dyDescent="0.25">
      <c r="A212">
        <v>204</v>
      </c>
      <c r="B212" s="29" t="s">
        <v>45</v>
      </c>
      <c r="C212" s="29" t="s">
        <v>46</v>
      </c>
      <c r="D212" s="4" t="str">
        <f>"14694"</f>
        <v>14694</v>
      </c>
      <c r="E212" s="4" t="str">
        <f t="shared" si="6"/>
        <v>FE14694</v>
      </c>
      <c r="F212" s="7">
        <v>44324</v>
      </c>
      <c r="G212" s="7">
        <v>44326</v>
      </c>
      <c r="H212" s="34">
        <v>339170</v>
      </c>
      <c r="I212" s="31">
        <v>339170</v>
      </c>
      <c r="J212" s="31">
        <f t="shared" si="7"/>
        <v>0</v>
      </c>
      <c r="K212" s="2"/>
      <c r="N212" s="32">
        <v>339170</v>
      </c>
      <c r="Q212" s="34">
        <v>339170</v>
      </c>
      <c r="R212" s="45"/>
      <c r="S212" s="4" t="str">
        <f>IFERROR(VLOOKUP(E212,'[2]td factu si'!$A:$B,1,0),0)</f>
        <v>FE14694</v>
      </c>
      <c r="T212" s="2">
        <f>IFERROR(VLOOKUP(E212,'[2]td factu si'!$A:$B,2,0),0)*-1</f>
        <v>339170</v>
      </c>
      <c r="U212" s="40"/>
      <c r="W212" s="36"/>
      <c r="Z212" s="42"/>
      <c r="AH212" s="3">
        <v>0</v>
      </c>
      <c r="AJ212" s="3">
        <v>0</v>
      </c>
    </row>
    <row r="213" spans="1:36" x14ac:dyDescent="0.25">
      <c r="A213">
        <v>205</v>
      </c>
      <c r="B213" s="29" t="s">
        <v>45</v>
      </c>
      <c r="C213" s="29" t="s">
        <v>46</v>
      </c>
      <c r="D213" s="4" t="str">
        <f>"14695"</f>
        <v>14695</v>
      </c>
      <c r="E213" s="4" t="str">
        <f t="shared" si="6"/>
        <v>FE14695</v>
      </c>
      <c r="F213" s="7">
        <v>44324</v>
      </c>
      <c r="G213" s="7">
        <v>44326</v>
      </c>
      <c r="H213" s="34">
        <v>15489</v>
      </c>
      <c r="I213" s="31">
        <v>15489</v>
      </c>
      <c r="J213" s="31">
        <f t="shared" si="7"/>
        <v>0</v>
      </c>
      <c r="K213" s="2"/>
      <c r="N213" s="32">
        <v>15489</v>
      </c>
      <c r="Q213" s="34">
        <v>15489</v>
      </c>
      <c r="R213" s="45"/>
      <c r="S213" s="4" t="str">
        <f>IFERROR(VLOOKUP(E213,'[2]td factu si'!$A:$B,1,0),0)</f>
        <v>FE14695</v>
      </c>
      <c r="T213" s="2">
        <f>IFERROR(VLOOKUP(E213,'[2]td factu si'!$A:$B,2,0),0)*-1</f>
        <v>15489</v>
      </c>
      <c r="U213" s="40"/>
      <c r="W213" s="36"/>
      <c r="Z213" s="42"/>
      <c r="AH213" s="3">
        <v>0</v>
      </c>
      <c r="AJ213" s="3">
        <v>0</v>
      </c>
    </row>
    <row r="214" spans="1:36" x14ac:dyDescent="0.25">
      <c r="A214">
        <v>206</v>
      </c>
      <c r="B214" s="29" t="s">
        <v>45</v>
      </c>
      <c r="C214" s="29" t="s">
        <v>46</v>
      </c>
      <c r="D214" s="4" t="str">
        <f>"14696"</f>
        <v>14696</v>
      </c>
      <c r="E214" s="4" t="str">
        <f t="shared" si="6"/>
        <v>FE14696</v>
      </c>
      <c r="F214" s="7">
        <v>44324</v>
      </c>
      <c r="G214" s="7">
        <v>44326</v>
      </c>
      <c r="H214" s="34">
        <v>15489</v>
      </c>
      <c r="I214" s="31">
        <v>15489</v>
      </c>
      <c r="J214" s="31">
        <f t="shared" si="7"/>
        <v>0</v>
      </c>
      <c r="K214" s="2"/>
      <c r="N214" s="32">
        <v>15489</v>
      </c>
      <c r="Q214" s="34">
        <v>15489</v>
      </c>
      <c r="R214" s="45"/>
      <c r="S214" s="4" t="str">
        <f>IFERROR(VLOOKUP(E214,'[2]td factu si'!$A:$B,1,0),0)</f>
        <v>FE14696</v>
      </c>
      <c r="T214" s="2">
        <f>IFERROR(VLOOKUP(E214,'[2]td factu si'!$A:$B,2,0),0)*-1</f>
        <v>15489</v>
      </c>
      <c r="U214" s="40"/>
      <c r="W214" s="36"/>
      <c r="Z214" s="42"/>
      <c r="AH214" s="3">
        <v>0</v>
      </c>
      <c r="AJ214" s="3">
        <v>0</v>
      </c>
    </row>
    <row r="215" spans="1:36" x14ac:dyDescent="0.25">
      <c r="A215">
        <v>207</v>
      </c>
      <c r="B215" s="29" t="s">
        <v>45</v>
      </c>
      <c r="C215" s="29" t="s">
        <v>46</v>
      </c>
      <c r="D215" s="4" t="str">
        <f>"14706"</f>
        <v>14706</v>
      </c>
      <c r="E215" s="4" t="str">
        <f t="shared" si="6"/>
        <v>FE14706</v>
      </c>
      <c r="F215" s="7">
        <v>44326</v>
      </c>
      <c r="G215" s="7">
        <v>44326</v>
      </c>
      <c r="H215" s="34">
        <v>15489</v>
      </c>
      <c r="I215" s="31">
        <v>15489</v>
      </c>
      <c r="J215" s="31">
        <f t="shared" si="7"/>
        <v>0</v>
      </c>
      <c r="K215" s="2"/>
      <c r="N215" s="32">
        <v>15489</v>
      </c>
      <c r="Q215" s="34">
        <v>15489</v>
      </c>
      <c r="R215" s="45"/>
      <c r="S215" s="4" t="str">
        <f>IFERROR(VLOOKUP(E215,'[2]td factu si'!$A:$B,1,0),0)</f>
        <v>FE14706</v>
      </c>
      <c r="T215" s="2">
        <f>IFERROR(VLOOKUP(E215,'[2]td factu si'!$A:$B,2,0),0)*-1</f>
        <v>15489</v>
      </c>
      <c r="U215" s="40"/>
      <c r="W215" s="36"/>
      <c r="Z215" s="42"/>
      <c r="AH215" s="3">
        <v>0</v>
      </c>
      <c r="AJ215" s="3">
        <v>0</v>
      </c>
    </row>
    <row r="216" spans="1:36" x14ac:dyDescent="0.25">
      <c r="A216">
        <v>208</v>
      </c>
      <c r="B216" s="29" t="s">
        <v>45</v>
      </c>
      <c r="C216" s="29" t="s">
        <v>46</v>
      </c>
      <c r="D216" s="4" t="str">
        <f>"14708"</f>
        <v>14708</v>
      </c>
      <c r="E216" s="4" t="str">
        <f t="shared" si="6"/>
        <v>FE14708</v>
      </c>
      <c r="F216" s="7">
        <v>44326</v>
      </c>
      <c r="G216" s="7">
        <v>44350</v>
      </c>
      <c r="H216" s="34">
        <v>1155082</v>
      </c>
      <c r="I216" s="31">
        <v>1155082</v>
      </c>
      <c r="J216" s="31">
        <f t="shared" si="7"/>
        <v>0</v>
      </c>
      <c r="K216" s="2"/>
      <c r="N216" s="32">
        <v>1155082</v>
      </c>
      <c r="Q216" s="34">
        <v>1155082</v>
      </c>
      <c r="R216" s="45"/>
      <c r="S216" s="4" t="str">
        <f>IFERROR(VLOOKUP(E216,'[2]td factu si'!$A:$B,1,0),0)</f>
        <v>FE14708</v>
      </c>
      <c r="T216" s="2">
        <f>IFERROR(VLOOKUP(E216,'[2]td factu si'!$A:$B,2,0),0)*-1</f>
        <v>1155082</v>
      </c>
      <c r="U216" s="40"/>
      <c r="W216" s="36"/>
      <c r="Z216" s="42"/>
      <c r="AH216" s="3">
        <v>0</v>
      </c>
      <c r="AJ216" s="3">
        <v>0</v>
      </c>
    </row>
    <row r="217" spans="1:36" x14ac:dyDescent="0.25">
      <c r="A217">
        <v>209</v>
      </c>
      <c r="B217" s="29" t="s">
        <v>45</v>
      </c>
      <c r="C217" s="29" t="s">
        <v>46</v>
      </c>
      <c r="D217" s="4" t="str">
        <f>"14709"</f>
        <v>14709</v>
      </c>
      <c r="E217" s="4" t="str">
        <f t="shared" si="6"/>
        <v>FE14709</v>
      </c>
      <c r="F217" s="7">
        <v>44326</v>
      </c>
      <c r="G217" s="7">
        <v>44350</v>
      </c>
      <c r="H217" s="34">
        <v>4740633</v>
      </c>
      <c r="I217" s="31">
        <v>4740633</v>
      </c>
      <c r="J217" s="31">
        <f t="shared" si="7"/>
        <v>0</v>
      </c>
      <c r="K217" s="2"/>
      <c r="N217" s="32">
        <v>4740633</v>
      </c>
      <c r="Q217" s="34">
        <v>4740633</v>
      </c>
      <c r="R217" s="45"/>
      <c r="S217" s="4" t="str">
        <f>IFERROR(VLOOKUP(E217,'[2]td factu si'!$A:$B,1,0),0)</f>
        <v>FE14709</v>
      </c>
      <c r="T217" s="2">
        <f>IFERROR(VLOOKUP(E217,'[2]td factu si'!$A:$B,2,0),0)*-1</f>
        <v>4740633</v>
      </c>
      <c r="U217" s="40"/>
      <c r="W217" s="36"/>
      <c r="Z217" s="42"/>
      <c r="AH217" s="3">
        <v>0</v>
      </c>
      <c r="AJ217" s="3">
        <v>0</v>
      </c>
    </row>
    <row r="218" spans="1:36" x14ac:dyDescent="0.25">
      <c r="A218">
        <v>210</v>
      </c>
      <c r="B218" s="29" t="s">
        <v>45</v>
      </c>
      <c r="C218" s="29" t="s">
        <v>46</v>
      </c>
      <c r="D218" s="4" t="str">
        <f>"14724"</f>
        <v>14724</v>
      </c>
      <c r="E218" s="4" t="str">
        <f t="shared" si="6"/>
        <v>FE14724</v>
      </c>
      <c r="F218" s="7">
        <v>44326</v>
      </c>
      <c r="G218" s="7">
        <v>44350</v>
      </c>
      <c r="H218" s="34">
        <v>339170</v>
      </c>
      <c r="I218" s="31">
        <v>339170</v>
      </c>
      <c r="J218" s="31">
        <f t="shared" si="7"/>
        <v>0</v>
      </c>
      <c r="K218" s="2"/>
      <c r="N218" s="32">
        <v>0</v>
      </c>
      <c r="Q218" s="34">
        <v>0</v>
      </c>
      <c r="R218" s="45"/>
      <c r="S218" s="4" t="str">
        <f>IFERROR(VLOOKUP(E218,'[2]td factu si'!$A:$B,1,0),0)</f>
        <v>FE14724</v>
      </c>
      <c r="T218" s="2">
        <f>IFERROR(VLOOKUP(E218,'[2]td factu si'!$A:$B,2,0),0)*-1</f>
        <v>339170</v>
      </c>
      <c r="U218" s="33"/>
      <c r="W218" s="36"/>
      <c r="X218" s="6">
        <v>339170</v>
      </c>
      <c r="Z218" s="42"/>
      <c r="AH218" s="3">
        <v>0</v>
      </c>
      <c r="AJ218" s="3">
        <v>0</v>
      </c>
    </row>
    <row r="219" spans="1:36" x14ac:dyDescent="0.25">
      <c r="A219">
        <v>211</v>
      </c>
      <c r="B219" s="29" t="s">
        <v>45</v>
      </c>
      <c r="C219" s="29" t="s">
        <v>46</v>
      </c>
      <c r="D219" s="4" t="str">
        <f>"14725"</f>
        <v>14725</v>
      </c>
      <c r="E219" s="4" t="str">
        <f t="shared" si="6"/>
        <v>FE14725</v>
      </c>
      <c r="F219" s="7">
        <v>44326</v>
      </c>
      <c r="G219" s="7">
        <v>44350</v>
      </c>
      <c r="H219" s="34">
        <v>181246</v>
      </c>
      <c r="I219" s="31">
        <v>177746</v>
      </c>
      <c r="J219" s="31">
        <f t="shared" si="7"/>
        <v>3500</v>
      </c>
      <c r="K219" s="2"/>
      <c r="N219" s="32">
        <v>0</v>
      </c>
      <c r="Q219" s="34">
        <v>0</v>
      </c>
      <c r="R219" s="45"/>
      <c r="S219" s="4">
        <f>IFERROR(VLOOKUP(E219,'[2]td factu si'!$A:$B,1,0),0)</f>
        <v>0</v>
      </c>
      <c r="T219" s="2">
        <f>IFERROR(VLOOKUP(E219,'[2]td factu si'!$A:$B,2,0),0)*-1</f>
        <v>0</v>
      </c>
      <c r="U219" s="33"/>
      <c r="W219" s="36"/>
      <c r="X219" s="6">
        <v>177746</v>
      </c>
      <c r="Z219" s="42"/>
      <c r="AH219" s="3">
        <v>0</v>
      </c>
      <c r="AJ219" s="3">
        <v>0</v>
      </c>
    </row>
    <row r="220" spans="1:36" x14ac:dyDescent="0.25">
      <c r="A220">
        <v>212</v>
      </c>
      <c r="B220" s="29" t="s">
        <v>45</v>
      </c>
      <c r="C220" s="29" t="s">
        <v>46</v>
      </c>
      <c r="D220" s="4" t="str">
        <f>"14736"</f>
        <v>14736</v>
      </c>
      <c r="E220" s="4" t="str">
        <f t="shared" si="6"/>
        <v>FE14736</v>
      </c>
      <c r="F220" s="7">
        <v>44326</v>
      </c>
      <c r="G220" s="7">
        <v>44326</v>
      </c>
      <c r="H220" s="34">
        <v>15489</v>
      </c>
      <c r="I220" s="31">
        <v>11989</v>
      </c>
      <c r="J220" s="31">
        <f t="shared" si="7"/>
        <v>3500</v>
      </c>
      <c r="K220" s="2"/>
      <c r="N220" s="32">
        <v>11989</v>
      </c>
      <c r="Q220" s="34">
        <v>11989</v>
      </c>
      <c r="R220" s="45"/>
      <c r="S220" s="4" t="str">
        <f>IFERROR(VLOOKUP(E220,'[2]td factu si'!$A:$B,1,0),0)</f>
        <v>FE14736</v>
      </c>
      <c r="T220" s="2">
        <f>IFERROR(VLOOKUP(E220,'[2]td factu si'!$A:$B,2,0),0)*-1</f>
        <v>11989</v>
      </c>
      <c r="U220" s="40"/>
      <c r="W220" s="36"/>
      <c r="Z220" s="42"/>
      <c r="AH220" s="3">
        <v>0</v>
      </c>
      <c r="AJ220" s="3">
        <v>0</v>
      </c>
    </row>
    <row r="221" spans="1:36" x14ac:dyDescent="0.25">
      <c r="A221">
        <v>213</v>
      </c>
      <c r="B221" s="29" t="s">
        <v>45</v>
      </c>
      <c r="C221" s="29" t="s">
        <v>46</v>
      </c>
      <c r="D221" s="4" t="str">
        <f>"14757"</f>
        <v>14757</v>
      </c>
      <c r="E221" s="4" t="str">
        <f t="shared" si="6"/>
        <v>FE14757</v>
      </c>
      <c r="F221" s="7">
        <v>44326</v>
      </c>
      <c r="G221" s="7">
        <v>44350</v>
      </c>
      <c r="H221" s="34">
        <v>416225</v>
      </c>
      <c r="I221" s="31">
        <v>416225</v>
      </c>
      <c r="J221" s="31">
        <f t="shared" si="7"/>
        <v>0</v>
      </c>
      <c r="K221" s="2"/>
      <c r="N221" s="32">
        <v>0</v>
      </c>
      <c r="Q221" s="34">
        <v>0</v>
      </c>
      <c r="R221" s="45"/>
      <c r="S221" s="4" t="str">
        <f>IFERROR(VLOOKUP(E221,'[2]td factu si'!$A:$B,1,0),0)</f>
        <v>FE14757</v>
      </c>
      <c r="T221" s="2">
        <f>IFERROR(VLOOKUP(E221,'[2]td factu si'!$A:$B,2,0),0)*-1</f>
        <v>416225</v>
      </c>
      <c r="W221" s="36"/>
      <c r="X221" s="6">
        <v>416225</v>
      </c>
      <c r="Z221" s="42"/>
      <c r="AH221" s="3">
        <v>0</v>
      </c>
      <c r="AJ221" s="3">
        <v>0</v>
      </c>
    </row>
    <row r="222" spans="1:36" x14ac:dyDescent="0.25">
      <c r="A222">
        <v>214</v>
      </c>
      <c r="B222" s="29" t="s">
        <v>45</v>
      </c>
      <c r="C222" s="29" t="s">
        <v>46</v>
      </c>
      <c r="D222" s="4" t="str">
        <f>"14768"</f>
        <v>14768</v>
      </c>
      <c r="E222" s="4" t="str">
        <f t="shared" si="6"/>
        <v>FE14768</v>
      </c>
      <c r="F222" s="7">
        <v>44326</v>
      </c>
      <c r="G222" s="7">
        <v>44350</v>
      </c>
      <c r="H222" s="34">
        <v>15489</v>
      </c>
      <c r="I222" s="31">
        <v>15489</v>
      </c>
      <c r="J222" s="31">
        <f t="shared" si="7"/>
        <v>0</v>
      </c>
      <c r="K222" s="2"/>
      <c r="N222" s="32">
        <v>15489</v>
      </c>
      <c r="Q222" s="34">
        <v>15489</v>
      </c>
      <c r="R222" s="45"/>
      <c r="S222" s="4" t="str">
        <f>IFERROR(VLOOKUP(E222,'[2]td factu si'!$A:$B,1,0),0)</f>
        <v>FE14768</v>
      </c>
      <c r="T222" s="2">
        <f>IFERROR(VLOOKUP(E222,'[2]td factu si'!$A:$B,2,0),0)*-1</f>
        <v>15489</v>
      </c>
      <c r="U222" s="40"/>
      <c r="W222" s="36"/>
      <c r="Z222" s="42"/>
      <c r="AH222" s="3">
        <v>0</v>
      </c>
      <c r="AJ222" s="3">
        <v>0</v>
      </c>
    </row>
    <row r="223" spans="1:36" x14ac:dyDescent="0.25">
      <c r="A223">
        <v>215</v>
      </c>
      <c r="B223" s="29" t="s">
        <v>45</v>
      </c>
      <c r="C223" s="29" t="s">
        <v>46</v>
      </c>
      <c r="D223" s="4" t="str">
        <f>"14779"</f>
        <v>14779</v>
      </c>
      <c r="E223" s="4" t="str">
        <f t="shared" si="6"/>
        <v>FE14779</v>
      </c>
      <c r="F223" s="7">
        <v>44327</v>
      </c>
      <c r="G223" s="7">
        <v>44350</v>
      </c>
      <c r="H223" s="34">
        <v>116393</v>
      </c>
      <c r="I223" s="31">
        <v>116393</v>
      </c>
      <c r="J223" s="31">
        <f t="shared" si="7"/>
        <v>0</v>
      </c>
      <c r="K223" s="2"/>
      <c r="N223" s="32">
        <v>116393</v>
      </c>
      <c r="Q223" s="34">
        <v>116393</v>
      </c>
      <c r="R223" s="45"/>
      <c r="S223" s="4" t="str">
        <f>IFERROR(VLOOKUP(E223,'[2]td factu si'!$A:$B,1,0),0)</f>
        <v>FE14779</v>
      </c>
      <c r="T223" s="2">
        <f>IFERROR(VLOOKUP(E223,'[2]td factu si'!$A:$B,2,0),0)*-1</f>
        <v>116393</v>
      </c>
      <c r="U223" s="40"/>
      <c r="W223" s="36"/>
      <c r="Z223" s="42"/>
      <c r="AH223" s="3">
        <v>0</v>
      </c>
      <c r="AJ223" s="3">
        <v>0</v>
      </c>
    </row>
    <row r="224" spans="1:36" x14ac:dyDescent="0.25">
      <c r="A224">
        <v>216</v>
      </c>
      <c r="B224" s="29" t="s">
        <v>45</v>
      </c>
      <c r="C224" s="29" t="s">
        <v>46</v>
      </c>
      <c r="D224" s="4" t="str">
        <f>"14785"</f>
        <v>14785</v>
      </c>
      <c r="E224" s="4" t="str">
        <f t="shared" si="6"/>
        <v>FE14785</v>
      </c>
      <c r="F224" s="7">
        <v>44327</v>
      </c>
      <c r="G224" s="7">
        <v>44350</v>
      </c>
      <c r="H224" s="34">
        <v>135855</v>
      </c>
      <c r="I224" s="31">
        <v>135855</v>
      </c>
      <c r="J224" s="31">
        <f t="shared" si="7"/>
        <v>0</v>
      </c>
      <c r="K224" s="2"/>
      <c r="N224" s="32">
        <v>135855</v>
      </c>
      <c r="Q224" s="34">
        <v>135855</v>
      </c>
      <c r="R224" s="45"/>
      <c r="S224" s="4" t="str">
        <f>IFERROR(VLOOKUP(E224,'[2]td factu si'!$A:$B,1,0),0)</f>
        <v>FE14785</v>
      </c>
      <c r="T224" s="2">
        <f>IFERROR(VLOOKUP(E224,'[2]td factu si'!$A:$B,2,0),0)*-1</f>
        <v>135855</v>
      </c>
      <c r="U224" s="40"/>
      <c r="W224" s="36"/>
      <c r="Z224" s="42"/>
      <c r="AH224" s="3">
        <v>0</v>
      </c>
      <c r="AJ224" s="3">
        <v>0</v>
      </c>
    </row>
    <row r="225" spans="1:36" x14ac:dyDescent="0.25">
      <c r="A225">
        <v>217</v>
      </c>
      <c r="B225" s="29" t="s">
        <v>45</v>
      </c>
      <c r="C225" s="29" t="s">
        <v>46</v>
      </c>
      <c r="D225" s="4" t="str">
        <f>"14786"</f>
        <v>14786</v>
      </c>
      <c r="E225" s="4" t="str">
        <f t="shared" si="6"/>
        <v>FE14786</v>
      </c>
      <c r="F225" s="7">
        <v>44327</v>
      </c>
      <c r="G225" s="7">
        <v>44350</v>
      </c>
      <c r="H225" s="34">
        <v>135855</v>
      </c>
      <c r="I225" s="31">
        <v>135855</v>
      </c>
      <c r="J225" s="31">
        <f t="shared" si="7"/>
        <v>0</v>
      </c>
      <c r="K225" s="2"/>
      <c r="N225" s="32">
        <v>135855</v>
      </c>
      <c r="Q225" s="34">
        <v>135855</v>
      </c>
      <c r="R225" s="45"/>
      <c r="S225" s="4" t="str">
        <f>IFERROR(VLOOKUP(E225,'[2]td factu si'!$A:$B,1,0),0)</f>
        <v>FE14786</v>
      </c>
      <c r="T225" s="2">
        <f>IFERROR(VLOOKUP(E225,'[2]td factu si'!$A:$B,2,0),0)*-1</f>
        <v>135855</v>
      </c>
      <c r="U225" s="40"/>
      <c r="W225" s="36"/>
      <c r="Z225" s="42"/>
      <c r="AH225" s="3">
        <v>0</v>
      </c>
      <c r="AJ225" s="3">
        <v>0</v>
      </c>
    </row>
    <row r="226" spans="1:36" x14ac:dyDescent="0.25">
      <c r="A226">
        <v>218</v>
      </c>
      <c r="B226" s="29" t="s">
        <v>45</v>
      </c>
      <c r="C226" s="29" t="s">
        <v>46</v>
      </c>
      <c r="D226" s="4" t="str">
        <f>"14789"</f>
        <v>14789</v>
      </c>
      <c r="E226" s="4" t="str">
        <f t="shared" si="6"/>
        <v>FE14789</v>
      </c>
      <c r="F226" s="7">
        <v>44327</v>
      </c>
      <c r="G226" s="7">
        <v>44350</v>
      </c>
      <c r="H226" s="34">
        <v>317101</v>
      </c>
      <c r="I226" s="31">
        <v>317101</v>
      </c>
      <c r="J226" s="31">
        <f t="shared" si="7"/>
        <v>0</v>
      </c>
      <c r="K226" s="2"/>
      <c r="N226" s="32">
        <v>317101</v>
      </c>
      <c r="Q226" s="34">
        <v>317101</v>
      </c>
      <c r="R226" s="45"/>
      <c r="S226" s="4" t="str">
        <f>IFERROR(VLOOKUP(E226,'[2]td factu si'!$A:$B,1,0),0)</f>
        <v>FE14789</v>
      </c>
      <c r="T226" s="2">
        <f>IFERROR(VLOOKUP(E226,'[2]td factu si'!$A:$B,2,0),0)*-1</f>
        <v>317101</v>
      </c>
      <c r="U226" s="40"/>
      <c r="W226" s="36"/>
      <c r="Z226" s="42"/>
      <c r="AH226" s="3">
        <v>0</v>
      </c>
      <c r="AJ226" s="3">
        <v>0</v>
      </c>
    </row>
    <row r="227" spans="1:36" x14ac:dyDescent="0.25">
      <c r="A227">
        <v>219</v>
      </c>
      <c r="B227" s="29" t="s">
        <v>45</v>
      </c>
      <c r="C227" s="29" t="s">
        <v>46</v>
      </c>
      <c r="D227" s="4" t="str">
        <f>"14790"</f>
        <v>14790</v>
      </c>
      <c r="E227" s="4" t="str">
        <f t="shared" si="6"/>
        <v>FE14790</v>
      </c>
      <c r="F227" s="7">
        <v>44327</v>
      </c>
      <c r="G227" s="7">
        <v>44351</v>
      </c>
      <c r="H227" s="34">
        <v>135855</v>
      </c>
      <c r="I227" s="31">
        <v>112352</v>
      </c>
      <c r="J227" s="31">
        <f t="shared" si="7"/>
        <v>23503</v>
      </c>
      <c r="K227" s="2"/>
      <c r="N227" s="32">
        <v>0</v>
      </c>
      <c r="Q227" s="34">
        <v>0</v>
      </c>
      <c r="R227" s="45"/>
      <c r="S227" s="4" t="str">
        <f>IFERROR(VLOOKUP(E227,'[2]td factu si'!$A:$B,1,0),0)</f>
        <v>FE14790</v>
      </c>
      <c r="T227" s="2">
        <f>IFERROR(VLOOKUP(E227,'[2]td factu si'!$A:$B,2,0),0)*-1</f>
        <v>112352</v>
      </c>
      <c r="W227" s="36"/>
      <c r="X227" s="6">
        <v>112352</v>
      </c>
      <c r="Z227" s="42"/>
      <c r="AH227" s="3">
        <v>0</v>
      </c>
      <c r="AJ227" s="3">
        <v>0</v>
      </c>
    </row>
    <row r="228" spans="1:36" x14ac:dyDescent="0.25">
      <c r="A228">
        <v>220</v>
      </c>
      <c r="B228" s="29" t="s">
        <v>45</v>
      </c>
      <c r="C228" s="29" t="s">
        <v>46</v>
      </c>
      <c r="D228" s="4" t="str">
        <f>"14794"</f>
        <v>14794</v>
      </c>
      <c r="E228" s="4" t="str">
        <f t="shared" si="6"/>
        <v>FE14794</v>
      </c>
      <c r="F228" s="7">
        <v>44327</v>
      </c>
      <c r="G228" s="7">
        <v>44350</v>
      </c>
      <c r="H228" s="34">
        <v>135855</v>
      </c>
      <c r="I228" s="31">
        <v>135855</v>
      </c>
      <c r="J228" s="31">
        <f t="shared" si="7"/>
        <v>0</v>
      </c>
      <c r="K228" s="2"/>
      <c r="N228" s="32">
        <v>135855</v>
      </c>
      <c r="Q228" s="34">
        <v>135855</v>
      </c>
      <c r="R228" s="45"/>
      <c r="S228" s="4" t="str">
        <f>IFERROR(VLOOKUP(E228,'[2]td factu si'!$A:$B,1,0),0)</f>
        <v>FE14794</v>
      </c>
      <c r="T228" s="2">
        <f>IFERROR(VLOOKUP(E228,'[2]td factu si'!$A:$B,2,0),0)*-1</f>
        <v>135855</v>
      </c>
      <c r="U228" s="40"/>
      <c r="W228" s="36"/>
      <c r="AH228" s="3">
        <v>0</v>
      </c>
      <c r="AJ228" s="3">
        <v>0</v>
      </c>
    </row>
    <row r="229" spans="1:36" x14ac:dyDescent="0.25">
      <c r="A229">
        <v>221</v>
      </c>
      <c r="B229" s="29" t="s">
        <v>45</v>
      </c>
      <c r="C229" s="29" t="s">
        <v>46</v>
      </c>
      <c r="D229" s="4" t="str">
        <f>"14795"</f>
        <v>14795</v>
      </c>
      <c r="E229" s="4" t="str">
        <f t="shared" si="6"/>
        <v>FE14795</v>
      </c>
      <c r="F229" s="7">
        <v>44327</v>
      </c>
      <c r="G229" s="7">
        <v>44350</v>
      </c>
      <c r="H229" s="34">
        <v>99124</v>
      </c>
      <c r="I229" s="31">
        <v>99124</v>
      </c>
      <c r="J229" s="31">
        <f t="shared" si="7"/>
        <v>0</v>
      </c>
      <c r="K229" s="2"/>
      <c r="N229" s="32">
        <v>0</v>
      </c>
      <c r="Q229" s="34">
        <v>0</v>
      </c>
      <c r="R229" s="45"/>
      <c r="S229" s="4" t="str">
        <f>IFERROR(VLOOKUP(E229,'[2]td factu si'!$A:$B,1,0),0)</f>
        <v>FE14795</v>
      </c>
      <c r="T229" s="2">
        <f>IFERROR(VLOOKUP(E229,'[2]td factu si'!$A:$B,2,0),0)*-1</f>
        <v>99124</v>
      </c>
      <c r="W229" s="36"/>
      <c r="X229" s="6">
        <v>99124</v>
      </c>
      <c r="AH229" s="3">
        <v>0</v>
      </c>
      <c r="AJ229" s="3">
        <v>0</v>
      </c>
    </row>
    <row r="230" spans="1:36" x14ac:dyDescent="0.25">
      <c r="A230">
        <v>222</v>
      </c>
      <c r="B230" s="29" t="s">
        <v>45</v>
      </c>
      <c r="C230" s="29" t="s">
        <v>46</v>
      </c>
      <c r="D230" s="4" t="str">
        <f>"14799"</f>
        <v>14799</v>
      </c>
      <c r="E230" s="4" t="str">
        <f t="shared" si="6"/>
        <v>FE14799</v>
      </c>
      <c r="F230" s="7">
        <v>44327</v>
      </c>
      <c r="G230" s="7">
        <v>44350</v>
      </c>
      <c r="H230" s="34">
        <v>181246</v>
      </c>
      <c r="I230" s="31">
        <v>181246</v>
      </c>
      <c r="J230" s="31">
        <f t="shared" si="7"/>
        <v>0</v>
      </c>
      <c r="K230" s="2"/>
      <c r="N230" s="32">
        <v>181246</v>
      </c>
      <c r="Q230" s="34">
        <v>181246</v>
      </c>
      <c r="R230" s="45"/>
      <c r="S230" s="4" t="str">
        <f>IFERROR(VLOOKUP(E230,'[2]td factu si'!$A:$B,1,0),0)</f>
        <v>FE14799</v>
      </c>
      <c r="T230" s="2">
        <f>IFERROR(VLOOKUP(E230,'[2]td factu si'!$A:$B,2,0),0)*-1</f>
        <v>181246</v>
      </c>
      <c r="U230" s="40"/>
      <c r="W230" s="36"/>
      <c r="AH230" s="3">
        <v>0</v>
      </c>
      <c r="AJ230" s="3">
        <v>0</v>
      </c>
    </row>
    <row r="231" spans="1:36" x14ac:dyDescent="0.25">
      <c r="A231">
        <v>223</v>
      </c>
      <c r="B231" s="29" t="s">
        <v>45</v>
      </c>
      <c r="C231" s="29" t="s">
        <v>46</v>
      </c>
      <c r="D231" s="4" t="str">
        <f>"14800"</f>
        <v>14800</v>
      </c>
      <c r="E231" s="4" t="str">
        <f t="shared" si="6"/>
        <v>FE14800</v>
      </c>
      <c r="F231" s="7">
        <v>44327</v>
      </c>
      <c r="G231" s="7">
        <v>44350</v>
      </c>
      <c r="H231" s="34">
        <v>15489</v>
      </c>
      <c r="I231" s="31">
        <v>15489</v>
      </c>
      <c r="J231" s="31">
        <f t="shared" si="7"/>
        <v>0</v>
      </c>
      <c r="K231" s="2"/>
      <c r="N231" s="32">
        <v>15489</v>
      </c>
      <c r="Q231" s="34">
        <v>15489</v>
      </c>
      <c r="R231" s="45"/>
      <c r="S231" s="4" t="str">
        <f>IFERROR(VLOOKUP(E231,'[2]td factu si'!$A:$B,1,0),0)</f>
        <v>FE14800</v>
      </c>
      <c r="T231" s="2">
        <f>IFERROR(VLOOKUP(E231,'[2]td factu si'!$A:$B,2,0),0)*-1</f>
        <v>15489</v>
      </c>
      <c r="U231" s="40"/>
      <c r="W231" s="36"/>
      <c r="AH231" s="3">
        <v>0</v>
      </c>
      <c r="AJ231" s="3">
        <v>0</v>
      </c>
    </row>
    <row r="232" spans="1:36" x14ac:dyDescent="0.25">
      <c r="A232">
        <v>224</v>
      </c>
      <c r="B232" s="29" t="s">
        <v>45</v>
      </c>
      <c r="C232" s="29" t="s">
        <v>46</v>
      </c>
      <c r="D232" s="4" t="str">
        <f>"14801"</f>
        <v>14801</v>
      </c>
      <c r="E232" s="4" t="str">
        <f t="shared" si="6"/>
        <v>FE14801</v>
      </c>
      <c r="F232" s="7">
        <v>44327</v>
      </c>
      <c r="G232" s="7">
        <v>44351</v>
      </c>
      <c r="H232" s="34">
        <v>15489</v>
      </c>
      <c r="I232" s="31">
        <v>11989</v>
      </c>
      <c r="J232" s="31">
        <f t="shared" si="7"/>
        <v>3500</v>
      </c>
      <c r="K232" s="2"/>
      <c r="N232" s="32">
        <v>0</v>
      </c>
      <c r="Q232" s="34">
        <v>0</v>
      </c>
      <c r="R232" s="45"/>
      <c r="S232" s="4" t="str">
        <f>IFERROR(VLOOKUP(E232,'[2]td factu si'!$A:$B,1,0),0)</f>
        <v>FE14801</v>
      </c>
      <c r="T232" s="2">
        <f>IFERROR(VLOOKUP(E232,'[2]td factu si'!$A:$B,2,0),0)*-1</f>
        <v>11989</v>
      </c>
      <c r="W232" s="36"/>
      <c r="X232" s="6">
        <v>11989</v>
      </c>
      <c r="AH232" s="3">
        <v>0</v>
      </c>
      <c r="AJ232" s="3">
        <v>0</v>
      </c>
    </row>
    <row r="233" spans="1:36" x14ac:dyDescent="0.25">
      <c r="A233">
        <v>225</v>
      </c>
      <c r="B233" s="29" t="s">
        <v>45</v>
      </c>
      <c r="C233" s="29" t="s">
        <v>46</v>
      </c>
      <c r="D233" s="4" t="str">
        <f>"14805"</f>
        <v>14805</v>
      </c>
      <c r="E233" s="4" t="str">
        <f t="shared" si="6"/>
        <v>FE14805</v>
      </c>
      <c r="F233" s="7">
        <v>44327</v>
      </c>
      <c r="G233" s="7">
        <v>44350</v>
      </c>
      <c r="H233" s="34">
        <v>250905</v>
      </c>
      <c r="I233" s="31">
        <v>250905</v>
      </c>
      <c r="J233" s="31">
        <f t="shared" si="7"/>
        <v>0</v>
      </c>
      <c r="K233" s="2"/>
      <c r="N233" s="32">
        <v>0</v>
      </c>
      <c r="Q233" s="34">
        <v>0</v>
      </c>
      <c r="R233" s="45"/>
      <c r="S233" s="4" t="str">
        <f>IFERROR(VLOOKUP(E233,'[2]td factu si'!$A:$B,1,0),0)</f>
        <v>FE14805</v>
      </c>
      <c r="T233" s="2">
        <f>IFERROR(VLOOKUP(E233,'[2]td factu si'!$A:$B,2,0),0)*-1</f>
        <v>250905</v>
      </c>
      <c r="W233" s="36"/>
      <c r="X233" s="6">
        <v>250905</v>
      </c>
      <c r="AH233" s="3">
        <v>0</v>
      </c>
      <c r="AJ233" s="3">
        <v>0</v>
      </c>
    </row>
    <row r="234" spans="1:36" x14ac:dyDescent="0.25">
      <c r="A234">
        <v>226</v>
      </c>
      <c r="B234" s="29" t="s">
        <v>45</v>
      </c>
      <c r="C234" s="29" t="s">
        <v>46</v>
      </c>
      <c r="D234" s="4" t="str">
        <f>"14814"</f>
        <v>14814</v>
      </c>
      <c r="E234" s="4" t="str">
        <f t="shared" si="6"/>
        <v>FE14814</v>
      </c>
      <c r="F234" s="7">
        <v>44327</v>
      </c>
      <c r="G234" s="7">
        <v>44350</v>
      </c>
      <c r="H234" s="34">
        <v>15489</v>
      </c>
      <c r="I234" s="31">
        <v>15489</v>
      </c>
      <c r="J234" s="31">
        <f t="shared" si="7"/>
        <v>0</v>
      </c>
      <c r="K234" s="2"/>
      <c r="N234" s="32">
        <v>0</v>
      </c>
      <c r="Q234" s="34">
        <v>0</v>
      </c>
      <c r="R234" s="45"/>
      <c r="S234" s="4" t="str">
        <f>IFERROR(VLOOKUP(E234,'[2]td factu si'!$A:$B,1,0),0)</f>
        <v>FE14814</v>
      </c>
      <c r="T234" s="2">
        <f>IFERROR(VLOOKUP(E234,'[2]td factu si'!$A:$B,2,0),0)*-1</f>
        <v>15489</v>
      </c>
      <c r="W234" s="36"/>
      <c r="X234" s="6">
        <v>15489</v>
      </c>
      <c r="AH234" s="3">
        <v>0</v>
      </c>
      <c r="AJ234" s="3">
        <v>0</v>
      </c>
    </row>
    <row r="235" spans="1:36" x14ac:dyDescent="0.25">
      <c r="A235">
        <v>227</v>
      </c>
      <c r="B235" s="29" t="s">
        <v>45</v>
      </c>
      <c r="C235" s="29" t="s">
        <v>46</v>
      </c>
      <c r="D235" s="4" t="str">
        <f>"14815"</f>
        <v>14815</v>
      </c>
      <c r="E235" s="4" t="str">
        <f t="shared" si="6"/>
        <v>FE14815</v>
      </c>
      <c r="F235" s="7">
        <v>44327</v>
      </c>
      <c r="G235" s="7">
        <v>44351</v>
      </c>
      <c r="H235" s="34">
        <v>15489</v>
      </c>
      <c r="I235" s="31">
        <v>11989</v>
      </c>
      <c r="J235" s="31">
        <f t="shared" si="7"/>
        <v>3500</v>
      </c>
      <c r="K235" s="2"/>
      <c r="N235" s="32">
        <v>0</v>
      </c>
      <c r="Q235" s="34">
        <v>0</v>
      </c>
      <c r="R235" s="45"/>
      <c r="S235" s="4" t="str">
        <f>IFERROR(VLOOKUP(E235,'[2]td factu si'!$A:$B,1,0),0)</f>
        <v>FE14815</v>
      </c>
      <c r="T235" s="2">
        <f>IFERROR(VLOOKUP(E235,'[2]td factu si'!$A:$B,2,0),0)*-1</f>
        <v>11989</v>
      </c>
      <c r="W235" s="36"/>
      <c r="X235" s="6">
        <v>11989</v>
      </c>
      <c r="AH235" s="3">
        <v>0</v>
      </c>
      <c r="AJ235" s="3">
        <v>0</v>
      </c>
    </row>
    <row r="236" spans="1:36" x14ac:dyDescent="0.25">
      <c r="A236">
        <v>228</v>
      </c>
      <c r="B236" s="29" t="s">
        <v>45</v>
      </c>
      <c r="C236" s="29" t="s">
        <v>46</v>
      </c>
      <c r="D236" s="4" t="str">
        <f>"14816"</f>
        <v>14816</v>
      </c>
      <c r="E236" s="4" t="str">
        <f t="shared" si="6"/>
        <v>FE14816</v>
      </c>
      <c r="F236" s="7">
        <v>44328</v>
      </c>
      <c r="G236" s="7">
        <v>44350</v>
      </c>
      <c r="H236" s="34">
        <v>196179</v>
      </c>
      <c r="I236" s="31">
        <v>196179</v>
      </c>
      <c r="J236" s="31">
        <f t="shared" si="7"/>
        <v>0</v>
      </c>
      <c r="K236" s="2"/>
      <c r="N236" s="32">
        <v>0</v>
      </c>
      <c r="Q236" s="34">
        <v>0</v>
      </c>
      <c r="R236" s="45"/>
      <c r="S236" s="4" t="str">
        <f>IFERROR(VLOOKUP(E236,'[2]td factu si'!$A:$B,1,0),0)</f>
        <v>FE14816</v>
      </c>
      <c r="T236" s="2">
        <f>IFERROR(VLOOKUP(E236,'[2]td factu si'!$A:$B,2,0),0)*-1</f>
        <v>196179</v>
      </c>
      <c r="W236" s="36"/>
      <c r="X236" s="6">
        <v>196179</v>
      </c>
      <c r="AH236" s="3">
        <v>0</v>
      </c>
      <c r="AJ236" s="3">
        <v>0</v>
      </c>
    </row>
    <row r="237" spans="1:36" x14ac:dyDescent="0.25">
      <c r="A237">
        <v>229</v>
      </c>
      <c r="B237" s="29" t="s">
        <v>45</v>
      </c>
      <c r="C237" s="29" t="s">
        <v>46</v>
      </c>
      <c r="D237" s="4" t="str">
        <f>"14821"</f>
        <v>14821</v>
      </c>
      <c r="E237" s="4" t="str">
        <f t="shared" si="6"/>
        <v>FE14821</v>
      </c>
      <c r="F237" s="7">
        <v>44328</v>
      </c>
      <c r="G237" s="7">
        <v>44350</v>
      </c>
      <c r="H237" s="34">
        <v>15489</v>
      </c>
      <c r="I237" s="31">
        <v>15489</v>
      </c>
      <c r="J237" s="31">
        <f t="shared" si="7"/>
        <v>0</v>
      </c>
      <c r="K237" s="2"/>
      <c r="N237" s="32">
        <v>0</v>
      </c>
      <c r="Q237" s="34">
        <v>0</v>
      </c>
      <c r="R237" s="45"/>
      <c r="S237" s="4" t="str">
        <f>IFERROR(VLOOKUP(E237,'[2]td factu si'!$A:$B,1,0),0)</f>
        <v>FE14821</v>
      </c>
      <c r="T237" s="2">
        <f>IFERROR(VLOOKUP(E237,'[2]td factu si'!$A:$B,2,0),0)*-1</f>
        <v>15489</v>
      </c>
      <c r="W237" s="36"/>
      <c r="X237" s="6">
        <v>15489</v>
      </c>
      <c r="AH237" s="3">
        <v>0</v>
      </c>
      <c r="AJ237" s="3">
        <v>0</v>
      </c>
    </row>
    <row r="238" spans="1:36" x14ac:dyDescent="0.25">
      <c r="A238">
        <v>230</v>
      </c>
      <c r="B238" s="29" t="s">
        <v>45</v>
      </c>
      <c r="C238" s="29" t="s">
        <v>46</v>
      </c>
      <c r="D238" s="4" t="str">
        <f>"14823"</f>
        <v>14823</v>
      </c>
      <c r="E238" s="4" t="str">
        <f t="shared" si="6"/>
        <v>FE14823</v>
      </c>
      <c r="F238" s="7">
        <v>44328</v>
      </c>
      <c r="G238" s="7">
        <v>44350</v>
      </c>
      <c r="H238" s="34">
        <v>15489</v>
      </c>
      <c r="I238" s="31">
        <v>15489</v>
      </c>
      <c r="J238" s="31">
        <f t="shared" si="7"/>
        <v>0</v>
      </c>
      <c r="K238" s="2"/>
      <c r="N238" s="32">
        <v>0</v>
      </c>
      <c r="Q238" s="34">
        <v>0</v>
      </c>
      <c r="R238" s="45"/>
      <c r="S238" s="4" t="str">
        <f>IFERROR(VLOOKUP(E238,'[2]td factu si'!$A:$B,1,0),0)</f>
        <v>FE14823</v>
      </c>
      <c r="T238" s="2">
        <f>IFERROR(VLOOKUP(E238,'[2]td factu si'!$A:$B,2,0),0)*-1</f>
        <v>15489</v>
      </c>
      <c r="W238" s="36"/>
      <c r="X238" s="6">
        <v>15489</v>
      </c>
      <c r="AH238" s="3">
        <v>0</v>
      </c>
      <c r="AJ238" s="3">
        <v>0</v>
      </c>
    </row>
    <row r="239" spans="1:36" x14ac:dyDescent="0.25">
      <c r="A239">
        <v>231</v>
      </c>
      <c r="B239" s="29" t="s">
        <v>45</v>
      </c>
      <c r="C239" s="29" t="s">
        <v>46</v>
      </c>
      <c r="D239" s="4" t="str">
        <f>"14824"</f>
        <v>14824</v>
      </c>
      <c r="E239" s="4" t="str">
        <f t="shared" si="6"/>
        <v>FE14824</v>
      </c>
      <c r="F239" s="7">
        <v>44328</v>
      </c>
      <c r="G239" s="7">
        <v>44351</v>
      </c>
      <c r="H239" s="34">
        <v>317101</v>
      </c>
      <c r="I239" s="31">
        <v>310101</v>
      </c>
      <c r="J239" s="31">
        <f t="shared" si="7"/>
        <v>7000</v>
      </c>
      <c r="K239" s="2"/>
      <c r="N239" s="32">
        <v>0</v>
      </c>
      <c r="Q239" s="34">
        <v>0</v>
      </c>
      <c r="R239" s="45"/>
      <c r="S239" s="4" t="str">
        <f>IFERROR(VLOOKUP(E239,'[2]td factu si'!$A:$B,1,0),0)</f>
        <v>FE14824</v>
      </c>
      <c r="T239" s="2">
        <f>IFERROR(VLOOKUP(E239,'[2]td factu si'!$A:$B,2,0),0)*-1</f>
        <v>310101</v>
      </c>
      <c r="W239" s="36"/>
      <c r="X239" s="6">
        <v>310101</v>
      </c>
      <c r="AH239" s="3">
        <v>0</v>
      </c>
      <c r="AJ239" s="3">
        <v>0</v>
      </c>
    </row>
    <row r="240" spans="1:36" x14ac:dyDescent="0.25">
      <c r="A240">
        <v>232</v>
      </c>
      <c r="B240" s="29" t="s">
        <v>45</v>
      </c>
      <c r="C240" s="29" t="s">
        <v>46</v>
      </c>
      <c r="D240" s="4" t="str">
        <f>"14826"</f>
        <v>14826</v>
      </c>
      <c r="E240" s="4" t="str">
        <f t="shared" si="6"/>
        <v>FE14826</v>
      </c>
      <c r="F240" s="7">
        <v>44328</v>
      </c>
      <c r="G240" s="7">
        <v>44350</v>
      </c>
      <c r="H240" s="34">
        <v>181246</v>
      </c>
      <c r="I240" s="31">
        <v>177746</v>
      </c>
      <c r="J240" s="31">
        <f t="shared" si="7"/>
        <v>3500</v>
      </c>
      <c r="K240" s="2"/>
      <c r="N240" s="32">
        <v>0</v>
      </c>
      <c r="Q240" s="34">
        <v>0</v>
      </c>
      <c r="R240" s="45"/>
      <c r="S240" s="4">
        <f>IFERROR(VLOOKUP(E240,'[2]td factu si'!$A:$B,1,0),0)</f>
        <v>0</v>
      </c>
      <c r="T240" s="2">
        <f>IFERROR(VLOOKUP(E240,'[2]td factu si'!$A:$B,2,0),0)*-1</f>
        <v>0</v>
      </c>
      <c r="W240" s="36"/>
      <c r="X240" s="6">
        <v>177746</v>
      </c>
      <c r="AH240" s="3">
        <v>0</v>
      </c>
      <c r="AJ240" s="3">
        <v>0</v>
      </c>
    </row>
    <row r="241" spans="1:36" x14ac:dyDescent="0.25">
      <c r="A241">
        <v>233</v>
      </c>
      <c r="B241" s="29" t="s">
        <v>45</v>
      </c>
      <c r="C241" s="29" t="s">
        <v>46</v>
      </c>
      <c r="D241" s="4" t="str">
        <f>"14827"</f>
        <v>14827</v>
      </c>
      <c r="E241" s="4" t="str">
        <f t="shared" si="6"/>
        <v>FE14827</v>
      </c>
      <c r="F241" s="7">
        <v>44328</v>
      </c>
      <c r="G241" s="7">
        <v>44350</v>
      </c>
      <c r="H241" s="34">
        <v>181246</v>
      </c>
      <c r="I241" s="31">
        <v>177746</v>
      </c>
      <c r="J241" s="31">
        <f t="shared" si="7"/>
        <v>3500</v>
      </c>
      <c r="K241" s="2"/>
      <c r="N241" s="32">
        <v>0</v>
      </c>
      <c r="Q241" s="34">
        <v>0</v>
      </c>
      <c r="R241" s="45"/>
      <c r="S241" s="4">
        <f>IFERROR(VLOOKUP(E241,'[2]td factu si'!$A:$B,1,0),0)</f>
        <v>0</v>
      </c>
      <c r="T241" s="2">
        <f>IFERROR(VLOOKUP(E241,'[2]td factu si'!$A:$B,2,0),0)*-1</f>
        <v>0</v>
      </c>
      <c r="W241" s="36"/>
      <c r="X241" s="6">
        <v>177746</v>
      </c>
      <c r="AH241" s="3">
        <v>0</v>
      </c>
      <c r="AJ241" s="3">
        <v>0</v>
      </c>
    </row>
    <row r="242" spans="1:36" x14ac:dyDescent="0.25">
      <c r="A242">
        <v>234</v>
      </c>
      <c r="B242" s="29" t="s">
        <v>45</v>
      </c>
      <c r="C242" s="29" t="s">
        <v>46</v>
      </c>
      <c r="D242" s="4" t="str">
        <f>"14829"</f>
        <v>14829</v>
      </c>
      <c r="E242" s="4" t="str">
        <f t="shared" si="6"/>
        <v>FE14829</v>
      </c>
      <c r="F242" s="7">
        <v>44328</v>
      </c>
      <c r="G242" s="7">
        <v>44350</v>
      </c>
      <c r="H242" s="34">
        <v>339170</v>
      </c>
      <c r="I242" s="31">
        <v>300165</v>
      </c>
      <c r="J242" s="31">
        <f t="shared" si="7"/>
        <v>39005</v>
      </c>
      <c r="K242" s="2"/>
      <c r="N242" s="32">
        <v>0</v>
      </c>
      <c r="Q242" s="34">
        <v>0</v>
      </c>
      <c r="R242" s="45"/>
      <c r="S242" s="4">
        <f>IFERROR(VLOOKUP(E242,'[2]td factu si'!$A:$B,1,0),0)</f>
        <v>0</v>
      </c>
      <c r="T242" s="2">
        <f>IFERROR(VLOOKUP(E242,'[2]td factu si'!$A:$B,2,0),0)*-1</f>
        <v>0</v>
      </c>
      <c r="W242" s="36"/>
      <c r="X242" s="6">
        <v>300165</v>
      </c>
      <c r="AH242" s="3">
        <v>0</v>
      </c>
      <c r="AJ242" s="3">
        <v>0</v>
      </c>
    </row>
    <row r="243" spans="1:36" x14ac:dyDescent="0.25">
      <c r="A243">
        <v>235</v>
      </c>
      <c r="B243" s="29" t="s">
        <v>45</v>
      </c>
      <c r="C243" s="29" t="s">
        <v>46</v>
      </c>
      <c r="D243" s="4" t="str">
        <f>"14833"</f>
        <v>14833</v>
      </c>
      <c r="E243" s="4" t="str">
        <f t="shared" si="6"/>
        <v>FE14833</v>
      </c>
      <c r="F243" s="7">
        <v>44328</v>
      </c>
      <c r="G243" s="7">
        <v>44350</v>
      </c>
      <c r="H243" s="34">
        <v>181246</v>
      </c>
      <c r="I243" s="31">
        <v>181246</v>
      </c>
      <c r="J243" s="31">
        <f t="shared" si="7"/>
        <v>0</v>
      </c>
      <c r="K243" s="2"/>
      <c r="N243" s="32">
        <v>0</v>
      </c>
      <c r="Q243" s="34">
        <v>0</v>
      </c>
      <c r="R243" s="45"/>
      <c r="S243" s="4" t="str">
        <f>IFERROR(VLOOKUP(E243,'[2]td factu si'!$A:$B,1,0),0)</f>
        <v>FE14833</v>
      </c>
      <c r="T243" s="2">
        <f>IFERROR(VLOOKUP(E243,'[2]td factu si'!$A:$B,2,0),0)*-1</f>
        <v>181246</v>
      </c>
      <c r="W243" s="36"/>
      <c r="X243" s="6">
        <v>181246</v>
      </c>
      <c r="AH243" s="3">
        <v>0</v>
      </c>
      <c r="AJ243" s="3">
        <v>0</v>
      </c>
    </row>
    <row r="244" spans="1:36" x14ac:dyDescent="0.25">
      <c r="A244">
        <v>236</v>
      </c>
      <c r="B244" s="29" t="s">
        <v>45</v>
      </c>
      <c r="C244" s="29" t="s">
        <v>46</v>
      </c>
      <c r="D244" s="4" t="str">
        <f>"14834"</f>
        <v>14834</v>
      </c>
      <c r="E244" s="4" t="str">
        <f t="shared" si="6"/>
        <v>FE14834</v>
      </c>
      <c r="F244" s="7">
        <v>44328</v>
      </c>
      <c r="G244" s="7">
        <v>44350</v>
      </c>
      <c r="H244" s="34">
        <v>135855</v>
      </c>
      <c r="I244" s="31">
        <v>135855</v>
      </c>
      <c r="J244" s="31">
        <f t="shared" si="7"/>
        <v>0</v>
      </c>
      <c r="K244" s="2"/>
      <c r="N244" s="32">
        <v>0</v>
      </c>
      <c r="Q244" s="34">
        <v>0</v>
      </c>
      <c r="R244" s="45"/>
      <c r="S244" s="4" t="str">
        <f>IFERROR(VLOOKUP(E244,'[2]td factu si'!$A:$B,1,0),0)</f>
        <v>FE14834</v>
      </c>
      <c r="T244" s="2">
        <f>IFERROR(VLOOKUP(E244,'[2]td factu si'!$A:$B,2,0),0)*-1</f>
        <v>135855</v>
      </c>
      <c r="W244" s="36"/>
      <c r="X244" s="6">
        <v>135855</v>
      </c>
      <c r="AH244" s="3">
        <v>0</v>
      </c>
      <c r="AJ244" s="3">
        <v>0</v>
      </c>
    </row>
    <row r="245" spans="1:36" x14ac:dyDescent="0.25">
      <c r="A245">
        <v>237</v>
      </c>
      <c r="B245" s="29" t="s">
        <v>45</v>
      </c>
      <c r="C245" s="29" t="s">
        <v>46</v>
      </c>
      <c r="D245" s="4" t="str">
        <f>"14835"</f>
        <v>14835</v>
      </c>
      <c r="E245" s="4" t="str">
        <f t="shared" si="6"/>
        <v>FE14835</v>
      </c>
      <c r="F245" s="7">
        <v>44328</v>
      </c>
      <c r="G245" s="7">
        <v>44350</v>
      </c>
      <c r="H245" s="34">
        <v>181246</v>
      </c>
      <c r="I245" s="31">
        <v>177746</v>
      </c>
      <c r="J245" s="31">
        <f t="shared" si="7"/>
        <v>3500</v>
      </c>
      <c r="K245" s="2"/>
      <c r="N245" s="32">
        <v>0</v>
      </c>
      <c r="Q245" s="34">
        <v>0</v>
      </c>
      <c r="R245" s="45"/>
      <c r="S245" s="4">
        <f>IFERROR(VLOOKUP(E245,'[2]td factu si'!$A:$B,1,0),0)</f>
        <v>0</v>
      </c>
      <c r="T245" s="2">
        <f>IFERROR(VLOOKUP(E245,'[2]td factu si'!$A:$B,2,0),0)*-1</f>
        <v>0</v>
      </c>
      <c r="W245" s="36"/>
      <c r="X245" s="6">
        <v>177746</v>
      </c>
      <c r="AH245" s="3">
        <v>0</v>
      </c>
      <c r="AJ245" s="3">
        <v>0</v>
      </c>
    </row>
    <row r="246" spans="1:36" x14ac:dyDescent="0.25">
      <c r="A246">
        <v>238</v>
      </c>
      <c r="B246" s="29" t="s">
        <v>45</v>
      </c>
      <c r="C246" s="29" t="s">
        <v>46</v>
      </c>
      <c r="D246" s="4" t="str">
        <f>"14836"</f>
        <v>14836</v>
      </c>
      <c r="E246" s="4" t="str">
        <f t="shared" si="6"/>
        <v>FE14836</v>
      </c>
      <c r="F246" s="7">
        <v>44328</v>
      </c>
      <c r="G246" s="7">
        <v>44350</v>
      </c>
      <c r="H246" s="34">
        <v>135855</v>
      </c>
      <c r="I246" s="31">
        <v>135855</v>
      </c>
      <c r="J246" s="31">
        <f t="shared" si="7"/>
        <v>0</v>
      </c>
      <c r="K246" s="2"/>
      <c r="N246" s="32">
        <v>0</v>
      </c>
      <c r="Q246" s="34">
        <v>0</v>
      </c>
      <c r="R246" s="45"/>
      <c r="S246" s="4" t="str">
        <f>IFERROR(VLOOKUP(E246,'[2]td factu si'!$A:$B,1,0),0)</f>
        <v>FE14836</v>
      </c>
      <c r="T246" s="2">
        <f>IFERROR(VLOOKUP(E246,'[2]td factu si'!$A:$B,2,0),0)*-1</f>
        <v>135855</v>
      </c>
      <c r="W246" s="36"/>
      <c r="X246" s="6">
        <v>135855</v>
      </c>
      <c r="AH246" s="3">
        <v>0</v>
      </c>
      <c r="AJ246" s="3">
        <v>0</v>
      </c>
    </row>
    <row r="247" spans="1:36" x14ac:dyDescent="0.25">
      <c r="A247">
        <v>239</v>
      </c>
      <c r="B247" s="29" t="s">
        <v>45</v>
      </c>
      <c r="C247" s="29" t="s">
        <v>46</v>
      </c>
      <c r="D247" s="4" t="str">
        <f>"14839"</f>
        <v>14839</v>
      </c>
      <c r="E247" s="4" t="str">
        <f t="shared" si="6"/>
        <v>FE14839</v>
      </c>
      <c r="F247" s="7">
        <v>44328</v>
      </c>
      <c r="G247" s="7">
        <v>44350</v>
      </c>
      <c r="H247" s="34">
        <v>317101</v>
      </c>
      <c r="I247" s="31">
        <v>317101</v>
      </c>
      <c r="J247" s="31">
        <f t="shared" si="7"/>
        <v>0</v>
      </c>
      <c r="K247" s="2"/>
      <c r="N247" s="32">
        <v>0</v>
      </c>
      <c r="Q247" s="34">
        <v>0</v>
      </c>
      <c r="R247" s="45"/>
      <c r="S247" s="4" t="str">
        <f>IFERROR(VLOOKUP(E247,'[2]td factu si'!$A:$B,1,0),0)</f>
        <v>FE14839</v>
      </c>
      <c r="T247" s="2">
        <f>IFERROR(VLOOKUP(E247,'[2]td factu si'!$A:$B,2,0),0)*-1</f>
        <v>317101</v>
      </c>
      <c r="W247" s="36"/>
      <c r="X247" s="6">
        <v>317101</v>
      </c>
      <c r="AH247" s="3">
        <v>0</v>
      </c>
      <c r="AJ247" s="3">
        <v>0</v>
      </c>
    </row>
    <row r="248" spans="1:36" x14ac:dyDescent="0.25">
      <c r="A248">
        <v>240</v>
      </c>
      <c r="B248" s="29" t="s">
        <v>45</v>
      </c>
      <c r="C248" s="29" t="s">
        <v>46</v>
      </c>
      <c r="D248" s="4" t="str">
        <f>"14843"</f>
        <v>14843</v>
      </c>
      <c r="E248" s="4" t="str">
        <f t="shared" si="6"/>
        <v>FE14843</v>
      </c>
      <c r="F248" s="7">
        <v>44328</v>
      </c>
      <c r="G248" s="7">
        <v>44350</v>
      </c>
      <c r="H248" s="34">
        <v>135855</v>
      </c>
      <c r="I248" s="31">
        <v>135855</v>
      </c>
      <c r="J248" s="31">
        <f t="shared" si="7"/>
        <v>0</v>
      </c>
      <c r="K248" s="2"/>
      <c r="N248" s="32">
        <v>0</v>
      </c>
      <c r="Q248" s="34">
        <v>0</v>
      </c>
      <c r="R248" s="45"/>
      <c r="S248" s="4" t="str">
        <f>IFERROR(VLOOKUP(E248,'[2]td factu si'!$A:$B,1,0),0)</f>
        <v>FE14843</v>
      </c>
      <c r="T248" s="2">
        <f>IFERROR(VLOOKUP(E248,'[2]td factu si'!$A:$B,2,0),0)*-1</f>
        <v>135855</v>
      </c>
      <c r="W248" s="36"/>
      <c r="X248" s="6">
        <v>135855</v>
      </c>
      <c r="AH248" s="3">
        <v>0</v>
      </c>
      <c r="AJ248" s="3">
        <v>0</v>
      </c>
    </row>
    <row r="249" spans="1:36" x14ac:dyDescent="0.25">
      <c r="A249">
        <v>241</v>
      </c>
      <c r="B249" s="29" t="s">
        <v>45</v>
      </c>
      <c r="C249" s="29" t="s">
        <v>46</v>
      </c>
      <c r="D249" s="4" t="str">
        <f>"14844"</f>
        <v>14844</v>
      </c>
      <c r="E249" s="4" t="str">
        <f t="shared" si="6"/>
        <v>FE14844</v>
      </c>
      <c r="F249" s="7">
        <v>44328</v>
      </c>
      <c r="G249" s="7">
        <v>44350</v>
      </c>
      <c r="H249" s="34">
        <v>135855</v>
      </c>
      <c r="I249" s="31">
        <v>135855</v>
      </c>
      <c r="J249" s="31">
        <f t="shared" si="7"/>
        <v>0</v>
      </c>
      <c r="K249" s="2"/>
      <c r="N249" s="32">
        <v>0</v>
      </c>
      <c r="Q249" s="34">
        <v>0</v>
      </c>
      <c r="R249" s="45"/>
      <c r="S249" s="4" t="str">
        <f>IFERROR(VLOOKUP(E249,'[2]td factu si'!$A:$B,1,0),0)</f>
        <v>FE14844</v>
      </c>
      <c r="T249" s="2">
        <f>IFERROR(VLOOKUP(E249,'[2]td factu si'!$A:$B,2,0),0)*-1</f>
        <v>135855</v>
      </c>
      <c r="W249" s="36"/>
      <c r="X249" s="6">
        <v>135855</v>
      </c>
      <c r="AH249" s="3">
        <v>0</v>
      </c>
      <c r="AJ249" s="3">
        <v>0</v>
      </c>
    </row>
    <row r="250" spans="1:36" x14ac:dyDescent="0.25">
      <c r="A250">
        <v>242</v>
      </c>
      <c r="B250" s="29" t="s">
        <v>45</v>
      </c>
      <c r="C250" s="29" t="s">
        <v>46</v>
      </c>
      <c r="D250" s="4" t="str">
        <f>"14845"</f>
        <v>14845</v>
      </c>
      <c r="E250" s="4" t="str">
        <f t="shared" si="6"/>
        <v>FE14845</v>
      </c>
      <c r="F250" s="7">
        <v>44328</v>
      </c>
      <c r="G250" s="7">
        <v>44351</v>
      </c>
      <c r="H250" s="34">
        <v>235243</v>
      </c>
      <c r="I250" s="31">
        <v>208190</v>
      </c>
      <c r="J250" s="31">
        <f t="shared" si="7"/>
        <v>27053</v>
      </c>
      <c r="K250" s="2"/>
      <c r="N250" s="32">
        <v>0</v>
      </c>
      <c r="Q250" s="34">
        <v>0</v>
      </c>
      <c r="R250" s="45"/>
      <c r="S250" s="4" t="str">
        <f>IFERROR(VLOOKUP(E250,'[2]td factu si'!$A:$B,1,0),0)</f>
        <v>FE14845</v>
      </c>
      <c r="T250" s="2">
        <f>IFERROR(VLOOKUP(E250,'[2]td factu si'!$A:$B,2,0),0)*-1</f>
        <v>208190</v>
      </c>
      <c r="W250" s="36"/>
      <c r="X250" s="6">
        <v>208190</v>
      </c>
      <c r="AH250" s="3">
        <v>0</v>
      </c>
      <c r="AJ250" s="3">
        <v>0</v>
      </c>
    </row>
    <row r="251" spans="1:36" x14ac:dyDescent="0.25">
      <c r="A251">
        <v>243</v>
      </c>
      <c r="B251" s="29" t="s">
        <v>45</v>
      </c>
      <c r="C251" s="29" t="s">
        <v>46</v>
      </c>
      <c r="D251" s="4" t="str">
        <f>"14846"</f>
        <v>14846</v>
      </c>
      <c r="E251" s="4" t="str">
        <f t="shared" si="6"/>
        <v>FE14846</v>
      </c>
      <c r="F251" s="7">
        <v>44328</v>
      </c>
      <c r="G251" s="7">
        <v>44350</v>
      </c>
      <c r="H251" s="34">
        <v>15489</v>
      </c>
      <c r="I251" s="31">
        <v>15489</v>
      </c>
      <c r="J251" s="31">
        <f t="shared" si="7"/>
        <v>0</v>
      </c>
      <c r="K251" s="2"/>
      <c r="N251" s="32">
        <v>0</v>
      </c>
      <c r="Q251" s="34">
        <v>0</v>
      </c>
      <c r="R251" s="45"/>
      <c r="S251" s="4" t="str">
        <f>IFERROR(VLOOKUP(E251,'[2]td factu si'!$A:$B,1,0),0)</f>
        <v>FE14846</v>
      </c>
      <c r="T251" s="2">
        <f>IFERROR(VLOOKUP(E251,'[2]td factu si'!$A:$B,2,0),0)*-1</f>
        <v>15489</v>
      </c>
      <c r="W251" s="36"/>
      <c r="X251" s="6">
        <v>15489</v>
      </c>
      <c r="AH251" s="3">
        <v>0</v>
      </c>
      <c r="AJ251" s="3">
        <v>0</v>
      </c>
    </row>
    <row r="252" spans="1:36" x14ac:dyDescent="0.25">
      <c r="A252">
        <v>244</v>
      </c>
      <c r="B252" s="29" t="s">
        <v>45</v>
      </c>
      <c r="C252" s="29" t="s">
        <v>46</v>
      </c>
      <c r="D252" s="4" t="str">
        <f>"14848"</f>
        <v>14848</v>
      </c>
      <c r="E252" s="4" t="str">
        <f t="shared" si="6"/>
        <v>FE14848</v>
      </c>
      <c r="F252" s="7">
        <v>44328</v>
      </c>
      <c r="G252" s="7">
        <v>44350</v>
      </c>
      <c r="H252" s="34">
        <v>15489</v>
      </c>
      <c r="I252" s="31">
        <v>15489</v>
      </c>
      <c r="J252" s="31">
        <f t="shared" si="7"/>
        <v>0</v>
      </c>
      <c r="K252" s="2"/>
      <c r="N252" s="32">
        <v>0</v>
      </c>
      <c r="Q252" s="34">
        <v>0</v>
      </c>
      <c r="R252" s="45"/>
      <c r="S252" s="4" t="str">
        <f>IFERROR(VLOOKUP(E252,'[2]td factu si'!$A:$B,1,0),0)</f>
        <v>FE14848</v>
      </c>
      <c r="T252" s="2">
        <f>IFERROR(VLOOKUP(E252,'[2]td factu si'!$A:$B,2,0),0)*-1</f>
        <v>15489</v>
      </c>
      <c r="W252" s="36"/>
      <c r="X252" s="6">
        <v>15489</v>
      </c>
      <c r="AH252" s="3">
        <v>0</v>
      </c>
      <c r="AJ252" s="3">
        <v>0</v>
      </c>
    </row>
    <row r="253" spans="1:36" x14ac:dyDescent="0.25">
      <c r="A253">
        <v>245</v>
      </c>
      <c r="B253" s="29" t="s">
        <v>45</v>
      </c>
      <c r="C253" s="29" t="s">
        <v>46</v>
      </c>
      <c r="D253" s="4" t="str">
        <f>"14849"</f>
        <v>14849</v>
      </c>
      <c r="E253" s="4" t="str">
        <f t="shared" si="6"/>
        <v>FE14849</v>
      </c>
      <c r="F253" s="7">
        <v>44328</v>
      </c>
      <c r="G253" s="7">
        <v>44351</v>
      </c>
      <c r="H253" s="34">
        <v>15489</v>
      </c>
      <c r="I253" s="31">
        <v>11989</v>
      </c>
      <c r="J253" s="31">
        <f t="shared" si="7"/>
        <v>3500</v>
      </c>
      <c r="K253" s="2"/>
      <c r="N253" s="32">
        <v>0</v>
      </c>
      <c r="Q253" s="34">
        <v>0</v>
      </c>
      <c r="R253" s="45"/>
      <c r="S253" s="4" t="str">
        <f>IFERROR(VLOOKUP(E253,'[2]td factu si'!$A:$B,1,0),0)</f>
        <v>FE14849</v>
      </c>
      <c r="T253" s="2">
        <f>IFERROR(VLOOKUP(E253,'[2]td factu si'!$A:$B,2,0),0)*-1</f>
        <v>11989</v>
      </c>
      <c r="W253" s="36"/>
      <c r="X253" s="6">
        <v>11989</v>
      </c>
      <c r="AH253" s="3">
        <v>0</v>
      </c>
      <c r="AJ253" s="3">
        <v>0</v>
      </c>
    </row>
    <row r="254" spans="1:36" x14ac:dyDescent="0.25">
      <c r="A254">
        <v>246</v>
      </c>
      <c r="B254" s="29" t="s">
        <v>45</v>
      </c>
      <c r="C254" s="29" t="s">
        <v>46</v>
      </c>
      <c r="D254" s="4" t="str">
        <f>"14850"</f>
        <v>14850</v>
      </c>
      <c r="E254" s="4" t="str">
        <f t="shared" si="6"/>
        <v>FE14850</v>
      </c>
      <c r="F254" s="7">
        <v>44328</v>
      </c>
      <c r="G254" s="7">
        <v>44350</v>
      </c>
      <c r="H254" s="34">
        <v>15489</v>
      </c>
      <c r="I254" s="31">
        <v>15489</v>
      </c>
      <c r="J254" s="31">
        <f t="shared" si="7"/>
        <v>0</v>
      </c>
      <c r="K254" s="2"/>
      <c r="N254" s="32">
        <v>0</v>
      </c>
      <c r="Q254" s="34">
        <v>0</v>
      </c>
      <c r="R254" s="45"/>
      <c r="S254" s="4" t="str">
        <f>IFERROR(VLOOKUP(E254,'[2]td factu si'!$A:$B,1,0),0)</f>
        <v>FE14850</v>
      </c>
      <c r="T254" s="2">
        <f>IFERROR(VLOOKUP(E254,'[2]td factu si'!$A:$B,2,0),0)*-1</f>
        <v>15489</v>
      </c>
      <c r="W254" s="36"/>
      <c r="X254" s="6">
        <v>15489</v>
      </c>
      <c r="AH254" s="3">
        <v>0</v>
      </c>
      <c r="AJ254" s="3">
        <v>0</v>
      </c>
    </row>
    <row r="255" spans="1:36" x14ac:dyDescent="0.25">
      <c r="A255">
        <v>247</v>
      </c>
      <c r="B255" s="29" t="s">
        <v>45</v>
      </c>
      <c r="C255" s="29" t="s">
        <v>46</v>
      </c>
      <c r="D255" s="4" t="str">
        <f>"14852"</f>
        <v>14852</v>
      </c>
      <c r="E255" s="4" t="str">
        <f t="shared" si="6"/>
        <v>FE14852</v>
      </c>
      <c r="F255" s="7">
        <v>44328</v>
      </c>
      <c r="G255" s="7">
        <v>44350</v>
      </c>
      <c r="H255" s="34">
        <v>15489</v>
      </c>
      <c r="I255" s="31">
        <v>15489</v>
      </c>
      <c r="J255" s="31">
        <f t="shared" si="7"/>
        <v>0</v>
      </c>
      <c r="K255" s="2"/>
      <c r="N255" s="32">
        <v>0</v>
      </c>
      <c r="Q255" s="34">
        <v>0</v>
      </c>
      <c r="R255" s="45"/>
      <c r="S255" s="4" t="str">
        <f>IFERROR(VLOOKUP(E255,'[2]td factu si'!$A:$B,1,0),0)</f>
        <v>FE14852</v>
      </c>
      <c r="T255" s="2">
        <f>IFERROR(VLOOKUP(E255,'[2]td factu si'!$A:$B,2,0),0)*-1</f>
        <v>15489</v>
      </c>
      <c r="W255" s="36"/>
      <c r="X255" s="6">
        <v>15489</v>
      </c>
      <c r="AH255" s="3">
        <v>0</v>
      </c>
      <c r="AJ255" s="3">
        <v>0</v>
      </c>
    </row>
    <row r="256" spans="1:36" x14ac:dyDescent="0.25">
      <c r="A256">
        <v>248</v>
      </c>
      <c r="B256" s="29" t="s">
        <v>45</v>
      </c>
      <c r="C256" s="29" t="s">
        <v>46</v>
      </c>
      <c r="D256" s="4" t="str">
        <f>"14856"</f>
        <v>14856</v>
      </c>
      <c r="E256" s="4" t="str">
        <f t="shared" si="6"/>
        <v>FE14856</v>
      </c>
      <c r="F256" s="7">
        <v>44328</v>
      </c>
      <c r="G256" s="7">
        <v>44350</v>
      </c>
      <c r="H256" s="34">
        <v>15489</v>
      </c>
      <c r="I256" s="31">
        <v>15489</v>
      </c>
      <c r="J256" s="31">
        <f t="shared" si="7"/>
        <v>0</v>
      </c>
      <c r="K256" s="2"/>
      <c r="N256" s="32">
        <v>0</v>
      </c>
      <c r="Q256" s="34">
        <v>0</v>
      </c>
      <c r="R256" s="45"/>
      <c r="S256" s="4">
        <f>IFERROR(VLOOKUP(E256,'[2]td factu si'!$A:$B,1,0),0)</f>
        <v>0</v>
      </c>
      <c r="T256" s="2">
        <f>IFERROR(VLOOKUP(E256,'[2]td factu si'!$A:$B,2,0),0)*-1</f>
        <v>0</v>
      </c>
      <c r="W256" s="36"/>
      <c r="X256" s="6">
        <v>15489</v>
      </c>
      <c r="AH256" s="3">
        <v>0</v>
      </c>
      <c r="AJ256" s="3">
        <v>0</v>
      </c>
    </row>
    <row r="257" spans="1:36" x14ac:dyDescent="0.25">
      <c r="A257">
        <v>249</v>
      </c>
      <c r="B257" s="29" t="s">
        <v>45</v>
      </c>
      <c r="C257" s="29" t="s">
        <v>46</v>
      </c>
      <c r="D257" s="4" t="str">
        <f>"14857"</f>
        <v>14857</v>
      </c>
      <c r="E257" s="4" t="str">
        <f t="shared" si="6"/>
        <v>FE14857</v>
      </c>
      <c r="F257" s="7">
        <v>44328</v>
      </c>
      <c r="G257" s="7">
        <v>44350</v>
      </c>
      <c r="H257" s="34">
        <v>181246</v>
      </c>
      <c r="I257" s="31">
        <v>181246</v>
      </c>
      <c r="J257" s="31">
        <f t="shared" si="7"/>
        <v>0</v>
      </c>
      <c r="K257" s="2"/>
      <c r="N257" s="32">
        <v>0</v>
      </c>
      <c r="Q257" s="34">
        <v>0</v>
      </c>
      <c r="R257" s="45"/>
      <c r="S257" s="4" t="str">
        <f>IFERROR(VLOOKUP(E257,'[2]td factu si'!$A:$B,1,0),0)</f>
        <v>FE14857</v>
      </c>
      <c r="T257" s="2">
        <f>IFERROR(VLOOKUP(E257,'[2]td factu si'!$A:$B,2,0),0)*-1</f>
        <v>181246</v>
      </c>
      <c r="W257" s="36"/>
      <c r="X257" s="6">
        <v>181246</v>
      </c>
      <c r="AH257" s="3">
        <v>0</v>
      </c>
      <c r="AJ257" s="3">
        <v>0</v>
      </c>
    </row>
    <row r="258" spans="1:36" x14ac:dyDescent="0.25">
      <c r="A258">
        <v>250</v>
      </c>
      <c r="B258" s="29" t="s">
        <v>45</v>
      </c>
      <c r="C258" s="29" t="s">
        <v>46</v>
      </c>
      <c r="D258" s="4" t="str">
        <f>"14859"</f>
        <v>14859</v>
      </c>
      <c r="E258" s="4" t="str">
        <f t="shared" si="6"/>
        <v>FE14859</v>
      </c>
      <c r="F258" s="7">
        <v>44328</v>
      </c>
      <c r="G258" s="7">
        <v>44350</v>
      </c>
      <c r="H258" s="34">
        <v>15489</v>
      </c>
      <c r="I258" s="31">
        <v>15489</v>
      </c>
      <c r="J258" s="31">
        <f t="shared" si="7"/>
        <v>0</v>
      </c>
      <c r="K258" s="2"/>
      <c r="N258" s="32">
        <v>0</v>
      </c>
      <c r="Q258" s="34">
        <v>0</v>
      </c>
      <c r="R258" s="45"/>
      <c r="S258" s="4" t="str">
        <f>IFERROR(VLOOKUP(E258,'[2]td factu si'!$A:$B,1,0),0)</f>
        <v>FE14859</v>
      </c>
      <c r="T258" s="2">
        <f>IFERROR(VLOOKUP(E258,'[2]td factu si'!$A:$B,2,0),0)*-1</f>
        <v>15489</v>
      </c>
      <c r="W258" s="36"/>
      <c r="X258" s="6">
        <v>15489</v>
      </c>
      <c r="AH258" s="3">
        <v>0</v>
      </c>
      <c r="AJ258" s="3">
        <v>0</v>
      </c>
    </row>
    <row r="259" spans="1:36" x14ac:dyDescent="0.25">
      <c r="A259">
        <v>251</v>
      </c>
      <c r="B259" s="29" t="s">
        <v>45</v>
      </c>
      <c r="C259" s="29" t="s">
        <v>46</v>
      </c>
      <c r="D259" s="4" t="str">
        <f>"14862"</f>
        <v>14862</v>
      </c>
      <c r="E259" s="4" t="str">
        <f t="shared" si="6"/>
        <v>FE14862</v>
      </c>
      <c r="F259" s="7">
        <v>44328</v>
      </c>
      <c r="G259" s="7">
        <v>44350</v>
      </c>
      <c r="H259" s="34">
        <v>15489</v>
      </c>
      <c r="I259" s="31">
        <v>15489</v>
      </c>
      <c r="J259" s="31">
        <f t="shared" si="7"/>
        <v>0</v>
      </c>
      <c r="K259" s="2"/>
      <c r="N259" s="32">
        <v>0</v>
      </c>
      <c r="Q259" s="34">
        <v>0</v>
      </c>
      <c r="R259" s="45"/>
      <c r="S259" s="4" t="str">
        <f>IFERROR(VLOOKUP(E259,'[2]td factu si'!$A:$B,1,0),0)</f>
        <v>FE14862</v>
      </c>
      <c r="T259" s="2">
        <f>IFERROR(VLOOKUP(E259,'[2]td factu si'!$A:$B,2,0),0)*-1</f>
        <v>15489</v>
      </c>
      <c r="W259" s="36"/>
      <c r="X259" s="6">
        <v>15489</v>
      </c>
      <c r="AH259" s="3">
        <v>0</v>
      </c>
      <c r="AJ259" s="3">
        <v>0</v>
      </c>
    </row>
    <row r="260" spans="1:36" x14ac:dyDescent="0.25">
      <c r="A260">
        <v>252</v>
      </c>
      <c r="B260" s="29" t="s">
        <v>45</v>
      </c>
      <c r="C260" s="29" t="s">
        <v>46</v>
      </c>
      <c r="D260" s="4" t="str">
        <f>"14868"</f>
        <v>14868</v>
      </c>
      <c r="E260" s="4" t="str">
        <f t="shared" si="6"/>
        <v>FE14868</v>
      </c>
      <c r="F260" s="7">
        <v>44328</v>
      </c>
      <c r="G260" s="7">
        <v>44350</v>
      </c>
      <c r="H260" s="34">
        <v>135855</v>
      </c>
      <c r="I260" s="31">
        <v>135855</v>
      </c>
      <c r="J260" s="31">
        <f t="shared" si="7"/>
        <v>0</v>
      </c>
      <c r="K260" s="2"/>
      <c r="N260" s="32">
        <v>0</v>
      </c>
      <c r="Q260" s="34">
        <v>0</v>
      </c>
      <c r="R260" s="45"/>
      <c r="S260" s="4" t="str">
        <f>IFERROR(VLOOKUP(E260,'[2]td factu si'!$A:$B,1,0),0)</f>
        <v>FE14868</v>
      </c>
      <c r="T260" s="2">
        <f>IFERROR(VLOOKUP(E260,'[2]td factu si'!$A:$B,2,0),0)*-1</f>
        <v>135855</v>
      </c>
      <c r="W260" s="36"/>
      <c r="X260" s="6">
        <v>135855</v>
      </c>
      <c r="AH260" s="3">
        <v>0</v>
      </c>
      <c r="AJ260" s="3">
        <v>0</v>
      </c>
    </row>
    <row r="261" spans="1:36" x14ac:dyDescent="0.25">
      <c r="A261">
        <v>253</v>
      </c>
      <c r="B261" s="29" t="s">
        <v>45</v>
      </c>
      <c r="C261" s="29" t="s">
        <v>46</v>
      </c>
      <c r="D261" s="4" t="str">
        <f>"14870"</f>
        <v>14870</v>
      </c>
      <c r="E261" s="4" t="str">
        <f t="shared" si="6"/>
        <v>FE14870</v>
      </c>
      <c r="F261" s="7">
        <v>44328</v>
      </c>
      <c r="G261" s="7">
        <v>44350</v>
      </c>
      <c r="H261" s="34">
        <v>135855</v>
      </c>
      <c r="I261" s="31">
        <v>135855</v>
      </c>
      <c r="J261" s="31">
        <f t="shared" si="7"/>
        <v>0</v>
      </c>
      <c r="K261" s="2"/>
      <c r="N261" s="32">
        <v>0</v>
      </c>
      <c r="Q261" s="34">
        <v>0</v>
      </c>
      <c r="R261" s="45"/>
      <c r="S261" s="4" t="str">
        <f>IFERROR(VLOOKUP(E261,'[2]td factu si'!$A:$B,1,0),0)</f>
        <v>FE14870</v>
      </c>
      <c r="T261" s="2">
        <f>IFERROR(VLOOKUP(E261,'[2]td factu si'!$A:$B,2,0),0)*-1</f>
        <v>135855</v>
      </c>
      <c r="W261" s="36"/>
      <c r="X261" s="6">
        <v>135855</v>
      </c>
      <c r="AH261" s="3">
        <v>0</v>
      </c>
      <c r="AJ261" s="3">
        <v>0</v>
      </c>
    </row>
    <row r="262" spans="1:36" x14ac:dyDescent="0.25">
      <c r="A262">
        <v>254</v>
      </c>
      <c r="B262" s="29" t="s">
        <v>45</v>
      </c>
      <c r="C262" s="29" t="s">
        <v>46</v>
      </c>
      <c r="D262" s="4" t="str">
        <f>"14871"</f>
        <v>14871</v>
      </c>
      <c r="E262" s="4" t="str">
        <f t="shared" si="6"/>
        <v>FE14871</v>
      </c>
      <c r="F262" s="7">
        <v>44328</v>
      </c>
      <c r="G262" s="7">
        <v>44350</v>
      </c>
      <c r="H262" s="34">
        <v>135855</v>
      </c>
      <c r="I262" s="31">
        <v>135855</v>
      </c>
      <c r="J262" s="31">
        <f t="shared" si="7"/>
        <v>0</v>
      </c>
      <c r="K262" s="2"/>
      <c r="N262" s="32">
        <v>0</v>
      </c>
      <c r="Q262" s="34">
        <v>0</v>
      </c>
      <c r="R262" s="45"/>
      <c r="S262" s="4" t="str">
        <f>IFERROR(VLOOKUP(E262,'[2]td factu si'!$A:$B,1,0),0)</f>
        <v>FE14871</v>
      </c>
      <c r="T262" s="2">
        <f>IFERROR(VLOOKUP(E262,'[2]td factu si'!$A:$B,2,0),0)*-1</f>
        <v>135855</v>
      </c>
      <c r="W262" s="36"/>
      <c r="X262" s="6">
        <v>135855</v>
      </c>
      <c r="AH262" s="3">
        <v>0</v>
      </c>
      <c r="AJ262" s="3">
        <v>0</v>
      </c>
    </row>
    <row r="263" spans="1:36" x14ac:dyDescent="0.25">
      <c r="A263">
        <v>255</v>
      </c>
      <c r="B263" s="29" t="s">
        <v>45</v>
      </c>
      <c r="C263" s="29" t="s">
        <v>46</v>
      </c>
      <c r="D263" s="4" t="str">
        <f>"14875"</f>
        <v>14875</v>
      </c>
      <c r="E263" s="4" t="str">
        <f t="shared" si="6"/>
        <v>FE14875</v>
      </c>
      <c r="F263" s="7">
        <v>44328</v>
      </c>
      <c r="G263" s="7">
        <v>44350</v>
      </c>
      <c r="H263" s="34">
        <v>135855</v>
      </c>
      <c r="I263" s="31">
        <v>135855</v>
      </c>
      <c r="J263" s="31">
        <f t="shared" si="7"/>
        <v>0</v>
      </c>
      <c r="K263" s="2"/>
      <c r="N263" s="32">
        <v>0</v>
      </c>
      <c r="Q263" s="34">
        <v>0</v>
      </c>
      <c r="R263" s="45"/>
      <c r="S263" s="4" t="str">
        <f>IFERROR(VLOOKUP(E263,'[2]td factu si'!$A:$B,1,0),0)</f>
        <v>FE14875</v>
      </c>
      <c r="T263" s="2">
        <f>IFERROR(VLOOKUP(E263,'[2]td factu si'!$A:$B,2,0),0)*-1</f>
        <v>135855</v>
      </c>
      <c r="W263" s="36"/>
      <c r="X263" s="6">
        <v>135855</v>
      </c>
      <c r="AH263" s="3">
        <v>0</v>
      </c>
      <c r="AJ263" s="3">
        <v>0</v>
      </c>
    </row>
    <row r="264" spans="1:36" x14ac:dyDescent="0.25">
      <c r="A264">
        <v>256</v>
      </c>
      <c r="B264" s="29" t="s">
        <v>45</v>
      </c>
      <c r="C264" s="29" t="s">
        <v>46</v>
      </c>
      <c r="D264" s="4" t="str">
        <f>"14876"</f>
        <v>14876</v>
      </c>
      <c r="E264" s="4" t="str">
        <f t="shared" si="6"/>
        <v>FE14876</v>
      </c>
      <c r="F264" s="7">
        <v>44328</v>
      </c>
      <c r="G264" s="7">
        <v>44350</v>
      </c>
      <c r="H264" s="34">
        <v>135855</v>
      </c>
      <c r="I264" s="31">
        <v>135855</v>
      </c>
      <c r="J264" s="31">
        <f t="shared" si="7"/>
        <v>0</v>
      </c>
      <c r="K264" s="2"/>
      <c r="N264" s="32">
        <v>0</v>
      </c>
      <c r="Q264" s="34">
        <v>0</v>
      </c>
      <c r="R264" s="45"/>
      <c r="S264" s="4" t="str">
        <f>IFERROR(VLOOKUP(E264,'[2]td factu si'!$A:$B,1,0),0)</f>
        <v>FE14876</v>
      </c>
      <c r="T264" s="2">
        <f>IFERROR(VLOOKUP(E264,'[2]td factu si'!$A:$B,2,0),0)*-1</f>
        <v>135855</v>
      </c>
      <c r="W264" s="36"/>
      <c r="X264" s="6">
        <v>135855</v>
      </c>
      <c r="AH264" s="3">
        <v>0</v>
      </c>
      <c r="AJ264" s="3">
        <v>0</v>
      </c>
    </row>
    <row r="265" spans="1:36" x14ac:dyDescent="0.25">
      <c r="A265">
        <v>257</v>
      </c>
      <c r="B265" s="29" t="s">
        <v>45</v>
      </c>
      <c r="C265" s="29" t="s">
        <v>46</v>
      </c>
      <c r="D265" s="4" t="str">
        <f>"14877"</f>
        <v>14877</v>
      </c>
      <c r="E265" s="4" t="str">
        <f t="shared" si="6"/>
        <v>FE14877</v>
      </c>
      <c r="F265" s="7">
        <v>44328</v>
      </c>
      <c r="G265" s="7">
        <v>44350</v>
      </c>
      <c r="H265" s="34">
        <v>135855</v>
      </c>
      <c r="I265" s="31">
        <v>135855</v>
      </c>
      <c r="J265" s="31">
        <f t="shared" si="7"/>
        <v>0</v>
      </c>
      <c r="K265" s="2"/>
      <c r="N265" s="32">
        <v>0</v>
      </c>
      <c r="Q265" s="34">
        <v>0</v>
      </c>
      <c r="R265" s="45"/>
      <c r="S265" s="4" t="str">
        <f>IFERROR(VLOOKUP(E265,'[2]td factu si'!$A:$B,1,0),0)</f>
        <v>FE14877</v>
      </c>
      <c r="T265" s="2">
        <f>IFERROR(VLOOKUP(E265,'[2]td factu si'!$A:$B,2,0),0)*-1</f>
        <v>135855</v>
      </c>
      <c r="W265" s="36"/>
      <c r="X265" s="6">
        <v>135855</v>
      </c>
      <c r="AH265" s="3">
        <v>0</v>
      </c>
      <c r="AJ265" s="3">
        <v>0</v>
      </c>
    </row>
    <row r="266" spans="1:36" x14ac:dyDescent="0.25">
      <c r="A266">
        <v>258</v>
      </c>
      <c r="B266" s="29" t="s">
        <v>45</v>
      </c>
      <c r="C266" s="29" t="s">
        <v>46</v>
      </c>
      <c r="D266" s="4" t="str">
        <f>"14888"</f>
        <v>14888</v>
      </c>
      <c r="E266" s="4" t="str">
        <f t="shared" ref="E266:E329" si="8">_xlfn.CONCAT(C266,D266)</f>
        <v>FE14888</v>
      </c>
      <c r="F266" s="7">
        <v>44329</v>
      </c>
      <c r="G266" s="7">
        <v>44350</v>
      </c>
      <c r="H266" s="34">
        <v>181246</v>
      </c>
      <c r="I266" s="31">
        <v>181246</v>
      </c>
      <c r="J266" s="31">
        <f t="shared" ref="J266:J329" si="9">+H266-I266</f>
        <v>0</v>
      </c>
      <c r="K266" s="2"/>
      <c r="N266" s="32">
        <v>0</v>
      </c>
      <c r="Q266" s="34">
        <v>0</v>
      </c>
      <c r="R266" s="45"/>
      <c r="S266" s="4" t="str">
        <f>IFERROR(VLOOKUP(E266,'[2]td factu si'!$A:$B,1,0),0)</f>
        <v>FE14888</v>
      </c>
      <c r="T266" s="2">
        <f>IFERROR(VLOOKUP(E266,'[2]td factu si'!$A:$B,2,0),0)*-1</f>
        <v>181246</v>
      </c>
      <c r="W266" s="36"/>
      <c r="X266" s="6">
        <v>181246</v>
      </c>
      <c r="AH266" s="3">
        <v>0</v>
      </c>
      <c r="AJ266" s="3">
        <v>0</v>
      </c>
    </row>
    <row r="267" spans="1:36" x14ac:dyDescent="0.25">
      <c r="A267">
        <v>259</v>
      </c>
      <c r="B267" s="29" t="s">
        <v>45</v>
      </c>
      <c r="C267" s="29" t="s">
        <v>46</v>
      </c>
      <c r="D267" s="4" t="str">
        <f>"14889"</f>
        <v>14889</v>
      </c>
      <c r="E267" s="4" t="str">
        <f t="shared" si="8"/>
        <v>FE14889</v>
      </c>
      <c r="F267" s="7">
        <v>44329</v>
      </c>
      <c r="G267" s="7">
        <v>44350</v>
      </c>
      <c r="H267" s="34">
        <v>181246</v>
      </c>
      <c r="I267" s="31">
        <v>181246</v>
      </c>
      <c r="J267" s="31">
        <f t="shared" si="9"/>
        <v>0</v>
      </c>
      <c r="K267" s="2"/>
      <c r="N267" s="32">
        <v>0</v>
      </c>
      <c r="Q267" s="34">
        <v>0</v>
      </c>
      <c r="R267" s="45"/>
      <c r="S267" s="4" t="str">
        <f>IFERROR(VLOOKUP(E267,'[2]td factu si'!$A:$B,1,0),0)</f>
        <v>FE14889</v>
      </c>
      <c r="T267" s="2">
        <f>IFERROR(VLOOKUP(E267,'[2]td factu si'!$A:$B,2,0),0)*-1</f>
        <v>181246</v>
      </c>
      <c r="W267" s="36"/>
      <c r="X267" s="6">
        <v>181246</v>
      </c>
      <c r="AH267" s="3">
        <v>0</v>
      </c>
      <c r="AJ267" s="3">
        <v>0</v>
      </c>
    </row>
    <row r="268" spans="1:36" x14ac:dyDescent="0.25">
      <c r="A268">
        <v>260</v>
      </c>
      <c r="B268" s="29" t="s">
        <v>45</v>
      </c>
      <c r="C268" s="29" t="s">
        <v>46</v>
      </c>
      <c r="D268" s="4" t="str">
        <f>"14892"</f>
        <v>14892</v>
      </c>
      <c r="E268" s="4" t="str">
        <f t="shared" si="8"/>
        <v>FE14892</v>
      </c>
      <c r="F268" s="7">
        <v>44329</v>
      </c>
      <c r="G268" s="7">
        <v>44350</v>
      </c>
      <c r="H268" s="34">
        <v>181246</v>
      </c>
      <c r="I268" s="31">
        <v>181246</v>
      </c>
      <c r="J268" s="31">
        <f t="shared" si="9"/>
        <v>0</v>
      </c>
      <c r="K268" s="2"/>
      <c r="N268" s="32">
        <v>0</v>
      </c>
      <c r="Q268" s="34">
        <v>0</v>
      </c>
      <c r="R268" s="45"/>
      <c r="S268" s="4" t="str">
        <f>IFERROR(VLOOKUP(E268,'[2]td factu si'!$A:$B,1,0),0)</f>
        <v>FE14892</v>
      </c>
      <c r="T268" s="2">
        <f>IFERROR(VLOOKUP(E268,'[2]td factu si'!$A:$B,2,0),0)*-1</f>
        <v>181246</v>
      </c>
      <c r="W268" s="36"/>
      <c r="X268" s="6">
        <v>181246</v>
      </c>
      <c r="AH268" s="3">
        <v>0</v>
      </c>
      <c r="AJ268" s="3">
        <v>0</v>
      </c>
    </row>
    <row r="269" spans="1:36" x14ac:dyDescent="0.25">
      <c r="A269">
        <v>261</v>
      </c>
      <c r="B269" s="29" t="s">
        <v>45</v>
      </c>
      <c r="C269" s="29" t="s">
        <v>46</v>
      </c>
      <c r="D269" s="4" t="str">
        <f>"14902"</f>
        <v>14902</v>
      </c>
      <c r="E269" s="4" t="str">
        <f t="shared" si="8"/>
        <v>FE14902</v>
      </c>
      <c r="F269" s="7">
        <v>44329</v>
      </c>
      <c r="G269" s="7">
        <v>44350</v>
      </c>
      <c r="H269" s="34">
        <v>181246</v>
      </c>
      <c r="I269" s="31">
        <v>163121</v>
      </c>
      <c r="J269" s="31">
        <f t="shared" si="9"/>
        <v>18125</v>
      </c>
      <c r="K269" s="2"/>
      <c r="N269" s="32">
        <v>0</v>
      </c>
      <c r="Q269" s="34">
        <v>0</v>
      </c>
      <c r="R269" s="45"/>
      <c r="S269" s="4" t="str">
        <f>IFERROR(VLOOKUP(E269,'[2]td factu si'!$A:$B,1,0),0)</f>
        <v>FE14902</v>
      </c>
      <c r="T269" s="2">
        <f>IFERROR(VLOOKUP(E269,'[2]td factu si'!$A:$B,2,0),0)*-1</f>
        <v>163121</v>
      </c>
      <c r="W269" s="36"/>
      <c r="X269" s="6">
        <v>163121</v>
      </c>
      <c r="AH269" s="3">
        <v>0</v>
      </c>
      <c r="AJ269" s="3">
        <v>0</v>
      </c>
    </row>
    <row r="270" spans="1:36" x14ac:dyDescent="0.25">
      <c r="A270">
        <v>262</v>
      </c>
      <c r="B270" s="29" t="s">
        <v>45</v>
      </c>
      <c r="C270" s="29" t="s">
        <v>46</v>
      </c>
      <c r="D270" s="4" t="str">
        <f>"14911"</f>
        <v>14911</v>
      </c>
      <c r="E270" s="4" t="str">
        <f t="shared" si="8"/>
        <v>FE14911</v>
      </c>
      <c r="F270" s="7">
        <v>44329</v>
      </c>
      <c r="G270" s="7">
        <v>44350</v>
      </c>
      <c r="H270" s="34">
        <v>181246</v>
      </c>
      <c r="I270" s="31">
        <v>181246</v>
      </c>
      <c r="J270" s="31">
        <f t="shared" si="9"/>
        <v>0</v>
      </c>
      <c r="K270" s="2"/>
      <c r="N270" s="32">
        <v>0</v>
      </c>
      <c r="Q270" s="34">
        <v>0</v>
      </c>
      <c r="R270" s="45"/>
      <c r="S270" s="4" t="str">
        <f>IFERROR(VLOOKUP(E270,'[2]td factu si'!$A:$B,1,0),0)</f>
        <v>FE14911</v>
      </c>
      <c r="T270" s="2">
        <f>IFERROR(VLOOKUP(E270,'[2]td factu si'!$A:$B,2,0),0)*-1</f>
        <v>181246</v>
      </c>
      <c r="W270" s="36"/>
      <c r="X270" s="6">
        <v>181246</v>
      </c>
      <c r="AH270" s="3">
        <v>0</v>
      </c>
      <c r="AJ270" s="3">
        <v>0</v>
      </c>
    </row>
    <row r="271" spans="1:36" x14ac:dyDescent="0.25">
      <c r="A271">
        <v>263</v>
      </c>
      <c r="B271" s="29" t="s">
        <v>45</v>
      </c>
      <c r="C271" s="29" t="s">
        <v>46</v>
      </c>
      <c r="D271" s="4" t="str">
        <f>"14912"</f>
        <v>14912</v>
      </c>
      <c r="E271" s="4" t="str">
        <f t="shared" si="8"/>
        <v>FE14912</v>
      </c>
      <c r="F271" s="7">
        <v>44329</v>
      </c>
      <c r="G271" s="7">
        <v>44351</v>
      </c>
      <c r="H271" s="34">
        <v>181246</v>
      </c>
      <c r="I271" s="31">
        <v>177746</v>
      </c>
      <c r="J271" s="31">
        <f t="shared" si="9"/>
        <v>3500</v>
      </c>
      <c r="K271" s="2"/>
      <c r="N271" s="32">
        <v>0</v>
      </c>
      <c r="Q271" s="34">
        <v>0</v>
      </c>
      <c r="R271" s="45"/>
      <c r="S271" s="4" t="str">
        <f>IFERROR(VLOOKUP(E271,'[2]td factu si'!$A:$B,1,0),0)</f>
        <v>FE14912</v>
      </c>
      <c r="T271" s="2">
        <f>IFERROR(VLOOKUP(E271,'[2]td factu si'!$A:$B,2,0),0)*-1</f>
        <v>177746</v>
      </c>
      <c r="W271" s="36"/>
      <c r="X271" s="6">
        <v>177746</v>
      </c>
      <c r="AH271" s="3">
        <v>0</v>
      </c>
      <c r="AJ271" s="3">
        <v>0</v>
      </c>
    </row>
    <row r="272" spans="1:36" x14ac:dyDescent="0.25">
      <c r="A272">
        <v>264</v>
      </c>
      <c r="B272" s="29" t="s">
        <v>45</v>
      </c>
      <c r="C272" s="29" t="s">
        <v>46</v>
      </c>
      <c r="D272" s="4" t="str">
        <f>"14914"</f>
        <v>14914</v>
      </c>
      <c r="E272" s="4" t="str">
        <f t="shared" si="8"/>
        <v>FE14914</v>
      </c>
      <c r="F272" s="7">
        <v>44329</v>
      </c>
      <c r="G272" s="7">
        <v>44350</v>
      </c>
      <c r="H272" s="34">
        <v>196735</v>
      </c>
      <c r="I272" s="31">
        <v>196735</v>
      </c>
      <c r="J272" s="31">
        <f t="shared" si="9"/>
        <v>0</v>
      </c>
      <c r="K272" s="2"/>
      <c r="N272" s="32">
        <v>0</v>
      </c>
      <c r="Q272" s="34">
        <v>0</v>
      </c>
      <c r="R272" s="45"/>
      <c r="S272" s="4">
        <f>IFERROR(VLOOKUP(E272,'[2]td factu si'!$A:$B,1,0),0)</f>
        <v>0</v>
      </c>
      <c r="T272" s="2">
        <f>IFERROR(VLOOKUP(E272,'[2]td factu si'!$A:$B,2,0),0)*-1</f>
        <v>0</v>
      </c>
      <c r="W272" s="36"/>
      <c r="X272" s="6">
        <v>196735</v>
      </c>
      <c r="AH272" s="3">
        <v>0</v>
      </c>
      <c r="AJ272" s="3">
        <v>0</v>
      </c>
    </row>
    <row r="273" spans="1:36" x14ac:dyDescent="0.25">
      <c r="A273">
        <v>265</v>
      </c>
      <c r="B273" s="29" t="s">
        <v>45</v>
      </c>
      <c r="C273" s="29" t="s">
        <v>46</v>
      </c>
      <c r="D273" s="4" t="str">
        <f>"14916"</f>
        <v>14916</v>
      </c>
      <c r="E273" s="4" t="str">
        <f t="shared" si="8"/>
        <v>FE14916</v>
      </c>
      <c r="F273" s="7">
        <v>44329</v>
      </c>
      <c r="G273" s="7">
        <v>44350</v>
      </c>
      <c r="H273" s="34">
        <v>181246</v>
      </c>
      <c r="I273" s="31">
        <v>181246</v>
      </c>
      <c r="J273" s="31">
        <f t="shared" si="9"/>
        <v>0</v>
      </c>
      <c r="K273" s="2"/>
      <c r="N273" s="32">
        <v>0</v>
      </c>
      <c r="Q273" s="34">
        <v>0</v>
      </c>
      <c r="R273" s="45"/>
      <c r="S273" s="4" t="str">
        <f>IFERROR(VLOOKUP(E273,'[2]td factu si'!$A:$B,1,0),0)</f>
        <v>FE14916</v>
      </c>
      <c r="T273" s="2">
        <f>IFERROR(VLOOKUP(E273,'[2]td factu si'!$A:$B,2,0),0)*-1</f>
        <v>181246</v>
      </c>
      <c r="W273" s="36"/>
      <c r="X273" s="6">
        <v>181246</v>
      </c>
      <c r="AH273" s="3">
        <v>0</v>
      </c>
      <c r="AJ273" s="3">
        <v>0</v>
      </c>
    </row>
    <row r="274" spans="1:36" x14ac:dyDescent="0.25">
      <c r="A274">
        <v>266</v>
      </c>
      <c r="B274" s="29" t="s">
        <v>45</v>
      </c>
      <c r="C274" s="29" t="s">
        <v>46</v>
      </c>
      <c r="D274" s="4" t="str">
        <f>"14917"</f>
        <v>14917</v>
      </c>
      <c r="E274" s="4" t="str">
        <f t="shared" si="8"/>
        <v>FE14917</v>
      </c>
      <c r="F274" s="7">
        <v>44329</v>
      </c>
      <c r="G274" s="7">
        <v>44350</v>
      </c>
      <c r="H274" s="34">
        <v>181246</v>
      </c>
      <c r="I274" s="31">
        <v>181246</v>
      </c>
      <c r="J274" s="31">
        <f t="shared" si="9"/>
        <v>0</v>
      </c>
      <c r="K274" s="2"/>
      <c r="N274" s="32">
        <v>0</v>
      </c>
      <c r="Q274" s="34">
        <v>0</v>
      </c>
      <c r="R274" s="45"/>
      <c r="S274" s="4" t="str">
        <f>IFERROR(VLOOKUP(E274,'[2]td factu si'!$A:$B,1,0),0)</f>
        <v>FE14917</v>
      </c>
      <c r="T274" s="2">
        <f>IFERROR(VLOOKUP(E274,'[2]td factu si'!$A:$B,2,0),0)*-1</f>
        <v>181246</v>
      </c>
      <c r="W274" s="36"/>
      <c r="X274" s="6">
        <v>181246</v>
      </c>
      <c r="AH274" s="3">
        <v>0</v>
      </c>
      <c r="AJ274" s="3">
        <v>0</v>
      </c>
    </row>
    <row r="275" spans="1:36" x14ac:dyDescent="0.25">
      <c r="A275">
        <v>267</v>
      </c>
      <c r="B275" s="29" t="s">
        <v>45</v>
      </c>
      <c r="C275" s="29" t="s">
        <v>46</v>
      </c>
      <c r="D275" s="4" t="str">
        <f>"14918"</f>
        <v>14918</v>
      </c>
      <c r="E275" s="4" t="str">
        <f t="shared" si="8"/>
        <v>FE14918</v>
      </c>
      <c r="F275" s="7">
        <v>44329</v>
      </c>
      <c r="G275" s="7">
        <v>44350</v>
      </c>
      <c r="H275" s="34">
        <v>181246</v>
      </c>
      <c r="I275" s="31">
        <v>181246</v>
      </c>
      <c r="J275" s="31">
        <f t="shared" si="9"/>
        <v>0</v>
      </c>
      <c r="K275" s="2"/>
      <c r="N275" s="32">
        <v>0</v>
      </c>
      <c r="Q275" s="34">
        <v>0</v>
      </c>
      <c r="R275" s="45"/>
      <c r="S275" s="4" t="str">
        <f>IFERROR(VLOOKUP(E275,'[2]td factu si'!$A:$B,1,0),0)</f>
        <v>FE14918</v>
      </c>
      <c r="T275" s="2">
        <f>IFERROR(VLOOKUP(E275,'[2]td factu si'!$A:$B,2,0),0)*-1</f>
        <v>181246</v>
      </c>
      <c r="W275" s="36"/>
      <c r="X275" s="6">
        <v>181246</v>
      </c>
      <c r="AH275" s="3">
        <v>0</v>
      </c>
      <c r="AJ275" s="3">
        <v>0</v>
      </c>
    </row>
    <row r="276" spans="1:36" x14ac:dyDescent="0.25">
      <c r="A276">
        <v>268</v>
      </c>
      <c r="B276" s="29" t="s">
        <v>45</v>
      </c>
      <c r="C276" s="29" t="s">
        <v>46</v>
      </c>
      <c r="D276" s="4" t="str">
        <f>"14919"</f>
        <v>14919</v>
      </c>
      <c r="E276" s="4" t="str">
        <f t="shared" si="8"/>
        <v>FE14919</v>
      </c>
      <c r="F276" s="7">
        <v>44329</v>
      </c>
      <c r="G276" s="7">
        <v>44350</v>
      </c>
      <c r="H276" s="34">
        <v>181246</v>
      </c>
      <c r="I276" s="31">
        <v>181246</v>
      </c>
      <c r="J276" s="31">
        <f t="shared" si="9"/>
        <v>0</v>
      </c>
      <c r="K276" s="2"/>
      <c r="N276" s="32">
        <v>0</v>
      </c>
      <c r="Q276" s="34">
        <v>0</v>
      </c>
      <c r="R276" s="45"/>
      <c r="S276" s="4" t="str">
        <f>IFERROR(VLOOKUP(E276,'[2]td factu si'!$A:$B,1,0),0)</f>
        <v>FE14919</v>
      </c>
      <c r="T276" s="2">
        <f>IFERROR(VLOOKUP(E276,'[2]td factu si'!$A:$B,2,0),0)*-1</f>
        <v>181246</v>
      </c>
      <c r="W276" s="36"/>
      <c r="X276" s="6">
        <v>181246</v>
      </c>
      <c r="AH276" s="3">
        <v>0</v>
      </c>
      <c r="AJ276" s="3">
        <v>0</v>
      </c>
    </row>
    <row r="277" spans="1:36" x14ac:dyDescent="0.25">
      <c r="A277">
        <v>269</v>
      </c>
      <c r="B277" s="29" t="s">
        <v>45</v>
      </c>
      <c r="C277" s="29" t="s">
        <v>46</v>
      </c>
      <c r="D277" s="4" t="str">
        <f>"14920"</f>
        <v>14920</v>
      </c>
      <c r="E277" s="4" t="str">
        <f t="shared" si="8"/>
        <v>FE14920</v>
      </c>
      <c r="F277" s="7">
        <v>44329</v>
      </c>
      <c r="G277" s="7">
        <v>44350</v>
      </c>
      <c r="H277" s="34">
        <v>181246</v>
      </c>
      <c r="I277" s="31">
        <v>163121</v>
      </c>
      <c r="J277" s="31">
        <f t="shared" si="9"/>
        <v>18125</v>
      </c>
      <c r="K277" s="2"/>
      <c r="N277" s="32">
        <v>0</v>
      </c>
      <c r="Q277" s="34">
        <v>0</v>
      </c>
      <c r="R277" s="45"/>
      <c r="S277" s="4">
        <f>IFERROR(VLOOKUP(E277,'[2]td factu si'!$A:$B,1,0),0)</f>
        <v>0</v>
      </c>
      <c r="T277" s="2">
        <f>IFERROR(VLOOKUP(E277,'[2]td factu si'!$A:$B,2,0),0)*-1</f>
        <v>0</v>
      </c>
      <c r="W277" s="36"/>
      <c r="X277" s="6">
        <v>163121</v>
      </c>
      <c r="AH277" s="3">
        <v>0</v>
      </c>
      <c r="AJ277" s="3">
        <v>0</v>
      </c>
    </row>
    <row r="278" spans="1:36" x14ac:dyDescent="0.25">
      <c r="A278">
        <v>270</v>
      </c>
      <c r="B278" s="29" t="s">
        <v>45</v>
      </c>
      <c r="C278" s="29" t="s">
        <v>46</v>
      </c>
      <c r="D278" s="4" t="str">
        <f>"14927"</f>
        <v>14927</v>
      </c>
      <c r="E278" s="4" t="str">
        <f t="shared" si="8"/>
        <v>FE14927</v>
      </c>
      <c r="F278" s="7">
        <v>44329</v>
      </c>
      <c r="G278" s="7">
        <v>44350</v>
      </c>
      <c r="H278" s="34">
        <v>15489</v>
      </c>
      <c r="I278" s="31">
        <v>15489</v>
      </c>
      <c r="J278" s="31">
        <f t="shared" si="9"/>
        <v>0</v>
      </c>
      <c r="K278" s="2"/>
      <c r="N278" s="32">
        <v>0</v>
      </c>
      <c r="Q278" s="34">
        <v>0</v>
      </c>
      <c r="R278" s="45"/>
      <c r="S278" s="4" t="str">
        <f>IFERROR(VLOOKUP(E278,'[2]td factu si'!$A:$B,1,0),0)</f>
        <v>FE14927</v>
      </c>
      <c r="T278" s="2">
        <f>IFERROR(VLOOKUP(E278,'[2]td factu si'!$A:$B,2,0),0)*-1</f>
        <v>15489</v>
      </c>
      <c r="W278" s="36"/>
      <c r="X278" s="6">
        <v>15489</v>
      </c>
      <c r="AH278" s="3">
        <v>0</v>
      </c>
      <c r="AJ278" s="3">
        <v>0</v>
      </c>
    </row>
    <row r="279" spans="1:36" x14ac:dyDescent="0.25">
      <c r="A279">
        <v>271</v>
      </c>
      <c r="B279" s="29" t="s">
        <v>45</v>
      </c>
      <c r="C279" s="29" t="s">
        <v>46</v>
      </c>
      <c r="D279" s="4" t="str">
        <f>"14930"</f>
        <v>14930</v>
      </c>
      <c r="E279" s="4" t="str">
        <f t="shared" si="8"/>
        <v>FE14930</v>
      </c>
      <c r="F279" s="7">
        <v>44329</v>
      </c>
      <c r="G279" s="7">
        <v>44350</v>
      </c>
      <c r="H279" s="34">
        <v>15489</v>
      </c>
      <c r="I279" s="31">
        <v>15489</v>
      </c>
      <c r="J279" s="31">
        <f t="shared" si="9"/>
        <v>0</v>
      </c>
      <c r="K279" s="2"/>
      <c r="N279" s="32">
        <v>0</v>
      </c>
      <c r="Q279" s="34">
        <v>0</v>
      </c>
      <c r="R279" s="45"/>
      <c r="S279" s="4" t="str">
        <f>IFERROR(VLOOKUP(E279,'[2]td factu si'!$A:$B,1,0),0)</f>
        <v>FE14930</v>
      </c>
      <c r="T279" s="2">
        <f>IFERROR(VLOOKUP(E279,'[2]td factu si'!$A:$B,2,0),0)*-1</f>
        <v>15489</v>
      </c>
      <c r="W279" s="36"/>
      <c r="X279" s="6">
        <v>15489</v>
      </c>
      <c r="AH279" s="3">
        <v>0</v>
      </c>
      <c r="AJ279" s="3">
        <v>0</v>
      </c>
    </row>
    <row r="280" spans="1:36" x14ac:dyDescent="0.25">
      <c r="A280">
        <v>272</v>
      </c>
      <c r="B280" s="29" t="s">
        <v>45</v>
      </c>
      <c r="C280" s="29" t="s">
        <v>46</v>
      </c>
      <c r="D280" s="4" t="str">
        <f>"14931"</f>
        <v>14931</v>
      </c>
      <c r="E280" s="4" t="str">
        <f t="shared" si="8"/>
        <v>FE14931</v>
      </c>
      <c r="F280" s="7">
        <v>44329</v>
      </c>
      <c r="G280" s="7">
        <v>44350</v>
      </c>
      <c r="H280" s="34">
        <v>15489</v>
      </c>
      <c r="I280" s="31">
        <v>15489</v>
      </c>
      <c r="J280" s="31">
        <f t="shared" si="9"/>
        <v>0</v>
      </c>
      <c r="K280" s="2"/>
      <c r="N280" s="32">
        <v>0</v>
      </c>
      <c r="Q280" s="34">
        <v>0</v>
      </c>
      <c r="R280" s="45"/>
      <c r="S280" s="4" t="str">
        <f>IFERROR(VLOOKUP(E280,'[2]td factu si'!$A:$B,1,0),0)</f>
        <v>FE14931</v>
      </c>
      <c r="T280" s="2">
        <f>IFERROR(VLOOKUP(E280,'[2]td factu si'!$A:$B,2,0),0)*-1</f>
        <v>15489</v>
      </c>
      <c r="W280" s="36"/>
      <c r="X280" s="6">
        <v>15489</v>
      </c>
      <c r="AH280" s="3">
        <v>0</v>
      </c>
      <c r="AJ280" s="3">
        <v>0</v>
      </c>
    </row>
    <row r="281" spans="1:36" x14ac:dyDescent="0.25">
      <c r="A281">
        <v>273</v>
      </c>
      <c r="B281" s="29" t="s">
        <v>45</v>
      </c>
      <c r="C281" s="29" t="s">
        <v>46</v>
      </c>
      <c r="D281" s="4" t="str">
        <f>"14932"</f>
        <v>14932</v>
      </c>
      <c r="E281" s="4" t="str">
        <f t="shared" si="8"/>
        <v>FE14932</v>
      </c>
      <c r="F281" s="7">
        <v>44329</v>
      </c>
      <c r="G281" s="7">
        <v>44350</v>
      </c>
      <c r="H281" s="34">
        <v>15489</v>
      </c>
      <c r="I281" s="31">
        <v>15489</v>
      </c>
      <c r="J281" s="31">
        <f t="shared" si="9"/>
        <v>0</v>
      </c>
      <c r="K281" s="2"/>
      <c r="N281" s="32">
        <v>0</v>
      </c>
      <c r="Q281" s="34">
        <v>0</v>
      </c>
      <c r="R281" s="45"/>
      <c r="S281" s="4" t="str">
        <f>IFERROR(VLOOKUP(E281,'[2]td factu si'!$A:$B,1,0),0)</f>
        <v>FE14932</v>
      </c>
      <c r="T281" s="2">
        <f>IFERROR(VLOOKUP(E281,'[2]td factu si'!$A:$B,2,0),0)*-1</f>
        <v>15489</v>
      </c>
      <c r="W281" s="36"/>
      <c r="X281" s="6">
        <v>15489</v>
      </c>
      <c r="AH281" s="3">
        <v>0</v>
      </c>
      <c r="AJ281" s="3">
        <v>0</v>
      </c>
    </row>
    <row r="282" spans="1:36" x14ac:dyDescent="0.25">
      <c r="A282">
        <v>274</v>
      </c>
      <c r="B282" s="29" t="s">
        <v>45</v>
      </c>
      <c r="C282" s="29" t="s">
        <v>46</v>
      </c>
      <c r="D282" s="4" t="str">
        <f>"14945"</f>
        <v>14945</v>
      </c>
      <c r="E282" s="4" t="str">
        <f t="shared" si="8"/>
        <v>FE14945</v>
      </c>
      <c r="F282" s="7">
        <v>44330</v>
      </c>
      <c r="G282" s="7">
        <v>44350</v>
      </c>
      <c r="H282" s="34">
        <v>181246</v>
      </c>
      <c r="I282" s="31">
        <v>160403</v>
      </c>
      <c r="J282" s="31">
        <f t="shared" si="9"/>
        <v>20843</v>
      </c>
      <c r="K282" s="2"/>
      <c r="N282" s="32">
        <v>0</v>
      </c>
      <c r="Q282" s="34">
        <v>0</v>
      </c>
      <c r="R282" s="45"/>
      <c r="S282" s="4">
        <f>IFERROR(VLOOKUP(E282,'[2]td factu si'!$A:$B,1,0),0)</f>
        <v>0</v>
      </c>
      <c r="T282" s="2">
        <f>IFERROR(VLOOKUP(E282,'[2]td factu si'!$A:$B,2,0),0)*-1</f>
        <v>0</v>
      </c>
      <c r="W282" s="36"/>
      <c r="X282" s="6">
        <v>160403</v>
      </c>
      <c r="AH282" s="3">
        <v>0</v>
      </c>
      <c r="AJ282" s="3">
        <v>0</v>
      </c>
    </row>
    <row r="283" spans="1:36" x14ac:dyDescent="0.25">
      <c r="A283">
        <v>275</v>
      </c>
      <c r="B283" s="29" t="s">
        <v>45</v>
      </c>
      <c r="C283" s="29" t="s">
        <v>46</v>
      </c>
      <c r="D283" s="4" t="str">
        <f>"14948"</f>
        <v>14948</v>
      </c>
      <c r="E283" s="4" t="str">
        <f t="shared" si="8"/>
        <v>FE14948</v>
      </c>
      <c r="F283" s="7">
        <v>44330</v>
      </c>
      <c r="G283" s="7">
        <v>44350</v>
      </c>
      <c r="H283" s="34">
        <v>15489</v>
      </c>
      <c r="I283" s="31">
        <v>15489</v>
      </c>
      <c r="J283" s="31">
        <f t="shared" si="9"/>
        <v>0</v>
      </c>
      <c r="K283" s="2"/>
      <c r="N283" s="32">
        <v>0</v>
      </c>
      <c r="Q283" s="34">
        <v>0</v>
      </c>
      <c r="R283" s="45"/>
      <c r="S283" s="4" t="str">
        <f>IFERROR(VLOOKUP(E283,'[2]td factu si'!$A:$B,1,0),0)</f>
        <v>FE14948</v>
      </c>
      <c r="T283" s="2">
        <f>IFERROR(VLOOKUP(E283,'[2]td factu si'!$A:$B,2,0),0)*-1</f>
        <v>15489</v>
      </c>
      <c r="W283" s="36"/>
      <c r="X283" s="6">
        <v>15489</v>
      </c>
      <c r="AH283" s="3">
        <v>0</v>
      </c>
      <c r="AJ283" s="3">
        <v>0</v>
      </c>
    </row>
    <row r="284" spans="1:36" x14ac:dyDescent="0.25">
      <c r="A284">
        <v>276</v>
      </c>
      <c r="B284" s="29" t="s">
        <v>45</v>
      </c>
      <c r="C284" s="29" t="s">
        <v>46</v>
      </c>
      <c r="D284" s="4" t="str">
        <f>"14950"</f>
        <v>14950</v>
      </c>
      <c r="E284" s="4" t="str">
        <f t="shared" si="8"/>
        <v>FE14950</v>
      </c>
      <c r="F284" s="7">
        <v>44330</v>
      </c>
      <c r="G284" s="7">
        <v>44350</v>
      </c>
      <c r="H284" s="34">
        <v>181246</v>
      </c>
      <c r="I284" s="31">
        <v>181246</v>
      </c>
      <c r="J284" s="31">
        <f t="shared" si="9"/>
        <v>0</v>
      </c>
      <c r="K284" s="2"/>
      <c r="N284" s="32">
        <v>0</v>
      </c>
      <c r="Q284" s="34">
        <v>0</v>
      </c>
      <c r="R284" s="45"/>
      <c r="S284" s="4" t="str">
        <f>IFERROR(VLOOKUP(E284,'[2]td factu si'!$A:$B,1,0),0)</f>
        <v>FE14950</v>
      </c>
      <c r="T284" s="2">
        <f>IFERROR(VLOOKUP(E284,'[2]td factu si'!$A:$B,2,0),0)*-1</f>
        <v>181246</v>
      </c>
      <c r="W284" s="36"/>
      <c r="X284" s="6">
        <v>181246</v>
      </c>
      <c r="AH284" s="3">
        <v>0</v>
      </c>
      <c r="AJ284" s="3">
        <v>0</v>
      </c>
    </row>
    <row r="285" spans="1:36" x14ac:dyDescent="0.25">
      <c r="A285">
        <v>277</v>
      </c>
      <c r="B285" s="29" t="s">
        <v>45</v>
      </c>
      <c r="C285" s="29" t="s">
        <v>46</v>
      </c>
      <c r="D285" s="4" t="str">
        <f>"14951"</f>
        <v>14951</v>
      </c>
      <c r="E285" s="4" t="str">
        <f t="shared" si="8"/>
        <v>FE14951</v>
      </c>
      <c r="F285" s="7">
        <v>44330</v>
      </c>
      <c r="G285" s="7">
        <v>44350</v>
      </c>
      <c r="H285" s="34">
        <v>181246</v>
      </c>
      <c r="I285" s="31">
        <v>181246</v>
      </c>
      <c r="J285" s="31">
        <f t="shared" si="9"/>
        <v>0</v>
      </c>
      <c r="K285" s="2"/>
      <c r="N285" s="32">
        <v>0</v>
      </c>
      <c r="Q285" s="34">
        <v>0</v>
      </c>
      <c r="R285" s="45"/>
      <c r="S285" s="4" t="str">
        <f>IFERROR(VLOOKUP(E285,'[2]td factu si'!$A:$B,1,0),0)</f>
        <v>FE14951</v>
      </c>
      <c r="T285" s="2">
        <f>IFERROR(VLOOKUP(E285,'[2]td factu si'!$A:$B,2,0),0)*-1</f>
        <v>181246</v>
      </c>
      <c r="W285" s="36"/>
      <c r="X285" s="6">
        <v>181246</v>
      </c>
      <c r="AH285" s="3">
        <v>0</v>
      </c>
      <c r="AJ285" s="3">
        <v>0</v>
      </c>
    </row>
    <row r="286" spans="1:36" x14ac:dyDescent="0.25">
      <c r="A286">
        <v>278</v>
      </c>
      <c r="B286" s="29" t="s">
        <v>45</v>
      </c>
      <c r="C286" s="29" t="s">
        <v>46</v>
      </c>
      <c r="D286" s="4" t="str">
        <f>"14952"</f>
        <v>14952</v>
      </c>
      <c r="E286" s="4" t="str">
        <f t="shared" si="8"/>
        <v>FE14952</v>
      </c>
      <c r="F286" s="7">
        <v>44330</v>
      </c>
      <c r="G286" s="7">
        <v>44350</v>
      </c>
      <c r="H286" s="34">
        <v>181246</v>
      </c>
      <c r="I286" s="31">
        <v>181246</v>
      </c>
      <c r="J286" s="31">
        <f t="shared" si="9"/>
        <v>0</v>
      </c>
      <c r="K286" s="2"/>
      <c r="N286" s="32">
        <v>0</v>
      </c>
      <c r="Q286" s="34">
        <v>0</v>
      </c>
      <c r="R286" s="45"/>
      <c r="S286" s="4" t="str">
        <f>IFERROR(VLOOKUP(E286,'[2]td factu si'!$A:$B,1,0),0)</f>
        <v>FE14952</v>
      </c>
      <c r="T286" s="2">
        <f>IFERROR(VLOOKUP(E286,'[2]td factu si'!$A:$B,2,0),0)*-1</f>
        <v>181246</v>
      </c>
      <c r="W286" s="36"/>
      <c r="X286" s="6">
        <v>181246</v>
      </c>
      <c r="AH286" s="3">
        <v>0</v>
      </c>
      <c r="AJ286" s="3">
        <v>0</v>
      </c>
    </row>
    <row r="287" spans="1:36" x14ac:dyDescent="0.25">
      <c r="A287">
        <v>279</v>
      </c>
      <c r="B287" s="29" t="s">
        <v>45</v>
      </c>
      <c r="C287" s="29" t="s">
        <v>46</v>
      </c>
      <c r="D287" s="4" t="str">
        <f>"14955"</f>
        <v>14955</v>
      </c>
      <c r="E287" s="4" t="str">
        <f t="shared" si="8"/>
        <v>FE14955</v>
      </c>
      <c r="F287" s="7">
        <v>44330</v>
      </c>
      <c r="G287" s="7">
        <v>44350</v>
      </c>
      <c r="H287" s="34">
        <v>181246</v>
      </c>
      <c r="I287" s="31">
        <v>181246</v>
      </c>
      <c r="J287" s="31">
        <f t="shared" si="9"/>
        <v>0</v>
      </c>
      <c r="K287" s="2"/>
      <c r="N287" s="32">
        <v>0</v>
      </c>
      <c r="Q287" s="34">
        <v>0</v>
      </c>
      <c r="R287" s="45"/>
      <c r="S287" s="4" t="str">
        <f>IFERROR(VLOOKUP(E287,'[2]td factu si'!$A:$B,1,0),0)</f>
        <v>FE14955</v>
      </c>
      <c r="T287" s="2">
        <f>IFERROR(VLOOKUP(E287,'[2]td factu si'!$A:$B,2,0),0)*-1</f>
        <v>181246</v>
      </c>
      <c r="W287" s="36"/>
      <c r="X287" s="6">
        <v>181246</v>
      </c>
      <c r="AH287" s="3">
        <v>0</v>
      </c>
      <c r="AJ287" s="3">
        <v>0</v>
      </c>
    </row>
    <row r="288" spans="1:36" x14ac:dyDescent="0.25">
      <c r="A288">
        <v>280</v>
      </c>
      <c r="B288" s="29" t="s">
        <v>45</v>
      </c>
      <c r="C288" s="29" t="s">
        <v>46</v>
      </c>
      <c r="D288" s="4" t="str">
        <f>"14956"</f>
        <v>14956</v>
      </c>
      <c r="E288" s="4" t="str">
        <f t="shared" si="8"/>
        <v>FE14956</v>
      </c>
      <c r="F288" s="7">
        <v>44330</v>
      </c>
      <c r="G288" s="7">
        <v>44350</v>
      </c>
      <c r="H288" s="34">
        <v>181246</v>
      </c>
      <c r="I288" s="31">
        <v>177746</v>
      </c>
      <c r="J288" s="31">
        <f t="shared" si="9"/>
        <v>3500</v>
      </c>
      <c r="K288" s="2"/>
      <c r="N288" s="32">
        <v>0</v>
      </c>
      <c r="Q288" s="34">
        <v>0</v>
      </c>
      <c r="R288" s="45"/>
      <c r="S288" s="4">
        <f>IFERROR(VLOOKUP(E288,'[2]td factu si'!$A:$B,1,0),0)</f>
        <v>0</v>
      </c>
      <c r="T288" s="2">
        <f>IFERROR(VLOOKUP(E288,'[2]td factu si'!$A:$B,2,0),0)*-1</f>
        <v>0</v>
      </c>
      <c r="W288" s="36"/>
      <c r="X288" s="6">
        <v>177746</v>
      </c>
      <c r="AH288" s="3">
        <v>0</v>
      </c>
      <c r="AJ288" s="3">
        <v>0</v>
      </c>
    </row>
    <row r="289" spans="1:36" x14ac:dyDescent="0.25">
      <c r="A289">
        <v>281</v>
      </c>
      <c r="B289" s="29" t="s">
        <v>45</v>
      </c>
      <c r="C289" s="29" t="s">
        <v>46</v>
      </c>
      <c r="D289" s="4" t="str">
        <f>"14958"</f>
        <v>14958</v>
      </c>
      <c r="E289" s="4" t="str">
        <f t="shared" si="8"/>
        <v>FE14958</v>
      </c>
      <c r="F289" s="7">
        <v>44330</v>
      </c>
      <c r="G289" s="7">
        <v>44350</v>
      </c>
      <c r="H289" s="34">
        <v>181246</v>
      </c>
      <c r="I289" s="31">
        <v>181246</v>
      </c>
      <c r="J289" s="31">
        <f t="shared" si="9"/>
        <v>0</v>
      </c>
      <c r="K289" s="2"/>
      <c r="N289" s="32">
        <v>0</v>
      </c>
      <c r="Q289" s="34">
        <v>0</v>
      </c>
      <c r="R289" s="45"/>
      <c r="S289" s="4" t="str">
        <f>IFERROR(VLOOKUP(E289,'[2]td factu si'!$A:$B,1,0),0)</f>
        <v>FE14958</v>
      </c>
      <c r="T289" s="2">
        <f>IFERROR(VLOOKUP(E289,'[2]td factu si'!$A:$B,2,0),0)*-1</f>
        <v>181246</v>
      </c>
      <c r="W289" s="36"/>
      <c r="X289" s="6">
        <v>181246</v>
      </c>
      <c r="AH289" s="3">
        <v>0</v>
      </c>
      <c r="AJ289" s="3">
        <v>0</v>
      </c>
    </row>
    <row r="290" spans="1:36" x14ac:dyDescent="0.25">
      <c r="A290">
        <v>282</v>
      </c>
      <c r="B290" s="29" t="s">
        <v>45</v>
      </c>
      <c r="C290" s="29" t="s">
        <v>46</v>
      </c>
      <c r="D290" s="4" t="str">
        <f>"14964"</f>
        <v>14964</v>
      </c>
      <c r="E290" s="4" t="str">
        <f t="shared" si="8"/>
        <v>FE14964</v>
      </c>
      <c r="F290" s="7">
        <v>44330</v>
      </c>
      <c r="G290" s="7">
        <v>44351</v>
      </c>
      <c r="H290" s="34">
        <v>181246</v>
      </c>
      <c r="I290" s="31">
        <v>177746</v>
      </c>
      <c r="J290" s="31">
        <f t="shared" si="9"/>
        <v>3500</v>
      </c>
      <c r="K290" s="2"/>
      <c r="N290" s="32">
        <v>0</v>
      </c>
      <c r="Q290" s="34">
        <v>0</v>
      </c>
      <c r="R290" s="45"/>
      <c r="S290" s="4" t="str">
        <f>IFERROR(VLOOKUP(E290,'[2]td factu si'!$A:$B,1,0),0)</f>
        <v>FE14964</v>
      </c>
      <c r="T290" s="2">
        <f>IFERROR(VLOOKUP(E290,'[2]td factu si'!$A:$B,2,0),0)*-1</f>
        <v>177746</v>
      </c>
      <c r="W290" s="36"/>
      <c r="X290" s="6">
        <v>177746</v>
      </c>
      <c r="AH290" s="3">
        <v>0</v>
      </c>
      <c r="AJ290" s="3">
        <v>0</v>
      </c>
    </row>
    <row r="291" spans="1:36" x14ac:dyDescent="0.25">
      <c r="A291">
        <v>283</v>
      </c>
      <c r="B291" s="29" t="s">
        <v>45</v>
      </c>
      <c r="C291" s="29" t="s">
        <v>46</v>
      </c>
      <c r="D291" s="4" t="str">
        <f>"14966"</f>
        <v>14966</v>
      </c>
      <c r="E291" s="4" t="str">
        <f t="shared" si="8"/>
        <v>FE14966</v>
      </c>
      <c r="F291" s="7">
        <v>44330</v>
      </c>
      <c r="G291" s="7">
        <v>44350</v>
      </c>
      <c r="H291" s="34">
        <v>181246</v>
      </c>
      <c r="I291" s="31">
        <v>181246</v>
      </c>
      <c r="J291" s="31">
        <f t="shared" si="9"/>
        <v>0</v>
      </c>
      <c r="K291" s="2"/>
      <c r="N291" s="32">
        <v>0</v>
      </c>
      <c r="Q291" s="34">
        <v>0</v>
      </c>
      <c r="R291" s="45"/>
      <c r="S291" s="4" t="str">
        <f>IFERROR(VLOOKUP(E291,'[2]td factu si'!$A:$B,1,0),0)</f>
        <v>FE14966</v>
      </c>
      <c r="T291" s="2">
        <f>IFERROR(VLOOKUP(E291,'[2]td factu si'!$A:$B,2,0),0)*-1</f>
        <v>181246</v>
      </c>
      <c r="W291" s="36"/>
      <c r="X291" s="6">
        <v>181246</v>
      </c>
      <c r="AH291" s="3">
        <v>0</v>
      </c>
      <c r="AJ291" s="3">
        <v>0</v>
      </c>
    </row>
    <row r="292" spans="1:36" x14ac:dyDescent="0.25">
      <c r="A292">
        <v>284</v>
      </c>
      <c r="B292" s="29" t="s">
        <v>45</v>
      </c>
      <c r="C292" s="29" t="s">
        <v>46</v>
      </c>
      <c r="D292" s="4" t="str">
        <f>"14968"</f>
        <v>14968</v>
      </c>
      <c r="E292" s="4" t="str">
        <f t="shared" si="8"/>
        <v>FE14968</v>
      </c>
      <c r="F292" s="7">
        <v>44330</v>
      </c>
      <c r="G292" s="7">
        <v>44350</v>
      </c>
      <c r="H292" s="34">
        <v>339170</v>
      </c>
      <c r="I292" s="31">
        <v>339170</v>
      </c>
      <c r="J292" s="31">
        <f t="shared" si="9"/>
        <v>0</v>
      </c>
      <c r="K292" s="2"/>
      <c r="N292" s="32">
        <v>0</v>
      </c>
      <c r="Q292" s="34">
        <v>0</v>
      </c>
      <c r="R292" s="45"/>
      <c r="S292" s="4" t="str">
        <f>IFERROR(VLOOKUP(E292,'[2]td factu si'!$A:$B,1,0),0)</f>
        <v>FE14968</v>
      </c>
      <c r="T292" s="2">
        <f>IFERROR(VLOOKUP(E292,'[2]td factu si'!$A:$B,2,0),0)*-1</f>
        <v>339170</v>
      </c>
      <c r="W292" s="36"/>
      <c r="X292" s="6">
        <v>339170</v>
      </c>
      <c r="AH292" s="3">
        <v>0</v>
      </c>
      <c r="AJ292" s="3">
        <v>0</v>
      </c>
    </row>
    <row r="293" spans="1:36" x14ac:dyDescent="0.25">
      <c r="A293">
        <v>285</v>
      </c>
      <c r="B293" s="29" t="s">
        <v>45</v>
      </c>
      <c r="C293" s="29" t="s">
        <v>46</v>
      </c>
      <c r="D293" s="4" t="str">
        <f>"14972"</f>
        <v>14972</v>
      </c>
      <c r="E293" s="4" t="str">
        <f t="shared" si="8"/>
        <v>FE14972</v>
      </c>
      <c r="F293" s="7">
        <v>44330</v>
      </c>
      <c r="G293" s="7">
        <v>44350</v>
      </c>
      <c r="H293" s="34">
        <v>181246</v>
      </c>
      <c r="I293" s="31">
        <v>181246</v>
      </c>
      <c r="J293" s="31">
        <f t="shared" si="9"/>
        <v>0</v>
      </c>
      <c r="K293" s="2"/>
      <c r="N293" s="32">
        <v>0</v>
      </c>
      <c r="Q293" s="34">
        <v>0</v>
      </c>
      <c r="R293" s="45"/>
      <c r="S293" s="4" t="str">
        <f>IFERROR(VLOOKUP(E293,'[2]td factu si'!$A:$B,1,0),0)</f>
        <v>FE14972</v>
      </c>
      <c r="T293" s="2">
        <f>IFERROR(VLOOKUP(E293,'[2]td factu si'!$A:$B,2,0),0)*-1</f>
        <v>181246</v>
      </c>
      <c r="W293" s="36"/>
      <c r="X293" s="6">
        <v>181246</v>
      </c>
      <c r="AH293" s="3">
        <v>0</v>
      </c>
      <c r="AJ293" s="3">
        <v>0</v>
      </c>
    </row>
    <row r="294" spans="1:36" x14ac:dyDescent="0.25">
      <c r="A294">
        <v>286</v>
      </c>
      <c r="B294" s="29" t="s">
        <v>45</v>
      </c>
      <c r="C294" s="29" t="s">
        <v>46</v>
      </c>
      <c r="D294" s="4" t="str">
        <f>"14974"</f>
        <v>14974</v>
      </c>
      <c r="E294" s="4" t="str">
        <f t="shared" si="8"/>
        <v>FE14974</v>
      </c>
      <c r="F294" s="7">
        <v>44330</v>
      </c>
      <c r="G294" s="7">
        <v>44350</v>
      </c>
      <c r="H294" s="34">
        <v>339170</v>
      </c>
      <c r="I294" s="31">
        <v>339170</v>
      </c>
      <c r="J294" s="31">
        <f t="shared" si="9"/>
        <v>0</v>
      </c>
      <c r="K294" s="2"/>
      <c r="N294" s="32">
        <v>0</v>
      </c>
      <c r="Q294" s="34">
        <v>0</v>
      </c>
      <c r="R294" s="45"/>
      <c r="S294" s="4" t="str">
        <f>IFERROR(VLOOKUP(E294,'[2]td factu si'!$A:$B,1,0),0)</f>
        <v>FE14974</v>
      </c>
      <c r="T294" s="2">
        <f>IFERROR(VLOOKUP(E294,'[2]td factu si'!$A:$B,2,0),0)*-1</f>
        <v>339170</v>
      </c>
      <c r="W294" s="36"/>
      <c r="X294" s="6">
        <v>339170</v>
      </c>
      <c r="AH294" s="3">
        <v>0</v>
      </c>
      <c r="AJ294" s="3">
        <v>0</v>
      </c>
    </row>
    <row r="295" spans="1:36" x14ac:dyDescent="0.25">
      <c r="A295">
        <v>287</v>
      </c>
      <c r="B295" s="29" t="s">
        <v>45</v>
      </c>
      <c r="C295" s="29" t="s">
        <v>46</v>
      </c>
      <c r="D295" s="4" t="str">
        <f>"14976"</f>
        <v>14976</v>
      </c>
      <c r="E295" s="4" t="str">
        <f t="shared" si="8"/>
        <v>FE14976</v>
      </c>
      <c r="F295" s="7">
        <v>44330</v>
      </c>
      <c r="G295" s="7">
        <v>44350</v>
      </c>
      <c r="H295" s="34">
        <v>280634</v>
      </c>
      <c r="I295" s="31">
        <v>280634</v>
      </c>
      <c r="J295" s="31">
        <f t="shared" si="9"/>
        <v>0</v>
      </c>
      <c r="K295" s="2"/>
      <c r="N295" s="32">
        <v>0</v>
      </c>
      <c r="Q295" s="34">
        <v>0</v>
      </c>
      <c r="R295" s="45"/>
      <c r="S295" s="4" t="str">
        <f>IFERROR(VLOOKUP(E295,'[2]td factu si'!$A:$B,1,0),0)</f>
        <v>FE14976</v>
      </c>
      <c r="T295" s="2">
        <f>IFERROR(VLOOKUP(E295,'[2]td factu si'!$A:$B,2,0),0)*-1</f>
        <v>280634</v>
      </c>
      <c r="W295" s="36"/>
      <c r="X295" s="6">
        <v>280634</v>
      </c>
      <c r="AH295" s="3">
        <v>0</v>
      </c>
      <c r="AJ295" s="3">
        <v>0</v>
      </c>
    </row>
    <row r="296" spans="1:36" x14ac:dyDescent="0.25">
      <c r="A296">
        <v>288</v>
      </c>
      <c r="B296" s="29" t="s">
        <v>45</v>
      </c>
      <c r="C296" s="29" t="s">
        <v>46</v>
      </c>
      <c r="D296" s="4" t="str">
        <f>"14978"</f>
        <v>14978</v>
      </c>
      <c r="E296" s="4" t="str">
        <f t="shared" si="8"/>
        <v>FE14978</v>
      </c>
      <c r="F296" s="7">
        <v>44330</v>
      </c>
      <c r="G296" s="7">
        <v>44350</v>
      </c>
      <c r="H296" s="34">
        <v>181246</v>
      </c>
      <c r="I296" s="31">
        <v>181246</v>
      </c>
      <c r="J296" s="31">
        <f t="shared" si="9"/>
        <v>0</v>
      </c>
      <c r="K296" s="2"/>
      <c r="N296" s="32">
        <v>0</v>
      </c>
      <c r="Q296" s="34">
        <v>0</v>
      </c>
      <c r="R296" s="45"/>
      <c r="S296" s="4" t="str">
        <f>IFERROR(VLOOKUP(E296,'[2]td factu si'!$A:$B,1,0),0)</f>
        <v>FE14978</v>
      </c>
      <c r="T296" s="2">
        <f>IFERROR(VLOOKUP(E296,'[2]td factu si'!$A:$B,2,0),0)*-1</f>
        <v>181246</v>
      </c>
      <c r="W296" s="36"/>
      <c r="X296" s="6">
        <v>181246</v>
      </c>
      <c r="AH296" s="3">
        <v>0</v>
      </c>
      <c r="AJ296" s="3">
        <v>0</v>
      </c>
    </row>
    <row r="297" spans="1:36" x14ac:dyDescent="0.25">
      <c r="A297">
        <v>289</v>
      </c>
      <c r="B297" s="29" t="s">
        <v>45</v>
      </c>
      <c r="C297" s="29" t="s">
        <v>46</v>
      </c>
      <c r="D297" s="4" t="str">
        <f>"14983"</f>
        <v>14983</v>
      </c>
      <c r="E297" s="4" t="str">
        <f t="shared" si="8"/>
        <v>FE14983</v>
      </c>
      <c r="F297" s="7">
        <v>44330</v>
      </c>
      <c r="G297" s="7">
        <v>44350</v>
      </c>
      <c r="H297" s="34">
        <v>181246</v>
      </c>
      <c r="I297" s="31">
        <v>181246</v>
      </c>
      <c r="J297" s="31">
        <f t="shared" si="9"/>
        <v>0</v>
      </c>
      <c r="K297" s="2"/>
      <c r="N297" s="32">
        <v>0</v>
      </c>
      <c r="Q297" s="34">
        <v>0</v>
      </c>
      <c r="R297" s="45"/>
      <c r="S297" s="4" t="str">
        <f>IFERROR(VLOOKUP(E297,'[2]td factu si'!$A:$B,1,0),0)</f>
        <v>FE14983</v>
      </c>
      <c r="T297" s="2">
        <f>IFERROR(VLOOKUP(E297,'[2]td factu si'!$A:$B,2,0),0)*-1</f>
        <v>181246</v>
      </c>
      <c r="W297" s="36"/>
      <c r="X297" s="6">
        <v>181246</v>
      </c>
      <c r="AH297" s="3">
        <v>0</v>
      </c>
      <c r="AJ297" s="3">
        <v>0</v>
      </c>
    </row>
    <row r="298" spans="1:36" x14ac:dyDescent="0.25">
      <c r="A298">
        <v>290</v>
      </c>
      <c r="B298" s="29" t="s">
        <v>45</v>
      </c>
      <c r="C298" s="29" t="s">
        <v>46</v>
      </c>
      <c r="D298" s="4" t="str">
        <f>"14984"</f>
        <v>14984</v>
      </c>
      <c r="E298" s="4" t="str">
        <f t="shared" si="8"/>
        <v>FE14984</v>
      </c>
      <c r="F298" s="7">
        <v>44330</v>
      </c>
      <c r="G298" s="7">
        <v>44350</v>
      </c>
      <c r="H298" s="34">
        <v>339170</v>
      </c>
      <c r="I298" s="31">
        <v>339170</v>
      </c>
      <c r="J298" s="31">
        <f t="shared" si="9"/>
        <v>0</v>
      </c>
      <c r="K298" s="2"/>
      <c r="N298" s="32">
        <v>0</v>
      </c>
      <c r="Q298" s="34">
        <v>0</v>
      </c>
      <c r="R298" s="45"/>
      <c r="S298" s="4" t="str">
        <f>IFERROR(VLOOKUP(E298,'[2]td factu si'!$A:$B,1,0),0)</f>
        <v>FE14984</v>
      </c>
      <c r="T298" s="2">
        <f>IFERROR(VLOOKUP(E298,'[2]td factu si'!$A:$B,2,0),0)*-1</f>
        <v>339170</v>
      </c>
      <c r="W298" s="36"/>
      <c r="X298" s="6">
        <v>339170</v>
      </c>
      <c r="AH298" s="3">
        <v>0</v>
      </c>
      <c r="AJ298" s="3">
        <v>0</v>
      </c>
    </row>
    <row r="299" spans="1:36" x14ac:dyDescent="0.25">
      <c r="A299">
        <v>291</v>
      </c>
      <c r="B299" s="29" t="s">
        <v>45</v>
      </c>
      <c r="C299" s="29" t="s">
        <v>46</v>
      </c>
      <c r="D299" s="4" t="str">
        <f>"14987"</f>
        <v>14987</v>
      </c>
      <c r="E299" s="4" t="str">
        <f t="shared" si="8"/>
        <v>FE14987</v>
      </c>
      <c r="F299" s="7">
        <v>44330</v>
      </c>
      <c r="G299" s="7">
        <v>44351</v>
      </c>
      <c r="H299" s="34">
        <v>366252</v>
      </c>
      <c r="I299" s="31">
        <v>359252</v>
      </c>
      <c r="J299" s="31">
        <f t="shared" si="9"/>
        <v>7000</v>
      </c>
      <c r="K299" s="2"/>
      <c r="N299" s="32">
        <v>0</v>
      </c>
      <c r="Q299" s="34">
        <v>0</v>
      </c>
      <c r="R299" s="45"/>
      <c r="S299" s="4" t="str">
        <f>IFERROR(VLOOKUP(E299,'[2]td factu si'!$A:$B,1,0),0)</f>
        <v>FE14987</v>
      </c>
      <c r="T299" s="2">
        <f>IFERROR(VLOOKUP(E299,'[2]td factu si'!$A:$B,2,0),0)*-1</f>
        <v>359252</v>
      </c>
      <c r="W299" s="36"/>
      <c r="X299" s="6">
        <v>359252</v>
      </c>
      <c r="AH299" s="3">
        <v>0</v>
      </c>
      <c r="AJ299" s="3">
        <v>0</v>
      </c>
    </row>
    <row r="300" spans="1:36" x14ac:dyDescent="0.25">
      <c r="A300">
        <v>292</v>
      </c>
      <c r="B300" s="29" t="s">
        <v>45</v>
      </c>
      <c r="C300" s="29" t="s">
        <v>46</v>
      </c>
      <c r="D300" s="4" t="str">
        <f>"14988"</f>
        <v>14988</v>
      </c>
      <c r="E300" s="4" t="str">
        <f t="shared" si="8"/>
        <v>FE14988</v>
      </c>
      <c r="F300" s="7">
        <v>44330</v>
      </c>
      <c r="G300" s="7">
        <v>44350</v>
      </c>
      <c r="H300" s="34">
        <v>181246</v>
      </c>
      <c r="I300" s="31">
        <v>181246</v>
      </c>
      <c r="J300" s="31">
        <f t="shared" si="9"/>
        <v>0</v>
      </c>
      <c r="K300" s="2"/>
      <c r="N300" s="32">
        <v>0</v>
      </c>
      <c r="Q300" s="34">
        <v>0</v>
      </c>
      <c r="R300" s="45"/>
      <c r="S300" s="4" t="str">
        <f>IFERROR(VLOOKUP(E300,'[2]td factu si'!$A:$B,1,0),0)</f>
        <v>FE14988</v>
      </c>
      <c r="T300" s="2">
        <f>IFERROR(VLOOKUP(E300,'[2]td factu si'!$A:$B,2,0),0)*-1</f>
        <v>181246</v>
      </c>
      <c r="W300" s="36"/>
      <c r="X300" s="6">
        <v>181246</v>
      </c>
      <c r="AH300" s="3">
        <v>0</v>
      </c>
      <c r="AJ300" s="3">
        <v>0</v>
      </c>
    </row>
    <row r="301" spans="1:36" x14ac:dyDescent="0.25">
      <c r="A301">
        <v>293</v>
      </c>
      <c r="B301" s="29" t="s">
        <v>45</v>
      </c>
      <c r="C301" s="29" t="s">
        <v>46</v>
      </c>
      <c r="D301" s="4" t="str">
        <f>"14992"</f>
        <v>14992</v>
      </c>
      <c r="E301" s="4" t="str">
        <f t="shared" si="8"/>
        <v>FE14992</v>
      </c>
      <c r="F301" s="7">
        <v>44330</v>
      </c>
      <c r="G301" s="7">
        <v>44350</v>
      </c>
      <c r="H301" s="34">
        <v>134512</v>
      </c>
      <c r="I301" s="31">
        <v>134512</v>
      </c>
      <c r="J301" s="31">
        <f t="shared" si="9"/>
        <v>0</v>
      </c>
      <c r="K301" s="2"/>
      <c r="N301" s="32">
        <v>0</v>
      </c>
      <c r="Q301" s="34">
        <v>0</v>
      </c>
      <c r="R301" s="45"/>
      <c r="S301" s="4" t="str">
        <f>IFERROR(VLOOKUP(E301,'[2]td factu si'!$A:$B,1,0),0)</f>
        <v>FE14992</v>
      </c>
      <c r="T301" s="2">
        <f>IFERROR(VLOOKUP(E301,'[2]td factu si'!$A:$B,2,0),0)*-1</f>
        <v>134512</v>
      </c>
      <c r="W301" s="36"/>
      <c r="X301" s="6">
        <v>134512</v>
      </c>
      <c r="AH301" s="3">
        <v>0</v>
      </c>
      <c r="AJ301" s="3">
        <v>0</v>
      </c>
    </row>
    <row r="302" spans="1:36" x14ac:dyDescent="0.25">
      <c r="A302">
        <v>294</v>
      </c>
      <c r="B302" s="29" t="s">
        <v>45</v>
      </c>
      <c r="C302" s="29" t="s">
        <v>46</v>
      </c>
      <c r="D302" s="4" t="str">
        <f>"14998"</f>
        <v>14998</v>
      </c>
      <c r="E302" s="4" t="str">
        <f t="shared" si="8"/>
        <v>FE14998</v>
      </c>
      <c r="F302" s="7">
        <v>44330</v>
      </c>
      <c r="G302" s="7">
        <v>44350</v>
      </c>
      <c r="H302" s="34">
        <v>134512</v>
      </c>
      <c r="I302" s="31">
        <v>134512</v>
      </c>
      <c r="J302" s="31">
        <f t="shared" si="9"/>
        <v>0</v>
      </c>
      <c r="K302" s="2"/>
      <c r="N302" s="32">
        <v>0</v>
      </c>
      <c r="Q302" s="34">
        <v>0</v>
      </c>
      <c r="R302" s="45"/>
      <c r="S302" s="4" t="str">
        <f>IFERROR(VLOOKUP(E302,'[2]td factu si'!$A:$B,1,0),0)</f>
        <v>FE14998</v>
      </c>
      <c r="T302" s="2">
        <f>IFERROR(VLOOKUP(E302,'[2]td factu si'!$A:$B,2,0),0)*-1</f>
        <v>134512</v>
      </c>
      <c r="W302" s="36"/>
      <c r="X302" s="6">
        <v>134512</v>
      </c>
      <c r="AH302" s="3">
        <v>0</v>
      </c>
      <c r="AJ302" s="3">
        <v>0</v>
      </c>
    </row>
    <row r="303" spans="1:36" x14ac:dyDescent="0.25">
      <c r="A303">
        <v>295</v>
      </c>
      <c r="B303" s="29" t="s">
        <v>45</v>
      </c>
      <c r="C303" s="29" t="s">
        <v>46</v>
      </c>
      <c r="D303" s="4" t="str">
        <f>"14999"</f>
        <v>14999</v>
      </c>
      <c r="E303" s="4" t="str">
        <f t="shared" si="8"/>
        <v>FE14999</v>
      </c>
      <c r="F303" s="7">
        <v>44330</v>
      </c>
      <c r="G303" s="7">
        <v>44350</v>
      </c>
      <c r="H303" s="34">
        <v>116393</v>
      </c>
      <c r="I303" s="31">
        <v>116393</v>
      </c>
      <c r="J303" s="31">
        <f t="shared" si="9"/>
        <v>0</v>
      </c>
      <c r="K303" s="2"/>
      <c r="N303" s="32">
        <v>0</v>
      </c>
      <c r="Q303" s="34">
        <v>0</v>
      </c>
      <c r="R303" s="45"/>
      <c r="S303" s="4" t="str">
        <f>IFERROR(VLOOKUP(E303,'[2]td factu si'!$A:$B,1,0),0)</f>
        <v>FE14999</v>
      </c>
      <c r="T303" s="2">
        <f>IFERROR(VLOOKUP(E303,'[2]td factu si'!$A:$B,2,0),0)*-1</f>
        <v>116393</v>
      </c>
      <c r="W303" s="36"/>
      <c r="X303" s="6">
        <v>116393</v>
      </c>
      <c r="AH303" s="3">
        <v>0</v>
      </c>
      <c r="AJ303" s="3">
        <v>0</v>
      </c>
    </row>
    <row r="304" spans="1:36" x14ac:dyDescent="0.25">
      <c r="A304">
        <v>296</v>
      </c>
      <c r="B304" s="29" t="s">
        <v>45</v>
      </c>
      <c r="C304" s="29" t="s">
        <v>46</v>
      </c>
      <c r="D304" s="4" t="str">
        <f>"15005"</f>
        <v>15005</v>
      </c>
      <c r="E304" s="4" t="str">
        <f t="shared" si="8"/>
        <v>FE15005</v>
      </c>
      <c r="F304" s="7">
        <v>44330</v>
      </c>
      <c r="G304" s="7">
        <v>44350</v>
      </c>
      <c r="H304" s="34">
        <v>339170</v>
      </c>
      <c r="I304" s="31">
        <v>339170</v>
      </c>
      <c r="J304" s="31">
        <f t="shared" si="9"/>
        <v>0</v>
      </c>
      <c r="K304" s="2"/>
      <c r="N304" s="32">
        <v>0</v>
      </c>
      <c r="Q304" s="34">
        <v>0</v>
      </c>
      <c r="R304" s="45"/>
      <c r="S304" s="4" t="str">
        <f>IFERROR(VLOOKUP(E304,'[2]td factu si'!$A:$B,1,0),0)</f>
        <v>FE15005</v>
      </c>
      <c r="T304" s="2">
        <f>IFERROR(VLOOKUP(E304,'[2]td factu si'!$A:$B,2,0),0)*-1</f>
        <v>339170</v>
      </c>
      <c r="W304" s="36"/>
      <c r="X304" s="6">
        <v>339170</v>
      </c>
      <c r="AH304" s="3">
        <v>0</v>
      </c>
      <c r="AJ304" s="3">
        <v>0</v>
      </c>
    </row>
    <row r="305" spans="1:36" x14ac:dyDescent="0.25">
      <c r="A305">
        <v>297</v>
      </c>
      <c r="B305" s="29" t="s">
        <v>45</v>
      </c>
      <c r="C305" s="29" t="s">
        <v>46</v>
      </c>
      <c r="D305" s="4" t="str">
        <f>"15007"</f>
        <v>15007</v>
      </c>
      <c r="E305" s="4" t="str">
        <f t="shared" si="8"/>
        <v>FE15007</v>
      </c>
      <c r="F305" s="7">
        <v>44330</v>
      </c>
      <c r="G305" s="7">
        <v>44350</v>
      </c>
      <c r="H305" s="34">
        <v>15489</v>
      </c>
      <c r="I305" s="31">
        <v>15489</v>
      </c>
      <c r="J305" s="31">
        <f t="shared" si="9"/>
        <v>0</v>
      </c>
      <c r="K305" s="2"/>
      <c r="N305" s="32">
        <v>0</v>
      </c>
      <c r="Q305" s="34">
        <v>0</v>
      </c>
      <c r="R305" s="45"/>
      <c r="S305" s="4" t="str">
        <f>IFERROR(VLOOKUP(E305,'[2]td factu si'!$A:$B,1,0),0)</f>
        <v>FE15007</v>
      </c>
      <c r="T305" s="2">
        <f>IFERROR(VLOOKUP(E305,'[2]td factu si'!$A:$B,2,0),0)*-1</f>
        <v>15489</v>
      </c>
      <c r="W305" s="36"/>
      <c r="X305" s="6">
        <v>15489</v>
      </c>
      <c r="AH305" s="3">
        <v>0</v>
      </c>
      <c r="AJ305" s="3">
        <v>0</v>
      </c>
    </row>
    <row r="306" spans="1:36" x14ac:dyDescent="0.25">
      <c r="A306">
        <v>298</v>
      </c>
      <c r="B306" s="29" t="s">
        <v>45</v>
      </c>
      <c r="C306" s="29" t="s">
        <v>46</v>
      </c>
      <c r="D306" s="4" t="str">
        <f>"15008"</f>
        <v>15008</v>
      </c>
      <c r="E306" s="4" t="str">
        <f t="shared" si="8"/>
        <v>FE15008</v>
      </c>
      <c r="F306" s="7">
        <v>44330</v>
      </c>
      <c r="G306" s="7">
        <v>44350</v>
      </c>
      <c r="H306" s="34">
        <v>15489</v>
      </c>
      <c r="I306" s="31">
        <v>15489</v>
      </c>
      <c r="J306" s="31">
        <f t="shared" si="9"/>
        <v>0</v>
      </c>
      <c r="K306" s="2"/>
      <c r="N306" s="32">
        <v>0</v>
      </c>
      <c r="Q306" s="34">
        <v>0</v>
      </c>
      <c r="R306" s="45"/>
      <c r="S306" s="4" t="str">
        <f>IFERROR(VLOOKUP(E306,'[2]td factu si'!$A:$B,1,0),0)</f>
        <v>FE15008</v>
      </c>
      <c r="T306" s="2">
        <f>IFERROR(VLOOKUP(E306,'[2]td factu si'!$A:$B,2,0),0)*-1</f>
        <v>15489</v>
      </c>
      <c r="W306" s="36"/>
      <c r="X306" s="6">
        <v>15489</v>
      </c>
      <c r="AH306" s="3">
        <v>0</v>
      </c>
      <c r="AJ306" s="3">
        <v>0</v>
      </c>
    </row>
    <row r="307" spans="1:36" x14ac:dyDescent="0.25">
      <c r="A307">
        <v>299</v>
      </c>
      <c r="B307" s="29" t="s">
        <v>45</v>
      </c>
      <c r="C307" s="29" t="s">
        <v>46</v>
      </c>
      <c r="D307" s="4" t="str">
        <f>"15011"</f>
        <v>15011</v>
      </c>
      <c r="E307" s="4" t="str">
        <f t="shared" si="8"/>
        <v>FE15011</v>
      </c>
      <c r="F307" s="7">
        <v>44330</v>
      </c>
      <c r="G307" s="7">
        <v>44350</v>
      </c>
      <c r="H307" s="34">
        <v>15489</v>
      </c>
      <c r="I307" s="31">
        <v>15489</v>
      </c>
      <c r="J307" s="31">
        <f t="shared" si="9"/>
        <v>0</v>
      </c>
      <c r="K307" s="2"/>
      <c r="N307" s="32">
        <v>0</v>
      </c>
      <c r="Q307" s="34">
        <v>0</v>
      </c>
      <c r="R307" s="45"/>
      <c r="S307" s="4" t="str">
        <f>IFERROR(VLOOKUP(E307,'[2]td factu si'!$A:$B,1,0),0)</f>
        <v>FE15011</v>
      </c>
      <c r="T307" s="2">
        <f>IFERROR(VLOOKUP(E307,'[2]td factu si'!$A:$B,2,0),0)*-1</f>
        <v>15489</v>
      </c>
      <c r="W307" s="36"/>
      <c r="X307" s="6">
        <v>15489</v>
      </c>
      <c r="AH307" s="3">
        <v>0</v>
      </c>
      <c r="AJ307" s="3">
        <v>0</v>
      </c>
    </row>
    <row r="308" spans="1:36" x14ac:dyDescent="0.25">
      <c r="A308">
        <v>300</v>
      </c>
      <c r="B308" s="29" t="s">
        <v>45</v>
      </c>
      <c r="C308" s="29" t="s">
        <v>46</v>
      </c>
      <c r="D308" s="4" t="str">
        <f>"15012"</f>
        <v>15012</v>
      </c>
      <c r="E308" s="4" t="str">
        <f t="shared" si="8"/>
        <v>FE15012</v>
      </c>
      <c r="F308" s="7">
        <v>44330</v>
      </c>
      <c r="G308" s="7">
        <v>44350</v>
      </c>
      <c r="H308" s="34">
        <v>15489</v>
      </c>
      <c r="I308" s="31">
        <v>15489</v>
      </c>
      <c r="J308" s="31">
        <f t="shared" si="9"/>
        <v>0</v>
      </c>
      <c r="K308" s="2"/>
      <c r="N308" s="32">
        <v>0</v>
      </c>
      <c r="Q308" s="34">
        <v>0</v>
      </c>
      <c r="R308" s="45"/>
      <c r="S308" s="4" t="str">
        <f>IFERROR(VLOOKUP(E308,'[2]td factu si'!$A:$B,1,0),0)</f>
        <v>FE15012</v>
      </c>
      <c r="T308" s="2">
        <f>IFERROR(VLOOKUP(E308,'[2]td factu si'!$A:$B,2,0),0)*-1</f>
        <v>15489</v>
      </c>
      <c r="W308" s="36"/>
      <c r="X308" s="6">
        <v>15489</v>
      </c>
      <c r="AH308" s="3">
        <v>0</v>
      </c>
      <c r="AJ308" s="3">
        <v>0</v>
      </c>
    </row>
    <row r="309" spans="1:36" x14ac:dyDescent="0.25">
      <c r="A309">
        <v>301</v>
      </c>
      <c r="B309" s="29" t="s">
        <v>45</v>
      </c>
      <c r="C309" s="29" t="s">
        <v>46</v>
      </c>
      <c r="D309" s="4" t="str">
        <f>"15015"</f>
        <v>15015</v>
      </c>
      <c r="E309" s="4" t="str">
        <f t="shared" si="8"/>
        <v>FE15015</v>
      </c>
      <c r="F309" s="7">
        <v>44331</v>
      </c>
      <c r="G309" s="7">
        <v>44350</v>
      </c>
      <c r="H309" s="34">
        <v>15489</v>
      </c>
      <c r="I309" s="31">
        <v>15489</v>
      </c>
      <c r="J309" s="31">
        <f t="shared" si="9"/>
        <v>0</v>
      </c>
      <c r="K309" s="2"/>
      <c r="N309" s="32">
        <v>0</v>
      </c>
      <c r="Q309" s="34">
        <v>0</v>
      </c>
      <c r="R309" s="45"/>
      <c r="S309" s="4" t="str">
        <f>IFERROR(VLOOKUP(E309,'[2]td factu si'!$A:$B,1,0),0)</f>
        <v>FE15015</v>
      </c>
      <c r="T309" s="2">
        <f>IFERROR(VLOOKUP(E309,'[2]td factu si'!$A:$B,2,0),0)*-1</f>
        <v>15489</v>
      </c>
      <c r="W309" s="36"/>
      <c r="X309" s="6">
        <v>15489</v>
      </c>
      <c r="AH309" s="3">
        <v>0</v>
      </c>
      <c r="AJ309" s="3">
        <v>0</v>
      </c>
    </row>
    <row r="310" spans="1:36" x14ac:dyDescent="0.25">
      <c r="A310">
        <v>302</v>
      </c>
      <c r="B310" s="29" t="s">
        <v>45</v>
      </c>
      <c r="C310" s="29" t="s">
        <v>46</v>
      </c>
      <c r="D310" s="4" t="str">
        <f>"15016"</f>
        <v>15016</v>
      </c>
      <c r="E310" s="4" t="str">
        <f t="shared" si="8"/>
        <v>FE15016</v>
      </c>
      <c r="F310" s="7">
        <v>44331</v>
      </c>
      <c r="G310" s="7">
        <v>44351</v>
      </c>
      <c r="H310" s="34">
        <v>15489</v>
      </c>
      <c r="I310" s="31">
        <v>11989</v>
      </c>
      <c r="J310" s="31">
        <f t="shared" si="9"/>
        <v>3500</v>
      </c>
      <c r="K310" s="2"/>
      <c r="N310" s="32">
        <v>0</v>
      </c>
      <c r="Q310" s="34">
        <v>0</v>
      </c>
      <c r="R310" s="45"/>
      <c r="S310" s="4" t="str">
        <f>IFERROR(VLOOKUP(E310,'[2]td factu si'!$A:$B,1,0),0)</f>
        <v>FE15016</v>
      </c>
      <c r="T310" s="2">
        <f>IFERROR(VLOOKUP(E310,'[2]td factu si'!$A:$B,2,0),0)*-1</f>
        <v>11989</v>
      </c>
      <c r="W310" s="36"/>
      <c r="X310" s="6">
        <v>11989</v>
      </c>
      <c r="AH310" s="3">
        <v>0</v>
      </c>
      <c r="AJ310" s="3">
        <v>0</v>
      </c>
    </row>
    <row r="311" spans="1:36" x14ac:dyDescent="0.25">
      <c r="A311">
        <v>303</v>
      </c>
      <c r="B311" s="29" t="s">
        <v>45</v>
      </c>
      <c r="C311" s="29" t="s">
        <v>46</v>
      </c>
      <c r="D311" s="4" t="str">
        <f>"15017"</f>
        <v>15017</v>
      </c>
      <c r="E311" s="4" t="str">
        <f t="shared" si="8"/>
        <v>FE15017</v>
      </c>
      <c r="F311" s="7">
        <v>44331</v>
      </c>
      <c r="G311" s="7">
        <v>44350</v>
      </c>
      <c r="H311" s="34">
        <v>15489</v>
      </c>
      <c r="I311" s="31">
        <v>15489</v>
      </c>
      <c r="J311" s="31">
        <f t="shared" si="9"/>
        <v>0</v>
      </c>
      <c r="K311" s="2"/>
      <c r="N311" s="32">
        <v>0</v>
      </c>
      <c r="Q311" s="34">
        <v>0</v>
      </c>
      <c r="R311" s="45"/>
      <c r="S311" s="4" t="str">
        <f>IFERROR(VLOOKUP(E311,'[2]td factu si'!$A:$B,1,0),0)</f>
        <v>FE15017</v>
      </c>
      <c r="T311" s="2">
        <f>IFERROR(VLOOKUP(E311,'[2]td factu si'!$A:$B,2,0),0)*-1</f>
        <v>15489</v>
      </c>
      <c r="W311" s="36"/>
      <c r="X311" s="6">
        <v>15489</v>
      </c>
      <c r="AH311" s="3">
        <v>0</v>
      </c>
      <c r="AJ311" s="3">
        <v>0</v>
      </c>
    </row>
    <row r="312" spans="1:36" x14ac:dyDescent="0.25">
      <c r="A312">
        <v>304</v>
      </c>
      <c r="B312" s="29" t="s">
        <v>45</v>
      </c>
      <c r="C312" s="29" t="s">
        <v>46</v>
      </c>
      <c r="D312" s="4" t="str">
        <f>"15019"</f>
        <v>15019</v>
      </c>
      <c r="E312" s="4" t="str">
        <f t="shared" si="8"/>
        <v>FE15019</v>
      </c>
      <c r="F312" s="7">
        <v>44331</v>
      </c>
      <c r="G312" s="7">
        <v>44350</v>
      </c>
      <c r="H312" s="34">
        <v>15489</v>
      </c>
      <c r="I312" s="31">
        <v>15489</v>
      </c>
      <c r="J312" s="31">
        <f t="shared" si="9"/>
        <v>0</v>
      </c>
      <c r="K312" s="2"/>
      <c r="N312" s="32">
        <v>0</v>
      </c>
      <c r="Q312" s="34">
        <v>0</v>
      </c>
      <c r="R312" s="45"/>
      <c r="S312" s="4" t="str">
        <f>IFERROR(VLOOKUP(E312,'[2]td factu si'!$A:$B,1,0),0)</f>
        <v>FE15019</v>
      </c>
      <c r="T312" s="2">
        <f>IFERROR(VLOOKUP(E312,'[2]td factu si'!$A:$B,2,0),0)*-1</f>
        <v>15489</v>
      </c>
      <c r="W312" s="36"/>
      <c r="X312" s="6">
        <v>15489</v>
      </c>
      <c r="AH312" s="3">
        <v>0</v>
      </c>
      <c r="AJ312" s="3">
        <v>0</v>
      </c>
    </row>
    <row r="313" spans="1:36" x14ac:dyDescent="0.25">
      <c r="A313">
        <v>305</v>
      </c>
      <c r="B313" s="29" t="s">
        <v>45</v>
      </c>
      <c r="C313" s="29" t="s">
        <v>46</v>
      </c>
      <c r="D313" s="4" t="str">
        <f>"15023"</f>
        <v>15023</v>
      </c>
      <c r="E313" s="4" t="str">
        <f t="shared" si="8"/>
        <v>FE15023</v>
      </c>
      <c r="F313" s="7">
        <v>44331</v>
      </c>
      <c r="G313" s="7">
        <v>44350</v>
      </c>
      <c r="H313" s="34">
        <v>15489</v>
      </c>
      <c r="I313" s="31">
        <v>15489</v>
      </c>
      <c r="J313" s="31">
        <f t="shared" si="9"/>
        <v>0</v>
      </c>
      <c r="K313" s="2"/>
      <c r="N313" s="32">
        <v>0</v>
      </c>
      <c r="Q313" s="34">
        <v>0</v>
      </c>
      <c r="R313" s="45"/>
      <c r="S313" s="4" t="str">
        <f>IFERROR(VLOOKUP(E313,'[2]td factu si'!$A:$B,1,0),0)</f>
        <v>FE15023</v>
      </c>
      <c r="T313" s="2">
        <f>IFERROR(VLOOKUP(E313,'[2]td factu si'!$A:$B,2,0),0)*-1</f>
        <v>15489</v>
      </c>
      <c r="W313" s="36"/>
      <c r="X313" s="6">
        <v>15489</v>
      </c>
      <c r="AH313" s="3">
        <v>0</v>
      </c>
      <c r="AJ313" s="3">
        <v>0</v>
      </c>
    </row>
    <row r="314" spans="1:36" x14ac:dyDescent="0.25">
      <c r="A314">
        <v>306</v>
      </c>
      <c r="B314" s="29" t="s">
        <v>45</v>
      </c>
      <c r="C314" s="29" t="s">
        <v>46</v>
      </c>
      <c r="D314" s="4" t="str">
        <f>"15028"</f>
        <v>15028</v>
      </c>
      <c r="E314" s="4" t="str">
        <f t="shared" si="8"/>
        <v>FE15028</v>
      </c>
      <c r="F314" s="7">
        <v>44331</v>
      </c>
      <c r="G314" s="7">
        <v>44350</v>
      </c>
      <c r="H314" s="34">
        <v>15489</v>
      </c>
      <c r="I314" s="31">
        <v>15489</v>
      </c>
      <c r="J314" s="31">
        <f t="shared" si="9"/>
        <v>0</v>
      </c>
      <c r="K314" s="2"/>
      <c r="N314" s="32">
        <v>0</v>
      </c>
      <c r="Q314" s="34">
        <v>0</v>
      </c>
      <c r="R314" s="45"/>
      <c r="S314" s="4" t="str">
        <f>IFERROR(VLOOKUP(E314,'[2]td factu si'!$A:$B,1,0),0)</f>
        <v>FE15028</v>
      </c>
      <c r="T314" s="2">
        <f>IFERROR(VLOOKUP(E314,'[2]td factu si'!$A:$B,2,0),0)*-1</f>
        <v>15489</v>
      </c>
      <c r="W314" s="36"/>
      <c r="X314" s="6">
        <v>15489</v>
      </c>
      <c r="AH314" s="3">
        <v>0</v>
      </c>
      <c r="AJ314" s="3">
        <v>0</v>
      </c>
    </row>
    <row r="315" spans="1:36" x14ac:dyDescent="0.25">
      <c r="A315">
        <v>307</v>
      </c>
      <c r="B315" s="29" t="s">
        <v>45</v>
      </c>
      <c r="C315" s="29" t="s">
        <v>46</v>
      </c>
      <c r="D315" s="4" t="str">
        <f>"15030"</f>
        <v>15030</v>
      </c>
      <c r="E315" s="4" t="str">
        <f t="shared" si="8"/>
        <v>FE15030</v>
      </c>
      <c r="F315" s="7">
        <v>44334</v>
      </c>
      <c r="G315" s="7">
        <v>44350</v>
      </c>
      <c r="H315" s="34">
        <v>15489</v>
      </c>
      <c r="I315" s="31">
        <v>15489</v>
      </c>
      <c r="J315" s="31">
        <f t="shared" si="9"/>
        <v>0</v>
      </c>
      <c r="K315" s="2"/>
      <c r="N315" s="32">
        <v>0</v>
      </c>
      <c r="Q315" s="34">
        <v>0</v>
      </c>
      <c r="R315" s="45"/>
      <c r="S315" s="4" t="str">
        <f>IFERROR(VLOOKUP(E315,'[2]td factu si'!$A:$B,1,0),0)</f>
        <v>FE15030</v>
      </c>
      <c r="T315" s="2">
        <f>IFERROR(VLOOKUP(E315,'[2]td factu si'!$A:$B,2,0),0)*-1</f>
        <v>15489</v>
      </c>
      <c r="W315" s="36"/>
      <c r="X315" s="6">
        <v>15489</v>
      </c>
      <c r="AH315" s="3">
        <v>0</v>
      </c>
      <c r="AJ315" s="3">
        <v>0</v>
      </c>
    </row>
    <row r="316" spans="1:36" x14ac:dyDescent="0.25">
      <c r="A316">
        <v>308</v>
      </c>
      <c r="B316" s="29" t="s">
        <v>45</v>
      </c>
      <c r="C316" s="29" t="s">
        <v>46</v>
      </c>
      <c r="D316" s="4" t="str">
        <f>"15044"</f>
        <v>15044</v>
      </c>
      <c r="E316" s="4" t="str">
        <f t="shared" si="8"/>
        <v>FE15044</v>
      </c>
      <c r="F316" s="7">
        <v>44334</v>
      </c>
      <c r="G316" s="7">
        <v>44350</v>
      </c>
      <c r="H316" s="34">
        <v>317101</v>
      </c>
      <c r="I316" s="31">
        <v>317101</v>
      </c>
      <c r="J316" s="31">
        <f t="shared" si="9"/>
        <v>0</v>
      </c>
      <c r="K316" s="2"/>
      <c r="N316" s="32">
        <v>0</v>
      </c>
      <c r="Q316" s="34">
        <v>0</v>
      </c>
      <c r="R316" s="45"/>
      <c r="S316" s="4" t="str">
        <f>IFERROR(VLOOKUP(E316,'[2]td factu si'!$A:$B,1,0),0)</f>
        <v>FE15044</v>
      </c>
      <c r="T316" s="2">
        <f>IFERROR(VLOOKUP(E316,'[2]td factu si'!$A:$B,2,0),0)*-1</f>
        <v>317101</v>
      </c>
      <c r="W316" s="36"/>
      <c r="X316" s="6">
        <v>317101</v>
      </c>
      <c r="AH316" s="3">
        <v>0</v>
      </c>
      <c r="AJ316" s="3">
        <v>0</v>
      </c>
    </row>
    <row r="317" spans="1:36" x14ac:dyDescent="0.25">
      <c r="A317">
        <v>309</v>
      </c>
      <c r="B317" s="29" t="s">
        <v>45</v>
      </c>
      <c r="C317" s="29" t="s">
        <v>46</v>
      </c>
      <c r="D317" s="4" t="str">
        <f>"15048"</f>
        <v>15048</v>
      </c>
      <c r="E317" s="4" t="str">
        <f t="shared" si="8"/>
        <v>FE15048</v>
      </c>
      <c r="F317" s="7">
        <v>44334</v>
      </c>
      <c r="G317" s="7">
        <v>44350</v>
      </c>
      <c r="H317" s="34">
        <v>181246</v>
      </c>
      <c r="I317" s="31">
        <v>177746</v>
      </c>
      <c r="J317" s="31">
        <f t="shared" si="9"/>
        <v>3500</v>
      </c>
      <c r="K317" s="2"/>
      <c r="N317" s="32">
        <v>0</v>
      </c>
      <c r="Q317" s="34">
        <v>0</v>
      </c>
      <c r="R317" s="45"/>
      <c r="S317" s="4">
        <f>IFERROR(VLOOKUP(E317,'[2]td factu si'!$A:$B,1,0),0)</f>
        <v>0</v>
      </c>
      <c r="T317" s="2">
        <f>IFERROR(VLOOKUP(E317,'[2]td factu si'!$A:$B,2,0),0)*-1</f>
        <v>0</v>
      </c>
      <c r="W317" s="36"/>
      <c r="X317" s="6">
        <v>177746</v>
      </c>
      <c r="AH317" s="3">
        <v>0</v>
      </c>
      <c r="AJ317" s="3">
        <v>0</v>
      </c>
    </row>
    <row r="318" spans="1:36" x14ac:dyDescent="0.25">
      <c r="A318">
        <v>310</v>
      </c>
      <c r="B318" s="29" t="s">
        <v>45</v>
      </c>
      <c r="C318" s="29" t="s">
        <v>46</v>
      </c>
      <c r="D318" s="4" t="str">
        <f>"15051"</f>
        <v>15051</v>
      </c>
      <c r="E318" s="4" t="str">
        <f t="shared" si="8"/>
        <v>FE15051</v>
      </c>
      <c r="F318" s="7">
        <v>44334</v>
      </c>
      <c r="G318" s="7">
        <v>44350</v>
      </c>
      <c r="H318" s="34">
        <v>181246</v>
      </c>
      <c r="I318" s="31">
        <v>181246</v>
      </c>
      <c r="J318" s="31">
        <f t="shared" si="9"/>
        <v>0</v>
      </c>
      <c r="K318" s="2"/>
      <c r="N318" s="32">
        <v>0</v>
      </c>
      <c r="Q318" s="34">
        <v>0</v>
      </c>
      <c r="R318" s="45"/>
      <c r="S318" s="4" t="str">
        <f>IFERROR(VLOOKUP(E318,'[2]td factu si'!$A:$B,1,0),0)</f>
        <v>FE15051</v>
      </c>
      <c r="T318" s="2">
        <f>IFERROR(VLOOKUP(E318,'[2]td factu si'!$A:$B,2,0),0)*-1</f>
        <v>181246</v>
      </c>
      <c r="W318" s="36"/>
      <c r="X318" s="6">
        <v>181246</v>
      </c>
      <c r="AH318" s="3">
        <v>0</v>
      </c>
      <c r="AJ318" s="3">
        <v>0</v>
      </c>
    </row>
    <row r="319" spans="1:36" x14ac:dyDescent="0.25">
      <c r="A319">
        <v>311</v>
      </c>
      <c r="B319" s="29" t="s">
        <v>45</v>
      </c>
      <c r="C319" s="29" t="s">
        <v>46</v>
      </c>
      <c r="D319" s="4" t="str">
        <f>"15052"</f>
        <v>15052</v>
      </c>
      <c r="E319" s="4" t="str">
        <f t="shared" si="8"/>
        <v>FE15052</v>
      </c>
      <c r="F319" s="7">
        <v>44334</v>
      </c>
      <c r="G319" s="7">
        <v>44350</v>
      </c>
      <c r="H319" s="34">
        <v>181246</v>
      </c>
      <c r="I319" s="31">
        <v>177746</v>
      </c>
      <c r="J319" s="31">
        <f t="shared" si="9"/>
        <v>3500</v>
      </c>
      <c r="K319" s="2"/>
      <c r="N319" s="32">
        <v>0</v>
      </c>
      <c r="Q319" s="34">
        <v>0</v>
      </c>
      <c r="R319" s="45"/>
      <c r="S319" s="4">
        <f>IFERROR(VLOOKUP(E319,'[2]td factu si'!$A:$B,1,0),0)</f>
        <v>0</v>
      </c>
      <c r="T319" s="2">
        <f>IFERROR(VLOOKUP(E319,'[2]td factu si'!$A:$B,2,0),0)*-1</f>
        <v>0</v>
      </c>
      <c r="W319" s="36"/>
      <c r="X319" s="6">
        <v>177746</v>
      </c>
      <c r="AH319" s="3">
        <v>0</v>
      </c>
      <c r="AJ319" s="3">
        <v>0</v>
      </c>
    </row>
    <row r="320" spans="1:36" x14ac:dyDescent="0.25">
      <c r="A320">
        <v>312</v>
      </c>
      <c r="B320" s="29" t="s">
        <v>45</v>
      </c>
      <c r="C320" s="29" t="s">
        <v>46</v>
      </c>
      <c r="D320" s="4" t="str">
        <f>"15055"</f>
        <v>15055</v>
      </c>
      <c r="E320" s="4" t="str">
        <f t="shared" si="8"/>
        <v>FE15055</v>
      </c>
      <c r="F320" s="7">
        <v>44334</v>
      </c>
      <c r="G320" s="7">
        <v>44350</v>
      </c>
      <c r="H320" s="34">
        <v>181246</v>
      </c>
      <c r="I320" s="31">
        <v>181246</v>
      </c>
      <c r="J320" s="31">
        <f t="shared" si="9"/>
        <v>0</v>
      </c>
      <c r="K320" s="2"/>
      <c r="N320" s="32">
        <v>0</v>
      </c>
      <c r="Q320" s="34">
        <v>0</v>
      </c>
      <c r="R320" s="45"/>
      <c r="S320" s="4" t="str">
        <f>IFERROR(VLOOKUP(E320,'[2]td factu si'!$A:$B,1,0),0)</f>
        <v>FE15055</v>
      </c>
      <c r="T320" s="2">
        <f>IFERROR(VLOOKUP(E320,'[2]td factu si'!$A:$B,2,0),0)*-1</f>
        <v>181246</v>
      </c>
      <c r="W320" s="36"/>
      <c r="X320" s="6">
        <v>181246</v>
      </c>
      <c r="AH320" s="3">
        <v>0</v>
      </c>
      <c r="AJ320" s="3">
        <v>0</v>
      </c>
    </row>
    <row r="321" spans="1:36" x14ac:dyDescent="0.25">
      <c r="A321">
        <v>313</v>
      </c>
      <c r="B321" s="29" t="s">
        <v>45</v>
      </c>
      <c r="C321" s="29" t="s">
        <v>46</v>
      </c>
      <c r="D321" s="4" t="str">
        <f>"15066"</f>
        <v>15066</v>
      </c>
      <c r="E321" s="4" t="str">
        <f t="shared" si="8"/>
        <v>FE15066</v>
      </c>
      <c r="F321" s="7">
        <v>44334</v>
      </c>
      <c r="G321" s="7">
        <v>44350</v>
      </c>
      <c r="H321" s="34">
        <v>99388</v>
      </c>
      <c r="I321" s="31">
        <v>99388</v>
      </c>
      <c r="J321" s="31">
        <f t="shared" si="9"/>
        <v>0</v>
      </c>
      <c r="K321" s="2"/>
      <c r="N321" s="32">
        <v>0</v>
      </c>
      <c r="Q321" s="34">
        <v>0</v>
      </c>
      <c r="R321" s="45"/>
      <c r="S321" s="4" t="str">
        <f>IFERROR(VLOOKUP(E321,'[2]td factu si'!$A:$B,1,0),0)</f>
        <v>FE15066</v>
      </c>
      <c r="T321" s="2">
        <f>IFERROR(VLOOKUP(E321,'[2]td factu si'!$A:$B,2,0),0)*-1</f>
        <v>99388</v>
      </c>
      <c r="W321" s="36"/>
      <c r="X321" s="6">
        <v>99388</v>
      </c>
      <c r="AH321" s="3">
        <v>0</v>
      </c>
      <c r="AJ321" s="3">
        <v>0</v>
      </c>
    </row>
    <row r="322" spans="1:36" x14ac:dyDescent="0.25">
      <c r="A322">
        <v>314</v>
      </c>
      <c r="B322" s="29" t="s">
        <v>45</v>
      </c>
      <c r="C322" s="29" t="s">
        <v>46</v>
      </c>
      <c r="D322" s="4" t="str">
        <f>"15067"</f>
        <v>15067</v>
      </c>
      <c r="E322" s="4" t="str">
        <f t="shared" si="8"/>
        <v>FE15067</v>
      </c>
      <c r="F322" s="7">
        <v>44334</v>
      </c>
      <c r="G322" s="7">
        <v>44350</v>
      </c>
      <c r="H322" s="34">
        <v>317101</v>
      </c>
      <c r="I322" s="31">
        <v>317101</v>
      </c>
      <c r="J322" s="31">
        <f t="shared" si="9"/>
        <v>0</v>
      </c>
      <c r="K322" s="2"/>
      <c r="N322" s="32">
        <v>0</v>
      </c>
      <c r="Q322" s="34">
        <v>0</v>
      </c>
      <c r="R322" s="45"/>
      <c r="S322" s="4" t="str">
        <f>IFERROR(VLOOKUP(E322,'[2]td factu si'!$A:$B,1,0),0)</f>
        <v>FE15067</v>
      </c>
      <c r="T322" s="2">
        <f>IFERROR(VLOOKUP(E322,'[2]td factu si'!$A:$B,2,0),0)*-1</f>
        <v>317101</v>
      </c>
      <c r="W322" s="36"/>
      <c r="X322" s="6">
        <v>317101</v>
      </c>
      <c r="AH322" s="3">
        <v>0</v>
      </c>
      <c r="AJ322" s="3">
        <v>0</v>
      </c>
    </row>
    <row r="323" spans="1:36" x14ac:dyDescent="0.25">
      <c r="A323">
        <v>315</v>
      </c>
      <c r="B323" s="29" t="s">
        <v>45</v>
      </c>
      <c r="C323" s="29" t="s">
        <v>46</v>
      </c>
      <c r="D323" s="4" t="str">
        <f>"15070"</f>
        <v>15070</v>
      </c>
      <c r="E323" s="4" t="str">
        <f t="shared" si="8"/>
        <v>FE15070</v>
      </c>
      <c r="F323" s="7">
        <v>44334</v>
      </c>
      <c r="G323" s="7">
        <v>44350</v>
      </c>
      <c r="H323" s="34">
        <v>15489</v>
      </c>
      <c r="I323" s="31">
        <v>13940</v>
      </c>
      <c r="J323" s="31">
        <f t="shared" si="9"/>
        <v>1549</v>
      </c>
      <c r="K323" s="2"/>
      <c r="N323" s="32">
        <v>0</v>
      </c>
      <c r="Q323" s="34">
        <v>0</v>
      </c>
      <c r="R323" s="45"/>
      <c r="S323" s="4" t="str">
        <f>IFERROR(VLOOKUP(E323,'[2]td factu si'!$A:$B,1,0),0)</f>
        <v>FE15070</v>
      </c>
      <c r="T323" s="2">
        <f>IFERROR(VLOOKUP(E323,'[2]td factu si'!$A:$B,2,0),0)*-1</f>
        <v>13940</v>
      </c>
      <c r="W323" s="36"/>
      <c r="X323" s="6">
        <v>13940</v>
      </c>
      <c r="AH323" s="3">
        <v>0</v>
      </c>
      <c r="AJ323" s="3">
        <v>0</v>
      </c>
    </row>
    <row r="324" spans="1:36" x14ac:dyDescent="0.25">
      <c r="A324">
        <v>316</v>
      </c>
      <c r="B324" s="29" t="s">
        <v>45</v>
      </c>
      <c r="C324" s="29" t="s">
        <v>46</v>
      </c>
      <c r="D324" s="4" t="str">
        <f>"15092"</f>
        <v>15092</v>
      </c>
      <c r="E324" s="4" t="str">
        <f t="shared" si="8"/>
        <v>FE15092</v>
      </c>
      <c r="F324" s="7">
        <v>44335</v>
      </c>
      <c r="G324" s="7">
        <v>44350</v>
      </c>
      <c r="H324" s="34">
        <v>181246</v>
      </c>
      <c r="I324" s="31">
        <v>163121</v>
      </c>
      <c r="J324" s="31">
        <f t="shared" si="9"/>
        <v>18125</v>
      </c>
      <c r="K324" s="2"/>
      <c r="N324" s="32">
        <v>0</v>
      </c>
      <c r="Q324" s="34">
        <v>0</v>
      </c>
      <c r="R324" s="45"/>
      <c r="S324" s="4">
        <f>IFERROR(VLOOKUP(E324,'[2]td factu si'!$A:$B,1,0),0)</f>
        <v>0</v>
      </c>
      <c r="T324" s="2">
        <f>IFERROR(VLOOKUP(E324,'[2]td factu si'!$A:$B,2,0),0)*-1</f>
        <v>0</v>
      </c>
      <c r="W324" s="36"/>
      <c r="X324" s="6">
        <v>163121</v>
      </c>
      <c r="AH324" s="3">
        <v>0</v>
      </c>
      <c r="AJ324" s="3">
        <v>0</v>
      </c>
    </row>
    <row r="325" spans="1:36" x14ac:dyDescent="0.25">
      <c r="A325">
        <v>317</v>
      </c>
      <c r="B325" s="29" t="s">
        <v>45</v>
      </c>
      <c r="C325" s="29" t="s">
        <v>46</v>
      </c>
      <c r="D325" s="4" t="str">
        <f>"15099"</f>
        <v>15099</v>
      </c>
      <c r="E325" s="4" t="str">
        <f t="shared" si="8"/>
        <v>FE15099</v>
      </c>
      <c r="F325" s="7">
        <v>44335</v>
      </c>
      <c r="G325" s="7">
        <v>44350</v>
      </c>
      <c r="H325" s="34">
        <v>196735</v>
      </c>
      <c r="I325" s="31">
        <v>196735</v>
      </c>
      <c r="J325" s="31">
        <f t="shared" si="9"/>
        <v>0</v>
      </c>
      <c r="K325" s="2"/>
      <c r="N325" s="32">
        <v>0</v>
      </c>
      <c r="Q325" s="34">
        <v>0</v>
      </c>
      <c r="R325" s="45"/>
      <c r="S325" s="4" t="str">
        <f>IFERROR(VLOOKUP(E325,'[2]td factu si'!$A:$B,1,0),0)</f>
        <v>FE15099</v>
      </c>
      <c r="T325" s="2">
        <f>IFERROR(VLOOKUP(E325,'[2]td factu si'!$A:$B,2,0),0)*-1</f>
        <v>196735</v>
      </c>
      <c r="W325" s="36"/>
      <c r="X325" s="6">
        <v>196735</v>
      </c>
      <c r="AH325" s="3">
        <v>0</v>
      </c>
      <c r="AJ325" s="3">
        <v>0</v>
      </c>
    </row>
    <row r="326" spans="1:36" x14ac:dyDescent="0.25">
      <c r="A326">
        <v>318</v>
      </c>
      <c r="B326" s="29" t="s">
        <v>45</v>
      </c>
      <c r="C326" s="29" t="s">
        <v>46</v>
      </c>
      <c r="D326" s="4" t="str">
        <f>"15100"</f>
        <v>15100</v>
      </c>
      <c r="E326" s="4" t="str">
        <f t="shared" si="8"/>
        <v>FE15100</v>
      </c>
      <c r="F326" s="7">
        <v>44335</v>
      </c>
      <c r="G326" s="7">
        <v>44350</v>
      </c>
      <c r="H326" s="34">
        <v>181246</v>
      </c>
      <c r="I326" s="31">
        <v>181246</v>
      </c>
      <c r="J326" s="31">
        <f t="shared" si="9"/>
        <v>0</v>
      </c>
      <c r="K326" s="2"/>
      <c r="N326" s="32">
        <v>0</v>
      </c>
      <c r="Q326" s="34">
        <v>0</v>
      </c>
      <c r="R326" s="45"/>
      <c r="S326" s="4" t="str">
        <f>IFERROR(VLOOKUP(E326,'[2]td factu si'!$A:$B,1,0),0)</f>
        <v>FE15100</v>
      </c>
      <c r="T326" s="2">
        <f>IFERROR(VLOOKUP(E326,'[2]td factu si'!$A:$B,2,0),0)*-1</f>
        <v>181246</v>
      </c>
      <c r="W326" s="36"/>
      <c r="X326" s="6">
        <v>181246</v>
      </c>
      <c r="AH326" s="3">
        <v>0</v>
      </c>
      <c r="AJ326" s="3">
        <v>0</v>
      </c>
    </row>
    <row r="327" spans="1:36" x14ac:dyDescent="0.25">
      <c r="A327">
        <v>319</v>
      </c>
      <c r="B327" s="29" t="s">
        <v>45</v>
      </c>
      <c r="C327" s="29" t="s">
        <v>46</v>
      </c>
      <c r="D327" s="4" t="str">
        <f>"15103"</f>
        <v>15103</v>
      </c>
      <c r="E327" s="4" t="str">
        <f t="shared" si="8"/>
        <v>FE15103</v>
      </c>
      <c r="F327" s="7">
        <v>44335</v>
      </c>
      <c r="G327" s="7">
        <v>44350</v>
      </c>
      <c r="H327" s="34">
        <v>181246</v>
      </c>
      <c r="I327" s="31">
        <v>181246</v>
      </c>
      <c r="J327" s="31">
        <f t="shared" si="9"/>
        <v>0</v>
      </c>
      <c r="K327" s="2"/>
      <c r="N327" s="32">
        <v>0</v>
      </c>
      <c r="Q327" s="34">
        <v>0</v>
      </c>
      <c r="R327" s="45"/>
      <c r="S327" s="4" t="str">
        <f>IFERROR(VLOOKUP(E327,'[2]td factu si'!$A:$B,1,0),0)</f>
        <v>FE15103</v>
      </c>
      <c r="T327" s="2">
        <f>IFERROR(VLOOKUP(E327,'[2]td factu si'!$A:$B,2,0),0)*-1</f>
        <v>181246</v>
      </c>
      <c r="W327" s="36"/>
      <c r="X327" s="6">
        <v>181246</v>
      </c>
      <c r="AH327" s="3">
        <v>0</v>
      </c>
      <c r="AJ327" s="3">
        <v>0</v>
      </c>
    </row>
    <row r="328" spans="1:36" x14ac:dyDescent="0.25">
      <c r="A328">
        <v>320</v>
      </c>
      <c r="B328" s="29" t="s">
        <v>45</v>
      </c>
      <c r="C328" s="29" t="s">
        <v>46</v>
      </c>
      <c r="D328" s="4" t="str">
        <f>"15106"</f>
        <v>15106</v>
      </c>
      <c r="E328" s="4" t="str">
        <f t="shared" si="8"/>
        <v>FE15106</v>
      </c>
      <c r="F328" s="7">
        <v>44335</v>
      </c>
      <c r="G328" s="7">
        <v>44350</v>
      </c>
      <c r="H328" s="34">
        <v>339170</v>
      </c>
      <c r="I328" s="31">
        <v>339170</v>
      </c>
      <c r="J328" s="31">
        <f t="shared" si="9"/>
        <v>0</v>
      </c>
      <c r="K328" s="2"/>
      <c r="N328" s="32">
        <v>0</v>
      </c>
      <c r="Q328" s="34">
        <v>0</v>
      </c>
      <c r="R328" s="45"/>
      <c r="S328" s="4" t="str">
        <f>IFERROR(VLOOKUP(E328,'[2]td factu si'!$A:$B,1,0),0)</f>
        <v>FE15106</v>
      </c>
      <c r="T328" s="2">
        <f>IFERROR(VLOOKUP(E328,'[2]td factu si'!$A:$B,2,0),0)*-1</f>
        <v>339170</v>
      </c>
      <c r="W328" s="36"/>
      <c r="X328" s="6">
        <v>339170</v>
      </c>
      <c r="AH328" s="3">
        <v>0</v>
      </c>
      <c r="AJ328" s="3">
        <v>0</v>
      </c>
    </row>
    <row r="329" spans="1:36" x14ac:dyDescent="0.25">
      <c r="A329">
        <v>321</v>
      </c>
      <c r="B329" s="29" t="s">
        <v>45</v>
      </c>
      <c r="C329" s="29" t="s">
        <v>46</v>
      </c>
      <c r="D329" s="4" t="str">
        <f>"15114"</f>
        <v>15114</v>
      </c>
      <c r="E329" s="4" t="str">
        <f t="shared" si="8"/>
        <v>FE15114</v>
      </c>
      <c r="F329" s="7">
        <v>44335</v>
      </c>
      <c r="G329" s="7">
        <v>44350</v>
      </c>
      <c r="H329" s="34">
        <v>116393</v>
      </c>
      <c r="I329" s="31">
        <v>116393</v>
      </c>
      <c r="J329" s="31">
        <f t="shared" si="9"/>
        <v>0</v>
      </c>
      <c r="K329" s="2"/>
      <c r="N329" s="32">
        <v>0</v>
      </c>
      <c r="Q329" s="34">
        <v>0</v>
      </c>
      <c r="R329" s="45"/>
      <c r="S329" s="4" t="str">
        <f>IFERROR(VLOOKUP(E329,'[2]td factu si'!$A:$B,1,0),0)</f>
        <v>FE15114</v>
      </c>
      <c r="T329" s="2">
        <f>IFERROR(VLOOKUP(E329,'[2]td factu si'!$A:$B,2,0),0)*-1</f>
        <v>116393</v>
      </c>
      <c r="W329" s="36"/>
      <c r="X329" s="6">
        <v>116393</v>
      </c>
      <c r="AH329" s="3">
        <v>0</v>
      </c>
      <c r="AJ329" s="3">
        <v>0</v>
      </c>
    </row>
    <row r="330" spans="1:36" x14ac:dyDescent="0.25">
      <c r="A330">
        <v>322</v>
      </c>
      <c r="B330" s="29" t="s">
        <v>45</v>
      </c>
      <c r="C330" s="29" t="s">
        <v>46</v>
      </c>
      <c r="D330" s="4" t="str">
        <f>"15119"</f>
        <v>15119</v>
      </c>
      <c r="E330" s="4" t="str">
        <f t="shared" ref="E330:E393" si="10">_xlfn.CONCAT(C330,D330)</f>
        <v>FE15119</v>
      </c>
      <c r="F330" s="7">
        <v>44335</v>
      </c>
      <c r="G330" s="7">
        <v>44350</v>
      </c>
      <c r="H330" s="34">
        <v>181246</v>
      </c>
      <c r="I330" s="31">
        <v>181246</v>
      </c>
      <c r="J330" s="31">
        <f t="shared" ref="J330:J393" si="11">+H330-I330</f>
        <v>0</v>
      </c>
      <c r="K330" s="2"/>
      <c r="N330" s="32">
        <v>0</v>
      </c>
      <c r="Q330" s="34">
        <v>0</v>
      </c>
      <c r="R330" s="45"/>
      <c r="S330" s="4" t="str">
        <f>IFERROR(VLOOKUP(E330,'[2]td factu si'!$A:$B,1,0),0)</f>
        <v>FE15119</v>
      </c>
      <c r="T330" s="2">
        <f>IFERROR(VLOOKUP(E330,'[2]td factu si'!$A:$B,2,0),0)*-1</f>
        <v>181246</v>
      </c>
      <c r="W330" s="36"/>
      <c r="X330" s="6">
        <v>181246</v>
      </c>
      <c r="AH330" s="3">
        <v>0</v>
      </c>
      <c r="AJ330" s="3">
        <v>0</v>
      </c>
    </row>
    <row r="331" spans="1:36" x14ac:dyDescent="0.25">
      <c r="A331">
        <v>323</v>
      </c>
      <c r="B331" s="29" t="s">
        <v>45</v>
      </c>
      <c r="C331" s="29" t="s">
        <v>46</v>
      </c>
      <c r="D331" s="4" t="str">
        <f>"15125"</f>
        <v>15125</v>
      </c>
      <c r="E331" s="4" t="str">
        <f t="shared" si="10"/>
        <v>FE15125</v>
      </c>
      <c r="F331" s="7">
        <v>44335</v>
      </c>
      <c r="G331" s="7">
        <v>44350</v>
      </c>
      <c r="H331" s="34">
        <v>14933</v>
      </c>
      <c r="I331" s="31">
        <v>14933</v>
      </c>
      <c r="J331" s="31">
        <f t="shared" si="11"/>
        <v>0</v>
      </c>
      <c r="K331" s="2"/>
      <c r="N331" s="32">
        <v>0</v>
      </c>
      <c r="Q331" s="34">
        <v>0</v>
      </c>
      <c r="R331" s="45"/>
      <c r="S331" s="4" t="str">
        <f>IFERROR(VLOOKUP(E331,'[2]td factu si'!$A:$B,1,0),0)</f>
        <v>FE15125</v>
      </c>
      <c r="T331" s="2">
        <f>IFERROR(VLOOKUP(E331,'[2]td factu si'!$A:$B,2,0),0)*-1</f>
        <v>14933</v>
      </c>
      <c r="W331" s="36"/>
      <c r="X331" s="6">
        <v>14933</v>
      </c>
      <c r="AH331" s="3">
        <v>0</v>
      </c>
      <c r="AJ331" s="3">
        <v>0</v>
      </c>
    </row>
    <row r="332" spans="1:36" x14ac:dyDescent="0.25">
      <c r="A332">
        <v>324</v>
      </c>
      <c r="B332" s="29" t="s">
        <v>45</v>
      </c>
      <c r="C332" s="29" t="s">
        <v>46</v>
      </c>
      <c r="D332" s="4" t="str">
        <f>"15133"</f>
        <v>15133</v>
      </c>
      <c r="E332" s="4" t="str">
        <f t="shared" si="10"/>
        <v>FE15133</v>
      </c>
      <c r="F332" s="7">
        <v>44336</v>
      </c>
      <c r="G332" s="7">
        <v>44350</v>
      </c>
      <c r="H332" s="34">
        <v>15489</v>
      </c>
      <c r="I332" s="31">
        <v>15489</v>
      </c>
      <c r="J332" s="31">
        <f t="shared" si="11"/>
        <v>0</v>
      </c>
      <c r="K332" s="2"/>
      <c r="N332" s="32">
        <v>0</v>
      </c>
      <c r="Q332" s="34">
        <v>0</v>
      </c>
      <c r="R332" s="45"/>
      <c r="S332" s="4" t="str">
        <f>IFERROR(VLOOKUP(E332,'[2]td factu si'!$A:$B,1,0),0)</f>
        <v>FE15133</v>
      </c>
      <c r="T332" s="2">
        <f>IFERROR(VLOOKUP(E332,'[2]td factu si'!$A:$B,2,0),0)*-1</f>
        <v>15489</v>
      </c>
      <c r="W332" s="36"/>
      <c r="X332" s="6">
        <v>15489</v>
      </c>
      <c r="AH332" s="3">
        <v>0</v>
      </c>
      <c r="AJ332" s="3">
        <v>0</v>
      </c>
    </row>
    <row r="333" spans="1:36" x14ac:dyDescent="0.25">
      <c r="A333">
        <v>325</v>
      </c>
      <c r="B333" s="29" t="s">
        <v>45</v>
      </c>
      <c r="C333" s="29" t="s">
        <v>46</v>
      </c>
      <c r="D333" s="4" t="str">
        <f>"15135"</f>
        <v>15135</v>
      </c>
      <c r="E333" s="4" t="str">
        <f t="shared" si="10"/>
        <v>FE15135</v>
      </c>
      <c r="F333" s="7">
        <v>44336</v>
      </c>
      <c r="G333" s="7">
        <v>44350</v>
      </c>
      <c r="H333" s="34">
        <v>8597102</v>
      </c>
      <c r="I333" s="31">
        <v>8597102</v>
      </c>
      <c r="J333" s="31">
        <f t="shared" si="11"/>
        <v>0</v>
      </c>
      <c r="K333" s="2"/>
      <c r="N333" s="32">
        <v>1190364</v>
      </c>
      <c r="Q333" s="34">
        <v>1190364</v>
      </c>
      <c r="R333" s="45"/>
      <c r="S333" s="4" t="str">
        <f>IFERROR(VLOOKUP(E333,'[2]td factu si'!$A:$B,1,0),0)</f>
        <v>FE15135</v>
      </c>
      <c r="T333" s="2">
        <f>IFERROR(VLOOKUP(E333,'[2]td factu si'!$A:$B,2,0),0)*-1</f>
        <v>8597102</v>
      </c>
      <c r="W333" s="36"/>
      <c r="AH333" s="3">
        <v>0</v>
      </c>
      <c r="AJ333" s="3">
        <v>0</v>
      </c>
    </row>
    <row r="334" spans="1:36" x14ac:dyDescent="0.25">
      <c r="A334">
        <v>326</v>
      </c>
      <c r="B334" s="29" t="s">
        <v>45</v>
      </c>
      <c r="C334" s="29" t="s">
        <v>46</v>
      </c>
      <c r="D334" s="4" t="str">
        <f>"15138"</f>
        <v>15138</v>
      </c>
      <c r="E334" s="4" t="str">
        <f t="shared" si="10"/>
        <v>FE15138</v>
      </c>
      <c r="F334" s="7">
        <v>44336</v>
      </c>
      <c r="G334" s="7">
        <v>44350</v>
      </c>
      <c r="H334" s="34">
        <v>150788</v>
      </c>
      <c r="I334" s="31">
        <v>150788</v>
      </c>
      <c r="J334" s="31">
        <f t="shared" si="11"/>
        <v>0</v>
      </c>
      <c r="K334" s="2"/>
      <c r="N334" s="32">
        <v>0</v>
      </c>
      <c r="Q334" s="34">
        <v>0</v>
      </c>
      <c r="R334" s="45"/>
      <c r="S334" s="4" t="str">
        <f>IFERROR(VLOOKUP(E334,'[2]td factu si'!$A:$B,1,0),0)</f>
        <v>FE15138</v>
      </c>
      <c r="T334" s="2">
        <f>IFERROR(VLOOKUP(E334,'[2]td factu si'!$A:$B,2,0),0)*-1</f>
        <v>150788</v>
      </c>
      <c r="W334" s="36"/>
      <c r="AH334" s="3">
        <v>0</v>
      </c>
      <c r="AJ334" s="3">
        <v>0</v>
      </c>
    </row>
    <row r="335" spans="1:36" x14ac:dyDescent="0.25">
      <c r="A335">
        <v>327</v>
      </c>
      <c r="B335" s="29" t="s">
        <v>45</v>
      </c>
      <c r="C335" s="29" t="s">
        <v>46</v>
      </c>
      <c r="D335" s="4" t="str">
        <f>"15139"</f>
        <v>15139</v>
      </c>
      <c r="E335" s="4" t="str">
        <f t="shared" si="10"/>
        <v>FE15139</v>
      </c>
      <c r="F335" s="7">
        <v>44336</v>
      </c>
      <c r="G335" s="7">
        <v>44350</v>
      </c>
      <c r="H335" s="34">
        <v>9288449</v>
      </c>
      <c r="I335" s="31">
        <v>9288449</v>
      </c>
      <c r="J335" s="31">
        <f t="shared" si="11"/>
        <v>0</v>
      </c>
      <c r="K335" s="2"/>
      <c r="N335" s="32">
        <v>0</v>
      </c>
      <c r="Q335" s="34">
        <v>0</v>
      </c>
      <c r="R335" s="45"/>
      <c r="S335" s="4" t="str">
        <f>IFERROR(VLOOKUP(E335,'[2]td factu si'!$A:$B,1,0),0)</f>
        <v>FE15139</v>
      </c>
      <c r="T335" s="2">
        <f>IFERROR(VLOOKUP(E335,'[2]td factu si'!$A:$B,2,0),0)*-1</f>
        <v>9288449</v>
      </c>
      <c r="W335" s="36"/>
      <c r="AH335" s="3">
        <v>0</v>
      </c>
      <c r="AJ335" s="3">
        <v>0</v>
      </c>
    </row>
    <row r="336" spans="1:36" x14ac:dyDescent="0.25">
      <c r="A336">
        <v>328</v>
      </c>
      <c r="B336" s="29" t="s">
        <v>45</v>
      </c>
      <c r="C336" s="29" t="s">
        <v>46</v>
      </c>
      <c r="D336" s="4" t="str">
        <f>"15140"</f>
        <v>15140</v>
      </c>
      <c r="E336" s="4" t="str">
        <f t="shared" si="10"/>
        <v>FE15140</v>
      </c>
      <c r="F336" s="7">
        <v>44336</v>
      </c>
      <c r="G336" s="7">
        <v>44350</v>
      </c>
      <c r="H336" s="34">
        <v>331763</v>
      </c>
      <c r="I336" s="31">
        <v>331763</v>
      </c>
      <c r="J336" s="31">
        <f t="shared" si="11"/>
        <v>0</v>
      </c>
      <c r="K336" s="2"/>
      <c r="N336" s="32">
        <v>0</v>
      </c>
      <c r="Q336" s="34">
        <v>0</v>
      </c>
      <c r="R336" s="45"/>
      <c r="S336" s="4" t="str">
        <f>IFERROR(VLOOKUP(E336,'[2]td factu si'!$A:$B,1,0),0)</f>
        <v>FE15140</v>
      </c>
      <c r="T336" s="2">
        <f>IFERROR(VLOOKUP(E336,'[2]td factu si'!$A:$B,2,0),0)*-1</f>
        <v>331763</v>
      </c>
      <c r="W336" s="36"/>
      <c r="X336" s="6">
        <v>331763</v>
      </c>
      <c r="AH336" s="3">
        <v>0</v>
      </c>
      <c r="AJ336" s="3">
        <v>0</v>
      </c>
    </row>
    <row r="337" spans="1:36" x14ac:dyDescent="0.25">
      <c r="A337">
        <v>329</v>
      </c>
      <c r="B337" s="29" t="s">
        <v>45</v>
      </c>
      <c r="C337" s="29" t="s">
        <v>46</v>
      </c>
      <c r="D337" s="4" t="str">
        <f>"15141"</f>
        <v>15141</v>
      </c>
      <c r="E337" s="4" t="str">
        <f t="shared" si="10"/>
        <v>FE15141</v>
      </c>
      <c r="F337" s="7">
        <v>44336</v>
      </c>
      <c r="G337" s="7">
        <v>44350</v>
      </c>
      <c r="H337" s="34">
        <v>181246</v>
      </c>
      <c r="I337" s="31">
        <v>181246</v>
      </c>
      <c r="J337" s="31">
        <f t="shared" si="11"/>
        <v>0</v>
      </c>
      <c r="K337" s="2"/>
      <c r="N337" s="32">
        <v>0</v>
      </c>
      <c r="Q337" s="34">
        <v>0</v>
      </c>
      <c r="R337" s="45"/>
      <c r="S337" s="4" t="str">
        <f>IFERROR(VLOOKUP(E337,'[2]td factu si'!$A:$B,1,0),0)</f>
        <v>FE15141</v>
      </c>
      <c r="T337" s="2">
        <f>IFERROR(VLOOKUP(E337,'[2]td factu si'!$A:$B,2,0),0)*-1</f>
        <v>181246</v>
      </c>
      <c r="W337" s="36"/>
      <c r="X337" s="6">
        <v>181246</v>
      </c>
      <c r="AH337" s="3">
        <v>0</v>
      </c>
      <c r="AJ337" s="3">
        <v>0</v>
      </c>
    </row>
    <row r="338" spans="1:36" x14ac:dyDescent="0.25">
      <c r="A338">
        <v>330</v>
      </c>
      <c r="B338" s="29" t="s">
        <v>45</v>
      </c>
      <c r="C338" s="29" t="s">
        <v>46</v>
      </c>
      <c r="D338" s="4" t="str">
        <f>"15144"</f>
        <v>15144</v>
      </c>
      <c r="E338" s="4" t="str">
        <f t="shared" si="10"/>
        <v>FE15144</v>
      </c>
      <c r="F338" s="7">
        <v>44336</v>
      </c>
      <c r="G338" s="7">
        <v>44351</v>
      </c>
      <c r="H338" s="34">
        <v>135855</v>
      </c>
      <c r="I338" s="31">
        <v>132355</v>
      </c>
      <c r="J338" s="31">
        <f t="shared" si="11"/>
        <v>3500</v>
      </c>
      <c r="K338" s="2"/>
      <c r="N338" s="32">
        <v>0</v>
      </c>
      <c r="Q338" s="34">
        <v>0</v>
      </c>
      <c r="R338" s="45"/>
      <c r="S338" s="4" t="str">
        <f>IFERROR(VLOOKUP(E338,'[2]td factu si'!$A:$B,1,0),0)</f>
        <v>FE15144</v>
      </c>
      <c r="T338" s="2">
        <f>IFERROR(VLOOKUP(E338,'[2]td factu si'!$A:$B,2,0),0)*-1</f>
        <v>132355</v>
      </c>
      <c r="W338" s="36"/>
      <c r="AH338" s="3">
        <v>0</v>
      </c>
      <c r="AJ338" s="3">
        <v>0</v>
      </c>
    </row>
    <row r="339" spans="1:36" x14ac:dyDescent="0.25">
      <c r="A339">
        <v>331</v>
      </c>
      <c r="B339" s="29" t="s">
        <v>45</v>
      </c>
      <c r="C339" s="29" t="s">
        <v>46</v>
      </c>
      <c r="D339" s="4" t="str">
        <f>"15145"</f>
        <v>15145</v>
      </c>
      <c r="E339" s="4" t="str">
        <f t="shared" si="10"/>
        <v>FE15145</v>
      </c>
      <c r="F339" s="7">
        <v>44336</v>
      </c>
      <c r="G339" s="7">
        <v>44350</v>
      </c>
      <c r="H339" s="34">
        <v>135855</v>
      </c>
      <c r="I339" s="31">
        <v>135855</v>
      </c>
      <c r="J339" s="31">
        <f t="shared" si="11"/>
        <v>0</v>
      </c>
      <c r="K339" s="2"/>
      <c r="N339" s="32">
        <v>0</v>
      </c>
      <c r="Q339" s="34">
        <v>0</v>
      </c>
      <c r="R339" s="45"/>
      <c r="S339" s="4" t="str">
        <f>IFERROR(VLOOKUP(E339,'[2]td factu si'!$A:$B,1,0),0)</f>
        <v>FE15145</v>
      </c>
      <c r="T339" s="2">
        <f>IFERROR(VLOOKUP(E339,'[2]td factu si'!$A:$B,2,0),0)*-1</f>
        <v>135855</v>
      </c>
      <c r="W339" s="36"/>
      <c r="AH339" s="3">
        <v>0</v>
      </c>
      <c r="AJ339" s="3">
        <v>0</v>
      </c>
    </row>
    <row r="340" spans="1:36" x14ac:dyDescent="0.25">
      <c r="A340">
        <v>332</v>
      </c>
      <c r="B340" s="29" t="s">
        <v>45</v>
      </c>
      <c r="C340" s="29" t="s">
        <v>46</v>
      </c>
      <c r="D340" s="4" t="str">
        <f>"15152"</f>
        <v>15152</v>
      </c>
      <c r="E340" s="4" t="str">
        <f t="shared" si="10"/>
        <v>FE15152</v>
      </c>
      <c r="F340" s="7">
        <v>44336</v>
      </c>
      <c r="G340" s="7">
        <v>44350</v>
      </c>
      <c r="H340" s="34">
        <v>317101</v>
      </c>
      <c r="I340" s="31">
        <v>317101</v>
      </c>
      <c r="J340" s="31">
        <f t="shared" si="11"/>
        <v>0</v>
      </c>
      <c r="K340" s="2"/>
      <c r="N340" s="32">
        <v>0</v>
      </c>
      <c r="Q340" s="34">
        <v>0</v>
      </c>
      <c r="R340" s="45"/>
      <c r="S340" s="4" t="str">
        <f>IFERROR(VLOOKUP(E340,'[2]td factu si'!$A:$B,1,0),0)</f>
        <v>FE15152</v>
      </c>
      <c r="T340" s="2">
        <f>IFERROR(VLOOKUP(E340,'[2]td factu si'!$A:$B,2,0),0)*-1</f>
        <v>317101</v>
      </c>
      <c r="W340" s="36"/>
      <c r="X340" s="6">
        <v>317101</v>
      </c>
      <c r="AH340" s="3">
        <v>0</v>
      </c>
      <c r="AJ340" s="3">
        <v>0</v>
      </c>
    </row>
    <row r="341" spans="1:36" x14ac:dyDescent="0.25">
      <c r="A341">
        <v>333</v>
      </c>
      <c r="B341" s="29" t="s">
        <v>45</v>
      </c>
      <c r="C341" s="29" t="s">
        <v>46</v>
      </c>
      <c r="D341" s="4" t="str">
        <f>"15159"</f>
        <v>15159</v>
      </c>
      <c r="E341" s="4" t="str">
        <f t="shared" si="10"/>
        <v>FE15159</v>
      </c>
      <c r="F341" s="7">
        <v>44336</v>
      </c>
      <c r="G341" s="7">
        <v>44350</v>
      </c>
      <c r="H341" s="34">
        <v>317101</v>
      </c>
      <c r="I341" s="31">
        <v>280634</v>
      </c>
      <c r="J341" s="31">
        <f t="shared" si="11"/>
        <v>36467</v>
      </c>
      <c r="K341" s="2"/>
      <c r="N341" s="32">
        <v>0</v>
      </c>
      <c r="Q341" s="34">
        <v>0</v>
      </c>
      <c r="R341" s="45"/>
      <c r="S341" s="4">
        <f>IFERROR(VLOOKUP(E341,'[2]td factu si'!$A:$B,1,0),0)</f>
        <v>0</v>
      </c>
      <c r="T341" s="2">
        <f>IFERROR(VLOOKUP(E341,'[2]td factu si'!$A:$B,2,0),0)*-1</f>
        <v>0</v>
      </c>
      <c r="W341" s="36"/>
      <c r="X341" s="6">
        <v>280634</v>
      </c>
      <c r="AH341" s="3">
        <v>0</v>
      </c>
      <c r="AJ341" s="3">
        <v>0</v>
      </c>
    </row>
    <row r="342" spans="1:36" x14ac:dyDescent="0.25">
      <c r="A342">
        <v>334</v>
      </c>
      <c r="B342" s="29" t="s">
        <v>45</v>
      </c>
      <c r="C342" s="29" t="s">
        <v>46</v>
      </c>
      <c r="D342" s="4" t="str">
        <f>"15162"</f>
        <v>15162</v>
      </c>
      <c r="E342" s="4" t="str">
        <f t="shared" si="10"/>
        <v>FE15162</v>
      </c>
      <c r="F342" s="7">
        <v>44336</v>
      </c>
      <c r="G342" s="7">
        <v>44351</v>
      </c>
      <c r="H342" s="34">
        <v>181246</v>
      </c>
      <c r="I342" s="31">
        <v>177746</v>
      </c>
      <c r="J342" s="31">
        <f t="shared" si="11"/>
        <v>3500</v>
      </c>
      <c r="K342" s="2"/>
      <c r="N342" s="32">
        <v>0</v>
      </c>
      <c r="Q342" s="34">
        <v>0</v>
      </c>
      <c r="R342" s="45"/>
      <c r="S342" s="4" t="str">
        <f>IFERROR(VLOOKUP(E342,'[2]td factu si'!$A:$B,1,0),0)</f>
        <v>FE15162</v>
      </c>
      <c r="T342" s="2">
        <f>IFERROR(VLOOKUP(E342,'[2]td factu si'!$A:$B,2,0),0)*-1</f>
        <v>177746</v>
      </c>
      <c r="W342" s="36"/>
      <c r="AH342" s="3">
        <v>0</v>
      </c>
      <c r="AJ342" s="3">
        <v>0</v>
      </c>
    </row>
    <row r="343" spans="1:36" x14ac:dyDescent="0.25">
      <c r="A343">
        <v>335</v>
      </c>
      <c r="B343" s="29" t="s">
        <v>45</v>
      </c>
      <c r="C343" s="29" t="s">
        <v>46</v>
      </c>
      <c r="D343" s="4" t="str">
        <f>"15169"</f>
        <v>15169</v>
      </c>
      <c r="E343" s="4" t="str">
        <f t="shared" si="10"/>
        <v>FE15169</v>
      </c>
      <c r="F343" s="7">
        <v>44336</v>
      </c>
      <c r="G343" s="7">
        <v>44351</v>
      </c>
      <c r="H343" s="34">
        <v>151344</v>
      </c>
      <c r="I343" s="31">
        <v>144344</v>
      </c>
      <c r="J343" s="31">
        <f t="shared" si="11"/>
        <v>7000</v>
      </c>
      <c r="K343" s="2"/>
      <c r="N343" s="32">
        <v>0</v>
      </c>
      <c r="Q343" s="34">
        <v>0</v>
      </c>
      <c r="R343" s="45"/>
      <c r="S343" s="4" t="str">
        <f>IFERROR(VLOOKUP(E343,'[2]td factu si'!$A:$B,1,0),0)</f>
        <v>FE15169</v>
      </c>
      <c r="T343" s="2">
        <f>IFERROR(VLOOKUP(E343,'[2]td factu si'!$A:$B,2,0),0)*-1</f>
        <v>144344</v>
      </c>
      <c r="W343" s="36"/>
      <c r="AH343" s="3">
        <v>0</v>
      </c>
      <c r="AJ343" s="3">
        <v>0</v>
      </c>
    </row>
    <row r="344" spans="1:36" x14ac:dyDescent="0.25">
      <c r="A344">
        <v>336</v>
      </c>
      <c r="B344" s="29" t="s">
        <v>45</v>
      </c>
      <c r="C344" s="29" t="s">
        <v>46</v>
      </c>
      <c r="D344" s="4" t="str">
        <f>"15173"</f>
        <v>15173</v>
      </c>
      <c r="E344" s="4" t="str">
        <f t="shared" si="10"/>
        <v>FE15173</v>
      </c>
      <c r="F344" s="7">
        <v>44336</v>
      </c>
      <c r="G344" s="7">
        <v>44351</v>
      </c>
      <c r="H344" s="34">
        <v>135855</v>
      </c>
      <c r="I344" s="31">
        <v>132355</v>
      </c>
      <c r="J344" s="31">
        <f t="shared" si="11"/>
        <v>3500</v>
      </c>
      <c r="K344" s="2"/>
      <c r="N344" s="32">
        <v>0</v>
      </c>
      <c r="Q344" s="34">
        <v>0</v>
      </c>
      <c r="R344" s="45"/>
      <c r="S344" s="4" t="str">
        <f>IFERROR(VLOOKUP(E344,'[2]td factu si'!$A:$B,1,0),0)</f>
        <v>FE15173</v>
      </c>
      <c r="T344" s="2">
        <f>IFERROR(VLOOKUP(E344,'[2]td factu si'!$A:$B,2,0),0)*-1</f>
        <v>132355</v>
      </c>
      <c r="W344" s="36"/>
      <c r="AH344" s="3">
        <v>0</v>
      </c>
      <c r="AJ344" s="3">
        <v>0</v>
      </c>
    </row>
    <row r="345" spans="1:36" x14ac:dyDescent="0.25">
      <c r="A345">
        <v>337</v>
      </c>
      <c r="B345" s="29" t="s">
        <v>45</v>
      </c>
      <c r="C345" s="29" t="s">
        <v>46</v>
      </c>
      <c r="D345" s="4" t="str">
        <f>"15176"</f>
        <v>15176</v>
      </c>
      <c r="E345" s="4" t="str">
        <f t="shared" si="10"/>
        <v>FE15176</v>
      </c>
      <c r="F345" s="7">
        <v>44336</v>
      </c>
      <c r="G345" s="7">
        <v>44351</v>
      </c>
      <c r="H345" s="34">
        <v>135855</v>
      </c>
      <c r="I345" s="31">
        <v>132355</v>
      </c>
      <c r="J345" s="31">
        <f t="shared" si="11"/>
        <v>3500</v>
      </c>
      <c r="K345" s="2"/>
      <c r="N345" s="32">
        <v>0</v>
      </c>
      <c r="Q345" s="34">
        <v>0</v>
      </c>
      <c r="R345" s="45"/>
      <c r="S345" s="4" t="str">
        <f>IFERROR(VLOOKUP(E345,'[2]td factu si'!$A:$B,1,0),0)</f>
        <v>FE15176</v>
      </c>
      <c r="T345" s="2">
        <f>IFERROR(VLOOKUP(E345,'[2]td factu si'!$A:$B,2,0),0)*-1</f>
        <v>132355</v>
      </c>
      <c r="W345" s="36"/>
      <c r="AH345" s="3">
        <v>0</v>
      </c>
      <c r="AJ345" s="3">
        <v>0</v>
      </c>
    </row>
    <row r="346" spans="1:36" x14ac:dyDescent="0.25">
      <c r="A346">
        <v>338</v>
      </c>
      <c r="B346" s="29" t="s">
        <v>45</v>
      </c>
      <c r="C346" s="29" t="s">
        <v>46</v>
      </c>
      <c r="D346" s="4" t="str">
        <f>"15180"</f>
        <v>15180</v>
      </c>
      <c r="E346" s="4" t="str">
        <f t="shared" si="10"/>
        <v>FE15180</v>
      </c>
      <c r="F346" s="7">
        <v>44336</v>
      </c>
      <c r="G346" s="7">
        <v>44350</v>
      </c>
      <c r="H346" s="34">
        <v>135855</v>
      </c>
      <c r="I346" s="31">
        <v>135855</v>
      </c>
      <c r="J346" s="31">
        <f t="shared" si="11"/>
        <v>0</v>
      </c>
      <c r="K346" s="2"/>
      <c r="N346" s="32">
        <v>0</v>
      </c>
      <c r="Q346" s="34">
        <v>0</v>
      </c>
      <c r="R346" s="45"/>
      <c r="S346" s="4" t="str">
        <f>IFERROR(VLOOKUP(E346,'[2]td factu si'!$A:$B,1,0),0)</f>
        <v>FE15180</v>
      </c>
      <c r="T346" s="2">
        <f>IFERROR(VLOOKUP(E346,'[2]td factu si'!$A:$B,2,0),0)*-1</f>
        <v>135855</v>
      </c>
      <c r="W346" s="36"/>
      <c r="AH346" s="3">
        <v>0</v>
      </c>
      <c r="AJ346" s="3">
        <v>0</v>
      </c>
    </row>
    <row r="347" spans="1:36" x14ac:dyDescent="0.25">
      <c r="A347">
        <v>339</v>
      </c>
      <c r="B347" s="29" t="s">
        <v>45</v>
      </c>
      <c r="C347" s="29" t="s">
        <v>46</v>
      </c>
      <c r="D347" s="4" t="str">
        <f>"15182"</f>
        <v>15182</v>
      </c>
      <c r="E347" s="4" t="str">
        <f t="shared" si="10"/>
        <v>FE15182</v>
      </c>
      <c r="F347" s="7">
        <v>44336</v>
      </c>
      <c r="G347" s="7">
        <v>44350</v>
      </c>
      <c r="H347" s="34">
        <v>135855</v>
      </c>
      <c r="I347" s="31">
        <v>135855</v>
      </c>
      <c r="J347" s="31">
        <f t="shared" si="11"/>
        <v>0</v>
      </c>
      <c r="K347" s="2"/>
      <c r="N347" s="32">
        <v>0</v>
      </c>
      <c r="Q347" s="34">
        <v>0</v>
      </c>
      <c r="R347" s="45"/>
      <c r="S347" s="4" t="str">
        <f>IFERROR(VLOOKUP(E347,'[2]td factu si'!$A:$B,1,0),0)</f>
        <v>FE15182</v>
      </c>
      <c r="T347" s="2">
        <f>IFERROR(VLOOKUP(E347,'[2]td factu si'!$A:$B,2,0),0)*-1</f>
        <v>135855</v>
      </c>
      <c r="W347" s="36"/>
      <c r="AH347" s="3">
        <v>0</v>
      </c>
      <c r="AJ347" s="3">
        <v>0</v>
      </c>
    </row>
    <row r="348" spans="1:36" x14ac:dyDescent="0.25">
      <c r="A348">
        <v>340</v>
      </c>
      <c r="B348" s="29" t="s">
        <v>45</v>
      </c>
      <c r="C348" s="29" t="s">
        <v>46</v>
      </c>
      <c r="D348" s="4" t="str">
        <f>"15183"</f>
        <v>15183</v>
      </c>
      <c r="E348" s="4" t="str">
        <f t="shared" si="10"/>
        <v>FE15183</v>
      </c>
      <c r="F348" s="7">
        <v>44336</v>
      </c>
      <c r="G348" s="7">
        <v>44351</v>
      </c>
      <c r="H348" s="34">
        <v>135855</v>
      </c>
      <c r="I348" s="31">
        <v>132355</v>
      </c>
      <c r="J348" s="31">
        <f t="shared" si="11"/>
        <v>3500</v>
      </c>
      <c r="K348" s="2"/>
      <c r="N348" s="32">
        <v>0</v>
      </c>
      <c r="Q348" s="34">
        <v>0</v>
      </c>
      <c r="R348" s="45"/>
      <c r="S348" s="4" t="str">
        <f>IFERROR(VLOOKUP(E348,'[2]td factu si'!$A:$B,1,0),0)</f>
        <v>FE15183</v>
      </c>
      <c r="T348" s="2">
        <f>IFERROR(VLOOKUP(E348,'[2]td factu si'!$A:$B,2,0),0)*-1</f>
        <v>132355</v>
      </c>
      <c r="W348" s="36"/>
      <c r="AH348" s="3">
        <v>0</v>
      </c>
      <c r="AJ348" s="3">
        <v>0</v>
      </c>
    </row>
    <row r="349" spans="1:36" x14ac:dyDescent="0.25">
      <c r="A349">
        <v>341</v>
      </c>
      <c r="B349" s="29" t="s">
        <v>45</v>
      </c>
      <c r="C349" s="29" t="s">
        <v>46</v>
      </c>
      <c r="D349" s="4" t="str">
        <f>"15184"</f>
        <v>15184</v>
      </c>
      <c r="E349" s="4" t="str">
        <f t="shared" si="10"/>
        <v>FE15184</v>
      </c>
      <c r="F349" s="7">
        <v>44336</v>
      </c>
      <c r="G349" s="7">
        <v>44350</v>
      </c>
      <c r="H349" s="34">
        <v>135855</v>
      </c>
      <c r="I349" s="31">
        <v>135855</v>
      </c>
      <c r="J349" s="31">
        <f t="shared" si="11"/>
        <v>0</v>
      </c>
      <c r="K349" s="2"/>
      <c r="N349" s="32">
        <v>0</v>
      </c>
      <c r="Q349" s="34">
        <v>0</v>
      </c>
      <c r="R349" s="45"/>
      <c r="S349" s="4" t="str">
        <f>IFERROR(VLOOKUP(E349,'[2]td factu si'!$A:$B,1,0),0)</f>
        <v>FE15184</v>
      </c>
      <c r="T349" s="2">
        <f>IFERROR(VLOOKUP(E349,'[2]td factu si'!$A:$B,2,0),0)*-1</f>
        <v>135855</v>
      </c>
      <c r="W349" s="36"/>
      <c r="AH349" s="3">
        <v>0</v>
      </c>
      <c r="AJ349" s="3">
        <v>0</v>
      </c>
    </row>
    <row r="350" spans="1:36" x14ac:dyDescent="0.25">
      <c r="A350">
        <v>342</v>
      </c>
      <c r="B350" s="29" t="s">
        <v>45</v>
      </c>
      <c r="C350" s="29" t="s">
        <v>46</v>
      </c>
      <c r="D350" s="4" t="str">
        <f>"15187"</f>
        <v>15187</v>
      </c>
      <c r="E350" s="4" t="str">
        <f t="shared" si="10"/>
        <v>FE15187</v>
      </c>
      <c r="F350" s="7">
        <v>44336</v>
      </c>
      <c r="G350" s="7">
        <v>44350</v>
      </c>
      <c r="H350" s="34">
        <v>317101</v>
      </c>
      <c r="I350" s="31">
        <v>317101</v>
      </c>
      <c r="J350" s="31">
        <f t="shared" si="11"/>
        <v>0</v>
      </c>
      <c r="K350" s="2"/>
      <c r="N350" s="32">
        <v>0</v>
      </c>
      <c r="Q350" s="34">
        <v>0</v>
      </c>
      <c r="R350" s="45"/>
      <c r="S350" s="4" t="str">
        <f>IFERROR(VLOOKUP(E350,'[2]td factu si'!$A:$B,1,0),0)</f>
        <v>FE15187</v>
      </c>
      <c r="T350" s="2">
        <f>IFERROR(VLOOKUP(E350,'[2]td factu si'!$A:$B,2,0),0)*-1</f>
        <v>317101</v>
      </c>
      <c r="W350" s="36"/>
      <c r="AH350" s="3">
        <v>0</v>
      </c>
      <c r="AJ350" s="3">
        <v>0</v>
      </c>
    </row>
    <row r="351" spans="1:36" x14ac:dyDescent="0.25">
      <c r="A351">
        <v>343</v>
      </c>
      <c r="B351" s="29" t="s">
        <v>45</v>
      </c>
      <c r="C351" s="29" t="s">
        <v>46</v>
      </c>
      <c r="D351" s="4" t="str">
        <f>"15189"</f>
        <v>15189</v>
      </c>
      <c r="E351" s="4" t="str">
        <f t="shared" si="10"/>
        <v>FE15189</v>
      </c>
      <c r="F351" s="7">
        <v>44336</v>
      </c>
      <c r="G351" s="7">
        <v>44350</v>
      </c>
      <c r="H351" s="34">
        <v>135855</v>
      </c>
      <c r="I351" s="31">
        <v>135855</v>
      </c>
      <c r="J351" s="31">
        <f t="shared" si="11"/>
        <v>0</v>
      </c>
      <c r="K351" s="2"/>
      <c r="N351" s="32">
        <v>0</v>
      </c>
      <c r="Q351" s="34">
        <v>0</v>
      </c>
      <c r="R351" s="45"/>
      <c r="S351" s="4" t="str">
        <f>IFERROR(VLOOKUP(E351,'[2]td factu si'!$A:$B,1,0),0)</f>
        <v>FE15189</v>
      </c>
      <c r="T351" s="2">
        <f>IFERROR(VLOOKUP(E351,'[2]td factu si'!$A:$B,2,0),0)*-1</f>
        <v>135855</v>
      </c>
      <c r="W351" s="36"/>
      <c r="AH351" s="3">
        <v>0</v>
      </c>
      <c r="AJ351" s="3">
        <v>0</v>
      </c>
    </row>
    <row r="352" spans="1:36" x14ac:dyDescent="0.25">
      <c r="A352">
        <v>344</v>
      </c>
      <c r="B352" s="29" t="s">
        <v>45</v>
      </c>
      <c r="C352" s="29" t="s">
        <v>46</v>
      </c>
      <c r="D352" s="4" t="str">
        <f>"15192"</f>
        <v>15192</v>
      </c>
      <c r="E352" s="4" t="str">
        <f t="shared" si="10"/>
        <v>FE15192</v>
      </c>
      <c r="F352" s="7">
        <v>44336</v>
      </c>
      <c r="G352" s="7">
        <v>44350</v>
      </c>
      <c r="H352" s="34">
        <v>135855</v>
      </c>
      <c r="I352" s="31">
        <v>122270</v>
      </c>
      <c r="J352" s="31">
        <f t="shared" si="11"/>
        <v>13585</v>
      </c>
      <c r="K352" s="2"/>
      <c r="N352" s="32">
        <v>0</v>
      </c>
      <c r="Q352" s="34">
        <v>0</v>
      </c>
      <c r="R352" s="45"/>
      <c r="S352" s="4" t="str">
        <f>IFERROR(VLOOKUP(E352,'[2]td factu si'!$A:$B,1,0),0)</f>
        <v>FE15192</v>
      </c>
      <c r="T352" s="2">
        <f>IFERROR(VLOOKUP(E352,'[2]td factu si'!$A:$B,2,0),0)*-1</f>
        <v>122270</v>
      </c>
      <c r="W352" s="36"/>
      <c r="AH352" s="3">
        <v>0</v>
      </c>
      <c r="AJ352" s="3">
        <v>0</v>
      </c>
    </row>
    <row r="353" spans="1:36" x14ac:dyDescent="0.25">
      <c r="A353">
        <v>345</v>
      </c>
      <c r="B353" s="29" t="s">
        <v>45</v>
      </c>
      <c r="C353" s="29" t="s">
        <v>46</v>
      </c>
      <c r="D353" s="4" t="str">
        <f>"15193"</f>
        <v>15193</v>
      </c>
      <c r="E353" s="4" t="str">
        <f t="shared" si="10"/>
        <v>FE15193</v>
      </c>
      <c r="F353" s="7">
        <v>44336</v>
      </c>
      <c r="G353" s="7">
        <v>44350</v>
      </c>
      <c r="H353" s="34">
        <v>2585033</v>
      </c>
      <c r="I353" s="31">
        <v>2585033</v>
      </c>
      <c r="J353" s="31">
        <f t="shared" si="11"/>
        <v>0</v>
      </c>
      <c r="K353" s="2"/>
      <c r="N353" s="32">
        <v>0</v>
      </c>
      <c r="Q353" s="34">
        <v>0</v>
      </c>
      <c r="R353" s="45"/>
      <c r="S353" s="4" t="str">
        <f>IFERROR(VLOOKUP(E353,'[2]td factu si'!$A:$B,1,0),0)</f>
        <v>FE15193</v>
      </c>
      <c r="T353" s="2">
        <f>IFERROR(VLOOKUP(E353,'[2]td factu si'!$A:$B,2,0),0)*-1</f>
        <v>2585033</v>
      </c>
      <c r="W353" s="36"/>
      <c r="AH353" s="3">
        <v>0</v>
      </c>
      <c r="AJ353" s="3">
        <v>0</v>
      </c>
    </row>
    <row r="354" spans="1:36" x14ac:dyDescent="0.25">
      <c r="A354">
        <v>346</v>
      </c>
      <c r="B354" s="29" t="s">
        <v>45</v>
      </c>
      <c r="C354" s="29" t="s">
        <v>46</v>
      </c>
      <c r="D354" s="4" t="str">
        <f>"15196"</f>
        <v>15196</v>
      </c>
      <c r="E354" s="4" t="str">
        <f t="shared" si="10"/>
        <v>FE15196</v>
      </c>
      <c r="F354" s="7">
        <v>44337</v>
      </c>
      <c r="G354" s="7">
        <v>44350</v>
      </c>
      <c r="H354" s="34">
        <v>181246</v>
      </c>
      <c r="I354" s="31">
        <v>181246</v>
      </c>
      <c r="J354" s="31">
        <f t="shared" si="11"/>
        <v>0</v>
      </c>
      <c r="K354" s="2"/>
      <c r="N354" s="32">
        <v>0</v>
      </c>
      <c r="Q354" s="34">
        <v>0</v>
      </c>
      <c r="R354" s="45"/>
      <c r="S354" s="4" t="str">
        <f>IFERROR(VLOOKUP(E354,'[2]td factu si'!$A:$B,1,0),0)</f>
        <v>FE15196</v>
      </c>
      <c r="T354" s="2">
        <f>IFERROR(VLOOKUP(E354,'[2]td factu si'!$A:$B,2,0),0)*-1</f>
        <v>181246</v>
      </c>
      <c r="W354" s="36"/>
      <c r="X354" s="6">
        <v>181246</v>
      </c>
      <c r="AH354" s="3">
        <v>0</v>
      </c>
      <c r="AJ354" s="3">
        <v>0</v>
      </c>
    </row>
    <row r="355" spans="1:36" x14ac:dyDescent="0.25">
      <c r="A355">
        <v>347</v>
      </c>
      <c r="B355" s="29" t="s">
        <v>45</v>
      </c>
      <c r="C355" s="29" t="s">
        <v>46</v>
      </c>
      <c r="D355" s="4" t="str">
        <f>"15203"</f>
        <v>15203</v>
      </c>
      <c r="E355" s="4" t="str">
        <f t="shared" si="10"/>
        <v>FE15203</v>
      </c>
      <c r="F355" s="7">
        <v>44337</v>
      </c>
      <c r="G355" s="7">
        <v>44350</v>
      </c>
      <c r="H355" s="34">
        <v>3038415</v>
      </c>
      <c r="I355" s="31">
        <v>2734578</v>
      </c>
      <c r="J355" s="31">
        <f t="shared" si="11"/>
        <v>303837</v>
      </c>
      <c r="K355" s="2"/>
      <c r="N355" s="32">
        <v>0</v>
      </c>
      <c r="Q355" s="34">
        <v>0</v>
      </c>
      <c r="R355" s="45"/>
      <c r="S355" s="4" t="str">
        <f>IFERROR(VLOOKUP(E355,'[2]td factu si'!$A:$B,1,0),0)</f>
        <v>FE15203</v>
      </c>
      <c r="T355" s="2">
        <f>IFERROR(VLOOKUP(E355,'[2]td factu si'!$A:$B,2,0),0)*-1</f>
        <v>2734578</v>
      </c>
      <c r="W355" s="36"/>
      <c r="AH355" s="3">
        <v>0</v>
      </c>
      <c r="AJ355" s="3">
        <v>0</v>
      </c>
    </row>
    <row r="356" spans="1:36" x14ac:dyDescent="0.25">
      <c r="A356">
        <v>348</v>
      </c>
      <c r="B356" s="29" t="s">
        <v>45</v>
      </c>
      <c r="C356" s="29" t="s">
        <v>46</v>
      </c>
      <c r="D356" s="4" t="str">
        <f>"15204"</f>
        <v>15204</v>
      </c>
      <c r="E356" s="4" t="str">
        <f t="shared" si="10"/>
        <v>FE15204</v>
      </c>
      <c r="F356" s="7">
        <v>44337</v>
      </c>
      <c r="G356" s="7">
        <v>44350</v>
      </c>
      <c r="H356" s="34">
        <v>181246</v>
      </c>
      <c r="I356" s="31">
        <v>181246</v>
      </c>
      <c r="J356" s="31">
        <f t="shared" si="11"/>
        <v>0</v>
      </c>
      <c r="K356" s="2"/>
      <c r="N356" s="32">
        <v>0</v>
      </c>
      <c r="Q356" s="34">
        <v>0</v>
      </c>
      <c r="R356" s="45"/>
      <c r="S356" s="4" t="str">
        <f>IFERROR(VLOOKUP(E356,'[2]td factu si'!$A:$B,1,0),0)</f>
        <v>FE15204</v>
      </c>
      <c r="T356" s="2">
        <f>IFERROR(VLOOKUP(E356,'[2]td factu si'!$A:$B,2,0),0)*-1</f>
        <v>181246</v>
      </c>
      <c r="W356" s="36"/>
      <c r="X356" s="6">
        <v>181246</v>
      </c>
      <c r="AH356" s="3">
        <v>0</v>
      </c>
      <c r="AJ356" s="3">
        <v>0</v>
      </c>
    </row>
    <row r="357" spans="1:36" x14ac:dyDescent="0.25">
      <c r="A357">
        <v>349</v>
      </c>
      <c r="B357" s="29" t="s">
        <v>45</v>
      </c>
      <c r="C357" s="29" t="s">
        <v>46</v>
      </c>
      <c r="D357" s="4" t="str">
        <f>"15213"</f>
        <v>15213</v>
      </c>
      <c r="E357" s="4" t="str">
        <f t="shared" si="10"/>
        <v>FE15213</v>
      </c>
      <c r="F357" s="7">
        <v>44337</v>
      </c>
      <c r="G357" s="7">
        <v>44350</v>
      </c>
      <c r="H357" s="34">
        <v>49114</v>
      </c>
      <c r="I357" s="31">
        <v>49114</v>
      </c>
      <c r="J357" s="31">
        <f t="shared" si="11"/>
        <v>0</v>
      </c>
      <c r="K357" s="2"/>
      <c r="N357" s="32">
        <v>0</v>
      </c>
      <c r="Q357" s="34">
        <v>0</v>
      </c>
      <c r="R357" s="45"/>
      <c r="S357" s="4" t="str">
        <f>IFERROR(VLOOKUP(E357,'[2]td factu si'!$A:$B,1,0),0)</f>
        <v>FE15213</v>
      </c>
      <c r="T357" s="2">
        <f>IFERROR(VLOOKUP(E357,'[2]td factu si'!$A:$B,2,0),0)*-1</f>
        <v>49114</v>
      </c>
      <c r="W357" s="36"/>
      <c r="AH357" s="3">
        <v>0</v>
      </c>
      <c r="AJ357" s="3">
        <v>0</v>
      </c>
    </row>
    <row r="358" spans="1:36" x14ac:dyDescent="0.25">
      <c r="A358">
        <v>350</v>
      </c>
      <c r="B358" s="29" t="s">
        <v>45</v>
      </c>
      <c r="C358" s="29" t="s">
        <v>46</v>
      </c>
      <c r="D358" s="4" t="str">
        <f>"15216"</f>
        <v>15216</v>
      </c>
      <c r="E358" s="4" t="str">
        <f t="shared" si="10"/>
        <v>FE15216</v>
      </c>
      <c r="F358" s="7">
        <v>44337</v>
      </c>
      <c r="G358" s="7">
        <v>44350</v>
      </c>
      <c r="H358" s="34">
        <v>2356764</v>
      </c>
      <c r="I358" s="31">
        <v>2356764</v>
      </c>
      <c r="J358" s="31">
        <f t="shared" si="11"/>
        <v>0</v>
      </c>
      <c r="K358" s="2"/>
      <c r="N358" s="32">
        <v>0</v>
      </c>
      <c r="Q358" s="34">
        <v>0</v>
      </c>
      <c r="R358" s="45"/>
      <c r="S358" s="4" t="str">
        <f>IFERROR(VLOOKUP(E358,'[2]td factu si'!$A:$B,1,0),0)</f>
        <v>FE15216</v>
      </c>
      <c r="T358" s="2">
        <f>IFERROR(VLOOKUP(E358,'[2]td factu si'!$A:$B,2,0),0)*-1</f>
        <v>2356764</v>
      </c>
      <c r="W358" s="36"/>
      <c r="AH358" s="3">
        <v>0</v>
      </c>
      <c r="AJ358" s="3">
        <v>0</v>
      </c>
    </row>
    <row r="359" spans="1:36" x14ac:dyDescent="0.25">
      <c r="A359">
        <v>351</v>
      </c>
      <c r="B359" s="29" t="s">
        <v>45</v>
      </c>
      <c r="C359" s="29" t="s">
        <v>46</v>
      </c>
      <c r="D359" s="4" t="str">
        <f>"15217"</f>
        <v>15217</v>
      </c>
      <c r="E359" s="4" t="str">
        <f t="shared" si="10"/>
        <v>FE15217</v>
      </c>
      <c r="F359" s="7">
        <v>44337</v>
      </c>
      <c r="G359" s="7">
        <v>44351</v>
      </c>
      <c r="H359" s="34">
        <v>15489</v>
      </c>
      <c r="I359" s="31">
        <v>11989</v>
      </c>
      <c r="J359" s="31">
        <f t="shared" si="11"/>
        <v>3500</v>
      </c>
      <c r="K359" s="2"/>
      <c r="N359" s="32">
        <v>0</v>
      </c>
      <c r="Q359" s="34">
        <v>0</v>
      </c>
      <c r="R359" s="45"/>
      <c r="S359" s="4" t="str">
        <f>IFERROR(VLOOKUP(E359,'[2]td factu si'!$A:$B,1,0),0)</f>
        <v>FE15217</v>
      </c>
      <c r="T359" s="2">
        <f>IFERROR(VLOOKUP(E359,'[2]td factu si'!$A:$B,2,0),0)*-1</f>
        <v>11989</v>
      </c>
      <c r="W359" s="36"/>
      <c r="AH359" s="3">
        <v>0</v>
      </c>
      <c r="AJ359" s="3">
        <v>0</v>
      </c>
    </row>
    <row r="360" spans="1:36" x14ac:dyDescent="0.25">
      <c r="A360">
        <v>352</v>
      </c>
      <c r="B360" s="29" t="s">
        <v>45</v>
      </c>
      <c r="C360" s="29" t="s">
        <v>46</v>
      </c>
      <c r="D360" s="4" t="str">
        <f>"15218"</f>
        <v>15218</v>
      </c>
      <c r="E360" s="4" t="str">
        <f t="shared" si="10"/>
        <v>FE15218</v>
      </c>
      <c r="F360" s="7">
        <v>44337</v>
      </c>
      <c r="G360" s="7">
        <v>44350</v>
      </c>
      <c r="H360" s="34">
        <v>181246</v>
      </c>
      <c r="I360" s="31">
        <v>163121</v>
      </c>
      <c r="J360" s="31">
        <f t="shared" si="11"/>
        <v>18125</v>
      </c>
      <c r="K360" s="2"/>
      <c r="N360" s="32">
        <v>0</v>
      </c>
      <c r="Q360" s="34">
        <v>0</v>
      </c>
      <c r="R360" s="45"/>
      <c r="S360" s="4">
        <f>IFERROR(VLOOKUP(E360,'[2]td factu si'!$A:$B,1,0),0)</f>
        <v>0</v>
      </c>
      <c r="T360" s="2">
        <f>IFERROR(VLOOKUP(E360,'[2]td factu si'!$A:$B,2,0),0)*-1</f>
        <v>0</v>
      </c>
      <c r="W360" s="36"/>
      <c r="X360" s="6">
        <v>163121</v>
      </c>
      <c r="AH360" s="3">
        <v>0</v>
      </c>
      <c r="AJ360" s="3">
        <v>0</v>
      </c>
    </row>
    <row r="361" spans="1:36" x14ac:dyDescent="0.25">
      <c r="A361">
        <v>353</v>
      </c>
      <c r="B361" s="29" t="s">
        <v>45</v>
      </c>
      <c r="C361" s="29" t="s">
        <v>46</v>
      </c>
      <c r="D361" s="4" t="str">
        <f>"15229"</f>
        <v>15229</v>
      </c>
      <c r="E361" s="4" t="str">
        <f t="shared" si="10"/>
        <v>FE15229</v>
      </c>
      <c r="F361" s="7">
        <v>44337</v>
      </c>
      <c r="G361" s="7">
        <v>44350</v>
      </c>
      <c r="H361" s="34">
        <v>15489</v>
      </c>
      <c r="I361" s="31">
        <v>15489</v>
      </c>
      <c r="J361" s="31">
        <f t="shared" si="11"/>
        <v>0</v>
      </c>
      <c r="K361" s="2"/>
      <c r="N361" s="32">
        <v>0</v>
      </c>
      <c r="Q361" s="34">
        <v>0</v>
      </c>
      <c r="R361" s="45"/>
      <c r="S361" s="4">
        <f>IFERROR(VLOOKUP(E361,'[2]td factu si'!$A:$B,1,0),0)</f>
        <v>0</v>
      </c>
      <c r="T361" s="2">
        <f>IFERROR(VLOOKUP(E361,'[2]td factu si'!$A:$B,2,0),0)*-1</f>
        <v>0</v>
      </c>
      <c r="W361" s="36"/>
      <c r="X361" s="6">
        <v>15489</v>
      </c>
      <c r="AH361" s="3">
        <v>0</v>
      </c>
      <c r="AJ361" s="3">
        <v>0</v>
      </c>
    </row>
    <row r="362" spans="1:36" x14ac:dyDescent="0.25">
      <c r="A362">
        <v>354</v>
      </c>
      <c r="B362" s="29" t="s">
        <v>45</v>
      </c>
      <c r="C362" s="29" t="s">
        <v>46</v>
      </c>
      <c r="D362" s="4" t="str">
        <f>"15237"</f>
        <v>15237</v>
      </c>
      <c r="E362" s="4" t="str">
        <f t="shared" si="10"/>
        <v>FE15237</v>
      </c>
      <c r="F362" s="7">
        <v>44337</v>
      </c>
      <c r="G362" s="7">
        <v>44350</v>
      </c>
      <c r="H362" s="34">
        <v>99124</v>
      </c>
      <c r="I362" s="31">
        <v>99124</v>
      </c>
      <c r="J362" s="31">
        <f t="shared" si="11"/>
        <v>0</v>
      </c>
      <c r="K362" s="2"/>
      <c r="N362" s="32">
        <v>0</v>
      </c>
      <c r="Q362" s="34">
        <v>0</v>
      </c>
      <c r="R362" s="45"/>
      <c r="S362" s="4" t="str">
        <f>IFERROR(VLOOKUP(E362,'[2]td factu si'!$A:$B,1,0),0)</f>
        <v>FE15237</v>
      </c>
      <c r="T362" s="2">
        <f>IFERROR(VLOOKUP(E362,'[2]td factu si'!$A:$B,2,0),0)*-1</f>
        <v>99124</v>
      </c>
      <c r="W362" s="36"/>
      <c r="X362" s="6">
        <v>99124</v>
      </c>
      <c r="AH362" s="3">
        <v>0</v>
      </c>
      <c r="AJ362" s="3">
        <v>0</v>
      </c>
    </row>
    <row r="363" spans="1:36" x14ac:dyDescent="0.25">
      <c r="A363">
        <v>355</v>
      </c>
      <c r="B363" s="29" t="s">
        <v>45</v>
      </c>
      <c r="C363" s="29" t="s">
        <v>46</v>
      </c>
      <c r="D363" s="4" t="str">
        <f>"15239"</f>
        <v>15239</v>
      </c>
      <c r="E363" s="4" t="str">
        <f t="shared" si="10"/>
        <v>FE15239</v>
      </c>
      <c r="F363" s="7">
        <v>44337</v>
      </c>
      <c r="G363" s="7">
        <v>44350</v>
      </c>
      <c r="H363" s="34">
        <v>181246</v>
      </c>
      <c r="I363" s="31">
        <v>181246</v>
      </c>
      <c r="J363" s="31">
        <f t="shared" si="11"/>
        <v>0</v>
      </c>
      <c r="K363" s="2"/>
      <c r="N363" s="32">
        <v>0</v>
      </c>
      <c r="Q363" s="34">
        <v>0</v>
      </c>
      <c r="R363" s="45"/>
      <c r="S363" s="4" t="str">
        <f>IFERROR(VLOOKUP(E363,'[2]td factu si'!$A:$B,1,0),0)</f>
        <v>FE15239</v>
      </c>
      <c r="T363" s="2">
        <f>IFERROR(VLOOKUP(E363,'[2]td factu si'!$A:$B,2,0),0)*-1</f>
        <v>181246</v>
      </c>
      <c r="W363" s="36"/>
      <c r="X363" s="6">
        <v>181246</v>
      </c>
      <c r="AH363" s="3">
        <v>0</v>
      </c>
      <c r="AJ363" s="3">
        <v>0</v>
      </c>
    </row>
    <row r="364" spans="1:36" x14ac:dyDescent="0.25">
      <c r="A364">
        <v>356</v>
      </c>
      <c r="B364" s="29" t="s">
        <v>45</v>
      </c>
      <c r="C364" s="29" t="s">
        <v>46</v>
      </c>
      <c r="D364" s="4" t="str">
        <f>"15241"</f>
        <v>15241</v>
      </c>
      <c r="E364" s="4" t="str">
        <f t="shared" si="10"/>
        <v>FE15241</v>
      </c>
      <c r="F364" s="7">
        <v>44337</v>
      </c>
      <c r="G364" s="7">
        <v>44350</v>
      </c>
      <c r="H364" s="34">
        <v>181246</v>
      </c>
      <c r="I364" s="31">
        <v>181246</v>
      </c>
      <c r="J364" s="31">
        <f t="shared" si="11"/>
        <v>0</v>
      </c>
      <c r="K364" s="2"/>
      <c r="N364" s="32">
        <v>0</v>
      </c>
      <c r="Q364" s="34">
        <v>0</v>
      </c>
      <c r="R364" s="45"/>
      <c r="S364" s="4" t="str">
        <f>IFERROR(VLOOKUP(E364,'[2]td factu si'!$A:$B,1,0),0)</f>
        <v>FE15241</v>
      </c>
      <c r="T364" s="2">
        <f>IFERROR(VLOOKUP(E364,'[2]td factu si'!$A:$B,2,0),0)*-1</f>
        <v>181246</v>
      </c>
      <c r="W364" s="36"/>
      <c r="X364" s="6">
        <v>181246</v>
      </c>
      <c r="AH364" s="3">
        <v>0</v>
      </c>
      <c r="AJ364" s="3">
        <v>0</v>
      </c>
    </row>
    <row r="365" spans="1:36" x14ac:dyDescent="0.25">
      <c r="A365">
        <v>357</v>
      </c>
      <c r="B365" s="29" t="s">
        <v>45</v>
      </c>
      <c r="C365" s="29" t="s">
        <v>46</v>
      </c>
      <c r="D365" s="4" t="str">
        <f>"15242"</f>
        <v>15242</v>
      </c>
      <c r="E365" s="4" t="str">
        <f t="shared" si="10"/>
        <v>FE15242</v>
      </c>
      <c r="F365" s="7">
        <v>44337</v>
      </c>
      <c r="G365" s="7">
        <v>44350</v>
      </c>
      <c r="H365" s="34">
        <v>181246</v>
      </c>
      <c r="I365" s="31">
        <v>181246</v>
      </c>
      <c r="J365" s="31">
        <f t="shared" si="11"/>
        <v>0</v>
      </c>
      <c r="K365" s="2"/>
      <c r="N365" s="32">
        <v>0</v>
      </c>
      <c r="Q365" s="34">
        <v>0</v>
      </c>
      <c r="R365" s="45"/>
      <c r="S365" s="4" t="str">
        <f>IFERROR(VLOOKUP(E365,'[2]td factu si'!$A:$B,1,0),0)</f>
        <v>FE15242</v>
      </c>
      <c r="T365" s="2">
        <f>IFERROR(VLOOKUP(E365,'[2]td factu si'!$A:$B,2,0),0)*-1</f>
        <v>181246</v>
      </c>
      <c r="W365" s="36"/>
      <c r="X365" s="6">
        <v>181246</v>
      </c>
      <c r="AH365" s="3">
        <v>0</v>
      </c>
      <c r="AJ365" s="3">
        <v>0</v>
      </c>
    </row>
    <row r="366" spans="1:36" x14ac:dyDescent="0.25">
      <c r="A366">
        <v>358</v>
      </c>
      <c r="B366" s="29" t="s">
        <v>45</v>
      </c>
      <c r="C366" s="29" t="s">
        <v>46</v>
      </c>
      <c r="D366" s="4" t="str">
        <f>"15243"</f>
        <v>15243</v>
      </c>
      <c r="E366" s="4" t="str">
        <f t="shared" si="10"/>
        <v>FE15243</v>
      </c>
      <c r="F366" s="7">
        <v>44337</v>
      </c>
      <c r="G366" s="7">
        <v>44350</v>
      </c>
      <c r="H366" s="34">
        <v>181246</v>
      </c>
      <c r="I366" s="31">
        <v>160403</v>
      </c>
      <c r="J366" s="31">
        <f t="shared" si="11"/>
        <v>20843</v>
      </c>
      <c r="K366" s="2"/>
      <c r="N366" s="32">
        <v>0</v>
      </c>
      <c r="Q366" s="34">
        <v>0</v>
      </c>
      <c r="R366" s="45"/>
      <c r="S366" s="4">
        <f>IFERROR(VLOOKUP(E366,'[2]td factu si'!$A:$B,1,0),0)</f>
        <v>0</v>
      </c>
      <c r="T366" s="2">
        <f>IFERROR(VLOOKUP(E366,'[2]td factu si'!$A:$B,2,0),0)*-1</f>
        <v>0</v>
      </c>
      <c r="W366" s="36"/>
      <c r="X366" s="6">
        <v>160403</v>
      </c>
      <c r="AH366" s="3">
        <v>0</v>
      </c>
      <c r="AJ366" s="3">
        <v>0</v>
      </c>
    </row>
    <row r="367" spans="1:36" x14ac:dyDescent="0.25">
      <c r="A367">
        <v>359</v>
      </c>
      <c r="B367" s="29" t="s">
        <v>45</v>
      </c>
      <c r="C367" s="29" t="s">
        <v>46</v>
      </c>
      <c r="D367" s="4" t="str">
        <f>"15245"</f>
        <v>15245</v>
      </c>
      <c r="E367" s="4" t="str">
        <f t="shared" si="10"/>
        <v>FE15245</v>
      </c>
      <c r="F367" s="7">
        <v>44337</v>
      </c>
      <c r="G367" s="7">
        <v>44350</v>
      </c>
      <c r="H367" s="34">
        <v>181246</v>
      </c>
      <c r="I367" s="31">
        <v>181246</v>
      </c>
      <c r="J367" s="31">
        <f t="shared" si="11"/>
        <v>0</v>
      </c>
      <c r="K367" s="2"/>
      <c r="N367" s="32">
        <v>0</v>
      </c>
      <c r="Q367" s="34">
        <v>0</v>
      </c>
      <c r="R367" s="45"/>
      <c r="S367" s="4" t="str">
        <f>IFERROR(VLOOKUP(E367,'[2]td factu si'!$A:$B,1,0),0)</f>
        <v>FE15245</v>
      </c>
      <c r="T367" s="2">
        <f>IFERROR(VLOOKUP(E367,'[2]td factu si'!$A:$B,2,0),0)*-1</f>
        <v>181246</v>
      </c>
      <c r="W367" s="36"/>
      <c r="AH367" s="3">
        <v>0</v>
      </c>
      <c r="AJ367" s="3">
        <v>0</v>
      </c>
    </row>
    <row r="368" spans="1:36" x14ac:dyDescent="0.25">
      <c r="A368">
        <v>360</v>
      </c>
      <c r="B368" s="29" t="s">
        <v>45</v>
      </c>
      <c r="C368" s="29" t="s">
        <v>46</v>
      </c>
      <c r="D368" s="4" t="str">
        <f>"15246"</f>
        <v>15246</v>
      </c>
      <c r="E368" s="4" t="str">
        <f t="shared" si="10"/>
        <v>FE15246</v>
      </c>
      <c r="F368" s="7">
        <v>44337</v>
      </c>
      <c r="G368" s="7">
        <v>44350</v>
      </c>
      <c r="H368" s="34">
        <v>181246</v>
      </c>
      <c r="I368" s="31">
        <v>181246</v>
      </c>
      <c r="J368" s="31">
        <f t="shared" si="11"/>
        <v>0</v>
      </c>
      <c r="K368" s="2"/>
      <c r="N368" s="32">
        <v>0</v>
      </c>
      <c r="Q368" s="34">
        <v>0</v>
      </c>
      <c r="R368" s="45"/>
      <c r="S368" s="4" t="str">
        <f>IFERROR(VLOOKUP(E368,'[2]td factu si'!$A:$B,1,0),0)</f>
        <v>FE15246</v>
      </c>
      <c r="T368" s="2">
        <f>IFERROR(VLOOKUP(E368,'[2]td factu si'!$A:$B,2,0),0)*-1</f>
        <v>181246</v>
      </c>
      <c r="W368" s="36"/>
      <c r="AH368" s="3">
        <v>0</v>
      </c>
      <c r="AJ368" s="3">
        <v>0</v>
      </c>
    </row>
    <row r="369" spans="1:36" x14ac:dyDescent="0.25">
      <c r="A369">
        <v>361</v>
      </c>
      <c r="B369" s="29" t="s">
        <v>45</v>
      </c>
      <c r="C369" s="29" t="s">
        <v>46</v>
      </c>
      <c r="D369" s="4" t="str">
        <f>"15248"</f>
        <v>15248</v>
      </c>
      <c r="E369" s="4" t="str">
        <f t="shared" si="10"/>
        <v>FE15248</v>
      </c>
      <c r="F369" s="7">
        <v>44337</v>
      </c>
      <c r="G369" s="7">
        <v>44351</v>
      </c>
      <c r="H369" s="34">
        <v>181246</v>
      </c>
      <c r="I369" s="31">
        <v>177746</v>
      </c>
      <c r="J369" s="31">
        <f t="shared" si="11"/>
        <v>3500</v>
      </c>
      <c r="K369" s="2"/>
      <c r="N369" s="32">
        <v>0</v>
      </c>
      <c r="Q369" s="34">
        <v>0</v>
      </c>
      <c r="R369" s="45"/>
      <c r="S369" s="4" t="str">
        <f>IFERROR(VLOOKUP(E369,'[2]td factu si'!$A:$B,1,0),0)</f>
        <v>FE15248</v>
      </c>
      <c r="T369" s="2">
        <f>IFERROR(VLOOKUP(E369,'[2]td factu si'!$A:$B,2,0),0)*-1</f>
        <v>177746</v>
      </c>
      <c r="W369" s="36"/>
      <c r="AH369" s="3">
        <v>0</v>
      </c>
      <c r="AJ369" s="3">
        <v>0</v>
      </c>
    </row>
    <row r="370" spans="1:36" x14ac:dyDescent="0.25">
      <c r="A370">
        <v>362</v>
      </c>
      <c r="B370" s="29" t="s">
        <v>45</v>
      </c>
      <c r="C370" s="29" t="s">
        <v>46</v>
      </c>
      <c r="D370" s="4" t="str">
        <f>"15251"</f>
        <v>15251</v>
      </c>
      <c r="E370" s="4" t="str">
        <f t="shared" si="10"/>
        <v>FE15251</v>
      </c>
      <c r="F370" s="7">
        <v>44337</v>
      </c>
      <c r="G370" s="7">
        <v>44350</v>
      </c>
      <c r="H370" s="34">
        <v>15489</v>
      </c>
      <c r="I370" s="31">
        <v>15489</v>
      </c>
      <c r="J370" s="31">
        <f t="shared" si="11"/>
        <v>0</v>
      </c>
      <c r="K370" s="2"/>
      <c r="N370" s="32">
        <v>0</v>
      </c>
      <c r="Q370" s="34">
        <v>0</v>
      </c>
      <c r="R370" s="45"/>
      <c r="S370" s="4" t="str">
        <f>IFERROR(VLOOKUP(E370,'[2]td factu si'!$A:$B,1,0),0)</f>
        <v>FE15251</v>
      </c>
      <c r="T370" s="2">
        <f>IFERROR(VLOOKUP(E370,'[2]td factu si'!$A:$B,2,0),0)*-1</f>
        <v>15489</v>
      </c>
      <c r="W370" s="36"/>
      <c r="AH370" s="3">
        <v>0</v>
      </c>
      <c r="AJ370" s="3">
        <v>0</v>
      </c>
    </row>
    <row r="371" spans="1:36" x14ac:dyDescent="0.25">
      <c r="A371">
        <v>363</v>
      </c>
      <c r="B371" s="29" t="s">
        <v>45</v>
      </c>
      <c r="C371" s="29" t="s">
        <v>46</v>
      </c>
      <c r="D371" s="4" t="str">
        <f>"15252"</f>
        <v>15252</v>
      </c>
      <c r="E371" s="4" t="str">
        <f t="shared" si="10"/>
        <v>FE15252</v>
      </c>
      <c r="F371" s="7">
        <v>44337</v>
      </c>
      <c r="G371" s="7">
        <v>44350</v>
      </c>
      <c r="H371" s="34">
        <v>15489</v>
      </c>
      <c r="I371" s="31">
        <v>15489</v>
      </c>
      <c r="J371" s="31">
        <f t="shared" si="11"/>
        <v>0</v>
      </c>
      <c r="K371" s="2"/>
      <c r="N371" s="32">
        <v>0</v>
      </c>
      <c r="Q371" s="34">
        <v>0</v>
      </c>
      <c r="R371" s="45"/>
      <c r="S371" s="4" t="str">
        <f>IFERROR(VLOOKUP(E371,'[2]td factu si'!$A:$B,1,0),0)</f>
        <v>FE15252</v>
      </c>
      <c r="T371" s="2">
        <f>IFERROR(VLOOKUP(E371,'[2]td factu si'!$A:$B,2,0),0)*-1</f>
        <v>15489</v>
      </c>
      <c r="W371" s="36"/>
      <c r="AH371" s="3">
        <v>0</v>
      </c>
      <c r="AJ371" s="3">
        <v>0</v>
      </c>
    </row>
    <row r="372" spans="1:36" x14ac:dyDescent="0.25">
      <c r="A372">
        <v>364</v>
      </c>
      <c r="B372" s="29" t="s">
        <v>45</v>
      </c>
      <c r="C372" s="29" t="s">
        <v>46</v>
      </c>
      <c r="D372" s="4" t="str">
        <f>"15253"</f>
        <v>15253</v>
      </c>
      <c r="E372" s="4" t="str">
        <f t="shared" si="10"/>
        <v>FE15253</v>
      </c>
      <c r="F372" s="7">
        <v>44337</v>
      </c>
      <c r="G372" s="7">
        <v>44350</v>
      </c>
      <c r="H372" s="34">
        <v>15489</v>
      </c>
      <c r="I372" s="31">
        <v>15489</v>
      </c>
      <c r="J372" s="31">
        <f t="shared" si="11"/>
        <v>0</v>
      </c>
      <c r="K372" s="2"/>
      <c r="N372" s="32">
        <v>0</v>
      </c>
      <c r="Q372" s="34">
        <v>0</v>
      </c>
      <c r="R372" s="45"/>
      <c r="S372" s="4" t="str">
        <f>IFERROR(VLOOKUP(E372,'[2]td factu si'!$A:$B,1,0),0)</f>
        <v>FE15253</v>
      </c>
      <c r="T372" s="2">
        <f>IFERROR(VLOOKUP(E372,'[2]td factu si'!$A:$B,2,0),0)*-1</f>
        <v>15489</v>
      </c>
      <c r="W372" s="36"/>
      <c r="AH372" s="3">
        <v>0</v>
      </c>
      <c r="AJ372" s="3">
        <v>0</v>
      </c>
    </row>
    <row r="373" spans="1:36" x14ac:dyDescent="0.25">
      <c r="A373">
        <v>365</v>
      </c>
      <c r="B373" s="29" t="s">
        <v>45</v>
      </c>
      <c r="C373" s="29" t="s">
        <v>46</v>
      </c>
      <c r="D373" s="4" t="str">
        <f>"15256"</f>
        <v>15256</v>
      </c>
      <c r="E373" s="4" t="str">
        <f t="shared" si="10"/>
        <v>FE15256</v>
      </c>
      <c r="F373" s="7">
        <v>44337</v>
      </c>
      <c r="G373" s="7">
        <v>44350</v>
      </c>
      <c r="H373" s="34">
        <v>181246</v>
      </c>
      <c r="I373" s="31">
        <v>181246</v>
      </c>
      <c r="J373" s="31">
        <f t="shared" si="11"/>
        <v>0</v>
      </c>
      <c r="K373" s="2"/>
      <c r="N373" s="32">
        <v>0</v>
      </c>
      <c r="Q373" s="34">
        <v>0</v>
      </c>
      <c r="R373" s="45"/>
      <c r="S373" s="4" t="str">
        <f>IFERROR(VLOOKUP(E373,'[2]td factu si'!$A:$B,1,0),0)</f>
        <v>FE15256</v>
      </c>
      <c r="T373" s="2">
        <f>IFERROR(VLOOKUP(E373,'[2]td factu si'!$A:$B,2,0),0)*-1</f>
        <v>181246</v>
      </c>
      <c r="W373" s="36"/>
      <c r="X373" s="6">
        <v>181246</v>
      </c>
      <c r="AH373" s="3">
        <v>0</v>
      </c>
      <c r="AJ373" s="3">
        <v>0</v>
      </c>
    </row>
    <row r="374" spans="1:36" x14ac:dyDescent="0.25">
      <c r="A374">
        <v>366</v>
      </c>
      <c r="B374" s="29" t="s">
        <v>45</v>
      </c>
      <c r="C374" s="29" t="s">
        <v>46</v>
      </c>
      <c r="D374" s="4" t="str">
        <f>"15259"</f>
        <v>15259</v>
      </c>
      <c r="E374" s="4" t="str">
        <f t="shared" si="10"/>
        <v>FE15259</v>
      </c>
      <c r="F374" s="7">
        <v>44338</v>
      </c>
      <c r="G374" s="7">
        <v>44350</v>
      </c>
      <c r="H374" s="34">
        <v>15489</v>
      </c>
      <c r="I374" s="31">
        <v>15489</v>
      </c>
      <c r="J374" s="31">
        <f t="shared" si="11"/>
        <v>0</v>
      </c>
      <c r="K374" s="2"/>
      <c r="N374" s="32">
        <v>0</v>
      </c>
      <c r="Q374" s="34">
        <v>0</v>
      </c>
      <c r="R374" s="45"/>
      <c r="S374" s="4" t="str">
        <f>IFERROR(VLOOKUP(E374,'[2]td factu si'!$A:$B,1,0),0)</f>
        <v>FE15259</v>
      </c>
      <c r="T374" s="2">
        <f>IFERROR(VLOOKUP(E374,'[2]td factu si'!$A:$B,2,0),0)*-1</f>
        <v>15489</v>
      </c>
      <c r="W374" s="36"/>
      <c r="AH374" s="3">
        <v>0</v>
      </c>
      <c r="AJ374" s="3">
        <v>0</v>
      </c>
    </row>
    <row r="375" spans="1:36" x14ac:dyDescent="0.25">
      <c r="A375">
        <v>367</v>
      </c>
      <c r="B375" s="29" t="s">
        <v>45</v>
      </c>
      <c r="C375" s="29" t="s">
        <v>46</v>
      </c>
      <c r="D375" s="4" t="str">
        <f>"15271"</f>
        <v>15271</v>
      </c>
      <c r="E375" s="4" t="str">
        <f t="shared" si="10"/>
        <v>FE15271</v>
      </c>
      <c r="F375" s="7">
        <v>44338</v>
      </c>
      <c r="G375" s="7">
        <v>44350</v>
      </c>
      <c r="H375" s="34">
        <v>181246</v>
      </c>
      <c r="I375" s="31">
        <v>160403</v>
      </c>
      <c r="J375" s="31">
        <f t="shared" si="11"/>
        <v>20843</v>
      </c>
      <c r="K375" s="2"/>
      <c r="N375" s="32">
        <v>0</v>
      </c>
      <c r="Q375" s="34">
        <v>0</v>
      </c>
      <c r="R375" s="45"/>
      <c r="S375" s="4">
        <f>IFERROR(VLOOKUP(E375,'[2]td factu si'!$A:$B,1,0),0)</f>
        <v>0</v>
      </c>
      <c r="T375" s="2">
        <f>IFERROR(VLOOKUP(E375,'[2]td factu si'!$A:$B,2,0),0)*-1</f>
        <v>0</v>
      </c>
      <c r="W375" s="36"/>
      <c r="X375" s="6">
        <v>160403</v>
      </c>
      <c r="AH375" s="3">
        <v>0</v>
      </c>
      <c r="AJ375" s="3">
        <v>0</v>
      </c>
    </row>
    <row r="376" spans="1:36" x14ac:dyDescent="0.25">
      <c r="A376">
        <v>368</v>
      </c>
      <c r="B376" s="29" t="s">
        <v>45</v>
      </c>
      <c r="C376" s="29" t="s">
        <v>46</v>
      </c>
      <c r="D376" s="4" t="str">
        <f>"15274"</f>
        <v>15274</v>
      </c>
      <c r="E376" s="4" t="str">
        <f t="shared" si="10"/>
        <v>FE15274</v>
      </c>
      <c r="F376" s="7">
        <v>44338</v>
      </c>
      <c r="G376" s="7">
        <v>44350</v>
      </c>
      <c r="H376" s="34">
        <v>15489</v>
      </c>
      <c r="I376" s="31">
        <v>15489</v>
      </c>
      <c r="J376" s="31">
        <f t="shared" si="11"/>
        <v>0</v>
      </c>
      <c r="K376" s="2"/>
      <c r="N376" s="32">
        <v>0</v>
      </c>
      <c r="Q376" s="34">
        <v>0</v>
      </c>
      <c r="R376" s="45"/>
      <c r="S376" s="4" t="str">
        <f>IFERROR(VLOOKUP(E376,'[2]td factu si'!$A:$B,1,0),0)</f>
        <v>FE15274</v>
      </c>
      <c r="T376" s="2">
        <f>IFERROR(VLOOKUP(E376,'[2]td factu si'!$A:$B,2,0),0)*-1</f>
        <v>15489</v>
      </c>
      <c r="W376" s="36"/>
      <c r="AH376" s="3">
        <v>0</v>
      </c>
      <c r="AJ376" s="3">
        <v>0</v>
      </c>
    </row>
    <row r="377" spans="1:36" x14ac:dyDescent="0.25">
      <c r="A377">
        <v>369</v>
      </c>
      <c r="B377" s="29" t="s">
        <v>45</v>
      </c>
      <c r="C377" s="29" t="s">
        <v>46</v>
      </c>
      <c r="D377" s="4" t="str">
        <f>"15275"</f>
        <v>15275</v>
      </c>
      <c r="E377" s="4" t="str">
        <f t="shared" si="10"/>
        <v>FE15275</v>
      </c>
      <c r="F377" s="7">
        <v>44338</v>
      </c>
      <c r="G377" s="7">
        <v>44350</v>
      </c>
      <c r="H377" s="34">
        <v>181246</v>
      </c>
      <c r="I377" s="31">
        <v>181246</v>
      </c>
      <c r="J377" s="31">
        <f t="shared" si="11"/>
        <v>0</v>
      </c>
      <c r="K377" s="2"/>
      <c r="N377" s="32">
        <v>0</v>
      </c>
      <c r="Q377" s="34">
        <v>0</v>
      </c>
      <c r="R377" s="45"/>
      <c r="S377" s="4" t="str">
        <f>IFERROR(VLOOKUP(E377,'[2]td factu si'!$A:$B,1,0),0)</f>
        <v>FE15275</v>
      </c>
      <c r="T377" s="2">
        <f>IFERROR(VLOOKUP(E377,'[2]td factu si'!$A:$B,2,0),0)*-1</f>
        <v>181246</v>
      </c>
      <c r="W377" s="36"/>
      <c r="X377" s="6">
        <v>181246</v>
      </c>
      <c r="AH377" s="3">
        <v>0</v>
      </c>
      <c r="AJ377" s="3">
        <v>0</v>
      </c>
    </row>
    <row r="378" spans="1:36" x14ac:dyDescent="0.25">
      <c r="A378">
        <v>370</v>
      </c>
      <c r="B378" s="29" t="s">
        <v>45</v>
      </c>
      <c r="C378" s="29" t="s">
        <v>46</v>
      </c>
      <c r="D378" s="4" t="str">
        <f>"15279"</f>
        <v>15279</v>
      </c>
      <c r="E378" s="4" t="str">
        <f t="shared" si="10"/>
        <v>FE15279</v>
      </c>
      <c r="F378" s="7">
        <v>44338</v>
      </c>
      <c r="G378" s="7">
        <v>44351</v>
      </c>
      <c r="H378" s="34">
        <v>15489</v>
      </c>
      <c r="I378" s="31">
        <v>11989</v>
      </c>
      <c r="J378" s="31">
        <f t="shared" si="11"/>
        <v>3500</v>
      </c>
      <c r="K378" s="2"/>
      <c r="N378" s="32">
        <v>0</v>
      </c>
      <c r="Q378" s="34">
        <v>0</v>
      </c>
      <c r="R378" s="45"/>
      <c r="S378" s="4" t="str">
        <f>IFERROR(VLOOKUP(E378,'[2]td factu si'!$A:$B,1,0),0)</f>
        <v>FE15279</v>
      </c>
      <c r="T378" s="2">
        <f>IFERROR(VLOOKUP(E378,'[2]td factu si'!$A:$B,2,0),0)*-1</f>
        <v>11989</v>
      </c>
      <c r="W378" s="36"/>
      <c r="AH378" s="3">
        <v>0</v>
      </c>
      <c r="AJ378" s="3">
        <v>0</v>
      </c>
    </row>
    <row r="379" spans="1:36" x14ac:dyDescent="0.25">
      <c r="A379">
        <v>371</v>
      </c>
      <c r="B379" s="29" t="s">
        <v>45</v>
      </c>
      <c r="C379" s="29" t="s">
        <v>46</v>
      </c>
      <c r="D379" s="4" t="str">
        <f>"15285"</f>
        <v>15285</v>
      </c>
      <c r="E379" s="4" t="str">
        <f t="shared" si="10"/>
        <v>FE15285</v>
      </c>
      <c r="F379" s="7">
        <v>44338</v>
      </c>
      <c r="G379" s="7">
        <v>44350</v>
      </c>
      <c r="H379" s="34">
        <v>15489</v>
      </c>
      <c r="I379" s="31">
        <v>15489</v>
      </c>
      <c r="J379" s="31">
        <f t="shared" si="11"/>
        <v>0</v>
      </c>
      <c r="K379" s="2"/>
      <c r="N379" s="32">
        <v>0</v>
      </c>
      <c r="Q379" s="34">
        <v>0</v>
      </c>
      <c r="R379" s="45"/>
      <c r="S379" s="4" t="str">
        <f>IFERROR(VLOOKUP(E379,'[2]td factu si'!$A:$B,1,0),0)</f>
        <v>FE15285</v>
      </c>
      <c r="T379" s="2">
        <f>IFERROR(VLOOKUP(E379,'[2]td factu si'!$A:$B,2,0),0)*-1</f>
        <v>15489</v>
      </c>
      <c r="W379" s="36"/>
      <c r="AH379" s="3">
        <v>0</v>
      </c>
      <c r="AJ379" s="3">
        <v>0</v>
      </c>
    </row>
    <row r="380" spans="1:36" x14ac:dyDescent="0.25">
      <c r="A380">
        <v>372</v>
      </c>
      <c r="B380" s="29" t="s">
        <v>45</v>
      </c>
      <c r="C380" s="29" t="s">
        <v>46</v>
      </c>
      <c r="D380" s="4" t="str">
        <f>"15287"</f>
        <v>15287</v>
      </c>
      <c r="E380" s="4" t="str">
        <f t="shared" si="10"/>
        <v>FE15287</v>
      </c>
      <c r="F380" s="7">
        <v>44338</v>
      </c>
      <c r="G380" s="7">
        <v>44350</v>
      </c>
      <c r="H380" s="34">
        <v>15489</v>
      </c>
      <c r="I380" s="31">
        <v>15489</v>
      </c>
      <c r="J380" s="31">
        <f t="shared" si="11"/>
        <v>0</v>
      </c>
      <c r="K380" s="2"/>
      <c r="N380" s="32">
        <v>0</v>
      </c>
      <c r="Q380" s="34">
        <v>0</v>
      </c>
      <c r="R380" s="45"/>
      <c r="S380" s="4" t="str">
        <f>IFERROR(VLOOKUP(E380,'[2]td factu si'!$A:$B,1,0),0)</f>
        <v>FE15287</v>
      </c>
      <c r="T380" s="2">
        <f>IFERROR(VLOOKUP(E380,'[2]td factu si'!$A:$B,2,0),0)*-1</f>
        <v>15489</v>
      </c>
      <c r="W380" s="36"/>
      <c r="AH380" s="3">
        <v>0</v>
      </c>
      <c r="AJ380" s="3">
        <v>0</v>
      </c>
    </row>
    <row r="381" spans="1:36" x14ac:dyDescent="0.25">
      <c r="A381">
        <v>373</v>
      </c>
      <c r="B381" s="29" t="s">
        <v>45</v>
      </c>
      <c r="C381" s="29" t="s">
        <v>46</v>
      </c>
      <c r="D381" s="4" t="str">
        <f>"15292"</f>
        <v>15292</v>
      </c>
      <c r="E381" s="4" t="str">
        <f t="shared" si="10"/>
        <v>FE15292</v>
      </c>
      <c r="F381" s="7">
        <v>44338</v>
      </c>
      <c r="G381" s="7">
        <v>44350</v>
      </c>
      <c r="H381" s="34">
        <v>15489</v>
      </c>
      <c r="I381" s="31">
        <v>15489</v>
      </c>
      <c r="J381" s="31">
        <f t="shared" si="11"/>
        <v>0</v>
      </c>
      <c r="K381" s="2"/>
      <c r="N381" s="32">
        <v>0</v>
      </c>
      <c r="Q381" s="34">
        <v>0</v>
      </c>
      <c r="R381" s="45"/>
      <c r="S381" s="4" t="str">
        <f>IFERROR(VLOOKUP(E381,'[2]td factu si'!$A:$B,1,0),0)</f>
        <v>FE15292</v>
      </c>
      <c r="T381" s="2">
        <f>IFERROR(VLOOKUP(E381,'[2]td factu si'!$A:$B,2,0),0)*-1</f>
        <v>15489</v>
      </c>
      <c r="W381" s="36"/>
      <c r="AH381" s="3">
        <v>0</v>
      </c>
      <c r="AJ381" s="3">
        <v>0</v>
      </c>
    </row>
    <row r="382" spans="1:36" x14ac:dyDescent="0.25">
      <c r="A382">
        <v>374</v>
      </c>
      <c r="B382" s="29" t="s">
        <v>45</v>
      </c>
      <c r="C382" s="29" t="s">
        <v>46</v>
      </c>
      <c r="D382" s="4" t="str">
        <f>"15297"</f>
        <v>15297</v>
      </c>
      <c r="E382" s="4" t="str">
        <f t="shared" si="10"/>
        <v>FE15297</v>
      </c>
      <c r="F382" s="7">
        <v>44338</v>
      </c>
      <c r="G382" s="7">
        <v>44350</v>
      </c>
      <c r="H382" s="34">
        <v>181246</v>
      </c>
      <c r="I382" s="31">
        <v>181246</v>
      </c>
      <c r="J382" s="31">
        <f t="shared" si="11"/>
        <v>0</v>
      </c>
      <c r="K382" s="2"/>
      <c r="N382" s="32">
        <v>0</v>
      </c>
      <c r="Q382" s="34">
        <v>0</v>
      </c>
      <c r="R382" s="45"/>
      <c r="S382" s="4" t="str">
        <f>IFERROR(VLOOKUP(E382,'[2]td factu si'!$A:$B,1,0),0)</f>
        <v>FE15297</v>
      </c>
      <c r="T382" s="2">
        <f>IFERROR(VLOOKUP(E382,'[2]td factu si'!$A:$B,2,0),0)*-1</f>
        <v>181246</v>
      </c>
      <c r="W382" s="36"/>
      <c r="AH382" s="3">
        <v>0</v>
      </c>
      <c r="AJ382" s="3">
        <v>0</v>
      </c>
    </row>
    <row r="383" spans="1:36" x14ac:dyDescent="0.25">
      <c r="A383">
        <v>375</v>
      </c>
      <c r="B383" s="29" t="s">
        <v>45</v>
      </c>
      <c r="C383" s="29" t="s">
        <v>46</v>
      </c>
      <c r="D383" s="4" t="str">
        <f>"15299"</f>
        <v>15299</v>
      </c>
      <c r="E383" s="4" t="str">
        <f t="shared" si="10"/>
        <v>FE15299</v>
      </c>
      <c r="F383" s="7">
        <v>44340</v>
      </c>
      <c r="G383" s="7">
        <v>44350</v>
      </c>
      <c r="H383" s="34">
        <v>181246</v>
      </c>
      <c r="I383" s="31">
        <v>181246</v>
      </c>
      <c r="J383" s="31">
        <f t="shared" si="11"/>
        <v>0</v>
      </c>
      <c r="K383" s="2"/>
      <c r="N383" s="32">
        <v>0</v>
      </c>
      <c r="Q383" s="34">
        <v>0</v>
      </c>
      <c r="R383" s="45"/>
      <c r="S383" s="4" t="str">
        <f>IFERROR(VLOOKUP(E383,'[2]td factu si'!$A:$B,1,0),0)</f>
        <v>FE15299</v>
      </c>
      <c r="T383" s="2">
        <f>IFERROR(VLOOKUP(E383,'[2]td factu si'!$A:$B,2,0),0)*-1</f>
        <v>181246</v>
      </c>
      <c r="W383" s="36"/>
      <c r="AH383" s="3">
        <v>0</v>
      </c>
      <c r="AJ383" s="3">
        <v>0</v>
      </c>
    </row>
    <row r="384" spans="1:36" x14ac:dyDescent="0.25">
      <c r="A384">
        <v>376</v>
      </c>
      <c r="B384" s="29" t="s">
        <v>45</v>
      </c>
      <c r="C384" s="29" t="s">
        <v>46</v>
      </c>
      <c r="D384" s="4" t="str">
        <f>"15300"</f>
        <v>15300</v>
      </c>
      <c r="E384" s="4" t="str">
        <f t="shared" si="10"/>
        <v>FE15300</v>
      </c>
      <c r="F384" s="7">
        <v>44340</v>
      </c>
      <c r="G384" s="7">
        <v>44350</v>
      </c>
      <c r="H384" s="34">
        <v>181246</v>
      </c>
      <c r="I384" s="31">
        <v>181246</v>
      </c>
      <c r="J384" s="31">
        <f t="shared" si="11"/>
        <v>0</v>
      </c>
      <c r="K384" s="2"/>
      <c r="N384" s="32">
        <v>0</v>
      </c>
      <c r="Q384" s="34">
        <v>0</v>
      </c>
      <c r="R384" s="45"/>
      <c r="S384" s="4" t="str">
        <f>IFERROR(VLOOKUP(E384,'[2]td factu si'!$A:$B,1,0),0)</f>
        <v>FE15300</v>
      </c>
      <c r="T384" s="2">
        <f>IFERROR(VLOOKUP(E384,'[2]td factu si'!$A:$B,2,0),0)*-1</f>
        <v>181246</v>
      </c>
      <c r="W384" s="36"/>
      <c r="AH384" s="3">
        <v>0</v>
      </c>
      <c r="AJ384" s="3">
        <v>0</v>
      </c>
    </row>
    <row r="385" spans="1:36" x14ac:dyDescent="0.25">
      <c r="A385">
        <v>377</v>
      </c>
      <c r="B385" s="29" t="s">
        <v>45</v>
      </c>
      <c r="C385" s="29" t="s">
        <v>46</v>
      </c>
      <c r="D385" s="4" t="str">
        <f>"15301"</f>
        <v>15301</v>
      </c>
      <c r="E385" s="4" t="str">
        <f t="shared" si="10"/>
        <v>FE15301</v>
      </c>
      <c r="F385" s="7">
        <v>44340</v>
      </c>
      <c r="G385" s="7">
        <v>44350</v>
      </c>
      <c r="H385" s="34">
        <v>181246</v>
      </c>
      <c r="I385" s="31">
        <v>181246</v>
      </c>
      <c r="J385" s="31">
        <f t="shared" si="11"/>
        <v>0</v>
      </c>
      <c r="K385" s="2"/>
      <c r="N385" s="32">
        <v>0</v>
      </c>
      <c r="Q385" s="34">
        <v>0</v>
      </c>
      <c r="R385" s="45"/>
      <c r="S385" s="4" t="str">
        <f>IFERROR(VLOOKUP(E385,'[2]td factu si'!$A:$B,1,0),0)</f>
        <v>FE15301</v>
      </c>
      <c r="T385" s="2">
        <f>IFERROR(VLOOKUP(E385,'[2]td factu si'!$A:$B,2,0),0)*-1</f>
        <v>181246</v>
      </c>
      <c r="W385" s="36"/>
      <c r="AH385" s="3">
        <v>0</v>
      </c>
      <c r="AJ385" s="3">
        <v>0</v>
      </c>
    </row>
    <row r="386" spans="1:36" x14ac:dyDescent="0.25">
      <c r="A386">
        <v>378</v>
      </c>
      <c r="B386" s="29" t="s">
        <v>45</v>
      </c>
      <c r="C386" s="29" t="s">
        <v>46</v>
      </c>
      <c r="D386" s="4" t="str">
        <f>"15302"</f>
        <v>15302</v>
      </c>
      <c r="E386" s="4" t="str">
        <f t="shared" si="10"/>
        <v>FE15302</v>
      </c>
      <c r="F386" s="7">
        <v>44340</v>
      </c>
      <c r="G386" s="7">
        <v>44350</v>
      </c>
      <c r="H386" s="34">
        <v>181246</v>
      </c>
      <c r="I386" s="31">
        <v>181246</v>
      </c>
      <c r="J386" s="31">
        <f t="shared" si="11"/>
        <v>0</v>
      </c>
      <c r="K386" s="2"/>
      <c r="N386" s="32">
        <v>0</v>
      </c>
      <c r="Q386" s="34">
        <v>0</v>
      </c>
      <c r="R386" s="45"/>
      <c r="S386" s="4" t="str">
        <f>IFERROR(VLOOKUP(E386,'[2]td factu si'!$A:$B,1,0),0)</f>
        <v>FE15302</v>
      </c>
      <c r="T386" s="2">
        <f>IFERROR(VLOOKUP(E386,'[2]td factu si'!$A:$B,2,0),0)*-1</f>
        <v>181246</v>
      </c>
      <c r="W386" s="36"/>
      <c r="AH386" s="3">
        <v>0</v>
      </c>
      <c r="AJ386" s="3">
        <v>0</v>
      </c>
    </row>
    <row r="387" spans="1:36" x14ac:dyDescent="0.25">
      <c r="A387">
        <v>379</v>
      </c>
      <c r="B387" s="29" t="s">
        <v>45</v>
      </c>
      <c r="C387" s="29" t="s">
        <v>46</v>
      </c>
      <c r="D387" s="4" t="str">
        <f>"15306"</f>
        <v>15306</v>
      </c>
      <c r="E387" s="4" t="str">
        <f t="shared" si="10"/>
        <v>FE15306</v>
      </c>
      <c r="F387" s="7">
        <v>44340</v>
      </c>
      <c r="G387" s="7">
        <v>44350</v>
      </c>
      <c r="H387" s="34">
        <v>181246</v>
      </c>
      <c r="I387" s="31">
        <v>181246</v>
      </c>
      <c r="J387" s="31">
        <f t="shared" si="11"/>
        <v>0</v>
      </c>
      <c r="K387" s="2"/>
      <c r="N387" s="32">
        <v>0</v>
      </c>
      <c r="Q387" s="34">
        <v>0</v>
      </c>
      <c r="R387" s="45"/>
      <c r="S387" s="4" t="str">
        <f>IFERROR(VLOOKUP(E387,'[2]td factu si'!$A:$B,1,0),0)</f>
        <v>FE15306</v>
      </c>
      <c r="T387" s="2">
        <f>IFERROR(VLOOKUP(E387,'[2]td factu si'!$A:$B,2,0),0)*-1</f>
        <v>181246</v>
      </c>
      <c r="W387" s="36"/>
      <c r="AH387" s="3">
        <v>0</v>
      </c>
      <c r="AJ387" s="3">
        <v>0</v>
      </c>
    </row>
    <row r="388" spans="1:36" x14ac:dyDescent="0.25">
      <c r="A388">
        <v>380</v>
      </c>
      <c r="B388" s="29" t="s">
        <v>45</v>
      </c>
      <c r="C388" s="29" t="s">
        <v>46</v>
      </c>
      <c r="D388" s="4" t="str">
        <f>"15308"</f>
        <v>15308</v>
      </c>
      <c r="E388" s="4" t="str">
        <f t="shared" si="10"/>
        <v>FE15308</v>
      </c>
      <c r="F388" s="7">
        <v>44340</v>
      </c>
      <c r="G388" s="7">
        <v>44350</v>
      </c>
      <c r="H388" s="34">
        <v>181246</v>
      </c>
      <c r="I388" s="31">
        <v>181246</v>
      </c>
      <c r="J388" s="31">
        <f t="shared" si="11"/>
        <v>0</v>
      </c>
      <c r="K388" s="2"/>
      <c r="N388" s="32">
        <v>0</v>
      </c>
      <c r="Q388" s="34">
        <v>0</v>
      </c>
      <c r="R388" s="45"/>
      <c r="S388" s="4" t="str">
        <f>IFERROR(VLOOKUP(E388,'[2]td factu si'!$A:$B,1,0),0)</f>
        <v>FE15308</v>
      </c>
      <c r="T388" s="2">
        <f>IFERROR(VLOOKUP(E388,'[2]td factu si'!$A:$B,2,0),0)*-1</f>
        <v>181246</v>
      </c>
      <c r="W388" s="36"/>
      <c r="AH388" s="3">
        <v>0</v>
      </c>
      <c r="AJ388" s="3">
        <v>0</v>
      </c>
    </row>
    <row r="389" spans="1:36" x14ac:dyDescent="0.25">
      <c r="A389">
        <v>381</v>
      </c>
      <c r="B389" s="29" t="s">
        <v>45</v>
      </c>
      <c r="C389" s="29" t="s">
        <v>46</v>
      </c>
      <c r="D389" s="4" t="str">
        <f>"15314"</f>
        <v>15314</v>
      </c>
      <c r="E389" s="4" t="str">
        <f t="shared" si="10"/>
        <v>FE15314</v>
      </c>
      <c r="F389" s="7">
        <v>44340</v>
      </c>
      <c r="G389" s="7">
        <v>44350</v>
      </c>
      <c r="H389" s="34">
        <v>135855</v>
      </c>
      <c r="I389" s="31">
        <v>132355</v>
      </c>
      <c r="J389" s="31">
        <f t="shared" si="11"/>
        <v>3500</v>
      </c>
      <c r="K389" s="2"/>
      <c r="N389" s="32">
        <v>0</v>
      </c>
      <c r="Q389" s="34">
        <v>0</v>
      </c>
      <c r="R389" s="45"/>
      <c r="S389" s="4">
        <f>IFERROR(VLOOKUP(E389,'[2]td factu si'!$A:$B,1,0),0)</f>
        <v>0</v>
      </c>
      <c r="T389" s="2">
        <f>IFERROR(VLOOKUP(E389,'[2]td factu si'!$A:$B,2,0),0)*-1</f>
        <v>0</v>
      </c>
      <c r="W389" s="36"/>
      <c r="X389" s="6">
        <v>132355</v>
      </c>
      <c r="AH389" s="3">
        <v>0</v>
      </c>
      <c r="AJ389" s="3">
        <v>0</v>
      </c>
    </row>
    <row r="390" spans="1:36" x14ac:dyDescent="0.25">
      <c r="A390">
        <v>382</v>
      </c>
      <c r="B390" s="29" t="s">
        <v>45</v>
      </c>
      <c r="C390" s="29" t="s">
        <v>46</v>
      </c>
      <c r="D390" s="4" t="str">
        <f>"15316"</f>
        <v>15316</v>
      </c>
      <c r="E390" s="4" t="str">
        <f t="shared" si="10"/>
        <v>FE15316</v>
      </c>
      <c r="F390" s="7">
        <v>44340</v>
      </c>
      <c r="G390" s="7">
        <v>44350</v>
      </c>
      <c r="H390" s="34">
        <v>135855</v>
      </c>
      <c r="I390" s="31">
        <v>135855</v>
      </c>
      <c r="J390" s="31">
        <f t="shared" si="11"/>
        <v>0</v>
      </c>
      <c r="K390" s="2"/>
      <c r="N390" s="32">
        <v>0</v>
      </c>
      <c r="Q390" s="34">
        <v>0</v>
      </c>
      <c r="R390" s="45"/>
      <c r="S390" s="4" t="str">
        <f>IFERROR(VLOOKUP(E390,'[2]td factu si'!$A:$B,1,0),0)</f>
        <v>FE15316</v>
      </c>
      <c r="T390" s="2">
        <f>IFERROR(VLOOKUP(E390,'[2]td factu si'!$A:$B,2,0),0)*-1</f>
        <v>135855</v>
      </c>
      <c r="W390" s="36"/>
      <c r="X390" s="6">
        <v>135855</v>
      </c>
      <c r="AH390" s="3">
        <v>0</v>
      </c>
      <c r="AJ390" s="3">
        <v>0</v>
      </c>
    </row>
    <row r="391" spans="1:36" x14ac:dyDescent="0.25">
      <c r="A391">
        <v>383</v>
      </c>
      <c r="B391" s="29" t="s">
        <v>45</v>
      </c>
      <c r="C391" s="29" t="s">
        <v>46</v>
      </c>
      <c r="D391" s="4" t="str">
        <f>"15324"</f>
        <v>15324</v>
      </c>
      <c r="E391" s="4" t="str">
        <f t="shared" si="10"/>
        <v>FE15324</v>
      </c>
      <c r="F391" s="7">
        <v>44340</v>
      </c>
      <c r="G391" s="7">
        <v>44350</v>
      </c>
      <c r="H391" s="34">
        <v>15489</v>
      </c>
      <c r="I391" s="31">
        <v>13940</v>
      </c>
      <c r="J391" s="31">
        <f t="shared" si="11"/>
        <v>1549</v>
      </c>
      <c r="K391" s="2"/>
      <c r="N391" s="32">
        <v>0</v>
      </c>
      <c r="Q391" s="34">
        <v>0</v>
      </c>
      <c r="R391" s="45"/>
      <c r="S391" s="4" t="str">
        <f>IFERROR(VLOOKUP(E391,'[2]td factu si'!$A:$B,1,0),0)</f>
        <v>FE15324</v>
      </c>
      <c r="T391" s="2">
        <f>IFERROR(VLOOKUP(E391,'[2]td factu si'!$A:$B,2,0),0)*-1</f>
        <v>13940</v>
      </c>
      <c r="W391" s="36"/>
      <c r="AH391" s="3">
        <v>0</v>
      </c>
      <c r="AJ391" s="3">
        <v>0</v>
      </c>
    </row>
    <row r="392" spans="1:36" x14ac:dyDescent="0.25">
      <c r="A392">
        <v>384</v>
      </c>
      <c r="B392" s="29" t="s">
        <v>45</v>
      </c>
      <c r="C392" s="29" t="s">
        <v>46</v>
      </c>
      <c r="D392" s="4" t="str">
        <f>"15328"</f>
        <v>15328</v>
      </c>
      <c r="E392" s="4" t="str">
        <f t="shared" si="10"/>
        <v>FE15328</v>
      </c>
      <c r="F392" s="7">
        <v>44340</v>
      </c>
      <c r="G392" s="7">
        <v>44350</v>
      </c>
      <c r="H392" s="34">
        <v>14933</v>
      </c>
      <c r="I392" s="31">
        <v>14933</v>
      </c>
      <c r="J392" s="31">
        <f t="shared" si="11"/>
        <v>0</v>
      </c>
      <c r="K392" s="2"/>
      <c r="N392" s="32">
        <v>0</v>
      </c>
      <c r="Q392" s="34">
        <v>0</v>
      </c>
      <c r="R392" s="45"/>
      <c r="S392" s="4" t="str">
        <f>IFERROR(VLOOKUP(E392,'[2]td factu si'!$A:$B,1,0),0)</f>
        <v>FE15328</v>
      </c>
      <c r="T392" s="2">
        <f>IFERROR(VLOOKUP(E392,'[2]td factu si'!$A:$B,2,0),0)*-1</f>
        <v>14933</v>
      </c>
      <c r="W392" s="36"/>
      <c r="AH392" s="3">
        <v>0</v>
      </c>
      <c r="AJ392" s="3">
        <v>0</v>
      </c>
    </row>
    <row r="393" spans="1:36" x14ac:dyDescent="0.25">
      <c r="A393">
        <v>385</v>
      </c>
      <c r="B393" s="29" t="s">
        <v>45</v>
      </c>
      <c r="C393" s="29" t="s">
        <v>46</v>
      </c>
      <c r="D393" s="4" t="str">
        <f>"15330"</f>
        <v>15330</v>
      </c>
      <c r="E393" s="4" t="str">
        <f t="shared" si="10"/>
        <v>FE15330</v>
      </c>
      <c r="F393" s="7">
        <v>44340</v>
      </c>
      <c r="G393" s="7">
        <v>44350</v>
      </c>
      <c r="H393" s="34">
        <v>122952</v>
      </c>
      <c r="I393" s="31">
        <v>122952</v>
      </c>
      <c r="J393" s="31">
        <f t="shared" si="11"/>
        <v>0</v>
      </c>
      <c r="K393" s="2"/>
      <c r="N393" s="32">
        <v>0</v>
      </c>
      <c r="Q393" s="34">
        <v>0</v>
      </c>
      <c r="R393" s="45"/>
      <c r="S393" s="4" t="str">
        <f>IFERROR(VLOOKUP(E393,'[2]td factu si'!$A:$B,1,0),0)</f>
        <v>FE15330</v>
      </c>
      <c r="T393" s="2">
        <f>IFERROR(VLOOKUP(E393,'[2]td factu si'!$A:$B,2,0),0)*-1</f>
        <v>122952</v>
      </c>
      <c r="W393" s="36"/>
      <c r="AH393" s="3">
        <v>0</v>
      </c>
      <c r="AJ393" s="3">
        <v>0</v>
      </c>
    </row>
    <row r="394" spans="1:36" x14ac:dyDescent="0.25">
      <c r="A394">
        <v>386</v>
      </c>
      <c r="B394" s="29" t="s">
        <v>45</v>
      </c>
      <c r="C394" s="29" t="s">
        <v>46</v>
      </c>
      <c r="D394" s="4" t="str">
        <f>"15335"</f>
        <v>15335</v>
      </c>
      <c r="E394" s="4" t="str">
        <f t="shared" ref="E394:E457" si="12">_xlfn.CONCAT(C394,D394)</f>
        <v>FE15335</v>
      </c>
      <c r="F394" s="7">
        <v>44340</v>
      </c>
      <c r="G394" s="7">
        <v>44350</v>
      </c>
      <c r="H394" s="34">
        <v>181246</v>
      </c>
      <c r="I394" s="31">
        <v>181246</v>
      </c>
      <c r="J394" s="31">
        <f t="shared" ref="J394:J457" si="13">+H394-I394</f>
        <v>0</v>
      </c>
      <c r="K394" s="2"/>
      <c r="N394" s="32">
        <v>0</v>
      </c>
      <c r="Q394" s="34">
        <v>0</v>
      </c>
      <c r="R394" s="45"/>
      <c r="S394" s="4" t="str">
        <f>IFERROR(VLOOKUP(E394,'[2]td factu si'!$A:$B,1,0),0)</f>
        <v>FE15335</v>
      </c>
      <c r="T394" s="2">
        <f>IFERROR(VLOOKUP(E394,'[2]td factu si'!$A:$B,2,0),0)*-1</f>
        <v>181246</v>
      </c>
      <c r="W394" s="36"/>
      <c r="AH394" s="3">
        <v>0</v>
      </c>
      <c r="AJ394" s="3">
        <v>0</v>
      </c>
    </row>
    <row r="395" spans="1:36" x14ac:dyDescent="0.25">
      <c r="A395">
        <v>387</v>
      </c>
      <c r="B395" s="29" t="s">
        <v>45</v>
      </c>
      <c r="C395" s="29" t="s">
        <v>46</v>
      </c>
      <c r="D395" s="4" t="str">
        <f>"15336"</f>
        <v>15336</v>
      </c>
      <c r="E395" s="4" t="str">
        <f t="shared" si="12"/>
        <v>FE15336</v>
      </c>
      <c r="F395" s="7">
        <v>44340</v>
      </c>
      <c r="G395" s="7">
        <v>44350</v>
      </c>
      <c r="H395" s="34">
        <v>135855</v>
      </c>
      <c r="I395" s="31">
        <v>135855</v>
      </c>
      <c r="J395" s="31">
        <f t="shared" si="13"/>
        <v>0</v>
      </c>
      <c r="K395" s="2"/>
      <c r="N395" s="32">
        <v>0</v>
      </c>
      <c r="Q395" s="34">
        <v>0</v>
      </c>
      <c r="R395" s="45"/>
      <c r="S395" s="4" t="str">
        <f>IFERROR(VLOOKUP(E395,'[2]td factu si'!$A:$B,1,0),0)</f>
        <v>FE15336</v>
      </c>
      <c r="T395" s="2">
        <f>IFERROR(VLOOKUP(E395,'[2]td factu si'!$A:$B,2,0),0)*-1</f>
        <v>135855</v>
      </c>
      <c r="W395" s="36"/>
      <c r="AH395" s="3">
        <v>0</v>
      </c>
      <c r="AJ395" s="3">
        <v>0</v>
      </c>
    </row>
    <row r="396" spans="1:36" x14ac:dyDescent="0.25">
      <c r="A396">
        <v>388</v>
      </c>
      <c r="B396" s="29" t="s">
        <v>45</v>
      </c>
      <c r="C396" s="29" t="s">
        <v>46</v>
      </c>
      <c r="D396" s="4" t="str">
        <f>"15340"</f>
        <v>15340</v>
      </c>
      <c r="E396" s="4" t="str">
        <f t="shared" si="12"/>
        <v>FE15340</v>
      </c>
      <c r="F396" s="7">
        <v>44340</v>
      </c>
      <c r="G396" s="7">
        <v>44351</v>
      </c>
      <c r="H396" s="34">
        <v>181246</v>
      </c>
      <c r="I396" s="31">
        <v>177746</v>
      </c>
      <c r="J396" s="31">
        <f t="shared" si="13"/>
        <v>3500</v>
      </c>
      <c r="K396" s="2"/>
      <c r="N396" s="32">
        <v>0</v>
      </c>
      <c r="Q396" s="34">
        <v>0</v>
      </c>
      <c r="R396" s="45"/>
      <c r="S396" s="4" t="str">
        <f>IFERROR(VLOOKUP(E396,'[2]td factu si'!$A:$B,1,0),0)</f>
        <v>FE15340</v>
      </c>
      <c r="T396" s="2">
        <f>IFERROR(VLOOKUP(E396,'[2]td factu si'!$A:$B,2,0),0)*-1</f>
        <v>177746</v>
      </c>
      <c r="W396" s="36"/>
      <c r="AH396" s="3">
        <v>0</v>
      </c>
      <c r="AJ396" s="3">
        <v>0</v>
      </c>
    </row>
    <row r="397" spans="1:36" x14ac:dyDescent="0.25">
      <c r="A397">
        <v>389</v>
      </c>
      <c r="B397" s="29" t="s">
        <v>45</v>
      </c>
      <c r="C397" s="29" t="s">
        <v>46</v>
      </c>
      <c r="D397" s="4" t="str">
        <f>"15341"</f>
        <v>15341</v>
      </c>
      <c r="E397" s="4" t="str">
        <f t="shared" si="12"/>
        <v>FE15341</v>
      </c>
      <c r="F397" s="7">
        <v>44340</v>
      </c>
      <c r="G397" s="7">
        <v>44350</v>
      </c>
      <c r="H397" s="34">
        <v>181246</v>
      </c>
      <c r="I397" s="31">
        <v>181246</v>
      </c>
      <c r="J397" s="31">
        <f t="shared" si="13"/>
        <v>0</v>
      </c>
      <c r="K397" s="2"/>
      <c r="N397" s="32">
        <v>0</v>
      </c>
      <c r="Q397" s="34">
        <v>0</v>
      </c>
      <c r="R397" s="45"/>
      <c r="S397" s="4" t="str">
        <f>IFERROR(VLOOKUP(E397,'[2]td factu si'!$A:$B,1,0),0)</f>
        <v>FE15341</v>
      </c>
      <c r="T397" s="2">
        <f>IFERROR(VLOOKUP(E397,'[2]td factu si'!$A:$B,2,0),0)*-1</f>
        <v>181246</v>
      </c>
      <c r="W397" s="36"/>
      <c r="AH397" s="3">
        <v>0</v>
      </c>
      <c r="AJ397" s="3">
        <v>0</v>
      </c>
    </row>
    <row r="398" spans="1:36" x14ac:dyDescent="0.25">
      <c r="A398">
        <v>390</v>
      </c>
      <c r="B398" s="29" t="s">
        <v>45</v>
      </c>
      <c r="C398" s="29" t="s">
        <v>46</v>
      </c>
      <c r="D398" s="4" t="str">
        <f>"15344"</f>
        <v>15344</v>
      </c>
      <c r="E398" s="4" t="str">
        <f t="shared" si="12"/>
        <v>FE15344</v>
      </c>
      <c r="F398" s="7">
        <v>44340</v>
      </c>
      <c r="G398" s="7">
        <v>44350</v>
      </c>
      <c r="H398" s="34">
        <v>15489</v>
      </c>
      <c r="I398" s="31">
        <v>13940</v>
      </c>
      <c r="J398" s="31">
        <f t="shared" si="13"/>
        <v>1549</v>
      </c>
      <c r="K398" s="2"/>
      <c r="N398" s="32">
        <v>0</v>
      </c>
      <c r="Q398" s="34">
        <v>0</v>
      </c>
      <c r="R398" s="45"/>
      <c r="S398" s="4" t="str">
        <f>IFERROR(VLOOKUP(E398,'[2]td factu si'!$A:$B,1,0),0)</f>
        <v>FE15344</v>
      </c>
      <c r="T398" s="2">
        <f>IFERROR(VLOOKUP(E398,'[2]td factu si'!$A:$B,2,0),0)*-1</f>
        <v>13940</v>
      </c>
      <c r="W398" s="36"/>
      <c r="AH398" s="3">
        <v>0</v>
      </c>
      <c r="AJ398" s="3">
        <v>0</v>
      </c>
    </row>
    <row r="399" spans="1:36" x14ac:dyDescent="0.25">
      <c r="A399">
        <v>391</v>
      </c>
      <c r="B399" s="29" t="s">
        <v>45</v>
      </c>
      <c r="C399" s="29" t="s">
        <v>46</v>
      </c>
      <c r="D399" s="4" t="str">
        <f>"15345"</f>
        <v>15345</v>
      </c>
      <c r="E399" s="4" t="str">
        <f t="shared" si="12"/>
        <v>FE15345</v>
      </c>
      <c r="F399" s="7">
        <v>44340</v>
      </c>
      <c r="G399" s="7">
        <v>44350</v>
      </c>
      <c r="H399" s="34">
        <v>99388</v>
      </c>
      <c r="I399" s="31">
        <v>99388</v>
      </c>
      <c r="J399" s="31">
        <f t="shared" si="13"/>
        <v>0</v>
      </c>
      <c r="K399" s="2"/>
      <c r="N399" s="32">
        <v>0</v>
      </c>
      <c r="Q399" s="34">
        <v>0</v>
      </c>
      <c r="R399" s="45"/>
      <c r="S399" s="4" t="str">
        <f>IFERROR(VLOOKUP(E399,'[2]td factu si'!$A:$B,1,0),0)</f>
        <v>FE15345</v>
      </c>
      <c r="T399" s="2">
        <f>IFERROR(VLOOKUP(E399,'[2]td factu si'!$A:$B,2,0),0)*-1</f>
        <v>99388</v>
      </c>
      <c r="W399" s="36"/>
      <c r="AH399" s="3">
        <v>0</v>
      </c>
      <c r="AJ399" s="3">
        <v>0</v>
      </c>
    </row>
    <row r="400" spans="1:36" x14ac:dyDescent="0.25">
      <c r="A400">
        <v>392</v>
      </c>
      <c r="B400" s="29" t="s">
        <v>45</v>
      </c>
      <c r="C400" s="29" t="s">
        <v>46</v>
      </c>
      <c r="D400" s="4" t="str">
        <f>"15348"</f>
        <v>15348</v>
      </c>
      <c r="E400" s="4" t="str">
        <f t="shared" si="12"/>
        <v>FE15348</v>
      </c>
      <c r="F400" s="7">
        <v>44340</v>
      </c>
      <c r="G400" s="7">
        <v>44350</v>
      </c>
      <c r="H400" s="34">
        <v>250905</v>
      </c>
      <c r="I400" s="31">
        <v>250905</v>
      </c>
      <c r="J400" s="31">
        <f t="shared" si="13"/>
        <v>0</v>
      </c>
      <c r="K400" s="2"/>
      <c r="N400" s="32">
        <v>0</v>
      </c>
      <c r="Q400" s="34">
        <v>0</v>
      </c>
      <c r="R400" s="45"/>
      <c r="S400" s="4" t="str">
        <f>IFERROR(VLOOKUP(E400,'[2]td factu si'!$A:$B,1,0),0)</f>
        <v>FE15348</v>
      </c>
      <c r="T400" s="2">
        <f>IFERROR(VLOOKUP(E400,'[2]td factu si'!$A:$B,2,0),0)*-1</f>
        <v>250905</v>
      </c>
      <c r="W400" s="36"/>
      <c r="AH400" s="3">
        <v>0</v>
      </c>
      <c r="AJ400" s="3">
        <v>0</v>
      </c>
    </row>
    <row r="401" spans="1:36" x14ac:dyDescent="0.25">
      <c r="A401">
        <v>393</v>
      </c>
      <c r="B401" s="29" t="s">
        <v>45</v>
      </c>
      <c r="C401" s="29" t="s">
        <v>46</v>
      </c>
      <c r="D401" s="4" t="str">
        <f>"15349"</f>
        <v>15349</v>
      </c>
      <c r="E401" s="4" t="str">
        <f t="shared" si="12"/>
        <v>FE15349</v>
      </c>
      <c r="F401" s="7">
        <v>44340</v>
      </c>
      <c r="G401" s="7">
        <v>44350</v>
      </c>
      <c r="H401" s="34">
        <v>116393</v>
      </c>
      <c r="I401" s="31">
        <v>116393</v>
      </c>
      <c r="J401" s="31">
        <f t="shared" si="13"/>
        <v>0</v>
      </c>
      <c r="K401" s="2"/>
      <c r="N401" s="32">
        <v>0</v>
      </c>
      <c r="Q401" s="34">
        <v>0</v>
      </c>
      <c r="R401" s="45"/>
      <c r="S401" s="4" t="str">
        <f>IFERROR(VLOOKUP(E401,'[2]td factu si'!$A:$B,1,0),0)</f>
        <v>FE15349</v>
      </c>
      <c r="T401" s="2">
        <f>IFERROR(VLOOKUP(E401,'[2]td factu si'!$A:$B,2,0),0)*-1</f>
        <v>116393</v>
      </c>
      <c r="W401" s="36"/>
      <c r="AH401" s="3">
        <v>0</v>
      </c>
      <c r="AJ401" s="3">
        <v>0</v>
      </c>
    </row>
    <row r="402" spans="1:36" x14ac:dyDescent="0.25">
      <c r="A402">
        <v>394</v>
      </c>
      <c r="B402" s="29" t="s">
        <v>45</v>
      </c>
      <c r="C402" s="29" t="s">
        <v>46</v>
      </c>
      <c r="D402" s="4" t="str">
        <f>"15353"</f>
        <v>15353</v>
      </c>
      <c r="E402" s="4" t="str">
        <f t="shared" si="12"/>
        <v>FE15353</v>
      </c>
      <c r="F402" s="7">
        <v>44340</v>
      </c>
      <c r="G402" s="7">
        <v>44350</v>
      </c>
      <c r="H402" s="34">
        <v>181246</v>
      </c>
      <c r="I402" s="31">
        <v>181246</v>
      </c>
      <c r="J402" s="31">
        <f t="shared" si="13"/>
        <v>0</v>
      </c>
      <c r="K402" s="2"/>
      <c r="N402" s="32">
        <v>0</v>
      </c>
      <c r="Q402" s="34">
        <v>0</v>
      </c>
      <c r="R402" s="45"/>
      <c r="S402" s="4" t="str">
        <f>IFERROR(VLOOKUP(E402,'[2]td factu si'!$A:$B,1,0),0)</f>
        <v>FE15353</v>
      </c>
      <c r="T402" s="2">
        <f>IFERROR(VLOOKUP(E402,'[2]td factu si'!$A:$B,2,0),0)*-1</f>
        <v>181246</v>
      </c>
      <c r="W402" s="36"/>
      <c r="AH402" s="3">
        <v>0</v>
      </c>
      <c r="AJ402" s="3">
        <v>0</v>
      </c>
    </row>
    <row r="403" spans="1:36" x14ac:dyDescent="0.25">
      <c r="A403">
        <v>395</v>
      </c>
      <c r="B403" s="29" t="s">
        <v>45</v>
      </c>
      <c r="C403" s="29" t="s">
        <v>46</v>
      </c>
      <c r="D403" s="4" t="str">
        <f>"15354"</f>
        <v>15354</v>
      </c>
      <c r="E403" s="4" t="str">
        <f t="shared" si="12"/>
        <v>FE15354</v>
      </c>
      <c r="F403" s="7">
        <v>44340</v>
      </c>
      <c r="G403" s="7">
        <v>44351</v>
      </c>
      <c r="H403" s="34">
        <v>181246</v>
      </c>
      <c r="I403" s="31">
        <v>177746</v>
      </c>
      <c r="J403" s="31">
        <f t="shared" si="13"/>
        <v>3500</v>
      </c>
      <c r="K403" s="2"/>
      <c r="N403" s="32">
        <v>0</v>
      </c>
      <c r="Q403" s="34">
        <v>0</v>
      </c>
      <c r="R403" s="45"/>
      <c r="S403" s="4" t="str">
        <f>IFERROR(VLOOKUP(E403,'[2]td factu si'!$A:$B,1,0),0)</f>
        <v>FE15354</v>
      </c>
      <c r="T403" s="2">
        <f>IFERROR(VLOOKUP(E403,'[2]td factu si'!$A:$B,2,0),0)*-1</f>
        <v>177746</v>
      </c>
      <c r="W403" s="36"/>
      <c r="AH403" s="3">
        <v>0</v>
      </c>
      <c r="AJ403" s="3">
        <v>0</v>
      </c>
    </row>
    <row r="404" spans="1:36" x14ac:dyDescent="0.25">
      <c r="A404">
        <v>396</v>
      </c>
      <c r="B404" s="29" t="s">
        <v>45</v>
      </c>
      <c r="C404" s="29" t="s">
        <v>46</v>
      </c>
      <c r="D404" s="4" t="str">
        <f>"15359"</f>
        <v>15359</v>
      </c>
      <c r="E404" s="4" t="str">
        <f t="shared" si="12"/>
        <v>FE15359</v>
      </c>
      <c r="F404" s="7">
        <v>44340</v>
      </c>
      <c r="G404" s="7">
        <v>44350</v>
      </c>
      <c r="H404" s="34">
        <v>99388</v>
      </c>
      <c r="I404" s="31">
        <v>99388</v>
      </c>
      <c r="J404" s="31">
        <f t="shared" si="13"/>
        <v>0</v>
      </c>
      <c r="K404" s="2"/>
      <c r="N404" s="32">
        <v>0</v>
      </c>
      <c r="Q404" s="34">
        <v>0</v>
      </c>
      <c r="R404" s="45"/>
      <c r="S404" s="4" t="str">
        <f>IFERROR(VLOOKUP(E404,'[2]td factu si'!$A:$B,1,0),0)</f>
        <v>FE15359</v>
      </c>
      <c r="T404" s="2">
        <f>IFERROR(VLOOKUP(E404,'[2]td factu si'!$A:$B,2,0),0)*-1</f>
        <v>99388</v>
      </c>
      <c r="W404" s="36"/>
      <c r="AH404" s="3">
        <v>0</v>
      </c>
      <c r="AJ404" s="3">
        <v>0</v>
      </c>
    </row>
    <row r="405" spans="1:36" x14ac:dyDescent="0.25">
      <c r="A405">
        <v>397</v>
      </c>
      <c r="B405" s="29" t="s">
        <v>45</v>
      </c>
      <c r="C405" s="29" t="s">
        <v>46</v>
      </c>
      <c r="D405" s="4" t="str">
        <f>"15360"</f>
        <v>15360</v>
      </c>
      <c r="E405" s="4" t="str">
        <f t="shared" si="12"/>
        <v>FE15360</v>
      </c>
      <c r="F405" s="7">
        <v>44340</v>
      </c>
      <c r="G405" s="7">
        <v>44350</v>
      </c>
      <c r="H405" s="34">
        <v>15489</v>
      </c>
      <c r="I405" s="31">
        <v>15489</v>
      </c>
      <c r="J405" s="31">
        <f t="shared" si="13"/>
        <v>0</v>
      </c>
      <c r="K405" s="2"/>
      <c r="N405" s="32">
        <v>0</v>
      </c>
      <c r="Q405" s="34">
        <v>0</v>
      </c>
      <c r="R405" s="45"/>
      <c r="S405" s="4" t="str">
        <f>IFERROR(VLOOKUP(E405,'[2]td factu si'!$A:$B,1,0),0)</f>
        <v>FE15360</v>
      </c>
      <c r="T405" s="2">
        <f>IFERROR(VLOOKUP(E405,'[2]td factu si'!$A:$B,2,0),0)*-1</f>
        <v>15489</v>
      </c>
      <c r="W405" s="36"/>
      <c r="AH405" s="3">
        <v>0</v>
      </c>
      <c r="AJ405" s="3">
        <v>0</v>
      </c>
    </row>
    <row r="406" spans="1:36" x14ac:dyDescent="0.25">
      <c r="A406">
        <v>398</v>
      </c>
      <c r="B406" s="29" t="s">
        <v>45</v>
      </c>
      <c r="C406" s="29" t="s">
        <v>46</v>
      </c>
      <c r="D406" s="4" t="str">
        <f>"15364"</f>
        <v>15364</v>
      </c>
      <c r="E406" s="4" t="str">
        <f t="shared" si="12"/>
        <v>FE15364</v>
      </c>
      <c r="F406" s="7">
        <v>44340</v>
      </c>
      <c r="G406" s="7">
        <v>44350</v>
      </c>
      <c r="H406" s="34">
        <v>15489</v>
      </c>
      <c r="I406" s="31">
        <v>13940</v>
      </c>
      <c r="J406" s="31">
        <f t="shared" si="13"/>
        <v>1549</v>
      </c>
      <c r="K406" s="2"/>
      <c r="N406" s="32">
        <v>0</v>
      </c>
      <c r="Q406" s="34">
        <v>0</v>
      </c>
      <c r="R406" s="45"/>
      <c r="S406" s="4" t="str">
        <f>IFERROR(VLOOKUP(E406,'[2]td factu si'!$A:$B,1,0),0)</f>
        <v>FE15364</v>
      </c>
      <c r="T406" s="2">
        <f>IFERROR(VLOOKUP(E406,'[2]td factu si'!$A:$B,2,0),0)*-1</f>
        <v>13940</v>
      </c>
      <c r="W406" s="36"/>
      <c r="AH406" s="3">
        <v>0</v>
      </c>
      <c r="AJ406" s="3">
        <v>0</v>
      </c>
    </row>
    <row r="407" spans="1:36" x14ac:dyDescent="0.25">
      <c r="A407">
        <v>399</v>
      </c>
      <c r="B407" s="29" t="s">
        <v>45</v>
      </c>
      <c r="C407" s="29" t="s">
        <v>46</v>
      </c>
      <c r="D407" s="4" t="str">
        <f>"15365"</f>
        <v>15365</v>
      </c>
      <c r="E407" s="4" t="str">
        <f t="shared" si="12"/>
        <v>FE15365</v>
      </c>
      <c r="F407" s="7">
        <v>44340</v>
      </c>
      <c r="G407" s="7">
        <v>44350</v>
      </c>
      <c r="H407" s="34">
        <v>15489</v>
      </c>
      <c r="I407" s="31">
        <v>15489</v>
      </c>
      <c r="J407" s="31">
        <f t="shared" si="13"/>
        <v>0</v>
      </c>
      <c r="K407" s="2"/>
      <c r="N407" s="32">
        <v>0</v>
      </c>
      <c r="Q407" s="34">
        <v>0</v>
      </c>
      <c r="R407" s="45"/>
      <c r="S407" s="4" t="str">
        <f>IFERROR(VLOOKUP(E407,'[2]td factu si'!$A:$B,1,0),0)</f>
        <v>FE15365</v>
      </c>
      <c r="T407" s="2">
        <f>IFERROR(VLOOKUP(E407,'[2]td factu si'!$A:$B,2,0),0)*-1</f>
        <v>15489</v>
      </c>
      <c r="W407" s="36"/>
      <c r="AH407" s="3">
        <v>0</v>
      </c>
      <c r="AJ407" s="3">
        <v>0</v>
      </c>
    </row>
    <row r="408" spans="1:36" x14ac:dyDescent="0.25">
      <c r="A408">
        <v>400</v>
      </c>
      <c r="B408" s="29" t="s">
        <v>45</v>
      </c>
      <c r="C408" s="29" t="s">
        <v>46</v>
      </c>
      <c r="D408" s="4" t="str">
        <f>"15369"</f>
        <v>15369</v>
      </c>
      <c r="E408" s="4" t="str">
        <f t="shared" si="12"/>
        <v>FE15369</v>
      </c>
      <c r="F408" s="7">
        <v>44340</v>
      </c>
      <c r="G408" s="7">
        <v>44350</v>
      </c>
      <c r="H408" s="34">
        <v>15489</v>
      </c>
      <c r="I408" s="31">
        <v>15489</v>
      </c>
      <c r="J408" s="31">
        <f t="shared" si="13"/>
        <v>0</v>
      </c>
      <c r="K408" s="2"/>
      <c r="N408" s="32">
        <v>0</v>
      </c>
      <c r="Q408" s="34">
        <v>0</v>
      </c>
      <c r="R408" s="45"/>
      <c r="S408" s="4" t="str">
        <f>IFERROR(VLOOKUP(E408,'[2]td factu si'!$A:$B,1,0),0)</f>
        <v>FE15369</v>
      </c>
      <c r="T408" s="2">
        <f>IFERROR(VLOOKUP(E408,'[2]td factu si'!$A:$B,2,0),0)*-1</f>
        <v>15489</v>
      </c>
      <c r="W408" s="36"/>
      <c r="AH408" s="3">
        <v>0</v>
      </c>
      <c r="AJ408" s="3">
        <v>0</v>
      </c>
    </row>
    <row r="409" spans="1:36" x14ac:dyDescent="0.25">
      <c r="A409">
        <v>401</v>
      </c>
      <c r="B409" s="29" t="s">
        <v>45</v>
      </c>
      <c r="C409" s="29" t="s">
        <v>46</v>
      </c>
      <c r="D409" s="4" t="str">
        <f>"15374"</f>
        <v>15374</v>
      </c>
      <c r="E409" s="4" t="str">
        <f t="shared" si="12"/>
        <v>FE15374</v>
      </c>
      <c r="F409" s="7">
        <v>44340</v>
      </c>
      <c r="G409" s="7">
        <v>44350</v>
      </c>
      <c r="H409" s="34">
        <v>15489</v>
      </c>
      <c r="I409" s="31">
        <v>15489</v>
      </c>
      <c r="J409" s="31">
        <f t="shared" si="13"/>
        <v>0</v>
      </c>
      <c r="K409" s="2"/>
      <c r="N409" s="32">
        <v>0</v>
      </c>
      <c r="Q409" s="34">
        <v>0</v>
      </c>
      <c r="R409" s="45"/>
      <c r="S409" s="4" t="str">
        <f>IFERROR(VLOOKUP(E409,'[2]td factu si'!$A:$B,1,0),0)</f>
        <v>FE15374</v>
      </c>
      <c r="T409" s="2">
        <f>IFERROR(VLOOKUP(E409,'[2]td factu si'!$A:$B,2,0),0)*-1</f>
        <v>15489</v>
      </c>
      <c r="W409" s="36"/>
      <c r="AH409" s="3">
        <v>0</v>
      </c>
      <c r="AJ409" s="3">
        <v>0</v>
      </c>
    </row>
    <row r="410" spans="1:36" x14ac:dyDescent="0.25">
      <c r="A410">
        <v>402</v>
      </c>
      <c r="B410" s="29" t="s">
        <v>45</v>
      </c>
      <c r="C410" s="29" t="s">
        <v>46</v>
      </c>
      <c r="D410" s="4" t="str">
        <f>"15375"</f>
        <v>15375</v>
      </c>
      <c r="E410" s="4" t="str">
        <f t="shared" si="12"/>
        <v>FE15375</v>
      </c>
      <c r="F410" s="7">
        <v>44340</v>
      </c>
      <c r="G410" s="7">
        <v>44350</v>
      </c>
      <c r="H410" s="34">
        <v>15489</v>
      </c>
      <c r="I410" s="31">
        <v>15489</v>
      </c>
      <c r="J410" s="31">
        <f t="shared" si="13"/>
        <v>0</v>
      </c>
      <c r="K410" s="2"/>
      <c r="N410" s="32">
        <v>0</v>
      </c>
      <c r="Q410" s="34">
        <v>0</v>
      </c>
      <c r="R410" s="45"/>
      <c r="S410" s="4" t="str">
        <f>IFERROR(VLOOKUP(E410,'[2]td factu si'!$A:$B,1,0),0)</f>
        <v>FE15375</v>
      </c>
      <c r="T410" s="2">
        <f>IFERROR(VLOOKUP(E410,'[2]td factu si'!$A:$B,2,0),0)*-1</f>
        <v>15489</v>
      </c>
      <c r="W410" s="36"/>
      <c r="AH410" s="3">
        <v>0</v>
      </c>
      <c r="AJ410" s="3">
        <v>0</v>
      </c>
    </row>
    <row r="411" spans="1:36" x14ac:dyDescent="0.25">
      <c r="A411">
        <v>403</v>
      </c>
      <c r="B411" s="29" t="s">
        <v>45</v>
      </c>
      <c r="C411" s="29" t="s">
        <v>46</v>
      </c>
      <c r="D411" s="4" t="str">
        <f>"15376"</f>
        <v>15376</v>
      </c>
      <c r="E411" s="4" t="str">
        <f t="shared" si="12"/>
        <v>FE15376</v>
      </c>
      <c r="F411" s="7">
        <v>44340</v>
      </c>
      <c r="G411" s="7">
        <v>44350</v>
      </c>
      <c r="H411" s="34">
        <v>15489</v>
      </c>
      <c r="I411" s="31">
        <v>15489</v>
      </c>
      <c r="J411" s="31">
        <f t="shared" si="13"/>
        <v>0</v>
      </c>
      <c r="K411" s="2"/>
      <c r="N411" s="32">
        <v>0</v>
      </c>
      <c r="Q411" s="34">
        <v>0</v>
      </c>
      <c r="R411" s="45"/>
      <c r="S411" s="4" t="str">
        <f>IFERROR(VLOOKUP(E411,'[2]td factu si'!$A:$B,1,0),0)</f>
        <v>FE15376</v>
      </c>
      <c r="T411" s="2">
        <f>IFERROR(VLOOKUP(E411,'[2]td factu si'!$A:$B,2,0),0)*-1</f>
        <v>15489</v>
      </c>
      <c r="W411" s="36"/>
      <c r="AH411" s="3">
        <v>0</v>
      </c>
      <c r="AJ411" s="3">
        <v>0</v>
      </c>
    </row>
    <row r="412" spans="1:36" x14ac:dyDescent="0.25">
      <c r="A412">
        <v>404</v>
      </c>
      <c r="B412" s="29" t="s">
        <v>45</v>
      </c>
      <c r="C412" s="29" t="s">
        <v>46</v>
      </c>
      <c r="D412" s="4" t="str">
        <f>"15377"</f>
        <v>15377</v>
      </c>
      <c r="E412" s="4" t="str">
        <f t="shared" si="12"/>
        <v>FE15377</v>
      </c>
      <c r="F412" s="7">
        <v>44340</v>
      </c>
      <c r="G412" s="7">
        <v>44351</v>
      </c>
      <c r="H412" s="34">
        <v>15489</v>
      </c>
      <c r="I412" s="31">
        <v>11989</v>
      </c>
      <c r="J412" s="31">
        <f t="shared" si="13"/>
        <v>3500</v>
      </c>
      <c r="K412" s="2"/>
      <c r="N412" s="32">
        <v>0</v>
      </c>
      <c r="Q412" s="34">
        <v>0</v>
      </c>
      <c r="R412" s="45"/>
      <c r="S412" s="4" t="str">
        <f>IFERROR(VLOOKUP(E412,'[2]td factu si'!$A:$B,1,0),0)</f>
        <v>FE15377</v>
      </c>
      <c r="T412" s="2">
        <f>IFERROR(VLOOKUP(E412,'[2]td factu si'!$A:$B,2,0),0)*-1</f>
        <v>11989</v>
      </c>
      <c r="W412" s="36"/>
      <c r="AH412" s="3">
        <v>0</v>
      </c>
      <c r="AJ412" s="3">
        <v>0</v>
      </c>
    </row>
    <row r="413" spans="1:36" x14ac:dyDescent="0.25">
      <c r="A413">
        <v>405</v>
      </c>
      <c r="B413" s="29" t="s">
        <v>45</v>
      </c>
      <c r="C413" s="29" t="s">
        <v>46</v>
      </c>
      <c r="D413" s="4" t="str">
        <f>"15379"</f>
        <v>15379</v>
      </c>
      <c r="E413" s="4" t="str">
        <f t="shared" si="12"/>
        <v>FE15379</v>
      </c>
      <c r="F413" s="7">
        <v>44340</v>
      </c>
      <c r="G413" s="7">
        <v>44350</v>
      </c>
      <c r="H413" s="34">
        <v>181246</v>
      </c>
      <c r="I413" s="31">
        <v>181246</v>
      </c>
      <c r="J413" s="31">
        <f t="shared" si="13"/>
        <v>0</v>
      </c>
      <c r="K413" s="2"/>
      <c r="N413" s="32">
        <v>0</v>
      </c>
      <c r="Q413" s="34">
        <v>0</v>
      </c>
      <c r="R413" s="45"/>
      <c r="S413" s="4" t="str">
        <f>IFERROR(VLOOKUP(E413,'[2]td factu si'!$A:$B,1,0),0)</f>
        <v>FE15379</v>
      </c>
      <c r="T413" s="2">
        <f>IFERROR(VLOOKUP(E413,'[2]td factu si'!$A:$B,2,0),0)*-1</f>
        <v>181246</v>
      </c>
      <c r="W413" s="36"/>
      <c r="AH413" s="3">
        <v>0</v>
      </c>
      <c r="AJ413" s="3">
        <v>0</v>
      </c>
    </row>
    <row r="414" spans="1:36" x14ac:dyDescent="0.25">
      <c r="A414">
        <v>406</v>
      </c>
      <c r="B414" s="29" t="s">
        <v>45</v>
      </c>
      <c r="C414" s="29" t="s">
        <v>46</v>
      </c>
      <c r="D414" s="4" t="str">
        <f>"15381"</f>
        <v>15381</v>
      </c>
      <c r="E414" s="4" t="str">
        <f t="shared" si="12"/>
        <v>FE15381</v>
      </c>
      <c r="F414" s="7">
        <v>44340</v>
      </c>
      <c r="G414" s="7">
        <v>44350</v>
      </c>
      <c r="H414" s="34">
        <v>181246</v>
      </c>
      <c r="I414" s="31">
        <v>177746</v>
      </c>
      <c r="J414" s="31">
        <f t="shared" si="13"/>
        <v>3500</v>
      </c>
      <c r="K414" s="2"/>
      <c r="N414" s="32">
        <v>0</v>
      </c>
      <c r="Q414" s="34">
        <v>0</v>
      </c>
      <c r="R414" s="45"/>
      <c r="S414" s="4">
        <f>IFERROR(VLOOKUP(E414,'[2]td factu si'!$A:$B,1,0),0)</f>
        <v>0</v>
      </c>
      <c r="T414" s="2">
        <f>IFERROR(VLOOKUP(E414,'[2]td factu si'!$A:$B,2,0),0)*-1</f>
        <v>0</v>
      </c>
      <c r="W414" s="36"/>
      <c r="X414" s="6">
        <v>177746</v>
      </c>
      <c r="AH414" s="3">
        <v>0</v>
      </c>
      <c r="AJ414" s="3">
        <v>0</v>
      </c>
    </row>
    <row r="415" spans="1:36" x14ac:dyDescent="0.25">
      <c r="A415">
        <v>407</v>
      </c>
      <c r="B415" s="29" t="s">
        <v>45</v>
      </c>
      <c r="C415" s="29" t="s">
        <v>46</v>
      </c>
      <c r="D415" s="4" t="str">
        <f>"15384"</f>
        <v>15384</v>
      </c>
      <c r="E415" s="4" t="str">
        <f t="shared" si="12"/>
        <v>FE15384</v>
      </c>
      <c r="F415" s="7">
        <v>44340</v>
      </c>
      <c r="G415" s="7">
        <v>44350</v>
      </c>
      <c r="H415" s="34">
        <v>181246</v>
      </c>
      <c r="I415" s="31">
        <v>181246</v>
      </c>
      <c r="J415" s="31">
        <f t="shared" si="13"/>
        <v>0</v>
      </c>
      <c r="K415" s="2"/>
      <c r="N415" s="32">
        <v>0</v>
      </c>
      <c r="Q415" s="34">
        <v>0</v>
      </c>
      <c r="R415" s="45"/>
      <c r="S415" s="4" t="str">
        <f>IFERROR(VLOOKUP(E415,'[2]td factu si'!$A:$B,1,0),0)</f>
        <v>FE15384</v>
      </c>
      <c r="T415" s="2">
        <f>IFERROR(VLOOKUP(E415,'[2]td factu si'!$A:$B,2,0),0)*-1</f>
        <v>181246</v>
      </c>
      <c r="W415" s="36"/>
      <c r="X415" s="6">
        <v>181246</v>
      </c>
      <c r="AH415" s="3">
        <v>0</v>
      </c>
      <c r="AJ415" s="3">
        <v>0</v>
      </c>
    </row>
    <row r="416" spans="1:36" x14ac:dyDescent="0.25">
      <c r="A416">
        <v>408</v>
      </c>
      <c r="B416" s="29" t="s">
        <v>45</v>
      </c>
      <c r="C416" s="29" t="s">
        <v>46</v>
      </c>
      <c r="D416" s="4" t="str">
        <f>"15385"</f>
        <v>15385</v>
      </c>
      <c r="E416" s="4" t="str">
        <f t="shared" si="12"/>
        <v>FE15385</v>
      </c>
      <c r="F416" s="7">
        <v>44341</v>
      </c>
      <c r="G416" s="7">
        <v>44350</v>
      </c>
      <c r="H416" s="34">
        <v>181246</v>
      </c>
      <c r="I416" s="31">
        <v>181246</v>
      </c>
      <c r="J416" s="31">
        <f t="shared" si="13"/>
        <v>0</v>
      </c>
      <c r="K416" s="2"/>
      <c r="N416" s="32">
        <v>0</v>
      </c>
      <c r="Q416" s="34">
        <v>0</v>
      </c>
      <c r="R416" s="45"/>
      <c r="S416" s="4" t="str">
        <f>IFERROR(VLOOKUP(E416,'[2]td factu si'!$A:$B,1,0),0)</f>
        <v>FE15385</v>
      </c>
      <c r="T416" s="2">
        <f>IFERROR(VLOOKUP(E416,'[2]td factu si'!$A:$B,2,0),0)*-1</f>
        <v>181246</v>
      </c>
      <c r="W416" s="36"/>
      <c r="AH416" s="3">
        <v>0</v>
      </c>
      <c r="AJ416" s="3">
        <v>0</v>
      </c>
    </row>
    <row r="417" spans="1:36" x14ac:dyDescent="0.25">
      <c r="A417">
        <v>409</v>
      </c>
      <c r="B417" s="29" t="s">
        <v>45</v>
      </c>
      <c r="C417" s="29" t="s">
        <v>46</v>
      </c>
      <c r="D417" s="4" t="str">
        <f>"15386"</f>
        <v>15386</v>
      </c>
      <c r="E417" s="4" t="str">
        <f t="shared" si="12"/>
        <v>FE15386</v>
      </c>
      <c r="F417" s="7">
        <v>44341</v>
      </c>
      <c r="G417" s="7">
        <v>44350</v>
      </c>
      <c r="H417" s="34">
        <v>181246</v>
      </c>
      <c r="I417" s="31">
        <v>181246</v>
      </c>
      <c r="J417" s="31">
        <f t="shared" si="13"/>
        <v>0</v>
      </c>
      <c r="K417" s="2"/>
      <c r="N417" s="32">
        <v>0</v>
      </c>
      <c r="Q417" s="34">
        <v>0</v>
      </c>
      <c r="R417" s="45"/>
      <c r="S417" s="4" t="str">
        <f>IFERROR(VLOOKUP(E417,'[2]td factu si'!$A:$B,1,0),0)</f>
        <v>FE15386</v>
      </c>
      <c r="T417" s="2">
        <f>IFERROR(VLOOKUP(E417,'[2]td factu si'!$A:$B,2,0),0)*-1</f>
        <v>181246</v>
      </c>
      <c r="W417" s="36"/>
      <c r="AH417" s="3">
        <v>0</v>
      </c>
      <c r="AJ417" s="3">
        <v>0</v>
      </c>
    </row>
    <row r="418" spans="1:36" x14ac:dyDescent="0.25">
      <c r="A418">
        <v>410</v>
      </c>
      <c r="B418" s="29" t="s">
        <v>45</v>
      </c>
      <c r="C418" s="29" t="s">
        <v>46</v>
      </c>
      <c r="D418" s="4" t="str">
        <f>"15388"</f>
        <v>15388</v>
      </c>
      <c r="E418" s="4" t="str">
        <f t="shared" si="12"/>
        <v>FE15388</v>
      </c>
      <c r="F418" s="7">
        <v>44341</v>
      </c>
      <c r="G418" s="7">
        <v>44351</v>
      </c>
      <c r="H418" s="34">
        <v>181246</v>
      </c>
      <c r="I418" s="31">
        <v>160403</v>
      </c>
      <c r="J418" s="31">
        <f t="shared" si="13"/>
        <v>20843</v>
      </c>
      <c r="K418" s="2"/>
      <c r="N418" s="32">
        <v>0</v>
      </c>
      <c r="Q418" s="34">
        <v>0</v>
      </c>
      <c r="R418" s="45"/>
      <c r="S418" s="4" t="str">
        <f>IFERROR(VLOOKUP(E418,'[2]td factu si'!$A:$B,1,0),0)</f>
        <v>FE15388</v>
      </c>
      <c r="T418" s="2">
        <f>IFERROR(VLOOKUP(E418,'[2]td factu si'!$A:$B,2,0),0)*-1</f>
        <v>160403</v>
      </c>
      <c r="W418" s="36"/>
      <c r="AH418" s="3">
        <v>0</v>
      </c>
      <c r="AJ418" s="3">
        <v>0</v>
      </c>
    </row>
    <row r="419" spans="1:36" x14ac:dyDescent="0.25">
      <c r="A419">
        <v>411</v>
      </c>
      <c r="B419" s="29" t="s">
        <v>45</v>
      </c>
      <c r="C419" s="29" t="s">
        <v>46</v>
      </c>
      <c r="D419" s="4" t="str">
        <f>"15389"</f>
        <v>15389</v>
      </c>
      <c r="E419" s="4" t="str">
        <f t="shared" si="12"/>
        <v>FE15389</v>
      </c>
      <c r="F419" s="7">
        <v>44341</v>
      </c>
      <c r="G419" s="7">
        <v>44350</v>
      </c>
      <c r="H419" s="34">
        <v>181246</v>
      </c>
      <c r="I419" s="31">
        <v>181246</v>
      </c>
      <c r="J419" s="31">
        <f t="shared" si="13"/>
        <v>0</v>
      </c>
      <c r="K419" s="2"/>
      <c r="N419" s="32">
        <v>0</v>
      </c>
      <c r="Q419" s="34">
        <v>0</v>
      </c>
      <c r="R419" s="45"/>
      <c r="S419" s="4" t="str">
        <f>IFERROR(VLOOKUP(E419,'[2]td factu si'!$A:$B,1,0),0)</f>
        <v>FE15389</v>
      </c>
      <c r="T419" s="2">
        <f>IFERROR(VLOOKUP(E419,'[2]td factu si'!$A:$B,2,0),0)*-1</f>
        <v>181246</v>
      </c>
      <c r="W419" s="36"/>
      <c r="AH419" s="3">
        <v>0</v>
      </c>
      <c r="AJ419" s="3">
        <v>0</v>
      </c>
    </row>
    <row r="420" spans="1:36" x14ac:dyDescent="0.25">
      <c r="A420">
        <v>412</v>
      </c>
      <c r="B420" s="29" t="s">
        <v>45</v>
      </c>
      <c r="C420" s="29" t="s">
        <v>46</v>
      </c>
      <c r="D420" s="4" t="str">
        <f>"15390"</f>
        <v>15390</v>
      </c>
      <c r="E420" s="4" t="str">
        <f t="shared" si="12"/>
        <v>FE15390</v>
      </c>
      <c r="F420" s="7">
        <v>44341</v>
      </c>
      <c r="G420" s="7">
        <v>44350</v>
      </c>
      <c r="H420" s="34">
        <v>181246</v>
      </c>
      <c r="I420" s="31">
        <v>181246</v>
      </c>
      <c r="J420" s="31">
        <f t="shared" si="13"/>
        <v>0</v>
      </c>
      <c r="K420" s="2"/>
      <c r="N420" s="32">
        <v>0</v>
      </c>
      <c r="Q420" s="34">
        <v>0</v>
      </c>
      <c r="R420" s="45"/>
      <c r="S420" s="4" t="str">
        <f>IFERROR(VLOOKUP(E420,'[2]td factu si'!$A:$B,1,0),0)</f>
        <v>FE15390</v>
      </c>
      <c r="T420" s="2">
        <f>IFERROR(VLOOKUP(E420,'[2]td factu si'!$A:$B,2,0),0)*-1</f>
        <v>181246</v>
      </c>
      <c r="W420" s="36"/>
      <c r="AH420" s="3">
        <v>0</v>
      </c>
      <c r="AJ420" s="3">
        <v>0</v>
      </c>
    </row>
    <row r="421" spans="1:36" x14ac:dyDescent="0.25">
      <c r="A421">
        <v>413</v>
      </c>
      <c r="B421" s="29" t="s">
        <v>45</v>
      </c>
      <c r="C421" s="29" t="s">
        <v>46</v>
      </c>
      <c r="D421" s="4" t="str">
        <f>"15391"</f>
        <v>15391</v>
      </c>
      <c r="E421" s="4" t="str">
        <f t="shared" si="12"/>
        <v>FE15391</v>
      </c>
      <c r="F421" s="7">
        <v>44341</v>
      </c>
      <c r="G421" s="7">
        <v>44350</v>
      </c>
      <c r="H421" s="34">
        <v>339170</v>
      </c>
      <c r="I421" s="31">
        <v>335670</v>
      </c>
      <c r="J421" s="31">
        <f t="shared" si="13"/>
        <v>3500</v>
      </c>
      <c r="K421" s="2"/>
      <c r="N421" s="32">
        <v>0</v>
      </c>
      <c r="Q421" s="34">
        <v>0</v>
      </c>
      <c r="R421" s="45"/>
      <c r="S421" s="4">
        <f>IFERROR(VLOOKUP(E421,'[2]td factu si'!$A:$B,1,0),0)</f>
        <v>0</v>
      </c>
      <c r="T421" s="2">
        <f>IFERROR(VLOOKUP(E421,'[2]td factu si'!$A:$B,2,0),0)*-1</f>
        <v>0</v>
      </c>
      <c r="W421" s="36"/>
      <c r="X421" s="6">
        <v>335670</v>
      </c>
      <c r="AH421" s="3">
        <v>0</v>
      </c>
      <c r="AJ421" s="3">
        <v>0</v>
      </c>
    </row>
    <row r="422" spans="1:36" x14ac:dyDescent="0.25">
      <c r="A422">
        <v>414</v>
      </c>
      <c r="B422" s="29" t="s">
        <v>45</v>
      </c>
      <c r="C422" s="29" t="s">
        <v>46</v>
      </c>
      <c r="D422" s="4" t="str">
        <f>"15392"</f>
        <v>15392</v>
      </c>
      <c r="E422" s="4" t="str">
        <f t="shared" si="12"/>
        <v>FE15392</v>
      </c>
      <c r="F422" s="7">
        <v>44341</v>
      </c>
      <c r="G422" s="7">
        <v>44350</v>
      </c>
      <c r="H422" s="34">
        <v>181246</v>
      </c>
      <c r="I422" s="31">
        <v>181246</v>
      </c>
      <c r="J422" s="31">
        <f t="shared" si="13"/>
        <v>0</v>
      </c>
      <c r="K422" s="2"/>
      <c r="N422" s="32">
        <v>0</v>
      </c>
      <c r="Q422" s="34">
        <v>0</v>
      </c>
      <c r="R422" s="45"/>
      <c r="S422" s="4">
        <f>IFERROR(VLOOKUP(E422,'[2]td factu si'!$A:$B,1,0),0)</f>
        <v>0</v>
      </c>
      <c r="T422" s="2">
        <f>IFERROR(VLOOKUP(E422,'[2]td factu si'!$A:$B,2,0),0)*-1</f>
        <v>0</v>
      </c>
      <c r="W422" s="36"/>
      <c r="X422" s="6">
        <v>181246</v>
      </c>
      <c r="AH422" s="3">
        <v>0</v>
      </c>
      <c r="AJ422" s="3">
        <v>0</v>
      </c>
    </row>
    <row r="423" spans="1:36" x14ac:dyDescent="0.25">
      <c r="A423">
        <v>415</v>
      </c>
      <c r="B423" s="29" t="s">
        <v>45</v>
      </c>
      <c r="C423" s="29" t="s">
        <v>46</v>
      </c>
      <c r="D423" s="4" t="str">
        <f>"15393"</f>
        <v>15393</v>
      </c>
      <c r="E423" s="4" t="str">
        <f t="shared" si="12"/>
        <v>FE15393</v>
      </c>
      <c r="F423" s="7">
        <v>44341</v>
      </c>
      <c r="G423" s="7">
        <v>44350</v>
      </c>
      <c r="H423" s="34">
        <v>181246</v>
      </c>
      <c r="I423" s="31">
        <v>181246</v>
      </c>
      <c r="J423" s="31">
        <f t="shared" si="13"/>
        <v>0</v>
      </c>
      <c r="K423" s="2"/>
      <c r="N423" s="32">
        <v>0</v>
      </c>
      <c r="Q423" s="34">
        <v>0</v>
      </c>
      <c r="R423" s="45"/>
      <c r="S423" s="4" t="str">
        <f>IFERROR(VLOOKUP(E423,'[2]td factu si'!$A:$B,1,0),0)</f>
        <v>FE15393</v>
      </c>
      <c r="T423" s="2">
        <f>IFERROR(VLOOKUP(E423,'[2]td factu si'!$A:$B,2,0),0)*-1</f>
        <v>181246</v>
      </c>
      <c r="W423" s="36"/>
      <c r="AH423" s="3">
        <v>0</v>
      </c>
      <c r="AJ423" s="3">
        <v>0</v>
      </c>
    </row>
    <row r="424" spans="1:36" x14ac:dyDescent="0.25">
      <c r="A424">
        <v>416</v>
      </c>
      <c r="B424" s="29" t="s">
        <v>45</v>
      </c>
      <c r="C424" s="29" t="s">
        <v>46</v>
      </c>
      <c r="D424" s="4" t="str">
        <f>"15398"</f>
        <v>15398</v>
      </c>
      <c r="E424" s="4" t="str">
        <f t="shared" si="12"/>
        <v>FE15398</v>
      </c>
      <c r="F424" s="7">
        <v>44341</v>
      </c>
      <c r="G424" s="7">
        <v>44350</v>
      </c>
      <c r="H424" s="34">
        <v>181246</v>
      </c>
      <c r="I424" s="31">
        <v>160403</v>
      </c>
      <c r="J424" s="31">
        <f t="shared" si="13"/>
        <v>20843</v>
      </c>
      <c r="K424" s="2"/>
      <c r="N424" s="32">
        <v>0</v>
      </c>
      <c r="Q424" s="34">
        <v>0</v>
      </c>
      <c r="R424" s="45"/>
      <c r="S424" s="4">
        <f>IFERROR(VLOOKUP(E424,'[2]td factu si'!$A:$B,1,0),0)</f>
        <v>0</v>
      </c>
      <c r="T424" s="2">
        <f>IFERROR(VLOOKUP(E424,'[2]td factu si'!$A:$B,2,0),0)*-1</f>
        <v>0</v>
      </c>
      <c r="W424" s="36"/>
      <c r="X424" s="6">
        <v>160403</v>
      </c>
      <c r="AH424" s="3">
        <v>0</v>
      </c>
      <c r="AJ424" s="3">
        <v>0</v>
      </c>
    </row>
    <row r="425" spans="1:36" x14ac:dyDescent="0.25">
      <c r="A425">
        <v>417</v>
      </c>
      <c r="B425" s="29" t="s">
        <v>45</v>
      </c>
      <c r="C425" s="29" t="s">
        <v>46</v>
      </c>
      <c r="D425" s="4" t="str">
        <f>"15400"</f>
        <v>15400</v>
      </c>
      <c r="E425" s="4" t="str">
        <f t="shared" si="12"/>
        <v>FE15400</v>
      </c>
      <c r="F425" s="7">
        <v>44341</v>
      </c>
      <c r="G425" s="7">
        <v>44350</v>
      </c>
      <c r="H425" s="34">
        <v>181246</v>
      </c>
      <c r="I425" s="31">
        <v>177746</v>
      </c>
      <c r="J425" s="31">
        <f t="shared" si="13"/>
        <v>3500</v>
      </c>
      <c r="K425" s="2"/>
      <c r="N425" s="32">
        <v>0</v>
      </c>
      <c r="Q425" s="34">
        <v>0</v>
      </c>
      <c r="R425" s="45"/>
      <c r="S425" s="4">
        <f>IFERROR(VLOOKUP(E425,'[2]td factu si'!$A:$B,1,0),0)</f>
        <v>0</v>
      </c>
      <c r="T425" s="2">
        <f>IFERROR(VLOOKUP(E425,'[2]td factu si'!$A:$B,2,0),0)*-1</f>
        <v>0</v>
      </c>
      <c r="W425" s="36"/>
      <c r="X425" s="6">
        <v>177746</v>
      </c>
      <c r="AH425" s="3">
        <v>0</v>
      </c>
      <c r="AJ425" s="3">
        <v>0</v>
      </c>
    </row>
    <row r="426" spans="1:36" x14ac:dyDescent="0.25">
      <c r="A426">
        <v>418</v>
      </c>
      <c r="B426" s="29" t="s">
        <v>45</v>
      </c>
      <c r="C426" s="29" t="s">
        <v>46</v>
      </c>
      <c r="D426" s="4" t="str">
        <f>"15401"</f>
        <v>15401</v>
      </c>
      <c r="E426" s="4" t="str">
        <f t="shared" si="12"/>
        <v>FE15401</v>
      </c>
      <c r="F426" s="7">
        <v>44341</v>
      </c>
      <c r="G426" s="7">
        <v>44350</v>
      </c>
      <c r="H426" s="34">
        <v>15489</v>
      </c>
      <c r="I426" s="31">
        <v>15489</v>
      </c>
      <c r="J426" s="31">
        <f t="shared" si="13"/>
        <v>0</v>
      </c>
      <c r="K426" s="2"/>
      <c r="N426" s="32">
        <v>0</v>
      </c>
      <c r="Q426" s="34">
        <v>0</v>
      </c>
      <c r="R426" s="45"/>
      <c r="S426" s="4" t="str">
        <f>IFERROR(VLOOKUP(E426,'[2]td factu si'!$A:$B,1,0),0)</f>
        <v>FE15401</v>
      </c>
      <c r="T426" s="2">
        <f>IFERROR(VLOOKUP(E426,'[2]td factu si'!$A:$B,2,0),0)*-1</f>
        <v>15489</v>
      </c>
      <c r="W426" s="36"/>
      <c r="AH426" s="3">
        <v>0</v>
      </c>
      <c r="AJ426" s="3">
        <v>0</v>
      </c>
    </row>
    <row r="427" spans="1:36" x14ac:dyDescent="0.25">
      <c r="A427">
        <v>419</v>
      </c>
      <c r="B427" s="29" t="s">
        <v>45</v>
      </c>
      <c r="C427" s="29" t="s">
        <v>46</v>
      </c>
      <c r="D427" s="4" t="str">
        <f>"15403"</f>
        <v>15403</v>
      </c>
      <c r="E427" s="4" t="str">
        <f t="shared" si="12"/>
        <v>FE15403</v>
      </c>
      <c r="F427" s="7">
        <v>44341</v>
      </c>
      <c r="G427" s="7">
        <v>44350</v>
      </c>
      <c r="H427" s="34">
        <v>15489</v>
      </c>
      <c r="I427" s="31">
        <v>15489</v>
      </c>
      <c r="J427" s="31">
        <f t="shared" si="13"/>
        <v>0</v>
      </c>
      <c r="K427" s="2"/>
      <c r="N427" s="32">
        <v>0</v>
      </c>
      <c r="Q427" s="34">
        <v>0</v>
      </c>
      <c r="R427" s="45"/>
      <c r="S427" s="4" t="str">
        <f>IFERROR(VLOOKUP(E427,'[2]td factu si'!$A:$B,1,0),0)</f>
        <v>FE15403</v>
      </c>
      <c r="T427" s="2">
        <f>IFERROR(VLOOKUP(E427,'[2]td factu si'!$A:$B,2,0),0)*-1</f>
        <v>15489</v>
      </c>
      <c r="W427" s="36"/>
      <c r="AH427" s="3">
        <v>0</v>
      </c>
      <c r="AJ427" s="3">
        <v>0</v>
      </c>
    </row>
    <row r="428" spans="1:36" x14ac:dyDescent="0.25">
      <c r="A428">
        <v>420</v>
      </c>
      <c r="B428" s="29" t="s">
        <v>45</v>
      </c>
      <c r="C428" s="29" t="s">
        <v>46</v>
      </c>
      <c r="D428" s="4" t="str">
        <f>"15404"</f>
        <v>15404</v>
      </c>
      <c r="E428" s="4" t="str">
        <f t="shared" si="12"/>
        <v>FE15404</v>
      </c>
      <c r="F428" s="7">
        <v>44341</v>
      </c>
      <c r="G428" s="7">
        <v>44350</v>
      </c>
      <c r="H428" s="34">
        <v>15489</v>
      </c>
      <c r="I428" s="31">
        <v>15489</v>
      </c>
      <c r="J428" s="31">
        <f t="shared" si="13"/>
        <v>0</v>
      </c>
      <c r="K428" s="2"/>
      <c r="N428" s="32">
        <v>0</v>
      </c>
      <c r="Q428" s="34">
        <v>0</v>
      </c>
      <c r="R428" s="45"/>
      <c r="S428" s="4" t="str">
        <f>IFERROR(VLOOKUP(E428,'[2]td factu si'!$A:$B,1,0),0)</f>
        <v>FE15404</v>
      </c>
      <c r="T428" s="2">
        <f>IFERROR(VLOOKUP(E428,'[2]td factu si'!$A:$B,2,0),0)*-1</f>
        <v>15489</v>
      </c>
      <c r="W428" s="36"/>
      <c r="AH428" s="3">
        <v>0</v>
      </c>
      <c r="AJ428" s="3">
        <v>0</v>
      </c>
    </row>
    <row r="429" spans="1:36" x14ac:dyDescent="0.25">
      <c r="A429">
        <v>421</v>
      </c>
      <c r="B429" s="29" t="s">
        <v>45</v>
      </c>
      <c r="C429" s="29" t="s">
        <v>46</v>
      </c>
      <c r="D429" s="4" t="str">
        <f>"15406"</f>
        <v>15406</v>
      </c>
      <c r="E429" s="4" t="str">
        <f t="shared" si="12"/>
        <v>FE15406</v>
      </c>
      <c r="F429" s="7">
        <v>44341</v>
      </c>
      <c r="G429" s="7">
        <v>44350</v>
      </c>
      <c r="H429" s="34">
        <v>15489</v>
      </c>
      <c r="I429" s="31">
        <v>15489</v>
      </c>
      <c r="J429" s="31">
        <f t="shared" si="13"/>
        <v>0</v>
      </c>
      <c r="K429" s="2"/>
      <c r="N429" s="32">
        <v>0</v>
      </c>
      <c r="Q429" s="34">
        <v>0</v>
      </c>
      <c r="R429" s="45"/>
      <c r="S429" s="4" t="str">
        <f>IFERROR(VLOOKUP(E429,'[2]td factu si'!$A:$B,1,0),0)</f>
        <v>FE15406</v>
      </c>
      <c r="T429" s="2">
        <f>IFERROR(VLOOKUP(E429,'[2]td factu si'!$A:$B,2,0),0)*-1</f>
        <v>15489</v>
      </c>
      <c r="W429" s="36"/>
      <c r="AH429" s="3">
        <v>0</v>
      </c>
      <c r="AJ429" s="3">
        <v>0</v>
      </c>
    </row>
    <row r="430" spans="1:36" x14ac:dyDescent="0.25">
      <c r="A430">
        <v>422</v>
      </c>
      <c r="B430" s="29" t="s">
        <v>45</v>
      </c>
      <c r="C430" s="29" t="s">
        <v>46</v>
      </c>
      <c r="D430" s="4" t="str">
        <f>"15407"</f>
        <v>15407</v>
      </c>
      <c r="E430" s="4" t="str">
        <f t="shared" si="12"/>
        <v>FE15407</v>
      </c>
      <c r="F430" s="7">
        <v>44341</v>
      </c>
      <c r="G430" s="7">
        <v>44351</v>
      </c>
      <c r="H430" s="34">
        <v>15489</v>
      </c>
      <c r="I430" s="31">
        <v>11989</v>
      </c>
      <c r="J430" s="31">
        <f t="shared" si="13"/>
        <v>3500</v>
      </c>
      <c r="K430" s="2"/>
      <c r="N430" s="32">
        <v>0</v>
      </c>
      <c r="Q430" s="34">
        <v>0</v>
      </c>
      <c r="R430" s="45"/>
      <c r="S430" s="4" t="str">
        <f>IFERROR(VLOOKUP(E430,'[2]td factu si'!$A:$B,1,0),0)</f>
        <v>FE15407</v>
      </c>
      <c r="T430" s="2">
        <f>IFERROR(VLOOKUP(E430,'[2]td factu si'!$A:$B,2,0),0)*-1</f>
        <v>11989</v>
      </c>
      <c r="W430" s="36"/>
      <c r="AH430" s="3">
        <v>0</v>
      </c>
      <c r="AJ430" s="3">
        <v>0</v>
      </c>
    </row>
    <row r="431" spans="1:36" x14ac:dyDescent="0.25">
      <c r="A431">
        <v>423</v>
      </c>
      <c r="B431" s="29" t="s">
        <v>45</v>
      </c>
      <c r="C431" s="29" t="s">
        <v>46</v>
      </c>
      <c r="D431" s="4" t="str">
        <f>"15412"</f>
        <v>15412</v>
      </c>
      <c r="E431" s="4" t="str">
        <f t="shared" si="12"/>
        <v>FE15412</v>
      </c>
      <c r="F431" s="7">
        <v>44341</v>
      </c>
      <c r="G431" s="7">
        <v>44350</v>
      </c>
      <c r="H431" s="34">
        <v>15489</v>
      </c>
      <c r="I431" s="31">
        <v>15489</v>
      </c>
      <c r="J431" s="31">
        <f t="shared" si="13"/>
        <v>0</v>
      </c>
      <c r="K431" s="2"/>
      <c r="N431" s="32">
        <v>0</v>
      </c>
      <c r="Q431" s="34">
        <v>0</v>
      </c>
      <c r="R431" s="45"/>
      <c r="S431" s="4" t="str">
        <f>IFERROR(VLOOKUP(E431,'[2]td factu si'!$A:$B,1,0),0)</f>
        <v>FE15412</v>
      </c>
      <c r="T431" s="2">
        <f>IFERROR(VLOOKUP(E431,'[2]td factu si'!$A:$B,2,0),0)*-1</f>
        <v>15489</v>
      </c>
      <c r="W431" s="36"/>
      <c r="AH431" s="3">
        <v>0</v>
      </c>
      <c r="AJ431" s="3">
        <v>0</v>
      </c>
    </row>
    <row r="432" spans="1:36" x14ac:dyDescent="0.25">
      <c r="A432">
        <v>424</v>
      </c>
      <c r="B432" s="29" t="s">
        <v>45</v>
      </c>
      <c r="C432" s="29" t="s">
        <v>46</v>
      </c>
      <c r="D432" s="4" t="str">
        <f>"15421"</f>
        <v>15421</v>
      </c>
      <c r="E432" s="4" t="str">
        <f t="shared" si="12"/>
        <v>FE15421</v>
      </c>
      <c r="F432" s="7">
        <v>44341</v>
      </c>
      <c r="G432" s="7">
        <v>44350</v>
      </c>
      <c r="H432" s="34">
        <v>317101</v>
      </c>
      <c r="I432" s="31">
        <v>317101</v>
      </c>
      <c r="J432" s="31">
        <f t="shared" si="13"/>
        <v>0</v>
      </c>
      <c r="K432" s="2"/>
      <c r="N432" s="32">
        <v>0</v>
      </c>
      <c r="Q432" s="34">
        <v>0</v>
      </c>
      <c r="R432" s="45"/>
      <c r="S432" s="4" t="str">
        <f>IFERROR(VLOOKUP(E432,'[2]td factu si'!$A:$B,1,0),0)</f>
        <v>FE15421</v>
      </c>
      <c r="T432" s="2">
        <f>IFERROR(VLOOKUP(E432,'[2]td factu si'!$A:$B,2,0),0)*-1</f>
        <v>317101</v>
      </c>
      <c r="W432" s="36"/>
      <c r="X432" s="6">
        <v>317101</v>
      </c>
      <c r="AH432" s="3">
        <v>0</v>
      </c>
      <c r="AJ432" s="3">
        <v>0</v>
      </c>
    </row>
    <row r="433" spans="1:36" x14ac:dyDescent="0.25">
      <c r="A433">
        <v>425</v>
      </c>
      <c r="B433" s="29" t="s">
        <v>45</v>
      </c>
      <c r="C433" s="29" t="s">
        <v>46</v>
      </c>
      <c r="D433" s="4" t="str">
        <f>"15422"</f>
        <v>15422</v>
      </c>
      <c r="E433" s="4" t="str">
        <f t="shared" si="12"/>
        <v>FE15422</v>
      </c>
      <c r="F433" s="7">
        <v>44341</v>
      </c>
      <c r="G433" s="7">
        <v>44351</v>
      </c>
      <c r="H433" s="34">
        <v>181246</v>
      </c>
      <c r="I433" s="31">
        <v>177746</v>
      </c>
      <c r="J433" s="31">
        <f t="shared" si="13"/>
        <v>3500</v>
      </c>
      <c r="K433" s="2"/>
      <c r="N433" s="32">
        <v>0</v>
      </c>
      <c r="Q433" s="34">
        <v>0</v>
      </c>
      <c r="R433" s="45"/>
      <c r="S433" s="4" t="str">
        <f>IFERROR(VLOOKUP(E433,'[2]td factu si'!$A:$B,1,0),0)</f>
        <v>FE15422</v>
      </c>
      <c r="T433" s="2">
        <f>IFERROR(VLOOKUP(E433,'[2]td factu si'!$A:$B,2,0),0)*-1</f>
        <v>177746</v>
      </c>
      <c r="W433" s="36"/>
      <c r="AH433" s="3">
        <v>0</v>
      </c>
      <c r="AJ433" s="3">
        <v>0</v>
      </c>
    </row>
    <row r="434" spans="1:36" x14ac:dyDescent="0.25">
      <c r="A434">
        <v>426</v>
      </c>
      <c r="B434" s="29" t="s">
        <v>45</v>
      </c>
      <c r="C434" s="29" t="s">
        <v>46</v>
      </c>
      <c r="D434" s="4" t="str">
        <f>"15425"</f>
        <v>15425</v>
      </c>
      <c r="E434" s="4" t="str">
        <f t="shared" si="12"/>
        <v>FE15425</v>
      </c>
      <c r="F434" s="7">
        <v>44341</v>
      </c>
      <c r="G434" s="7">
        <v>44350</v>
      </c>
      <c r="H434" s="34">
        <v>135855</v>
      </c>
      <c r="I434" s="31">
        <v>135855</v>
      </c>
      <c r="J434" s="31">
        <f t="shared" si="13"/>
        <v>0</v>
      </c>
      <c r="K434" s="2"/>
      <c r="N434" s="32">
        <v>0</v>
      </c>
      <c r="Q434" s="34">
        <v>0</v>
      </c>
      <c r="R434" s="45"/>
      <c r="S434" s="4" t="str">
        <f>IFERROR(VLOOKUP(E434,'[2]td factu si'!$A:$B,1,0),0)</f>
        <v>FE15425</v>
      </c>
      <c r="T434" s="2">
        <f>IFERROR(VLOOKUP(E434,'[2]td factu si'!$A:$B,2,0),0)*-1</f>
        <v>135855</v>
      </c>
      <c r="W434" s="36"/>
      <c r="X434" s="6">
        <v>135855</v>
      </c>
      <c r="AH434" s="3">
        <v>0</v>
      </c>
      <c r="AJ434" s="3">
        <v>0</v>
      </c>
    </row>
    <row r="435" spans="1:36" x14ac:dyDescent="0.25">
      <c r="A435">
        <v>427</v>
      </c>
      <c r="B435" s="29" t="s">
        <v>45</v>
      </c>
      <c r="C435" s="29" t="s">
        <v>46</v>
      </c>
      <c r="D435" s="4" t="str">
        <f>"15439"</f>
        <v>15439</v>
      </c>
      <c r="E435" s="4" t="str">
        <f t="shared" si="12"/>
        <v>FE15439</v>
      </c>
      <c r="F435" s="7">
        <v>44341</v>
      </c>
      <c r="G435" s="7">
        <v>44350</v>
      </c>
      <c r="H435" s="34">
        <v>181246</v>
      </c>
      <c r="I435" s="31">
        <v>181246</v>
      </c>
      <c r="J435" s="31">
        <f t="shared" si="13"/>
        <v>0</v>
      </c>
      <c r="K435" s="2"/>
      <c r="N435" s="32">
        <v>0</v>
      </c>
      <c r="Q435" s="34">
        <v>0</v>
      </c>
      <c r="R435" s="45"/>
      <c r="S435" s="4" t="str">
        <f>IFERROR(VLOOKUP(E435,'[2]td factu si'!$A:$B,1,0),0)</f>
        <v>FE15439</v>
      </c>
      <c r="T435" s="2">
        <f>IFERROR(VLOOKUP(E435,'[2]td factu si'!$A:$B,2,0),0)*-1</f>
        <v>181246</v>
      </c>
      <c r="W435" s="36"/>
      <c r="X435" s="6">
        <v>181246</v>
      </c>
      <c r="AH435" s="3">
        <v>0</v>
      </c>
      <c r="AJ435" s="3">
        <v>0</v>
      </c>
    </row>
    <row r="436" spans="1:36" x14ac:dyDescent="0.25">
      <c r="A436">
        <v>428</v>
      </c>
      <c r="B436" s="29" t="s">
        <v>45</v>
      </c>
      <c r="C436" s="29" t="s">
        <v>46</v>
      </c>
      <c r="D436" s="4" t="str">
        <f>"15440"</f>
        <v>15440</v>
      </c>
      <c r="E436" s="4" t="str">
        <f t="shared" si="12"/>
        <v>FE15440</v>
      </c>
      <c r="F436" s="7">
        <v>44341</v>
      </c>
      <c r="G436" s="7">
        <v>44350</v>
      </c>
      <c r="H436" s="34">
        <v>15489</v>
      </c>
      <c r="I436" s="31">
        <v>15489</v>
      </c>
      <c r="J436" s="31">
        <f t="shared" si="13"/>
        <v>0</v>
      </c>
      <c r="K436" s="2"/>
      <c r="N436" s="32">
        <v>0</v>
      </c>
      <c r="Q436" s="34">
        <v>0</v>
      </c>
      <c r="R436" s="45"/>
      <c r="S436" s="4" t="str">
        <f>IFERROR(VLOOKUP(E436,'[2]td factu si'!$A:$B,1,0),0)</f>
        <v>FE15440</v>
      </c>
      <c r="T436" s="2">
        <f>IFERROR(VLOOKUP(E436,'[2]td factu si'!$A:$B,2,0),0)*-1</f>
        <v>15489</v>
      </c>
      <c r="W436" s="36"/>
      <c r="AH436" s="3">
        <v>0</v>
      </c>
      <c r="AJ436" s="3">
        <v>0</v>
      </c>
    </row>
    <row r="437" spans="1:36" x14ac:dyDescent="0.25">
      <c r="A437">
        <v>429</v>
      </c>
      <c r="B437" s="29" t="s">
        <v>45</v>
      </c>
      <c r="C437" s="29" t="s">
        <v>46</v>
      </c>
      <c r="D437" s="4" t="str">
        <f>"15444"</f>
        <v>15444</v>
      </c>
      <c r="E437" s="4" t="str">
        <f t="shared" si="12"/>
        <v>FE15444</v>
      </c>
      <c r="F437" s="7">
        <v>44341</v>
      </c>
      <c r="G437" s="7">
        <v>44350</v>
      </c>
      <c r="H437" s="34">
        <v>15489</v>
      </c>
      <c r="I437" s="31">
        <v>15489</v>
      </c>
      <c r="J437" s="31">
        <f t="shared" si="13"/>
        <v>0</v>
      </c>
      <c r="K437" s="2"/>
      <c r="N437" s="32">
        <v>0</v>
      </c>
      <c r="Q437" s="34">
        <v>0</v>
      </c>
      <c r="R437" s="45"/>
      <c r="S437" s="4" t="str">
        <f>IFERROR(VLOOKUP(E437,'[2]td factu si'!$A:$B,1,0),0)</f>
        <v>FE15444</v>
      </c>
      <c r="T437" s="2">
        <f>IFERROR(VLOOKUP(E437,'[2]td factu si'!$A:$B,2,0),0)*-1</f>
        <v>15489</v>
      </c>
      <c r="W437" s="36"/>
      <c r="AH437" s="3">
        <v>0</v>
      </c>
      <c r="AJ437" s="3">
        <v>0</v>
      </c>
    </row>
    <row r="438" spans="1:36" x14ac:dyDescent="0.25">
      <c r="A438">
        <v>430</v>
      </c>
      <c r="B438" s="29" t="s">
        <v>45</v>
      </c>
      <c r="C438" s="29" t="s">
        <v>46</v>
      </c>
      <c r="D438" s="4" t="str">
        <f>"15446"</f>
        <v>15446</v>
      </c>
      <c r="E438" s="4" t="str">
        <f t="shared" si="12"/>
        <v>FE15446</v>
      </c>
      <c r="F438" s="7">
        <v>44341</v>
      </c>
      <c r="G438" s="7">
        <v>44350</v>
      </c>
      <c r="H438" s="34">
        <v>15489</v>
      </c>
      <c r="I438" s="31">
        <v>13940</v>
      </c>
      <c r="J438" s="31">
        <f t="shared" si="13"/>
        <v>1549</v>
      </c>
      <c r="K438" s="2"/>
      <c r="N438" s="32">
        <v>0</v>
      </c>
      <c r="Q438" s="34">
        <v>0</v>
      </c>
      <c r="R438" s="45"/>
      <c r="S438" s="4" t="str">
        <f>IFERROR(VLOOKUP(E438,'[2]td factu si'!$A:$B,1,0),0)</f>
        <v>FE15446</v>
      </c>
      <c r="T438" s="2">
        <f>IFERROR(VLOOKUP(E438,'[2]td factu si'!$A:$B,2,0),0)*-1</f>
        <v>13940</v>
      </c>
      <c r="W438" s="36"/>
      <c r="AH438" s="3">
        <v>0</v>
      </c>
      <c r="AJ438" s="3">
        <v>0</v>
      </c>
    </row>
    <row r="439" spans="1:36" x14ac:dyDescent="0.25">
      <c r="A439">
        <v>431</v>
      </c>
      <c r="B439" s="29" t="s">
        <v>45</v>
      </c>
      <c r="C439" s="29" t="s">
        <v>46</v>
      </c>
      <c r="D439" s="4" t="str">
        <f>"15447"</f>
        <v>15447</v>
      </c>
      <c r="E439" s="4" t="str">
        <f t="shared" si="12"/>
        <v>FE15447</v>
      </c>
      <c r="F439" s="7">
        <v>44341</v>
      </c>
      <c r="G439" s="7">
        <v>44350</v>
      </c>
      <c r="H439" s="34">
        <v>135855</v>
      </c>
      <c r="I439" s="31">
        <v>135855</v>
      </c>
      <c r="J439" s="31">
        <f t="shared" si="13"/>
        <v>0</v>
      </c>
      <c r="K439" s="2"/>
      <c r="N439" s="32">
        <v>0</v>
      </c>
      <c r="Q439" s="34">
        <v>0</v>
      </c>
      <c r="R439" s="45"/>
      <c r="S439" s="4" t="str">
        <f>IFERROR(VLOOKUP(E439,'[2]td factu si'!$A:$B,1,0),0)</f>
        <v>FE15447</v>
      </c>
      <c r="T439" s="2">
        <f>IFERROR(VLOOKUP(E439,'[2]td factu si'!$A:$B,2,0),0)*-1</f>
        <v>135855</v>
      </c>
      <c r="W439" s="36"/>
      <c r="AH439" s="3">
        <v>0</v>
      </c>
      <c r="AJ439" s="3">
        <v>0</v>
      </c>
    </row>
    <row r="440" spans="1:36" x14ac:dyDescent="0.25">
      <c r="A440">
        <v>432</v>
      </c>
      <c r="B440" s="29" t="s">
        <v>45</v>
      </c>
      <c r="C440" s="29" t="s">
        <v>46</v>
      </c>
      <c r="D440" s="4" t="str">
        <f>"15451"</f>
        <v>15451</v>
      </c>
      <c r="E440" s="4" t="str">
        <f t="shared" si="12"/>
        <v>FE15451</v>
      </c>
      <c r="F440" s="7">
        <v>44341</v>
      </c>
      <c r="G440" s="7">
        <v>44350</v>
      </c>
      <c r="H440" s="34">
        <v>135855</v>
      </c>
      <c r="I440" s="31">
        <v>135855</v>
      </c>
      <c r="J440" s="31">
        <f t="shared" si="13"/>
        <v>0</v>
      </c>
      <c r="K440" s="2"/>
      <c r="N440" s="32">
        <v>0</v>
      </c>
      <c r="Q440" s="34">
        <v>0</v>
      </c>
      <c r="R440" s="45"/>
      <c r="S440" s="4" t="str">
        <f>IFERROR(VLOOKUP(E440,'[2]td factu si'!$A:$B,1,0),0)</f>
        <v>FE15451</v>
      </c>
      <c r="T440" s="2">
        <f>IFERROR(VLOOKUP(E440,'[2]td factu si'!$A:$B,2,0),0)*-1</f>
        <v>135855</v>
      </c>
      <c r="W440" s="36"/>
      <c r="AH440" s="3">
        <v>0</v>
      </c>
      <c r="AJ440" s="3">
        <v>0</v>
      </c>
    </row>
    <row r="441" spans="1:36" x14ac:dyDescent="0.25">
      <c r="A441">
        <v>433</v>
      </c>
      <c r="B441" s="29" t="s">
        <v>45</v>
      </c>
      <c r="C441" s="29" t="s">
        <v>46</v>
      </c>
      <c r="D441" s="4" t="str">
        <f>"15452"</f>
        <v>15452</v>
      </c>
      <c r="E441" s="4" t="str">
        <f t="shared" si="12"/>
        <v>FE15452</v>
      </c>
      <c r="F441" s="7">
        <v>44341</v>
      </c>
      <c r="G441" s="7">
        <v>44350</v>
      </c>
      <c r="H441" s="34">
        <v>135855</v>
      </c>
      <c r="I441" s="31">
        <v>135855</v>
      </c>
      <c r="J441" s="31">
        <f t="shared" si="13"/>
        <v>0</v>
      </c>
      <c r="K441" s="2"/>
      <c r="N441" s="32">
        <v>0</v>
      </c>
      <c r="Q441" s="34">
        <v>0</v>
      </c>
      <c r="R441" s="45"/>
      <c r="S441" s="4" t="str">
        <f>IFERROR(VLOOKUP(E441,'[2]td factu si'!$A:$B,1,0),0)</f>
        <v>FE15452</v>
      </c>
      <c r="T441" s="2">
        <f>IFERROR(VLOOKUP(E441,'[2]td factu si'!$A:$B,2,0),0)*-1</f>
        <v>135855</v>
      </c>
      <c r="W441" s="36"/>
      <c r="AH441" s="3">
        <v>0</v>
      </c>
      <c r="AJ441" s="3">
        <v>0</v>
      </c>
    </row>
    <row r="442" spans="1:36" x14ac:dyDescent="0.25">
      <c r="A442">
        <v>434</v>
      </c>
      <c r="B442" s="29" t="s">
        <v>45</v>
      </c>
      <c r="C442" s="29" t="s">
        <v>46</v>
      </c>
      <c r="D442" s="4" t="str">
        <f>"15453"</f>
        <v>15453</v>
      </c>
      <c r="E442" s="4" t="str">
        <f t="shared" si="12"/>
        <v>FE15453</v>
      </c>
      <c r="F442" s="7">
        <v>44341</v>
      </c>
      <c r="G442" s="7">
        <v>44350</v>
      </c>
      <c r="H442" s="34">
        <v>135855</v>
      </c>
      <c r="I442" s="31">
        <v>135855</v>
      </c>
      <c r="J442" s="31">
        <f t="shared" si="13"/>
        <v>0</v>
      </c>
      <c r="K442" s="2"/>
      <c r="N442" s="32">
        <v>0</v>
      </c>
      <c r="Q442" s="34">
        <v>0</v>
      </c>
      <c r="R442" s="45"/>
      <c r="S442" s="4" t="str">
        <f>IFERROR(VLOOKUP(E442,'[2]td factu si'!$A:$B,1,0),0)</f>
        <v>FE15453</v>
      </c>
      <c r="T442" s="2">
        <f>IFERROR(VLOOKUP(E442,'[2]td factu si'!$A:$B,2,0),0)*-1</f>
        <v>135855</v>
      </c>
      <c r="W442" s="36"/>
      <c r="AH442" s="3">
        <v>0</v>
      </c>
      <c r="AJ442" s="3">
        <v>0</v>
      </c>
    </row>
    <row r="443" spans="1:36" x14ac:dyDescent="0.25">
      <c r="A443">
        <v>435</v>
      </c>
      <c r="B443" s="29" t="s">
        <v>45</v>
      </c>
      <c r="C443" s="29" t="s">
        <v>46</v>
      </c>
      <c r="D443" s="4" t="str">
        <f>"15456"</f>
        <v>15456</v>
      </c>
      <c r="E443" s="4" t="str">
        <f t="shared" si="12"/>
        <v>FE15456</v>
      </c>
      <c r="F443" s="7">
        <v>44341</v>
      </c>
      <c r="G443" s="7">
        <v>44350</v>
      </c>
      <c r="H443" s="34">
        <v>13985528</v>
      </c>
      <c r="I443" s="31">
        <v>13985528</v>
      </c>
      <c r="J443" s="31">
        <f t="shared" si="13"/>
        <v>0</v>
      </c>
      <c r="K443" s="2"/>
      <c r="N443" s="32">
        <v>0</v>
      </c>
      <c r="Q443" s="34">
        <v>0</v>
      </c>
      <c r="R443" s="45"/>
      <c r="S443" s="4" t="str">
        <f>IFERROR(VLOOKUP(E443,'[2]td factu si'!$A:$B,1,0),0)</f>
        <v>FE15456</v>
      </c>
      <c r="T443" s="2">
        <f>IFERROR(VLOOKUP(E443,'[2]td factu si'!$A:$B,2,0),0)*-1</f>
        <v>13985528</v>
      </c>
      <c r="W443" s="36"/>
      <c r="AH443" s="3">
        <v>0</v>
      </c>
      <c r="AJ443" s="3">
        <v>0</v>
      </c>
    </row>
    <row r="444" spans="1:36" x14ac:dyDescent="0.25">
      <c r="A444">
        <v>436</v>
      </c>
      <c r="B444" s="29" t="s">
        <v>45</v>
      </c>
      <c r="C444" s="29" t="s">
        <v>46</v>
      </c>
      <c r="D444" s="4" t="str">
        <f>"15458"</f>
        <v>15458</v>
      </c>
      <c r="E444" s="4" t="str">
        <f t="shared" si="12"/>
        <v>FE15458</v>
      </c>
      <c r="F444" s="7">
        <v>44341</v>
      </c>
      <c r="G444" s="7">
        <v>44351</v>
      </c>
      <c r="H444" s="34">
        <v>181246</v>
      </c>
      <c r="I444" s="31">
        <v>177746</v>
      </c>
      <c r="J444" s="31">
        <f t="shared" si="13"/>
        <v>3500</v>
      </c>
      <c r="K444" s="2"/>
      <c r="N444" s="32">
        <v>0</v>
      </c>
      <c r="Q444" s="34">
        <v>0</v>
      </c>
      <c r="R444" s="45"/>
      <c r="S444" s="4" t="str">
        <f>IFERROR(VLOOKUP(E444,'[2]td factu si'!$A:$B,1,0),0)</f>
        <v>FE15458</v>
      </c>
      <c r="T444" s="2">
        <f>IFERROR(VLOOKUP(E444,'[2]td factu si'!$A:$B,2,0),0)*-1</f>
        <v>177746</v>
      </c>
      <c r="W444" s="36"/>
      <c r="AH444" s="3">
        <v>0</v>
      </c>
      <c r="AJ444" s="3">
        <v>0</v>
      </c>
    </row>
    <row r="445" spans="1:36" x14ac:dyDescent="0.25">
      <c r="A445">
        <v>437</v>
      </c>
      <c r="B445" s="29" t="s">
        <v>45</v>
      </c>
      <c r="C445" s="29" t="s">
        <v>46</v>
      </c>
      <c r="D445" s="4" t="str">
        <f>"15460"</f>
        <v>15460</v>
      </c>
      <c r="E445" s="4" t="str">
        <f t="shared" si="12"/>
        <v>FE15460</v>
      </c>
      <c r="F445" s="7">
        <v>44341</v>
      </c>
      <c r="G445" s="7">
        <v>44350</v>
      </c>
      <c r="H445" s="34">
        <v>181246</v>
      </c>
      <c r="I445" s="31">
        <v>181246</v>
      </c>
      <c r="J445" s="31">
        <f t="shared" si="13"/>
        <v>0</v>
      </c>
      <c r="K445" s="2"/>
      <c r="N445" s="32">
        <v>0</v>
      </c>
      <c r="Q445" s="34">
        <v>0</v>
      </c>
      <c r="R445" s="45"/>
      <c r="S445" s="4" t="str">
        <f>IFERROR(VLOOKUP(E445,'[2]td factu si'!$A:$B,1,0),0)</f>
        <v>FE15460</v>
      </c>
      <c r="T445" s="2">
        <f>IFERROR(VLOOKUP(E445,'[2]td factu si'!$A:$B,2,0),0)*-1</f>
        <v>181246</v>
      </c>
      <c r="W445" s="36"/>
      <c r="AH445" s="3">
        <v>0</v>
      </c>
      <c r="AJ445" s="3">
        <v>0</v>
      </c>
    </row>
    <row r="446" spans="1:36" x14ac:dyDescent="0.25">
      <c r="A446">
        <v>438</v>
      </c>
      <c r="B446" s="29" t="s">
        <v>45</v>
      </c>
      <c r="C446" s="29" t="s">
        <v>46</v>
      </c>
      <c r="D446" s="4" t="str">
        <f>"15461"</f>
        <v>15461</v>
      </c>
      <c r="E446" s="4" t="str">
        <f t="shared" si="12"/>
        <v>FE15461</v>
      </c>
      <c r="F446" s="7">
        <v>44341</v>
      </c>
      <c r="G446" s="7">
        <v>44350</v>
      </c>
      <c r="H446" s="34">
        <v>181246</v>
      </c>
      <c r="I446" s="31">
        <v>181246</v>
      </c>
      <c r="J446" s="31">
        <f t="shared" si="13"/>
        <v>0</v>
      </c>
      <c r="K446" s="2"/>
      <c r="N446" s="32">
        <v>0</v>
      </c>
      <c r="Q446" s="34">
        <v>0</v>
      </c>
      <c r="R446" s="45"/>
      <c r="S446" s="4" t="str">
        <f>IFERROR(VLOOKUP(E446,'[2]td factu si'!$A:$B,1,0),0)</f>
        <v>FE15461</v>
      </c>
      <c r="T446" s="2">
        <f>IFERROR(VLOOKUP(E446,'[2]td factu si'!$A:$B,2,0),0)*-1</f>
        <v>181246</v>
      </c>
      <c r="W446" s="36"/>
      <c r="AH446" s="3">
        <v>0</v>
      </c>
      <c r="AJ446" s="3">
        <v>0</v>
      </c>
    </row>
    <row r="447" spans="1:36" x14ac:dyDescent="0.25">
      <c r="A447">
        <v>439</v>
      </c>
      <c r="B447" s="29" t="s">
        <v>45</v>
      </c>
      <c r="C447" s="29" t="s">
        <v>46</v>
      </c>
      <c r="D447" s="4" t="str">
        <f>"15463"</f>
        <v>15463</v>
      </c>
      <c r="E447" s="4" t="str">
        <f t="shared" si="12"/>
        <v>FE15463</v>
      </c>
      <c r="F447" s="7">
        <v>44341</v>
      </c>
      <c r="G447" s="7">
        <v>44350</v>
      </c>
      <c r="H447" s="34">
        <v>135855</v>
      </c>
      <c r="I447" s="31">
        <v>135855</v>
      </c>
      <c r="J447" s="31">
        <f t="shared" si="13"/>
        <v>0</v>
      </c>
      <c r="K447" s="2"/>
      <c r="N447" s="32">
        <v>0</v>
      </c>
      <c r="Q447" s="34">
        <v>0</v>
      </c>
      <c r="R447" s="45"/>
      <c r="S447" s="4" t="str">
        <f>IFERROR(VLOOKUP(E447,'[2]td factu si'!$A:$B,1,0),0)</f>
        <v>FE15463</v>
      </c>
      <c r="T447" s="2">
        <f>IFERROR(VLOOKUP(E447,'[2]td factu si'!$A:$B,2,0),0)*-1</f>
        <v>135855</v>
      </c>
      <c r="W447" s="36"/>
      <c r="X447" s="6">
        <v>135855</v>
      </c>
      <c r="AH447" s="3">
        <v>0</v>
      </c>
      <c r="AJ447" s="3">
        <v>0</v>
      </c>
    </row>
    <row r="448" spans="1:36" x14ac:dyDescent="0.25">
      <c r="A448">
        <v>440</v>
      </c>
      <c r="B448" s="29" t="s">
        <v>45</v>
      </c>
      <c r="C448" s="29" t="s">
        <v>46</v>
      </c>
      <c r="D448" s="4" t="str">
        <f>"15464"</f>
        <v>15464</v>
      </c>
      <c r="E448" s="4" t="str">
        <f t="shared" si="12"/>
        <v>FE15464</v>
      </c>
      <c r="F448" s="7">
        <v>44341</v>
      </c>
      <c r="G448" s="7">
        <v>44350</v>
      </c>
      <c r="H448" s="34">
        <v>317101</v>
      </c>
      <c r="I448" s="31">
        <v>317101</v>
      </c>
      <c r="J448" s="31">
        <f t="shared" si="13"/>
        <v>0</v>
      </c>
      <c r="K448" s="2"/>
      <c r="N448" s="32">
        <v>0</v>
      </c>
      <c r="Q448" s="34">
        <v>0</v>
      </c>
      <c r="R448" s="45"/>
      <c r="S448" s="4" t="str">
        <f>IFERROR(VLOOKUP(E448,'[2]td factu si'!$A:$B,1,0),0)</f>
        <v>FE15464</v>
      </c>
      <c r="T448" s="2">
        <f>IFERROR(VLOOKUP(E448,'[2]td factu si'!$A:$B,2,0),0)*-1</f>
        <v>317101</v>
      </c>
      <c r="W448" s="36"/>
      <c r="X448" s="6">
        <v>317101</v>
      </c>
      <c r="AH448" s="3">
        <v>0</v>
      </c>
      <c r="AJ448" s="3">
        <v>0</v>
      </c>
    </row>
    <row r="449" spans="1:36" x14ac:dyDescent="0.25">
      <c r="A449">
        <v>441</v>
      </c>
      <c r="B449" s="29" t="s">
        <v>45</v>
      </c>
      <c r="C449" s="29" t="s">
        <v>46</v>
      </c>
      <c r="D449" s="4" t="str">
        <f>"15469"</f>
        <v>15469</v>
      </c>
      <c r="E449" s="4" t="str">
        <f t="shared" si="12"/>
        <v>FE15469</v>
      </c>
      <c r="F449" s="7">
        <v>44341</v>
      </c>
      <c r="G449" s="7">
        <v>44350</v>
      </c>
      <c r="H449" s="34">
        <v>99388</v>
      </c>
      <c r="I449" s="31">
        <v>99388</v>
      </c>
      <c r="J449" s="31">
        <f t="shared" si="13"/>
        <v>0</v>
      </c>
      <c r="K449" s="2"/>
      <c r="N449" s="32">
        <v>0</v>
      </c>
      <c r="Q449" s="34">
        <v>0</v>
      </c>
      <c r="R449" s="45"/>
      <c r="S449" s="4" t="str">
        <f>IFERROR(VLOOKUP(E449,'[2]td factu si'!$A:$B,1,0),0)</f>
        <v>FE15469</v>
      </c>
      <c r="T449" s="2">
        <f>IFERROR(VLOOKUP(E449,'[2]td factu si'!$A:$B,2,0),0)*-1</f>
        <v>99388</v>
      </c>
      <c r="W449" s="36"/>
      <c r="X449" s="6">
        <v>99388</v>
      </c>
      <c r="AH449" s="3">
        <v>0</v>
      </c>
      <c r="AJ449" s="3">
        <v>0</v>
      </c>
    </row>
    <row r="450" spans="1:36" x14ac:dyDescent="0.25">
      <c r="A450">
        <v>442</v>
      </c>
      <c r="B450" s="29" t="s">
        <v>45</v>
      </c>
      <c r="C450" s="29" t="s">
        <v>46</v>
      </c>
      <c r="D450" s="4" t="str">
        <f>"15474"</f>
        <v>15474</v>
      </c>
      <c r="E450" s="4" t="str">
        <f t="shared" si="12"/>
        <v>FE15474</v>
      </c>
      <c r="F450" s="7">
        <v>44341</v>
      </c>
      <c r="G450" s="7">
        <v>44350</v>
      </c>
      <c r="H450" s="34">
        <v>135855</v>
      </c>
      <c r="I450" s="31">
        <v>135855</v>
      </c>
      <c r="J450" s="31">
        <f t="shared" si="13"/>
        <v>0</v>
      </c>
      <c r="K450" s="2"/>
      <c r="N450" s="32">
        <v>0</v>
      </c>
      <c r="Q450" s="34">
        <v>0</v>
      </c>
      <c r="R450" s="45"/>
      <c r="S450" s="4" t="str">
        <f>IFERROR(VLOOKUP(E450,'[2]td factu si'!$A:$B,1,0),0)</f>
        <v>FE15474</v>
      </c>
      <c r="T450" s="2">
        <f>IFERROR(VLOOKUP(E450,'[2]td factu si'!$A:$B,2,0),0)*-1</f>
        <v>135855</v>
      </c>
      <c r="W450" s="36"/>
      <c r="AH450" s="3">
        <v>0</v>
      </c>
      <c r="AJ450" s="3">
        <v>0</v>
      </c>
    </row>
    <row r="451" spans="1:36" x14ac:dyDescent="0.25">
      <c r="A451">
        <v>443</v>
      </c>
      <c r="B451" s="29" t="s">
        <v>45</v>
      </c>
      <c r="C451" s="29" t="s">
        <v>46</v>
      </c>
      <c r="D451" s="4" t="str">
        <f>"15475"</f>
        <v>15475</v>
      </c>
      <c r="E451" s="4" t="str">
        <f t="shared" si="12"/>
        <v>FE15475</v>
      </c>
      <c r="F451" s="7">
        <v>44341</v>
      </c>
      <c r="G451" s="7">
        <v>44350</v>
      </c>
      <c r="H451" s="34">
        <v>135855</v>
      </c>
      <c r="I451" s="31">
        <v>135855</v>
      </c>
      <c r="J451" s="31">
        <f t="shared" si="13"/>
        <v>0</v>
      </c>
      <c r="K451" s="2"/>
      <c r="N451" s="32">
        <v>0</v>
      </c>
      <c r="Q451" s="34">
        <v>0</v>
      </c>
      <c r="R451" s="45"/>
      <c r="S451" s="4" t="str">
        <f>IFERROR(VLOOKUP(E451,'[2]td factu si'!$A:$B,1,0),0)</f>
        <v>FE15475</v>
      </c>
      <c r="T451" s="2">
        <f>IFERROR(VLOOKUP(E451,'[2]td factu si'!$A:$B,2,0),0)*-1</f>
        <v>135855</v>
      </c>
      <c r="W451" s="36"/>
      <c r="AH451" s="3">
        <v>0</v>
      </c>
      <c r="AJ451" s="3">
        <v>0</v>
      </c>
    </row>
    <row r="452" spans="1:36" x14ac:dyDescent="0.25">
      <c r="A452">
        <v>444</v>
      </c>
      <c r="B452" s="29" t="s">
        <v>45</v>
      </c>
      <c r="C452" s="29" t="s">
        <v>46</v>
      </c>
      <c r="D452" s="4" t="str">
        <f>"15476"</f>
        <v>15476</v>
      </c>
      <c r="E452" s="4" t="str">
        <f t="shared" si="12"/>
        <v>FE15476</v>
      </c>
      <c r="F452" s="7">
        <v>44341</v>
      </c>
      <c r="G452" s="7">
        <v>44350</v>
      </c>
      <c r="H452" s="34">
        <v>558337</v>
      </c>
      <c r="I452" s="31">
        <v>558337</v>
      </c>
      <c r="J452" s="31">
        <f t="shared" si="13"/>
        <v>0</v>
      </c>
      <c r="K452" s="2"/>
      <c r="N452" s="32">
        <v>0</v>
      </c>
      <c r="Q452" s="34">
        <v>0</v>
      </c>
      <c r="R452" s="45"/>
      <c r="S452" s="4" t="str">
        <f>IFERROR(VLOOKUP(E452,'[2]td factu si'!$A:$B,1,0),0)</f>
        <v>FE15476</v>
      </c>
      <c r="T452" s="2">
        <f>IFERROR(VLOOKUP(E452,'[2]td factu si'!$A:$B,2,0),0)*-1</f>
        <v>558337</v>
      </c>
      <c r="W452" s="36"/>
      <c r="AH452" s="3">
        <v>0</v>
      </c>
      <c r="AJ452" s="3">
        <v>0</v>
      </c>
    </row>
    <row r="453" spans="1:36" x14ac:dyDescent="0.25">
      <c r="A453">
        <v>445</v>
      </c>
      <c r="B453" s="29" t="s">
        <v>45</v>
      </c>
      <c r="C453" s="29" t="s">
        <v>46</v>
      </c>
      <c r="D453" s="4" t="str">
        <f>"15478"</f>
        <v>15478</v>
      </c>
      <c r="E453" s="4" t="str">
        <f t="shared" si="12"/>
        <v>FE15478</v>
      </c>
      <c r="F453" s="7">
        <v>44341</v>
      </c>
      <c r="G453" s="7">
        <v>44350</v>
      </c>
      <c r="H453" s="34">
        <v>135855</v>
      </c>
      <c r="I453" s="31">
        <v>122270</v>
      </c>
      <c r="J453" s="31">
        <f t="shared" si="13"/>
        <v>13585</v>
      </c>
      <c r="K453" s="2"/>
      <c r="N453" s="32">
        <v>0</v>
      </c>
      <c r="Q453" s="34">
        <v>0</v>
      </c>
      <c r="R453" s="45"/>
      <c r="S453" s="4" t="str">
        <f>IFERROR(VLOOKUP(E453,'[2]td factu si'!$A:$B,1,0),0)</f>
        <v>FE15478</v>
      </c>
      <c r="T453" s="2">
        <f>IFERROR(VLOOKUP(E453,'[2]td factu si'!$A:$B,2,0),0)*-1</f>
        <v>122270</v>
      </c>
      <c r="W453" s="36"/>
      <c r="AH453" s="3">
        <v>0</v>
      </c>
      <c r="AJ453" s="3">
        <v>0</v>
      </c>
    </row>
    <row r="454" spans="1:36" x14ac:dyDescent="0.25">
      <c r="A454">
        <v>446</v>
      </c>
      <c r="B454" s="29" t="s">
        <v>45</v>
      </c>
      <c r="C454" s="29" t="s">
        <v>46</v>
      </c>
      <c r="D454" s="4" t="str">
        <f>"15480"</f>
        <v>15480</v>
      </c>
      <c r="E454" s="4" t="str">
        <f t="shared" si="12"/>
        <v>FE15480</v>
      </c>
      <c r="F454" s="7">
        <v>44341</v>
      </c>
      <c r="G454" s="7">
        <v>44350</v>
      </c>
      <c r="H454" s="34">
        <v>317101</v>
      </c>
      <c r="I454" s="31">
        <v>317101</v>
      </c>
      <c r="J454" s="31">
        <f t="shared" si="13"/>
        <v>0</v>
      </c>
      <c r="K454" s="2"/>
      <c r="N454" s="32">
        <v>0</v>
      </c>
      <c r="Q454" s="34">
        <v>0</v>
      </c>
      <c r="R454" s="45"/>
      <c r="S454" s="4" t="str">
        <f>IFERROR(VLOOKUP(E454,'[2]td factu si'!$A:$B,1,0),0)</f>
        <v>FE15480</v>
      </c>
      <c r="T454" s="2">
        <f>IFERROR(VLOOKUP(E454,'[2]td factu si'!$A:$B,2,0),0)*-1</f>
        <v>317101</v>
      </c>
      <c r="W454" s="36"/>
      <c r="AH454" s="3">
        <v>0</v>
      </c>
      <c r="AJ454" s="3">
        <v>0</v>
      </c>
    </row>
    <row r="455" spans="1:36" x14ac:dyDescent="0.25">
      <c r="A455">
        <v>447</v>
      </c>
      <c r="B455" s="29" t="s">
        <v>45</v>
      </c>
      <c r="C455" s="29" t="s">
        <v>46</v>
      </c>
      <c r="D455" s="4" t="str">
        <f>"15510"</f>
        <v>15510</v>
      </c>
      <c r="E455" s="4" t="str">
        <f t="shared" si="12"/>
        <v>FE15510</v>
      </c>
      <c r="F455" s="7">
        <v>44341</v>
      </c>
      <c r="G455" s="7">
        <v>44350</v>
      </c>
      <c r="H455" s="34">
        <v>14933</v>
      </c>
      <c r="I455" s="31">
        <v>14933</v>
      </c>
      <c r="J455" s="31">
        <f t="shared" si="13"/>
        <v>0</v>
      </c>
      <c r="K455" s="2"/>
      <c r="N455" s="32">
        <v>0</v>
      </c>
      <c r="Q455" s="34">
        <v>0</v>
      </c>
      <c r="R455" s="45"/>
      <c r="S455" s="4" t="str">
        <f>IFERROR(VLOOKUP(E455,'[2]td factu si'!$A:$B,1,0),0)</f>
        <v>FE15510</v>
      </c>
      <c r="T455" s="2">
        <f>IFERROR(VLOOKUP(E455,'[2]td factu si'!$A:$B,2,0),0)*-1</f>
        <v>14933</v>
      </c>
      <c r="W455" s="36"/>
      <c r="AH455" s="3">
        <v>0</v>
      </c>
      <c r="AJ455" s="3">
        <v>0</v>
      </c>
    </row>
    <row r="456" spans="1:36" x14ac:dyDescent="0.25">
      <c r="A456">
        <v>448</v>
      </c>
      <c r="B456" s="29" t="s">
        <v>45</v>
      </c>
      <c r="C456" s="29" t="s">
        <v>46</v>
      </c>
      <c r="D456" s="4" t="str">
        <f>"15513"</f>
        <v>15513</v>
      </c>
      <c r="E456" s="4" t="str">
        <f t="shared" si="12"/>
        <v>FE15513</v>
      </c>
      <c r="F456" s="7">
        <v>44341</v>
      </c>
      <c r="G456" s="7">
        <v>44350</v>
      </c>
      <c r="H456" s="34">
        <v>135855</v>
      </c>
      <c r="I456" s="31">
        <v>135855</v>
      </c>
      <c r="J456" s="31">
        <f t="shared" si="13"/>
        <v>0</v>
      </c>
      <c r="K456" s="2"/>
      <c r="N456" s="32">
        <v>0</v>
      </c>
      <c r="Q456" s="34">
        <v>0</v>
      </c>
      <c r="R456" s="45"/>
      <c r="S456" s="4" t="str">
        <f>IFERROR(VLOOKUP(E456,'[2]td factu si'!$A:$B,1,0),0)</f>
        <v>FE15513</v>
      </c>
      <c r="T456" s="2">
        <f>IFERROR(VLOOKUP(E456,'[2]td factu si'!$A:$B,2,0),0)*-1</f>
        <v>135855</v>
      </c>
      <c r="W456" s="36"/>
      <c r="AH456" s="3">
        <v>0</v>
      </c>
      <c r="AJ456" s="3">
        <v>0</v>
      </c>
    </row>
    <row r="457" spans="1:36" x14ac:dyDescent="0.25">
      <c r="A457">
        <v>449</v>
      </c>
      <c r="B457" s="29" t="s">
        <v>45</v>
      </c>
      <c r="C457" s="29" t="s">
        <v>46</v>
      </c>
      <c r="D457" s="4" t="str">
        <f>"15516"</f>
        <v>15516</v>
      </c>
      <c r="E457" s="4" t="str">
        <f t="shared" si="12"/>
        <v>FE15516</v>
      </c>
      <c r="F457" s="7">
        <v>44341</v>
      </c>
      <c r="G457" s="7">
        <v>44350</v>
      </c>
      <c r="H457" s="34">
        <v>317101</v>
      </c>
      <c r="I457" s="31">
        <v>317101</v>
      </c>
      <c r="J457" s="31">
        <f t="shared" si="13"/>
        <v>0</v>
      </c>
      <c r="K457" s="2"/>
      <c r="N457" s="32">
        <v>0</v>
      </c>
      <c r="Q457" s="34">
        <v>0</v>
      </c>
      <c r="R457" s="45"/>
      <c r="S457" s="4" t="str">
        <f>IFERROR(VLOOKUP(E457,'[2]td factu si'!$A:$B,1,0),0)</f>
        <v>FE15516</v>
      </c>
      <c r="T457" s="2">
        <f>IFERROR(VLOOKUP(E457,'[2]td factu si'!$A:$B,2,0),0)*-1</f>
        <v>317101</v>
      </c>
      <c r="W457" s="36"/>
      <c r="AH457" s="3">
        <v>0</v>
      </c>
      <c r="AJ457" s="3">
        <v>0</v>
      </c>
    </row>
    <row r="458" spans="1:36" x14ac:dyDescent="0.25">
      <c r="A458">
        <v>450</v>
      </c>
      <c r="B458" s="29" t="s">
        <v>45</v>
      </c>
      <c r="C458" s="29" t="s">
        <v>46</v>
      </c>
      <c r="D458" s="4" t="str">
        <f>"15517"</f>
        <v>15517</v>
      </c>
      <c r="E458" s="4" t="str">
        <f t="shared" ref="E458:E521" si="14">_xlfn.CONCAT(C458,D458)</f>
        <v>FE15517</v>
      </c>
      <c r="F458" s="7">
        <v>44341</v>
      </c>
      <c r="G458" s="7">
        <v>44350</v>
      </c>
      <c r="H458" s="34">
        <v>135855</v>
      </c>
      <c r="I458" s="31">
        <v>135855</v>
      </c>
      <c r="J458" s="31">
        <f t="shared" ref="J458:J521" si="15">+H458-I458</f>
        <v>0</v>
      </c>
      <c r="K458" s="2"/>
      <c r="N458" s="32">
        <v>0</v>
      </c>
      <c r="Q458" s="34">
        <v>0</v>
      </c>
      <c r="R458" s="45"/>
      <c r="S458" s="4" t="str">
        <f>IFERROR(VLOOKUP(E458,'[2]td factu si'!$A:$B,1,0),0)</f>
        <v>FE15517</v>
      </c>
      <c r="T458" s="2">
        <f>IFERROR(VLOOKUP(E458,'[2]td factu si'!$A:$B,2,0),0)*-1</f>
        <v>135855</v>
      </c>
      <c r="W458" s="36"/>
      <c r="AH458" s="3">
        <v>0</v>
      </c>
      <c r="AJ458" s="3">
        <v>0</v>
      </c>
    </row>
    <row r="459" spans="1:36" x14ac:dyDescent="0.25">
      <c r="A459">
        <v>451</v>
      </c>
      <c r="B459" s="29" t="s">
        <v>45</v>
      </c>
      <c r="C459" s="29" t="s">
        <v>46</v>
      </c>
      <c r="D459" s="4" t="str">
        <f>"15518"</f>
        <v>15518</v>
      </c>
      <c r="E459" s="4" t="str">
        <f t="shared" si="14"/>
        <v>FE15518</v>
      </c>
      <c r="F459" s="7">
        <v>44341</v>
      </c>
      <c r="G459" s="7">
        <v>44350</v>
      </c>
      <c r="H459" s="34">
        <v>15490</v>
      </c>
      <c r="I459" s="31">
        <v>15490</v>
      </c>
      <c r="J459" s="31">
        <f t="shared" si="15"/>
        <v>0</v>
      </c>
      <c r="K459" s="2"/>
      <c r="N459" s="32">
        <v>0</v>
      </c>
      <c r="Q459" s="34">
        <v>0</v>
      </c>
      <c r="R459" s="45"/>
      <c r="S459" s="4" t="str">
        <f>IFERROR(VLOOKUP(E459,'[2]td factu si'!$A:$B,1,0),0)</f>
        <v>FE15518</v>
      </c>
      <c r="T459" s="2">
        <f>IFERROR(VLOOKUP(E459,'[2]td factu si'!$A:$B,2,0),0)*-1</f>
        <v>15490</v>
      </c>
      <c r="W459" s="36"/>
      <c r="AH459" s="3">
        <v>0</v>
      </c>
      <c r="AJ459" s="3">
        <v>0</v>
      </c>
    </row>
    <row r="460" spans="1:36" x14ac:dyDescent="0.25">
      <c r="A460">
        <v>452</v>
      </c>
      <c r="B460" s="29" t="s">
        <v>45</v>
      </c>
      <c r="C460" s="29" t="s">
        <v>46</v>
      </c>
      <c r="D460" s="4" t="str">
        <f>"15523"</f>
        <v>15523</v>
      </c>
      <c r="E460" s="4" t="str">
        <f t="shared" si="14"/>
        <v>FE15523</v>
      </c>
      <c r="F460" s="7">
        <v>44341</v>
      </c>
      <c r="G460" s="7">
        <v>44351</v>
      </c>
      <c r="H460" s="34">
        <v>15489</v>
      </c>
      <c r="I460" s="31">
        <v>11989</v>
      </c>
      <c r="J460" s="31">
        <f t="shared" si="15"/>
        <v>3500</v>
      </c>
      <c r="K460" s="2"/>
      <c r="N460" s="32">
        <v>0</v>
      </c>
      <c r="Q460" s="34">
        <v>0</v>
      </c>
      <c r="R460" s="45"/>
      <c r="S460" s="4" t="str">
        <f>IFERROR(VLOOKUP(E460,'[2]td factu si'!$A:$B,1,0),0)</f>
        <v>FE15523</v>
      </c>
      <c r="T460" s="2">
        <f>IFERROR(VLOOKUP(E460,'[2]td factu si'!$A:$B,2,0),0)*-1</f>
        <v>11989</v>
      </c>
      <c r="W460" s="36"/>
      <c r="AH460" s="3">
        <v>0</v>
      </c>
      <c r="AJ460" s="3">
        <v>0</v>
      </c>
    </row>
    <row r="461" spans="1:36" x14ac:dyDescent="0.25">
      <c r="A461">
        <v>453</v>
      </c>
      <c r="B461" s="29" t="s">
        <v>45</v>
      </c>
      <c r="C461" s="29" t="s">
        <v>46</v>
      </c>
      <c r="D461" s="4" t="str">
        <f>"15526"</f>
        <v>15526</v>
      </c>
      <c r="E461" s="4" t="str">
        <f t="shared" si="14"/>
        <v>FE15526</v>
      </c>
      <c r="F461" s="7">
        <v>44341</v>
      </c>
      <c r="G461" s="7">
        <v>44350</v>
      </c>
      <c r="H461" s="34">
        <v>181246</v>
      </c>
      <c r="I461" s="31">
        <v>163121</v>
      </c>
      <c r="J461" s="31">
        <f t="shared" si="15"/>
        <v>18125</v>
      </c>
      <c r="K461" s="2"/>
      <c r="N461" s="32">
        <v>0</v>
      </c>
      <c r="Q461" s="34">
        <v>0</v>
      </c>
      <c r="R461" s="45"/>
      <c r="S461" s="4" t="str">
        <f>IFERROR(VLOOKUP(E461,'[2]td factu si'!$A:$B,1,0),0)</f>
        <v>FE15526</v>
      </c>
      <c r="T461" s="2">
        <f>IFERROR(VLOOKUP(E461,'[2]td factu si'!$A:$B,2,0),0)*-1</f>
        <v>163121</v>
      </c>
      <c r="W461" s="36"/>
      <c r="AH461" s="3">
        <v>0</v>
      </c>
      <c r="AJ461" s="3">
        <v>0</v>
      </c>
    </row>
    <row r="462" spans="1:36" x14ac:dyDescent="0.25">
      <c r="A462">
        <v>454</v>
      </c>
      <c r="B462" s="29" t="s">
        <v>45</v>
      </c>
      <c r="C462" s="29" t="s">
        <v>46</v>
      </c>
      <c r="D462" s="4" t="str">
        <f>"15529"</f>
        <v>15529</v>
      </c>
      <c r="E462" s="4" t="str">
        <f t="shared" si="14"/>
        <v>FE15529</v>
      </c>
      <c r="F462" s="7">
        <v>44341</v>
      </c>
      <c r="G462" s="7">
        <v>44351</v>
      </c>
      <c r="H462" s="34">
        <v>15489</v>
      </c>
      <c r="I462" s="31">
        <v>11989</v>
      </c>
      <c r="J462" s="31">
        <f t="shared" si="15"/>
        <v>3500</v>
      </c>
      <c r="K462" s="2"/>
      <c r="N462" s="32">
        <v>0</v>
      </c>
      <c r="Q462" s="34">
        <v>0</v>
      </c>
      <c r="R462" s="45"/>
      <c r="S462" s="4" t="str">
        <f>IFERROR(VLOOKUP(E462,'[2]td factu si'!$A:$B,1,0),0)</f>
        <v>FE15529</v>
      </c>
      <c r="T462" s="2">
        <f>IFERROR(VLOOKUP(E462,'[2]td factu si'!$A:$B,2,0),0)*-1</f>
        <v>11989</v>
      </c>
      <c r="W462" s="36"/>
      <c r="AH462" s="3">
        <v>0</v>
      </c>
      <c r="AJ462" s="3">
        <v>0</v>
      </c>
    </row>
    <row r="463" spans="1:36" x14ac:dyDescent="0.25">
      <c r="A463">
        <v>455</v>
      </c>
      <c r="B463" s="29" t="s">
        <v>45</v>
      </c>
      <c r="C463" s="29" t="s">
        <v>46</v>
      </c>
      <c r="D463" s="4" t="str">
        <f>"15531"</f>
        <v>15531</v>
      </c>
      <c r="E463" s="4" t="str">
        <f t="shared" si="14"/>
        <v>FE15531</v>
      </c>
      <c r="F463" s="7">
        <v>44341</v>
      </c>
      <c r="G463" s="7">
        <v>44351</v>
      </c>
      <c r="H463" s="34">
        <v>181246</v>
      </c>
      <c r="I463" s="31">
        <v>177746</v>
      </c>
      <c r="J463" s="31">
        <f t="shared" si="15"/>
        <v>3500</v>
      </c>
      <c r="K463" s="2"/>
      <c r="N463" s="32">
        <v>0</v>
      </c>
      <c r="Q463" s="34">
        <v>0</v>
      </c>
      <c r="R463" s="45"/>
      <c r="S463" s="4" t="str">
        <f>IFERROR(VLOOKUP(E463,'[2]td factu si'!$A:$B,1,0),0)</f>
        <v>FE15531</v>
      </c>
      <c r="T463" s="2">
        <f>IFERROR(VLOOKUP(E463,'[2]td factu si'!$A:$B,2,0),0)*-1</f>
        <v>177746</v>
      </c>
      <c r="W463" s="36"/>
      <c r="AH463" s="3">
        <v>0</v>
      </c>
      <c r="AJ463" s="3">
        <v>0</v>
      </c>
    </row>
    <row r="464" spans="1:36" x14ac:dyDescent="0.25">
      <c r="A464">
        <v>456</v>
      </c>
      <c r="B464" s="29" t="s">
        <v>45</v>
      </c>
      <c r="C464" s="29" t="s">
        <v>46</v>
      </c>
      <c r="D464" s="4" t="str">
        <f>"15544"</f>
        <v>15544</v>
      </c>
      <c r="E464" s="4" t="str">
        <f t="shared" si="14"/>
        <v>FE15544</v>
      </c>
      <c r="F464" s="7">
        <v>44341</v>
      </c>
      <c r="G464" s="7">
        <v>44350</v>
      </c>
      <c r="H464" s="34">
        <v>15489</v>
      </c>
      <c r="I464" s="31">
        <v>15489</v>
      </c>
      <c r="J464" s="31">
        <f t="shared" si="15"/>
        <v>0</v>
      </c>
      <c r="K464" s="2"/>
      <c r="N464" s="32">
        <v>0</v>
      </c>
      <c r="Q464" s="34">
        <v>0</v>
      </c>
      <c r="R464" s="45"/>
      <c r="S464" s="4" t="str">
        <f>IFERROR(VLOOKUP(E464,'[2]td factu si'!$A:$B,1,0),0)</f>
        <v>FE15544</v>
      </c>
      <c r="T464" s="2">
        <f>IFERROR(VLOOKUP(E464,'[2]td factu si'!$A:$B,2,0),0)*-1</f>
        <v>15489</v>
      </c>
      <c r="W464" s="36"/>
      <c r="AH464" s="3">
        <v>0</v>
      </c>
      <c r="AJ464" s="3">
        <v>0</v>
      </c>
    </row>
    <row r="465" spans="1:36" x14ac:dyDescent="0.25">
      <c r="A465">
        <v>457</v>
      </c>
      <c r="B465" s="29" t="s">
        <v>45</v>
      </c>
      <c r="C465" s="29" t="s">
        <v>46</v>
      </c>
      <c r="D465" s="4" t="str">
        <f>"15548"</f>
        <v>15548</v>
      </c>
      <c r="E465" s="4" t="str">
        <f t="shared" si="14"/>
        <v>FE15548</v>
      </c>
      <c r="F465" s="7">
        <v>44341</v>
      </c>
      <c r="G465" s="7">
        <v>44350</v>
      </c>
      <c r="H465" s="34">
        <v>277776</v>
      </c>
      <c r="I465" s="31">
        <v>277776</v>
      </c>
      <c r="J465" s="31">
        <f t="shared" si="15"/>
        <v>0</v>
      </c>
      <c r="K465" s="2"/>
      <c r="N465" s="32">
        <v>0</v>
      </c>
      <c r="Q465" s="34">
        <v>0</v>
      </c>
      <c r="R465" s="45"/>
      <c r="S465" s="4" t="str">
        <f>IFERROR(VLOOKUP(E465,'[2]td factu si'!$A:$B,1,0),0)</f>
        <v>FE15548</v>
      </c>
      <c r="T465" s="2">
        <f>IFERROR(VLOOKUP(E465,'[2]td factu si'!$A:$B,2,0),0)*-1</f>
        <v>277776</v>
      </c>
      <c r="W465" s="36"/>
      <c r="AH465" s="3">
        <v>0</v>
      </c>
      <c r="AJ465" s="3">
        <v>0</v>
      </c>
    </row>
    <row r="466" spans="1:36" x14ac:dyDescent="0.25">
      <c r="A466">
        <v>458</v>
      </c>
      <c r="B466" s="29" t="s">
        <v>45</v>
      </c>
      <c r="C466" s="29" t="s">
        <v>46</v>
      </c>
      <c r="D466" s="4" t="str">
        <f>"15549"</f>
        <v>15549</v>
      </c>
      <c r="E466" s="4" t="str">
        <f t="shared" si="14"/>
        <v>FE15549</v>
      </c>
      <c r="F466" s="7">
        <v>44341</v>
      </c>
      <c r="G466" s="7">
        <v>44350</v>
      </c>
      <c r="H466" s="34">
        <v>181246</v>
      </c>
      <c r="I466" s="31">
        <v>181246</v>
      </c>
      <c r="J466" s="31">
        <f t="shared" si="15"/>
        <v>0</v>
      </c>
      <c r="K466" s="2"/>
      <c r="N466" s="32">
        <v>0</v>
      </c>
      <c r="Q466" s="34">
        <v>0</v>
      </c>
      <c r="R466" s="45"/>
      <c r="S466" s="4" t="str">
        <f>IFERROR(VLOOKUP(E466,'[2]td factu si'!$A:$B,1,0),0)</f>
        <v>FE15549</v>
      </c>
      <c r="T466" s="2">
        <f>IFERROR(VLOOKUP(E466,'[2]td factu si'!$A:$B,2,0),0)*-1</f>
        <v>181246</v>
      </c>
      <c r="W466" s="36"/>
      <c r="AH466" s="3">
        <v>0</v>
      </c>
      <c r="AJ466" s="3">
        <v>0</v>
      </c>
    </row>
    <row r="467" spans="1:36" x14ac:dyDescent="0.25">
      <c r="A467">
        <v>459</v>
      </c>
      <c r="B467" s="29" t="s">
        <v>45</v>
      </c>
      <c r="C467" s="29" t="s">
        <v>46</v>
      </c>
      <c r="D467" s="4" t="str">
        <f>"15552"</f>
        <v>15552</v>
      </c>
      <c r="E467" s="4" t="str">
        <f t="shared" si="14"/>
        <v>FE15552</v>
      </c>
      <c r="F467" s="7">
        <v>44342</v>
      </c>
      <c r="G467" s="7">
        <v>44350</v>
      </c>
      <c r="H467" s="34">
        <v>976109</v>
      </c>
      <c r="I467" s="31">
        <v>976109</v>
      </c>
      <c r="J467" s="31">
        <f t="shared" si="15"/>
        <v>0</v>
      </c>
      <c r="K467" s="2"/>
      <c r="N467" s="32">
        <v>0</v>
      </c>
      <c r="Q467" s="34">
        <v>0</v>
      </c>
      <c r="R467" s="45"/>
      <c r="S467" s="4" t="str">
        <f>IFERROR(VLOOKUP(E467,'[2]td factu si'!$A:$B,1,0),0)</f>
        <v>FE15552</v>
      </c>
      <c r="T467" s="2">
        <f>IFERROR(VLOOKUP(E467,'[2]td factu si'!$A:$B,2,0),0)*-1</f>
        <v>976109</v>
      </c>
      <c r="W467" s="36"/>
      <c r="AH467" s="3">
        <v>0</v>
      </c>
      <c r="AJ467" s="3">
        <v>0</v>
      </c>
    </row>
    <row r="468" spans="1:36" x14ac:dyDescent="0.25">
      <c r="A468">
        <v>460</v>
      </c>
      <c r="B468" s="29" t="s">
        <v>45</v>
      </c>
      <c r="C468" s="29" t="s">
        <v>46</v>
      </c>
      <c r="D468" s="4" t="str">
        <f>"15566"</f>
        <v>15566</v>
      </c>
      <c r="E468" s="4" t="str">
        <f t="shared" si="14"/>
        <v>FE15566</v>
      </c>
      <c r="F468" s="7">
        <v>44342</v>
      </c>
      <c r="G468" s="7">
        <v>44350</v>
      </c>
      <c r="H468" s="34">
        <v>181246</v>
      </c>
      <c r="I468" s="31">
        <v>181246</v>
      </c>
      <c r="J468" s="31">
        <f t="shared" si="15"/>
        <v>0</v>
      </c>
      <c r="K468" s="2"/>
      <c r="N468" s="32">
        <v>0</v>
      </c>
      <c r="Q468" s="34">
        <v>0</v>
      </c>
      <c r="R468" s="45"/>
      <c r="S468" s="4" t="str">
        <f>IFERROR(VLOOKUP(E468,'[2]td factu si'!$A:$B,1,0),0)</f>
        <v>FE15566</v>
      </c>
      <c r="T468" s="2">
        <f>IFERROR(VLOOKUP(E468,'[2]td factu si'!$A:$B,2,0),0)*-1</f>
        <v>181246</v>
      </c>
      <c r="W468" s="36"/>
      <c r="X468" s="6">
        <v>181246</v>
      </c>
      <c r="AH468" s="3">
        <v>0</v>
      </c>
      <c r="AJ468" s="3">
        <v>0</v>
      </c>
    </row>
    <row r="469" spans="1:36" x14ac:dyDescent="0.25">
      <c r="A469">
        <v>461</v>
      </c>
      <c r="B469" s="29" t="s">
        <v>45</v>
      </c>
      <c r="C469" s="29" t="s">
        <v>46</v>
      </c>
      <c r="D469" s="4" t="str">
        <f>"15567"</f>
        <v>15567</v>
      </c>
      <c r="E469" s="4" t="str">
        <f t="shared" si="14"/>
        <v>FE15567</v>
      </c>
      <c r="F469" s="7">
        <v>44342</v>
      </c>
      <c r="G469" s="7">
        <v>44350</v>
      </c>
      <c r="H469" s="34">
        <v>181246</v>
      </c>
      <c r="I469" s="31">
        <v>177746</v>
      </c>
      <c r="J469" s="31">
        <f t="shared" si="15"/>
        <v>3500</v>
      </c>
      <c r="K469" s="2"/>
      <c r="N469" s="32">
        <v>0</v>
      </c>
      <c r="Q469" s="34">
        <v>0</v>
      </c>
      <c r="R469" s="45"/>
      <c r="S469" s="4">
        <f>IFERROR(VLOOKUP(E469,'[2]td factu si'!$A:$B,1,0),0)</f>
        <v>0</v>
      </c>
      <c r="T469" s="2">
        <f>IFERROR(VLOOKUP(E469,'[2]td factu si'!$A:$B,2,0),0)*-1</f>
        <v>0</v>
      </c>
      <c r="W469" s="36"/>
      <c r="X469" s="6">
        <v>177746</v>
      </c>
      <c r="AH469" s="3">
        <v>0</v>
      </c>
      <c r="AJ469" s="3">
        <v>0</v>
      </c>
    </row>
    <row r="470" spans="1:36" x14ac:dyDescent="0.25">
      <c r="A470">
        <v>462</v>
      </c>
      <c r="B470" s="29" t="s">
        <v>45</v>
      </c>
      <c r="C470" s="29" t="s">
        <v>46</v>
      </c>
      <c r="D470" s="4" t="str">
        <f>"15569"</f>
        <v>15569</v>
      </c>
      <c r="E470" s="4" t="str">
        <f t="shared" si="14"/>
        <v>FE15569</v>
      </c>
      <c r="F470" s="7">
        <v>44342</v>
      </c>
      <c r="G470" s="7">
        <v>44350</v>
      </c>
      <c r="H470" s="34">
        <v>181246</v>
      </c>
      <c r="I470" s="31">
        <v>181246</v>
      </c>
      <c r="J470" s="31">
        <f t="shared" si="15"/>
        <v>0</v>
      </c>
      <c r="K470" s="2"/>
      <c r="N470" s="32">
        <v>0</v>
      </c>
      <c r="Q470" s="34">
        <v>0</v>
      </c>
      <c r="R470" s="45"/>
      <c r="S470" s="4" t="str">
        <f>IFERROR(VLOOKUP(E470,'[2]td factu si'!$A:$B,1,0),0)</f>
        <v>FE15569</v>
      </c>
      <c r="T470" s="2">
        <f>IFERROR(VLOOKUP(E470,'[2]td factu si'!$A:$B,2,0),0)*-1</f>
        <v>181246</v>
      </c>
      <c r="W470" s="36"/>
      <c r="X470" s="6">
        <v>181246</v>
      </c>
      <c r="AH470" s="3">
        <v>0</v>
      </c>
      <c r="AJ470" s="3">
        <v>0</v>
      </c>
    </row>
    <row r="471" spans="1:36" x14ac:dyDescent="0.25">
      <c r="A471">
        <v>463</v>
      </c>
      <c r="B471" s="29" t="s">
        <v>45</v>
      </c>
      <c r="C471" s="29" t="s">
        <v>46</v>
      </c>
      <c r="D471" s="4" t="str">
        <f>"15571"</f>
        <v>15571</v>
      </c>
      <c r="E471" s="4" t="str">
        <f t="shared" si="14"/>
        <v>FE15571</v>
      </c>
      <c r="F471" s="7">
        <v>44342</v>
      </c>
      <c r="G471" s="7">
        <v>44350</v>
      </c>
      <c r="H471" s="34">
        <v>181246</v>
      </c>
      <c r="I471" s="31">
        <v>181246</v>
      </c>
      <c r="J471" s="31">
        <f t="shared" si="15"/>
        <v>0</v>
      </c>
      <c r="K471" s="2"/>
      <c r="N471" s="32">
        <v>0</v>
      </c>
      <c r="Q471" s="34">
        <v>0</v>
      </c>
      <c r="R471" s="45"/>
      <c r="S471" s="4" t="str">
        <f>IFERROR(VLOOKUP(E471,'[2]td factu si'!$A:$B,1,0),0)</f>
        <v>FE15571</v>
      </c>
      <c r="T471" s="2">
        <f>IFERROR(VLOOKUP(E471,'[2]td factu si'!$A:$B,2,0),0)*-1</f>
        <v>181246</v>
      </c>
      <c r="W471" s="36"/>
      <c r="X471" s="6">
        <v>181246</v>
      </c>
      <c r="AH471" s="3">
        <v>0</v>
      </c>
      <c r="AJ471" s="3">
        <v>0</v>
      </c>
    </row>
    <row r="472" spans="1:36" x14ac:dyDescent="0.25">
      <c r="A472">
        <v>464</v>
      </c>
      <c r="B472" s="29" t="s">
        <v>45</v>
      </c>
      <c r="C472" s="29" t="s">
        <v>46</v>
      </c>
      <c r="D472" s="4" t="str">
        <f>"15572"</f>
        <v>15572</v>
      </c>
      <c r="E472" s="4" t="str">
        <f t="shared" si="14"/>
        <v>FE15572</v>
      </c>
      <c r="F472" s="7">
        <v>44342</v>
      </c>
      <c r="G472" s="7">
        <v>44350</v>
      </c>
      <c r="H472" s="34">
        <v>181246</v>
      </c>
      <c r="I472" s="31">
        <v>181246</v>
      </c>
      <c r="J472" s="31">
        <f t="shared" si="15"/>
        <v>0</v>
      </c>
      <c r="K472" s="2"/>
      <c r="N472" s="32">
        <v>0</v>
      </c>
      <c r="Q472" s="34">
        <v>0</v>
      </c>
      <c r="R472" s="45"/>
      <c r="S472" s="4" t="str">
        <f>IFERROR(VLOOKUP(E472,'[2]td factu si'!$A:$B,1,0),0)</f>
        <v>FE15572</v>
      </c>
      <c r="T472" s="2">
        <f>IFERROR(VLOOKUP(E472,'[2]td factu si'!$A:$B,2,0),0)*-1</f>
        <v>181246</v>
      </c>
      <c r="W472" s="36"/>
      <c r="X472" s="6">
        <v>181246</v>
      </c>
      <c r="AH472" s="3">
        <v>0</v>
      </c>
      <c r="AJ472" s="3">
        <v>0</v>
      </c>
    </row>
    <row r="473" spans="1:36" x14ac:dyDescent="0.25">
      <c r="A473">
        <v>465</v>
      </c>
      <c r="B473" s="29" t="s">
        <v>45</v>
      </c>
      <c r="C473" s="29" t="s">
        <v>46</v>
      </c>
      <c r="D473" s="4" t="str">
        <f>"15573"</f>
        <v>15573</v>
      </c>
      <c r="E473" s="4" t="str">
        <f t="shared" si="14"/>
        <v>FE15573</v>
      </c>
      <c r="F473" s="7">
        <v>44342</v>
      </c>
      <c r="G473" s="7">
        <v>44350</v>
      </c>
      <c r="H473" s="34">
        <v>181246</v>
      </c>
      <c r="I473" s="31">
        <v>181246</v>
      </c>
      <c r="J473" s="31">
        <f t="shared" si="15"/>
        <v>0</v>
      </c>
      <c r="K473" s="2"/>
      <c r="N473" s="32">
        <v>0</v>
      </c>
      <c r="Q473" s="34">
        <v>0</v>
      </c>
      <c r="R473" s="45"/>
      <c r="S473" s="4" t="str">
        <f>IFERROR(VLOOKUP(E473,'[2]td factu si'!$A:$B,1,0),0)</f>
        <v>FE15573</v>
      </c>
      <c r="T473" s="2">
        <f>IFERROR(VLOOKUP(E473,'[2]td factu si'!$A:$B,2,0),0)*-1</f>
        <v>181246</v>
      </c>
      <c r="W473" s="36"/>
      <c r="X473" s="6">
        <v>181246</v>
      </c>
      <c r="AH473" s="3">
        <v>0</v>
      </c>
      <c r="AJ473" s="3">
        <v>0</v>
      </c>
    </row>
    <row r="474" spans="1:36" x14ac:dyDescent="0.25">
      <c r="A474">
        <v>466</v>
      </c>
      <c r="B474" s="29" t="s">
        <v>45</v>
      </c>
      <c r="C474" s="29" t="s">
        <v>46</v>
      </c>
      <c r="D474" s="4" t="str">
        <f>"15576"</f>
        <v>15576</v>
      </c>
      <c r="E474" s="4" t="str">
        <f t="shared" si="14"/>
        <v>FE15576</v>
      </c>
      <c r="F474" s="7">
        <v>44342</v>
      </c>
      <c r="G474" s="7">
        <v>44350</v>
      </c>
      <c r="H474" s="34">
        <v>339170</v>
      </c>
      <c r="I474" s="31">
        <v>339170</v>
      </c>
      <c r="J474" s="31">
        <f t="shared" si="15"/>
        <v>0</v>
      </c>
      <c r="K474" s="2"/>
      <c r="N474" s="32">
        <v>0</v>
      </c>
      <c r="Q474" s="34">
        <v>0</v>
      </c>
      <c r="R474" s="45"/>
      <c r="S474" s="4" t="str">
        <f>IFERROR(VLOOKUP(E474,'[2]td factu si'!$A:$B,1,0),0)</f>
        <v>FE15576</v>
      </c>
      <c r="T474" s="2">
        <f>IFERROR(VLOOKUP(E474,'[2]td factu si'!$A:$B,2,0),0)*-1</f>
        <v>339170</v>
      </c>
      <c r="W474" s="36"/>
      <c r="AH474" s="3">
        <v>0</v>
      </c>
      <c r="AJ474" s="3">
        <v>0</v>
      </c>
    </row>
    <row r="475" spans="1:36" x14ac:dyDescent="0.25">
      <c r="A475">
        <v>467</v>
      </c>
      <c r="B475" s="29" t="s">
        <v>45</v>
      </c>
      <c r="C475" s="29" t="s">
        <v>46</v>
      </c>
      <c r="D475" s="4" t="str">
        <f>"15577"</f>
        <v>15577</v>
      </c>
      <c r="E475" s="4" t="str">
        <f t="shared" si="14"/>
        <v>FE15577</v>
      </c>
      <c r="F475" s="7">
        <v>44342</v>
      </c>
      <c r="G475" s="7">
        <v>44350</v>
      </c>
      <c r="H475" s="34">
        <v>27838473</v>
      </c>
      <c r="I475" s="31">
        <v>27838473</v>
      </c>
      <c r="J475" s="31">
        <f t="shared" si="15"/>
        <v>0</v>
      </c>
      <c r="K475" s="2"/>
      <c r="N475" s="32">
        <v>0</v>
      </c>
      <c r="Q475" s="34">
        <v>0</v>
      </c>
      <c r="R475" s="45"/>
      <c r="S475" s="4" t="str">
        <f>IFERROR(VLOOKUP(E475,'[2]td factu si'!$A:$B,1,0),0)</f>
        <v>FE15577</v>
      </c>
      <c r="T475" s="2">
        <f>IFERROR(VLOOKUP(E475,'[2]td factu si'!$A:$B,2,0),0)*-1</f>
        <v>27838473</v>
      </c>
      <c r="W475" s="36"/>
      <c r="AH475" s="3">
        <v>0</v>
      </c>
      <c r="AJ475" s="3">
        <v>0</v>
      </c>
    </row>
    <row r="476" spans="1:36" x14ac:dyDescent="0.25">
      <c r="A476">
        <v>468</v>
      </c>
      <c r="B476" s="29" t="s">
        <v>45</v>
      </c>
      <c r="C476" s="29" t="s">
        <v>46</v>
      </c>
      <c r="D476" s="4" t="str">
        <f>"15580"</f>
        <v>15580</v>
      </c>
      <c r="E476" s="4" t="str">
        <f t="shared" si="14"/>
        <v>FE15580</v>
      </c>
      <c r="F476" s="7">
        <v>44342</v>
      </c>
      <c r="G476" s="7">
        <v>44350</v>
      </c>
      <c r="H476" s="34">
        <v>11193659</v>
      </c>
      <c r="I476" s="31">
        <v>11193659</v>
      </c>
      <c r="J476" s="31">
        <f t="shared" si="15"/>
        <v>0</v>
      </c>
      <c r="K476" s="2"/>
      <c r="N476" s="32">
        <v>0</v>
      </c>
      <c r="Q476" s="34">
        <v>0</v>
      </c>
      <c r="R476" s="45"/>
      <c r="S476" s="4" t="str">
        <f>IFERROR(VLOOKUP(E476,'[2]td factu si'!$A:$B,1,0),0)</f>
        <v>FE15580</v>
      </c>
      <c r="T476" s="2">
        <f>IFERROR(VLOOKUP(E476,'[2]td factu si'!$A:$B,2,0),0)*-1</f>
        <v>11193659</v>
      </c>
      <c r="W476" s="36"/>
      <c r="AH476" s="3">
        <v>0</v>
      </c>
      <c r="AJ476" s="3">
        <v>0</v>
      </c>
    </row>
    <row r="477" spans="1:36" x14ac:dyDescent="0.25">
      <c r="A477">
        <v>469</v>
      </c>
      <c r="B477" s="29" t="s">
        <v>45</v>
      </c>
      <c r="C477" s="29" t="s">
        <v>46</v>
      </c>
      <c r="D477" s="4" t="str">
        <f>"15584"</f>
        <v>15584</v>
      </c>
      <c r="E477" s="4" t="str">
        <f t="shared" si="14"/>
        <v>FE15584</v>
      </c>
      <c r="F477" s="7">
        <v>44342</v>
      </c>
      <c r="G477" s="7">
        <v>44350</v>
      </c>
      <c r="H477" s="34">
        <v>339170</v>
      </c>
      <c r="I477" s="31">
        <v>339170</v>
      </c>
      <c r="J477" s="31">
        <f t="shared" si="15"/>
        <v>0</v>
      </c>
      <c r="K477" s="2"/>
      <c r="N477" s="32">
        <v>0</v>
      </c>
      <c r="Q477" s="34">
        <v>0</v>
      </c>
      <c r="R477" s="45"/>
      <c r="S477" s="4" t="str">
        <f>IFERROR(VLOOKUP(E477,'[2]td factu si'!$A:$B,1,0),0)</f>
        <v>FE15584</v>
      </c>
      <c r="T477" s="2">
        <f>IFERROR(VLOOKUP(E477,'[2]td factu si'!$A:$B,2,0),0)*-1</f>
        <v>339170</v>
      </c>
      <c r="W477" s="36"/>
      <c r="X477" s="6">
        <v>339170</v>
      </c>
      <c r="AH477" s="3">
        <v>0</v>
      </c>
      <c r="AJ477" s="3">
        <v>0</v>
      </c>
    </row>
    <row r="478" spans="1:36" x14ac:dyDescent="0.25">
      <c r="A478">
        <v>470</v>
      </c>
      <c r="B478" s="29" t="s">
        <v>45</v>
      </c>
      <c r="C478" s="29" t="s">
        <v>46</v>
      </c>
      <c r="D478" s="4" t="str">
        <f>"15589"</f>
        <v>15589</v>
      </c>
      <c r="E478" s="4" t="str">
        <f t="shared" si="14"/>
        <v>FE15589</v>
      </c>
      <c r="F478" s="7">
        <v>44342</v>
      </c>
      <c r="G478" s="7">
        <v>44350</v>
      </c>
      <c r="H478" s="34">
        <v>3032359</v>
      </c>
      <c r="I478" s="31">
        <v>3032359</v>
      </c>
      <c r="J478" s="31">
        <f t="shared" si="15"/>
        <v>0</v>
      </c>
      <c r="K478" s="2"/>
      <c r="N478" s="32">
        <v>0</v>
      </c>
      <c r="Q478" s="34">
        <v>0</v>
      </c>
      <c r="R478" s="45"/>
      <c r="S478" s="4" t="str">
        <f>IFERROR(VLOOKUP(E478,'[2]td factu si'!$A:$B,1,0),0)</f>
        <v>FE15589</v>
      </c>
      <c r="T478" s="2">
        <f>IFERROR(VLOOKUP(E478,'[2]td factu si'!$A:$B,2,0),0)*-1</f>
        <v>3032359</v>
      </c>
      <c r="W478" s="36"/>
      <c r="AH478" s="3">
        <v>0</v>
      </c>
      <c r="AJ478" s="3">
        <v>0</v>
      </c>
    </row>
    <row r="479" spans="1:36" x14ac:dyDescent="0.25">
      <c r="A479">
        <v>471</v>
      </c>
      <c r="B479" s="29" t="s">
        <v>45</v>
      </c>
      <c r="C479" s="29" t="s">
        <v>46</v>
      </c>
      <c r="D479" s="4" t="str">
        <f>"15595"</f>
        <v>15595</v>
      </c>
      <c r="E479" s="4" t="str">
        <f t="shared" si="14"/>
        <v>FE15595</v>
      </c>
      <c r="F479" s="7">
        <v>44342</v>
      </c>
      <c r="G479" s="7">
        <v>44350</v>
      </c>
      <c r="H479" s="34">
        <v>196179</v>
      </c>
      <c r="I479" s="31">
        <v>176561</v>
      </c>
      <c r="J479" s="31">
        <f t="shared" si="15"/>
        <v>19618</v>
      </c>
      <c r="K479" s="2"/>
      <c r="N479" s="32">
        <v>0</v>
      </c>
      <c r="Q479" s="34">
        <v>0</v>
      </c>
      <c r="R479" s="45"/>
      <c r="S479" s="4" t="str">
        <f>IFERROR(VLOOKUP(E479,'[2]td factu si'!$A:$B,1,0),0)</f>
        <v>FE15595</v>
      </c>
      <c r="T479" s="2">
        <f>IFERROR(VLOOKUP(E479,'[2]td factu si'!$A:$B,2,0),0)*-1</f>
        <v>176561</v>
      </c>
      <c r="W479" s="36"/>
      <c r="AH479" s="3">
        <v>0</v>
      </c>
      <c r="AJ479" s="3">
        <v>0</v>
      </c>
    </row>
    <row r="480" spans="1:36" x14ac:dyDescent="0.25">
      <c r="A480">
        <v>472</v>
      </c>
      <c r="B480" s="29" t="s">
        <v>45</v>
      </c>
      <c r="C480" s="29" t="s">
        <v>46</v>
      </c>
      <c r="D480" s="4" t="str">
        <f>"15598"</f>
        <v>15598</v>
      </c>
      <c r="E480" s="4" t="str">
        <f t="shared" si="14"/>
        <v>FE15598</v>
      </c>
      <c r="F480" s="7">
        <v>44342</v>
      </c>
      <c r="G480" s="7">
        <v>44350</v>
      </c>
      <c r="H480" s="34">
        <v>339170</v>
      </c>
      <c r="I480" s="31">
        <v>339170</v>
      </c>
      <c r="J480" s="31">
        <f t="shared" si="15"/>
        <v>0</v>
      </c>
      <c r="K480" s="2"/>
      <c r="N480" s="32">
        <v>0</v>
      </c>
      <c r="Q480" s="34">
        <v>0</v>
      </c>
      <c r="R480" s="45"/>
      <c r="S480" s="4" t="str">
        <f>IFERROR(VLOOKUP(E480,'[2]td factu si'!$A:$B,1,0),0)</f>
        <v>FE15598</v>
      </c>
      <c r="T480" s="2">
        <f>IFERROR(VLOOKUP(E480,'[2]td factu si'!$A:$B,2,0),0)*-1</f>
        <v>339170</v>
      </c>
      <c r="W480" s="36"/>
      <c r="AH480" s="3">
        <v>0</v>
      </c>
      <c r="AJ480" s="3">
        <v>0</v>
      </c>
    </row>
    <row r="481" spans="1:36" x14ac:dyDescent="0.25">
      <c r="A481">
        <v>473</v>
      </c>
      <c r="B481" s="29" t="s">
        <v>45</v>
      </c>
      <c r="C481" s="29" t="s">
        <v>46</v>
      </c>
      <c r="D481" s="4" t="str">
        <f>"15599"</f>
        <v>15599</v>
      </c>
      <c r="E481" s="4" t="str">
        <f t="shared" si="14"/>
        <v>FE15599</v>
      </c>
      <c r="F481" s="7">
        <v>44342</v>
      </c>
      <c r="G481" s="7">
        <v>44350</v>
      </c>
      <c r="H481" s="34">
        <v>15489</v>
      </c>
      <c r="I481" s="31">
        <v>15489</v>
      </c>
      <c r="J481" s="31">
        <f t="shared" si="15"/>
        <v>0</v>
      </c>
      <c r="K481" s="2"/>
      <c r="N481" s="32">
        <v>0</v>
      </c>
      <c r="Q481" s="34">
        <v>0</v>
      </c>
      <c r="R481" s="45"/>
      <c r="S481" s="4" t="str">
        <f>IFERROR(VLOOKUP(E481,'[2]td factu si'!$A:$B,1,0),0)</f>
        <v>FE15599</v>
      </c>
      <c r="T481" s="2">
        <f>IFERROR(VLOOKUP(E481,'[2]td factu si'!$A:$B,2,0),0)*-1</f>
        <v>15489</v>
      </c>
      <c r="W481" s="36"/>
      <c r="AH481" s="3">
        <v>0</v>
      </c>
      <c r="AJ481" s="3">
        <v>0</v>
      </c>
    </row>
    <row r="482" spans="1:36" x14ac:dyDescent="0.25">
      <c r="A482">
        <v>474</v>
      </c>
      <c r="B482" s="29" t="s">
        <v>45</v>
      </c>
      <c r="C482" s="29" t="s">
        <v>46</v>
      </c>
      <c r="D482" s="4" t="str">
        <f>"15601"</f>
        <v>15601</v>
      </c>
      <c r="E482" s="4" t="str">
        <f t="shared" si="14"/>
        <v>FE15601</v>
      </c>
      <c r="F482" s="7">
        <v>44342</v>
      </c>
      <c r="G482" s="7">
        <v>44350</v>
      </c>
      <c r="H482" s="34">
        <v>15489</v>
      </c>
      <c r="I482" s="31">
        <v>15489</v>
      </c>
      <c r="J482" s="31">
        <f t="shared" si="15"/>
        <v>0</v>
      </c>
      <c r="K482" s="2"/>
      <c r="N482" s="32">
        <v>0</v>
      </c>
      <c r="Q482" s="34">
        <v>0</v>
      </c>
      <c r="R482" s="45"/>
      <c r="S482" s="4" t="str">
        <f>IFERROR(VLOOKUP(E482,'[2]td factu si'!$A:$B,1,0),0)</f>
        <v>FE15601</v>
      </c>
      <c r="T482" s="2">
        <f>IFERROR(VLOOKUP(E482,'[2]td factu si'!$A:$B,2,0),0)*-1</f>
        <v>15489</v>
      </c>
      <c r="W482" s="36"/>
      <c r="AH482" s="3">
        <v>0</v>
      </c>
      <c r="AJ482" s="3">
        <v>0</v>
      </c>
    </row>
    <row r="483" spans="1:36" x14ac:dyDescent="0.25">
      <c r="A483">
        <v>475</v>
      </c>
      <c r="B483" s="29" t="s">
        <v>45</v>
      </c>
      <c r="C483" s="29" t="s">
        <v>46</v>
      </c>
      <c r="D483" s="4" t="str">
        <f>"15603"</f>
        <v>15603</v>
      </c>
      <c r="E483" s="4" t="str">
        <f t="shared" si="14"/>
        <v>FE15603</v>
      </c>
      <c r="F483" s="7">
        <v>44342</v>
      </c>
      <c r="G483" s="7">
        <v>44350</v>
      </c>
      <c r="H483" s="34">
        <v>15489</v>
      </c>
      <c r="I483" s="31">
        <v>15489</v>
      </c>
      <c r="J483" s="31">
        <f t="shared" si="15"/>
        <v>0</v>
      </c>
      <c r="K483" s="2"/>
      <c r="N483" s="32">
        <v>0</v>
      </c>
      <c r="Q483" s="34">
        <v>0</v>
      </c>
      <c r="R483" s="45"/>
      <c r="S483" s="4" t="str">
        <f>IFERROR(VLOOKUP(E483,'[2]td factu si'!$A:$B,1,0),0)</f>
        <v>FE15603</v>
      </c>
      <c r="T483" s="2">
        <f>IFERROR(VLOOKUP(E483,'[2]td factu si'!$A:$B,2,0),0)*-1</f>
        <v>15489</v>
      </c>
      <c r="W483" s="36"/>
      <c r="AH483" s="3">
        <v>0</v>
      </c>
      <c r="AJ483" s="3">
        <v>0</v>
      </c>
    </row>
    <row r="484" spans="1:36" x14ac:dyDescent="0.25">
      <c r="A484">
        <v>476</v>
      </c>
      <c r="B484" s="29" t="s">
        <v>45</v>
      </c>
      <c r="C484" s="29" t="s">
        <v>46</v>
      </c>
      <c r="D484" s="4" t="str">
        <f>"15605"</f>
        <v>15605</v>
      </c>
      <c r="E484" s="4" t="str">
        <f t="shared" si="14"/>
        <v>FE15605</v>
      </c>
      <c r="F484" s="7">
        <v>44342</v>
      </c>
      <c r="G484" s="7">
        <v>44350</v>
      </c>
      <c r="H484" s="34">
        <v>15764202</v>
      </c>
      <c r="I484" s="31">
        <v>15764202</v>
      </c>
      <c r="J484" s="31">
        <f t="shared" si="15"/>
        <v>0</v>
      </c>
      <c r="K484" s="2"/>
      <c r="N484" s="32">
        <v>0</v>
      </c>
      <c r="Q484" s="34">
        <v>0</v>
      </c>
      <c r="R484" s="45"/>
      <c r="S484" s="4" t="str">
        <f>IFERROR(VLOOKUP(E484,'[2]td factu si'!$A:$B,1,0),0)</f>
        <v>FE15605</v>
      </c>
      <c r="T484" s="2">
        <f>IFERROR(VLOOKUP(E484,'[2]td factu si'!$A:$B,2,0),0)*-1</f>
        <v>15764202</v>
      </c>
      <c r="W484" s="36"/>
      <c r="AH484" s="3">
        <v>0</v>
      </c>
      <c r="AJ484" s="3">
        <v>0</v>
      </c>
    </row>
    <row r="485" spans="1:36" x14ac:dyDescent="0.25">
      <c r="A485">
        <v>477</v>
      </c>
      <c r="B485" s="29" t="s">
        <v>45</v>
      </c>
      <c r="C485" s="29" t="s">
        <v>46</v>
      </c>
      <c r="D485" s="4" t="str">
        <f>"15606"</f>
        <v>15606</v>
      </c>
      <c r="E485" s="4" t="str">
        <f t="shared" si="14"/>
        <v>FE15606</v>
      </c>
      <c r="F485" s="7">
        <v>44343</v>
      </c>
      <c r="G485" s="7">
        <v>44351</v>
      </c>
      <c r="H485" s="34">
        <v>2944610</v>
      </c>
      <c r="I485" s="31">
        <v>2944610</v>
      </c>
      <c r="J485" s="31">
        <f t="shared" si="15"/>
        <v>0</v>
      </c>
      <c r="K485" s="2"/>
      <c r="N485" s="32">
        <v>0</v>
      </c>
      <c r="Q485" s="34">
        <v>0</v>
      </c>
      <c r="R485" s="45"/>
      <c r="S485" s="4" t="str">
        <f>IFERROR(VLOOKUP(E485,'[2]td factu si'!$A:$B,1,0),0)</f>
        <v>FE15606</v>
      </c>
      <c r="T485" s="2">
        <f>IFERROR(VLOOKUP(E485,'[2]td factu si'!$A:$B,2,0),0)*-1</f>
        <v>2944610</v>
      </c>
      <c r="W485" s="36"/>
      <c r="AH485" s="3">
        <v>0</v>
      </c>
      <c r="AJ485" s="3">
        <v>0</v>
      </c>
    </row>
    <row r="486" spans="1:36" x14ac:dyDescent="0.25">
      <c r="A486">
        <v>478</v>
      </c>
      <c r="B486" s="29" t="s">
        <v>45</v>
      </c>
      <c r="C486" s="29" t="s">
        <v>46</v>
      </c>
      <c r="D486" s="4" t="str">
        <f>"15610"</f>
        <v>15610</v>
      </c>
      <c r="E486" s="4" t="str">
        <f t="shared" si="14"/>
        <v>FE15610</v>
      </c>
      <c r="F486" s="7">
        <v>44343</v>
      </c>
      <c r="G486" s="7">
        <v>44350</v>
      </c>
      <c r="H486" s="34">
        <v>317101</v>
      </c>
      <c r="I486" s="31">
        <v>310101</v>
      </c>
      <c r="J486" s="31">
        <f t="shared" si="15"/>
        <v>7000</v>
      </c>
      <c r="K486" s="2"/>
      <c r="N486" s="32">
        <v>0</v>
      </c>
      <c r="Q486" s="34">
        <v>0</v>
      </c>
      <c r="R486" s="45"/>
      <c r="S486" s="4">
        <f>IFERROR(VLOOKUP(E486,'[2]td factu si'!$A:$B,1,0),0)</f>
        <v>0</v>
      </c>
      <c r="T486" s="2">
        <f>IFERROR(VLOOKUP(E486,'[2]td factu si'!$A:$B,2,0),0)*-1</f>
        <v>0</v>
      </c>
      <c r="W486" s="36"/>
      <c r="X486" s="6">
        <v>310101</v>
      </c>
      <c r="AH486" s="3">
        <v>0</v>
      </c>
      <c r="AJ486" s="3">
        <v>0</v>
      </c>
    </row>
    <row r="487" spans="1:36" x14ac:dyDescent="0.25">
      <c r="A487">
        <v>479</v>
      </c>
      <c r="B487" s="29" t="s">
        <v>45</v>
      </c>
      <c r="C487" s="29" t="s">
        <v>46</v>
      </c>
      <c r="D487" s="4" t="str">
        <f>"15616"</f>
        <v>15616</v>
      </c>
      <c r="E487" s="4" t="str">
        <f t="shared" si="14"/>
        <v>FE15616</v>
      </c>
      <c r="F487" s="7">
        <v>44343</v>
      </c>
      <c r="G487" s="7">
        <v>44350</v>
      </c>
      <c r="H487" s="34">
        <v>339170</v>
      </c>
      <c r="I487" s="31">
        <v>339170</v>
      </c>
      <c r="J487" s="31">
        <f t="shared" si="15"/>
        <v>0</v>
      </c>
      <c r="K487" s="2"/>
      <c r="N487" s="32">
        <v>0</v>
      </c>
      <c r="Q487" s="34">
        <v>0</v>
      </c>
      <c r="R487" s="45"/>
      <c r="S487" s="4" t="str">
        <f>IFERROR(VLOOKUP(E487,'[2]td factu si'!$A:$B,1,0),0)</f>
        <v>FE15616</v>
      </c>
      <c r="T487" s="2">
        <f>IFERROR(VLOOKUP(E487,'[2]td factu si'!$A:$B,2,0),0)*-1</f>
        <v>339170</v>
      </c>
      <c r="W487" s="36"/>
      <c r="X487" s="6">
        <v>339170</v>
      </c>
      <c r="AH487" s="3">
        <v>0</v>
      </c>
      <c r="AJ487" s="3">
        <v>0</v>
      </c>
    </row>
    <row r="488" spans="1:36" x14ac:dyDescent="0.25">
      <c r="A488">
        <v>480</v>
      </c>
      <c r="B488" s="29" t="s">
        <v>45</v>
      </c>
      <c r="C488" s="29" t="s">
        <v>46</v>
      </c>
      <c r="D488" s="4" t="str">
        <f>"15618"</f>
        <v>15618</v>
      </c>
      <c r="E488" s="4" t="str">
        <f t="shared" si="14"/>
        <v>FE15618</v>
      </c>
      <c r="F488" s="7">
        <v>44343</v>
      </c>
      <c r="G488" s="7">
        <v>44350</v>
      </c>
      <c r="H488" s="34">
        <v>181246</v>
      </c>
      <c r="I488" s="31">
        <v>181246</v>
      </c>
      <c r="J488" s="31">
        <f t="shared" si="15"/>
        <v>0</v>
      </c>
      <c r="K488" s="2"/>
      <c r="N488" s="32">
        <v>0</v>
      </c>
      <c r="Q488" s="34">
        <v>0</v>
      </c>
      <c r="R488" s="45"/>
      <c r="S488" s="4" t="str">
        <f>IFERROR(VLOOKUP(E488,'[2]td factu si'!$A:$B,1,0),0)</f>
        <v>FE15618</v>
      </c>
      <c r="T488" s="2">
        <f>IFERROR(VLOOKUP(E488,'[2]td factu si'!$A:$B,2,0),0)*-1</f>
        <v>181246</v>
      </c>
      <c r="W488" s="36"/>
      <c r="AH488" s="3">
        <v>0</v>
      </c>
      <c r="AJ488" s="3">
        <v>0</v>
      </c>
    </row>
    <row r="489" spans="1:36" x14ac:dyDescent="0.25">
      <c r="A489">
        <v>481</v>
      </c>
      <c r="B489" s="29" t="s">
        <v>45</v>
      </c>
      <c r="C489" s="29" t="s">
        <v>46</v>
      </c>
      <c r="D489" s="4" t="str">
        <f>"15620"</f>
        <v>15620</v>
      </c>
      <c r="E489" s="4" t="str">
        <f t="shared" si="14"/>
        <v>FE15620</v>
      </c>
      <c r="F489" s="7">
        <v>44343</v>
      </c>
      <c r="G489" s="7">
        <v>44350</v>
      </c>
      <c r="H489" s="34">
        <v>181246</v>
      </c>
      <c r="I489" s="31">
        <v>181246</v>
      </c>
      <c r="J489" s="31">
        <f t="shared" si="15"/>
        <v>0</v>
      </c>
      <c r="K489" s="2"/>
      <c r="N489" s="32">
        <v>0</v>
      </c>
      <c r="Q489" s="34">
        <v>0</v>
      </c>
      <c r="R489" s="45"/>
      <c r="S489" s="4" t="str">
        <f>IFERROR(VLOOKUP(E489,'[2]td factu si'!$A:$B,1,0),0)</f>
        <v>FE15620</v>
      </c>
      <c r="T489" s="2">
        <f>IFERROR(VLOOKUP(E489,'[2]td factu si'!$A:$B,2,0),0)*-1</f>
        <v>181246</v>
      </c>
      <c r="W489" s="36"/>
      <c r="AH489" s="3">
        <v>0</v>
      </c>
      <c r="AJ489" s="3">
        <v>0</v>
      </c>
    </row>
    <row r="490" spans="1:36" x14ac:dyDescent="0.25">
      <c r="A490">
        <v>482</v>
      </c>
      <c r="B490" s="29" t="s">
        <v>45</v>
      </c>
      <c r="C490" s="29" t="s">
        <v>46</v>
      </c>
      <c r="D490" s="4" t="str">
        <f>"15621"</f>
        <v>15621</v>
      </c>
      <c r="E490" s="4" t="str">
        <f t="shared" si="14"/>
        <v>FE15621</v>
      </c>
      <c r="F490" s="7">
        <v>44343</v>
      </c>
      <c r="G490" s="7">
        <v>44350</v>
      </c>
      <c r="H490" s="34">
        <v>181246</v>
      </c>
      <c r="I490" s="31">
        <v>181246</v>
      </c>
      <c r="J490" s="31">
        <f t="shared" si="15"/>
        <v>0</v>
      </c>
      <c r="K490" s="2"/>
      <c r="N490" s="32">
        <v>0</v>
      </c>
      <c r="Q490" s="34">
        <v>0</v>
      </c>
      <c r="R490" s="45"/>
      <c r="S490" s="4" t="str">
        <f>IFERROR(VLOOKUP(E490,'[2]td factu si'!$A:$B,1,0),0)</f>
        <v>FE15621</v>
      </c>
      <c r="T490" s="2">
        <f>IFERROR(VLOOKUP(E490,'[2]td factu si'!$A:$B,2,0),0)*-1</f>
        <v>181246</v>
      </c>
      <c r="W490" s="36"/>
      <c r="AH490" s="3">
        <v>0</v>
      </c>
      <c r="AJ490" s="3">
        <v>0</v>
      </c>
    </row>
    <row r="491" spans="1:36" x14ac:dyDescent="0.25">
      <c r="A491">
        <v>483</v>
      </c>
      <c r="B491" s="29" t="s">
        <v>45</v>
      </c>
      <c r="C491" s="29" t="s">
        <v>46</v>
      </c>
      <c r="D491" s="4" t="str">
        <f>"15624"</f>
        <v>15624</v>
      </c>
      <c r="E491" s="4" t="str">
        <f t="shared" si="14"/>
        <v>FE15624</v>
      </c>
      <c r="F491" s="7">
        <v>44343</v>
      </c>
      <c r="G491" s="7">
        <v>44350</v>
      </c>
      <c r="H491" s="34">
        <v>181246</v>
      </c>
      <c r="I491" s="31">
        <v>181246</v>
      </c>
      <c r="J491" s="31">
        <f t="shared" si="15"/>
        <v>0</v>
      </c>
      <c r="K491" s="2"/>
      <c r="N491" s="32">
        <v>0</v>
      </c>
      <c r="Q491" s="34">
        <v>0</v>
      </c>
      <c r="R491" s="45"/>
      <c r="S491" s="4" t="str">
        <f>IFERROR(VLOOKUP(E491,'[2]td factu si'!$A:$B,1,0),0)</f>
        <v>FE15624</v>
      </c>
      <c r="T491" s="2">
        <f>IFERROR(VLOOKUP(E491,'[2]td factu si'!$A:$B,2,0),0)*-1</f>
        <v>181246</v>
      </c>
      <c r="W491" s="36"/>
      <c r="X491" s="6">
        <v>181246</v>
      </c>
      <c r="AH491" s="3">
        <v>0</v>
      </c>
      <c r="AJ491" s="3">
        <v>0</v>
      </c>
    </row>
    <row r="492" spans="1:36" x14ac:dyDescent="0.25">
      <c r="A492">
        <v>484</v>
      </c>
      <c r="B492" s="29" t="s">
        <v>45</v>
      </c>
      <c r="C492" s="29" t="s">
        <v>46</v>
      </c>
      <c r="D492" s="4" t="str">
        <f>"15627"</f>
        <v>15627</v>
      </c>
      <c r="E492" s="4" t="str">
        <f t="shared" si="14"/>
        <v>FE15627</v>
      </c>
      <c r="F492" s="7">
        <v>44343</v>
      </c>
      <c r="G492" s="7">
        <v>44350</v>
      </c>
      <c r="H492" s="34">
        <v>135855</v>
      </c>
      <c r="I492" s="31">
        <v>122270</v>
      </c>
      <c r="J492" s="31">
        <f t="shared" si="15"/>
        <v>13585</v>
      </c>
      <c r="K492" s="2"/>
      <c r="N492" s="32">
        <v>0</v>
      </c>
      <c r="Q492" s="34">
        <v>0</v>
      </c>
      <c r="R492" s="45"/>
      <c r="S492" s="4" t="str">
        <f>IFERROR(VLOOKUP(E492,'[2]td factu si'!$A:$B,1,0),0)</f>
        <v>FE15627</v>
      </c>
      <c r="T492" s="2">
        <f>IFERROR(VLOOKUP(E492,'[2]td factu si'!$A:$B,2,0),0)*-1</f>
        <v>122270</v>
      </c>
      <c r="W492" s="36"/>
      <c r="AH492" s="3">
        <v>0</v>
      </c>
      <c r="AJ492" s="3">
        <v>0</v>
      </c>
    </row>
    <row r="493" spans="1:36" x14ac:dyDescent="0.25">
      <c r="A493">
        <v>485</v>
      </c>
      <c r="B493" s="29" t="s">
        <v>45</v>
      </c>
      <c r="C493" s="29" t="s">
        <v>46</v>
      </c>
      <c r="D493" s="4" t="str">
        <f>"15628"</f>
        <v>15628</v>
      </c>
      <c r="E493" s="4" t="str">
        <f t="shared" si="14"/>
        <v>FE15628</v>
      </c>
      <c r="F493" s="7">
        <v>44343</v>
      </c>
      <c r="G493" s="7">
        <v>44351</v>
      </c>
      <c r="H493" s="34">
        <v>135855</v>
      </c>
      <c r="I493" s="31">
        <v>120232</v>
      </c>
      <c r="J493" s="31">
        <f t="shared" si="15"/>
        <v>15623</v>
      </c>
      <c r="K493" s="2"/>
      <c r="N493" s="32">
        <v>0</v>
      </c>
      <c r="Q493" s="34">
        <v>0</v>
      </c>
      <c r="R493" s="45"/>
      <c r="S493" s="4" t="str">
        <f>IFERROR(VLOOKUP(E493,'[2]td factu si'!$A:$B,1,0),0)</f>
        <v>FE15628</v>
      </c>
      <c r="T493" s="2">
        <f>IFERROR(VLOOKUP(E493,'[2]td factu si'!$A:$B,2,0),0)*-1</f>
        <v>120232</v>
      </c>
      <c r="W493" s="36"/>
      <c r="AH493" s="3">
        <v>0</v>
      </c>
      <c r="AJ493" s="3">
        <v>0</v>
      </c>
    </row>
    <row r="494" spans="1:36" x14ac:dyDescent="0.25">
      <c r="A494">
        <v>486</v>
      </c>
      <c r="B494" s="29" t="s">
        <v>45</v>
      </c>
      <c r="C494" s="29" t="s">
        <v>46</v>
      </c>
      <c r="D494" s="4" t="str">
        <f>"15636"</f>
        <v>15636</v>
      </c>
      <c r="E494" s="4" t="str">
        <f t="shared" si="14"/>
        <v>FE15636</v>
      </c>
      <c r="F494" s="7">
        <v>44343</v>
      </c>
      <c r="G494" s="7">
        <v>44350</v>
      </c>
      <c r="H494" s="34">
        <v>196735</v>
      </c>
      <c r="I494" s="31">
        <v>177062</v>
      </c>
      <c r="J494" s="31">
        <f t="shared" si="15"/>
        <v>19673</v>
      </c>
      <c r="K494" s="2"/>
      <c r="N494" s="32">
        <v>0</v>
      </c>
      <c r="Q494" s="34">
        <v>0</v>
      </c>
      <c r="R494" s="45"/>
      <c r="S494" s="4">
        <f>IFERROR(VLOOKUP(E494,'[2]td factu si'!$A:$B,1,0),0)</f>
        <v>0</v>
      </c>
      <c r="T494" s="2">
        <f>IFERROR(VLOOKUP(E494,'[2]td factu si'!$A:$B,2,0),0)*-1</f>
        <v>0</v>
      </c>
      <c r="W494" s="36"/>
      <c r="X494" s="6">
        <v>177062</v>
      </c>
      <c r="AH494" s="3">
        <v>0</v>
      </c>
      <c r="AJ494" s="3">
        <v>0</v>
      </c>
    </row>
    <row r="495" spans="1:36" x14ac:dyDescent="0.25">
      <c r="A495">
        <v>487</v>
      </c>
      <c r="B495" s="29" t="s">
        <v>45</v>
      </c>
      <c r="C495" s="29" t="s">
        <v>46</v>
      </c>
      <c r="D495" s="4" t="str">
        <f>"15637"</f>
        <v>15637</v>
      </c>
      <c r="E495" s="4" t="str">
        <f t="shared" si="14"/>
        <v>FE15637</v>
      </c>
      <c r="F495" s="7">
        <v>44343</v>
      </c>
      <c r="G495" s="7">
        <v>44351</v>
      </c>
      <c r="H495" s="34">
        <v>181246</v>
      </c>
      <c r="I495" s="31">
        <v>160403</v>
      </c>
      <c r="J495" s="31">
        <f t="shared" si="15"/>
        <v>20843</v>
      </c>
      <c r="K495" s="2"/>
      <c r="N495" s="32">
        <v>0</v>
      </c>
      <c r="Q495" s="34">
        <v>0</v>
      </c>
      <c r="R495" s="45"/>
      <c r="S495" s="4" t="str">
        <f>IFERROR(VLOOKUP(E495,'[2]td factu si'!$A:$B,1,0),0)</f>
        <v>FE15637</v>
      </c>
      <c r="T495" s="2">
        <f>IFERROR(VLOOKUP(E495,'[2]td factu si'!$A:$B,2,0),0)*-1</f>
        <v>160403</v>
      </c>
      <c r="W495" s="36"/>
      <c r="AH495" s="3">
        <v>0</v>
      </c>
      <c r="AJ495" s="3">
        <v>0</v>
      </c>
    </row>
    <row r="496" spans="1:36" x14ac:dyDescent="0.25">
      <c r="A496">
        <v>488</v>
      </c>
      <c r="B496" s="29" t="s">
        <v>45</v>
      </c>
      <c r="C496" s="29" t="s">
        <v>46</v>
      </c>
      <c r="D496" s="4" t="str">
        <f>"15641"</f>
        <v>15641</v>
      </c>
      <c r="E496" s="4" t="str">
        <f t="shared" si="14"/>
        <v>FE15641</v>
      </c>
      <c r="F496" s="7">
        <v>44343</v>
      </c>
      <c r="G496" s="7">
        <v>44350</v>
      </c>
      <c r="H496" s="34">
        <v>196735</v>
      </c>
      <c r="I496" s="31">
        <v>196735</v>
      </c>
      <c r="J496" s="31">
        <f t="shared" si="15"/>
        <v>0</v>
      </c>
      <c r="K496" s="2"/>
      <c r="N496" s="32">
        <v>0</v>
      </c>
      <c r="Q496" s="34">
        <v>0</v>
      </c>
      <c r="R496" s="45"/>
      <c r="S496" s="4">
        <f>IFERROR(VLOOKUP(E496,'[2]td factu si'!$A:$B,1,0),0)</f>
        <v>0</v>
      </c>
      <c r="T496" s="2">
        <f>IFERROR(VLOOKUP(E496,'[2]td factu si'!$A:$B,2,0),0)*-1</f>
        <v>0</v>
      </c>
      <c r="W496" s="36"/>
      <c r="X496" s="6">
        <v>196735</v>
      </c>
      <c r="AH496" s="3">
        <v>0</v>
      </c>
      <c r="AJ496" s="3">
        <v>0</v>
      </c>
    </row>
    <row r="497" spans="1:36" x14ac:dyDescent="0.25">
      <c r="A497">
        <v>489</v>
      </c>
      <c r="B497" s="29" t="s">
        <v>45</v>
      </c>
      <c r="C497" s="29" t="s">
        <v>46</v>
      </c>
      <c r="D497" s="4" t="str">
        <f>"15652"</f>
        <v>15652</v>
      </c>
      <c r="E497" s="4" t="str">
        <f t="shared" si="14"/>
        <v>FE15652</v>
      </c>
      <c r="F497" s="7">
        <v>44343</v>
      </c>
      <c r="G497" s="7">
        <v>44351</v>
      </c>
      <c r="H497" s="34">
        <v>15489</v>
      </c>
      <c r="I497" s="31">
        <v>11989</v>
      </c>
      <c r="J497" s="31">
        <f t="shared" si="15"/>
        <v>3500</v>
      </c>
      <c r="K497" s="2"/>
      <c r="N497" s="32">
        <v>0</v>
      </c>
      <c r="Q497" s="34">
        <v>0</v>
      </c>
      <c r="R497" s="45"/>
      <c r="S497" s="4" t="str">
        <f>IFERROR(VLOOKUP(E497,'[2]td factu si'!$A:$B,1,0),0)</f>
        <v>FE15652</v>
      </c>
      <c r="T497" s="2">
        <f>IFERROR(VLOOKUP(E497,'[2]td factu si'!$A:$B,2,0),0)*-1</f>
        <v>11989</v>
      </c>
      <c r="W497" s="36"/>
      <c r="AH497" s="3">
        <v>0</v>
      </c>
      <c r="AJ497" s="3">
        <v>0</v>
      </c>
    </row>
    <row r="498" spans="1:36" x14ac:dyDescent="0.25">
      <c r="A498">
        <v>490</v>
      </c>
      <c r="B498" s="29" t="s">
        <v>45</v>
      </c>
      <c r="C498" s="29" t="s">
        <v>46</v>
      </c>
      <c r="D498" s="4" t="str">
        <f>"15654"</f>
        <v>15654</v>
      </c>
      <c r="E498" s="4" t="str">
        <f t="shared" si="14"/>
        <v>FE15654</v>
      </c>
      <c r="F498" s="7">
        <v>44343</v>
      </c>
      <c r="G498" s="7">
        <v>44350</v>
      </c>
      <c r="H498" s="34">
        <v>181246</v>
      </c>
      <c r="I498" s="31">
        <v>181246</v>
      </c>
      <c r="J498" s="31">
        <f t="shared" si="15"/>
        <v>0</v>
      </c>
      <c r="K498" s="2"/>
      <c r="N498" s="32">
        <v>0</v>
      </c>
      <c r="Q498" s="34">
        <v>0</v>
      </c>
      <c r="R498" s="45"/>
      <c r="S498" s="4" t="str">
        <f>IFERROR(VLOOKUP(E498,'[2]td factu si'!$A:$B,1,0),0)</f>
        <v>FE15654</v>
      </c>
      <c r="T498" s="2">
        <f>IFERROR(VLOOKUP(E498,'[2]td factu si'!$A:$B,2,0),0)*-1</f>
        <v>181246</v>
      </c>
      <c r="W498" s="36"/>
      <c r="X498" s="6">
        <v>181246</v>
      </c>
      <c r="AH498" s="3">
        <v>0</v>
      </c>
      <c r="AJ498" s="3">
        <v>0</v>
      </c>
    </row>
    <row r="499" spans="1:36" x14ac:dyDescent="0.25">
      <c r="A499">
        <v>491</v>
      </c>
      <c r="B499" s="29" t="s">
        <v>45</v>
      </c>
      <c r="C499" s="29" t="s">
        <v>46</v>
      </c>
      <c r="D499" s="4" t="str">
        <f>"15658"</f>
        <v>15658</v>
      </c>
      <c r="E499" s="4" t="str">
        <f t="shared" si="14"/>
        <v>FE15658</v>
      </c>
      <c r="F499" s="7">
        <v>44343</v>
      </c>
      <c r="G499" s="7">
        <v>44350</v>
      </c>
      <c r="H499" s="34">
        <v>49114</v>
      </c>
      <c r="I499" s="31">
        <v>49114</v>
      </c>
      <c r="J499" s="31">
        <f t="shared" si="15"/>
        <v>0</v>
      </c>
      <c r="K499" s="2"/>
      <c r="N499" s="32">
        <v>0</v>
      </c>
      <c r="Q499" s="34">
        <v>0</v>
      </c>
      <c r="R499" s="45"/>
      <c r="S499" s="4" t="str">
        <f>IFERROR(VLOOKUP(E499,'[2]td factu si'!$A:$B,1,0),0)</f>
        <v>FE15658</v>
      </c>
      <c r="T499" s="2">
        <f>IFERROR(VLOOKUP(E499,'[2]td factu si'!$A:$B,2,0),0)*-1</f>
        <v>49114</v>
      </c>
      <c r="W499" s="36"/>
      <c r="AH499" s="3">
        <v>0</v>
      </c>
      <c r="AJ499" s="3">
        <v>0</v>
      </c>
    </row>
    <row r="500" spans="1:36" x14ac:dyDescent="0.25">
      <c r="A500">
        <v>492</v>
      </c>
      <c r="B500" s="29" t="s">
        <v>45</v>
      </c>
      <c r="C500" s="29" t="s">
        <v>46</v>
      </c>
      <c r="D500" s="4" t="str">
        <f>"15661"</f>
        <v>15661</v>
      </c>
      <c r="E500" s="4" t="str">
        <f t="shared" si="14"/>
        <v>FE15661</v>
      </c>
      <c r="F500" s="7">
        <v>44343</v>
      </c>
      <c r="G500" s="7">
        <v>44350</v>
      </c>
      <c r="H500" s="34">
        <v>15489</v>
      </c>
      <c r="I500" s="31">
        <v>15489</v>
      </c>
      <c r="J500" s="31">
        <f t="shared" si="15"/>
        <v>0</v>
      </c>
      <c r="K500" s="2"/>
      <c r="N500" s="32">
        <v>0</v>
      </c>
      <c r="Q500" s="34">
        <v>0</v>
      </c>
      <c r="R500" s="45"/>
      <c r="S500" s="4" t="str">
        <f>IFERROR(VLOOKUP(E500,'[2]td factu si'!$A:$B,1,0),0)</f>
        <v>FE15661</v>
      </c>
      <c r="T500" s="2">
        <f>IFERROR(VLOOKUP(E500,'[2]td factu si'!$A:$B,2,0),0)*-1</f>
        <v>15489</v>
      </c>
      <c r="W500" s="36"/>
      <c r="AH500" s="3">
        <v>0</v>
      </c>
      <c r="AJ500" s="3">
        <v>0</v>
      </c>
    </row>
    <row r="501" spans="1:36" x14ac:dyDescent="0.25">
      <c r="A501">
        <v>493</v>
      </c>
      <c r="B501" s="29" t="s">
        <v>45</v>
      </c>
      <c r="C501" s="29" t="s">
        <v>46</v>
      </c>
      <c r="D501" s="4" t="str">
        <f>"15666"</f>
        <v>15666</v>
      </c>
      <c r="E501" s="4" t="str">
        <f t="shared" si="14"/>
        <v>FE15666</v>
      </c>
      <c r="F501" s="7">
        <v>44344</v>
      </c>
      <c r="G501" s="7">
        <v>44350</v>
      </c>
      <c r="H501" s="34">
        <v>15489</v>
      </c>
      <c r="I501" s="31">
        <v>15489</v>
      </c>
      <c r="J501" s="31">
        <f t="shared" si="15"/>
        <v>0</v>
      </c>
      <c r="K501" s="2"/>
      <c r="N501" s="32">
        <v>0</v>
      </c>
      <c r="Q501" s="34">
        <v>0</v>
      </c>
      <c r="R501" s="45"/>
      <c r="S501" s="4" t="str">
        <f>IFERROR(VLOOKUP(E501,'[2]td factu si'!$A:$B,1,0),0)</f>
        <v>FE15666</v>
      </c>
      <c r="T501" s="2">
        <f>IFERROR(VLOOKUP(E501,'[2]td factu si'!$A:$B,2,0),0)*-1</f>
        <v>15489</v>
      </c>
      <c r="W501" s="36"/>
      <c r="AH501" s="3">
        <v>0</v>
      </c>
      <c r="AJ501" s="3">
        <v>0</v>
      </c>
    </row>
    <row r="502" spans="1:36" x14ac:dyDescent="0.25">
      <c r="A502">
        <v>494</v>
      </c>
      <c r="B502" s="29" t="s">
        <v>45</v>
      </c>
      <c r="C502" s="29" t="s">
        <v>46</v>
      </c>
      <c r="D502" s="4" t="str">
        <f>"15674"</f>
        <v>15674</v>
      </c>
      <c r="E502" s="4" t="str">
        <f t="shared" si="14"/>
        <v>FE15674</v>
      </c>
      <c r="F502" s="7">
        <v>44344</v>
      </c>
      <c r="G502" s="7">
        <v>44350</v>
      </c>
      <c r="H502" s="34">
        <v>15489</v>
      </c>
      <c r="I502" s="31">
        <v>15489</v>
      </c>
      <c r="J502" s="31">
        <f t="shared" si="15"/>
        <v>0</v>
      </c>
      <c r="K502" s="2"/>
      <c r="N502" s="32">
        <v>0</v>
      </c>
      <c r="Q502" s="34">
        <v>0</v>
      </c>
      <c r="R502" s="45"/>
      <c r="S502" s="4" t="str">
        <f>IFERROR(VLOOKUP(E502,'[2]td factu si'!$A:$B,1,0),0)</f>
        <v>FE15674</v>
      </c>
      <c r="T502" s="2">
        <f>IFERROR(VLOOKUP(E502,'[2]td factu si'!$A:$B,2,0),0)*-1</f>
        <v>15489</v>
      </c>
      <c r="W502" s="36"/>
      <c r="AH502" s="3">
        <v>0</v>
      </c>
      <c r="AJ502" s="3">
        <v>0</v>
      </c>
    </row>
    <row r="503" spans="1:36" x14ac:dyDescent="0.25">
      <c r="A503">
        <v>495</v>
      </c>
      <c r="B503" s="29" t="s">
        <v>45</v>
      </c>
      <c r="C503" s="29" t="s">
        <v>46</v>
      </c>
      <c r="D503" s="4" t="str">
        <f>"15675"</f>
        <v>15675</v>
      </c>
      <c r="E503" s="4" t="str">
        <f t="shared" si="14"/>
        <v>FE15675</v>
      </c>
      <c r="F503" s="7">
        <v>44344</v>
      </c>
      <c r="G503" s="7">
        <v>44351</v>
      </c>
      <c r="H503" s="34">
        <v>15489</v>
      </c>
      <c r="I503" s="31">
        <v>11989</v>
      </c>
      <c r="J503" s="31">
        <f t="shared" si="15"/>
        <v>3500</v>
      </c>
      <c r="K503" s="2"/>
      <c r="N503" s="32">
        <v>0</v>
      </c>
      <c r="Q503" s="34">
        <v>0</v>
      </c>
      <c r="R503" s="45"/>
      <c r="S503" s="4">
        <f>IFERROR(VLOOKUP(E503,'[2]td factu si'!$A:$B,1,0),0)</f>
        <v>0</v>
      </c>
      <c r="T503" s="2">
        <f>IFERROR(VLOOKUP(E503,'[2]td factu si'!$A:$B,2,0),0)*-1</f>
        <v>0</v>
      </c>
      <c r="W503" s="36"/>
      <c r="X503" s="6">
        <v>11989</v>
      </c>
      <c r="AH503" s="3">
        <v>0</v>
      </c>
      <c r="AJ503" s="3">
        <v>0</v>
      </c>
    </row>
    <row r="504" spans="1:36" x14ac:dyDescent="0.25">
      <c r="A504">
        <v>496</v>
      </c>
      <c r="B504" s="29" t="s">
        <v>45</v>
      </c>
      <c r="C504" s="29" t="s">
        <v>46</v>
      </c>
      <c r="D504" s="4" t="str">
        <f>"15676"</f>
        <v>15676</v>
      </c>
      <c r="E504" s="4" t="str">
        <f t="shared" si="14"/>
        <v>FE15676</v>
      </c>
      <c r="F504" s="7">
        <v>44344</v>
      </c>
      <c r="G504" s="7">
        <v>44350</v>
      </c>
      <c r="H504" s="34">
        <v>15489</v>
      </c>
      <c r="I504" s="31">
        <v>15489</v>
      </c>
      <c r="J504" s="31">
        <f t="shared" si="15"/>
        <v>0</v>
      </c>
      <c r="K504" s="2"/>
      <c r="N504" s="32">
        <v>0</v>
      </c>
      <c r="Q504" s="34">
        <v>0</v>
      </c>
      <c r="R504" s="45"/>
      <c r="S504" s="4" t="str">
        <f>IFERROR(VLOOKUP(E504,'[2]td factu si'!$A:$B,1,0),0)</f>
        <v>FE15676</v>
      </c>
      <c r="T504" s="2">
        <f>IFERROR(VLOOKUP(E504,'[2]td factu si'!$A:$B,2,0),0)*-1</f>
        <v>15489</v>
      </c>
      <c r="W504" s="36"/>
      <c r="AH504" s="3">
        <v>0</v>
      </c>
      <c r="AJ504" s="3">
        <v>0</v>
      </c>
    </row>
    <row r="505" spans="1:36" x14ac:dyDescent="0.25">
      <c r="A505">
        <v>497</v>
      </c>
      <c r="B505" s="29" t="s">
        <v>45</v>
      </c>
      <c r="C505" s="29" t="s">
        <v>46</v>
      </c>
      <c r="D505" s="4" t="str">
        <f>"15682"</f>
        <v>15682</v>
      </c>
      <c r="E505" s="4" t="str">
        <f t="shared" si="14"/>
        <v>FE15682</v>
      </c>
      <c r="F505" s="7">
        <v>44344</v>
      </c>
      <c r="G505" s="7">
        <v>44350</v>
      </c>
      <c r="H505" s="34">
        <v>15489</v>
      </c>
      <c r="I505" s="31">
        <v>15489</v>
      </c>
      <c r="J505" s="31">
        <f t="shared" si="15"/>
        <v>0</v>
      </c>
      <c r="K505" s="2"/>
      <c r="N505" s="32">
        <v>0</v>
      </c>
      <c r="Q505" s="34">
        <v>0</v>
      </c>
      <c r="R505" s="45"/>
      <c r="S505" s="4" t="str">
        <f>IFERROR(VLOOKUP(E505,'[2]td factu si'!$A:$B,1,0),0)</f>
        <v>FE15682</v>
      </c>
      <c r="T505" s="2">
        <f>IFERROR(VLOOKUP(E505,'[2]td factu si'!$A:$B,2,0),0)*-1</f>
        <v>15489</v>
      </c>
      <c r="W505" s="36"/>
      <c r="AH505" s="3">
        <v>0</v>
      </c>
      <c r="AJ505" s="3">
        <v>0</v>
      </c>
    </row>
    <row r="506" spans="1:36" x14ac:dyDescent="0.25">
      <c r="A506">
        <v>498</v>
      </c>
      <c r="B506" s="29" t="s">
        <v>45</v>
      </c>
      <c r="C506" s="29" t="s">
        <v>46</v>
      </c>
      <c r="D506" s="4" t="str">
        <f>"15688"</f>
        <v>15688</v>
      </c>
      <c r="E506" s="4" t="str">
        <f t="shared" si="14"/>
        <v>FE15688</v>
      </c>
      <c r="F506" s="7">
        <v>44344</v>
      </c>
      <c r="G506" s="7">
        <v>44350</v>
      </c>
      <c r="H506" s="34">
        <v>15489</v>
      </c>
      <c r="I506" s="31">
        <v>15489</v>
      </c>
      <c r="J506" s="31">
        <f t="shared" si="15"/>
        <v>0</v>
      </c>
      <c r="K506" s="2"/>
      <c r="N506" s="32">
        <v>0</v>
      </c>
      <c r="Q506" s="34">
        <v>0</v>
      </c>
      <c r="R506" s="45"/>
      <c r="S506" s="4" t="str">
        <f>IFERROR(VLOOKUP(E506,'[2]td factu si'!$A:$B,1,0),0)</f>
        <v>FE15688</v>
      </c>
      <c r="T506" s="2">
        <f>IFERROR(VLOOKUP(E506,'[2]td factu si'!$A:$B,2,0),0)*-1</f>
        <v>15489</v>
      </c>
      <c r="W506" s="36"/>
      <c r="AH506" s="3">
        <v>0</v>
      </c>
      <c r="AJ506" s="3">
        <v>0</v>
      </c>
    </row>
    <row r="507" spans="1:36" x14ac:dyDescent="0.25">
      <c r="A507">
        <v>499</v>
      </c>
      <c r="B507" s="29" t="s">
        <v>45</v>
      </c>
      <c r="C507" s="29" t="s">
        <v>46</v>
      </c>
      <c r="D507" s="4" t="str">
        <f>"15689"</f>
        <v>15689</v>
      </c>
      <c r="E507" s="4" t="str">
        <f t="shared" si="14"/>
        <v>FE15689</v>
      </c>
      <c r="F507" s="7">
        <v>44344</v>
      </c>
      <c r="G507" s="7">
        <v>44350</v>
      </c>
      <c r="H507" s="34">
        <v>15489</v>
      </c>
      <c r="I507" s="31">
        <v>15489</v>
      </c>
      <c r="J507" s="31">
        <f t="shared" si="15"/>
        <v>0</v>
      </c>
      <c r="K507" s="2"/>
      <c r="N507" s="32">
        <v>0</v>
      </c>
      <c r="Q507" s="34">
        <v>0</v>
      </c>
      <c r="R507" s="45"/>
      <c r="S507" s="4" t="str">
        <f>IFERROR(VLOOKUP(E507,'[2]td factu si'!$A:$B,1,0),0)</f>
        <v>FE15689</v>
      </c>
      <c r="T507" s="2">
        <f>IFERROR(VLOOKUP(E507,'[2]td factu si'!$A:$B,2,0),0)*-1</f>
        <v>15489</v>
      </c>
      <c r="W507" s="36"/>
      <c r="AH507" s="3">
        <v>0</v>
      </c>
      <c r="AJ507" s="3">
        <v>0</v>
      </c>
    </row>
    <row r="508" spans="1:36" x14ac:dyDescent="0.25">
      <c r="A508">
        <v>500</v>
      </c>
      <c r="B508" s="29" t="s">
        <v>45</v>
      </c>
      <c r="C508" s="29" t="s">
        <v>46</v>
      </c>
      <c r="D508" s="4" t="str">
        <f>"15691"</f>
        <v>15691</v>
      </c>
      <c r="E508" s="4" t="str">
        <f t="shared" si="14"/>
        <v>FE15691</v>
      </c>
      <c r="F508" s="7">
        <v>44344</v>
      </c>
      <c r="G508" s="7">
        <v>44351</v>
      </c>
      <c r="H508" s="34">
        <v>15489</v>
      </c>
      <c r="I508" s="31">
        <v>11989</v>
      </c>
      <c r="J508" s="31">
        <f t="shared" si="15"/>
        <v>3500</v>
      </c>
      <c r="K508" s="2"/>
      <c r="N508" s="32">
        <v>0</v>
      </c>
      <c r="Q508" s="34">
        <v>0</v>
      </c>
      <c r="R508" s="45"/>
      <c r="S508" s="4" t="str">
        <f>IFERROR(VLOOKUP(E508,'[2]td factu si'!$A:$B,1,0),0)</f>
        <v>FE15691</v>
      </c>
      <c r="T508" s="2">
        <f>IFERROR(VLOOKUP(E508,'[2]td factu si'!$A:$B,2,0),0)*-1</f>
        <v>11989</v>
      </c>
      <c r="W508" s="36"/>
      <c r="AH508" s="3">
        <v>0</v>
      </c>
      <c r="AJ508" s="3">
        <v>0</v>
      </c>
    </row>
    <row r="509" spans="1:36" x14ac:dyDescent="0.25">
      <c r="A509">
        <v>501</v>
      </c>
      <c r="B509" s="29" t="s">
        <v>45</v>
      </c>
      <c r="C509" s="29" t="s">
        <v>46</v>
      </c>
      <c r="D509" s="4" t="str">
        <f>"15693"</f>
        <v>15693</v>
      </c>
      <c r="E509" s="4" t="str">
        <f t="shared" si="14"/>
        <v>FE15693</v>
      </c>
      <c r="F509" s="7">
        <v>44344</v>
      </c>
      <c r="G509" s="7">
        <v>44350</v>
      </c>
      <c r="H509" s="34">
        <v>15489</v>
      </c>
      <c r="I509" s="31">
        <v>15489</v>
      </c>
      <c r="J509" s="31">
        <f t="shared" si="15"/>
        <v>0</v>
      </c>
      <c r="K509" s="2"/>
      <c r="N509" s="32">
        <v>0</v>
      </c>
      <c r="Q509" s="34">
        <v>0</v>
      </c>
      <c r="R509" s="45"/>
      <c r="S509" s="4" t="str">
        <f>IFERROR(VLOOKUP(E509,'[2]td factu si'!$A:$B,1,0),0)</f>
        <v>FE15693</v>
      </c>
      <c r="T509" s="2">
        <f>IFERROR(VLOOKUP(E509,'[2]td factu si'!$A:$B,2,0),0)*-1</f>
        <v>15489</v>
      </c>
      <c r="W509" s="36"/>
      <c r="AH509" s="3">
        <v>0</v>
      </c>
      <c r="AJ509" s="3">
        <v>0</v>
      </c>
    </row>
    <row r="510" spans="1:36" x14ac:dyDescent="0.25">
      <c r="A510">
        <v>502</v>
      </c>
      <c r="B510" s="29" t="s">
        <v>45</v>
      </c>
      <c r="C510" s="29" t="s">
        <v>46</v>
      </c>
      <c r="D510" s="4" t="str">
        <f>"15695"</f>
        <v>15695</v>
      </c>
      <c r="E510" s="4" t="str">
        <f t="shared" si="14"/>
        <v>FE15695</v>
      </c>
      <c r="F510" s="7">
        <v>44344</v>
      </c>
      <c r="G510" s="7">
        <v>44350</v>
      </c>
      <c r="H510" s="34">
        <v>15489</v>
      </c>
      <c r="I510" s="31">
        <v>15489</v>
      </c>
      <c r="J510" s="31">
        <f t="shared" si="15"/>
        <v>0</v>
      </c>
      <c r="K510" s="2"/>
      <c r="N510" s="32">
        <v>0</v>
      </c>
      <c r="Q510" s="34">
        <v>0</v>
      </c>
      <c r="R510" s="45"/>
      <c r="S510" s="4" t="str">
        <f>IFERROR(VLOOKUP(E510,'[2]td factu si'!$A:$B,1,0),0)</f>
        <v>FE15695</v>
      </c>
      <c r="T510" s="2">
        <f>IFERROR(VLOOKUP(E510,'[2]td factu si'!$A:$B,2,0),0)*-1</f>
        <v>15489</v>
      </c>
      <c r="W510" s="36"/>
      <c r="AH510" s="3">
        <v>0</v>
      </c>
      <c r="AJ510" s="3">
        <v>0</v>
      </c>
    </row>
    <row r="511" spans="1:36" x14ac:dyDescent="0.25">
      <c r="A511">
        <v>503</v>
      </c>
      <c r="B511" s="29" t="s">
        <v>45</v>
      </c>
      <c r="C511" s="29" t="s">
        <v>46</v>
      </c>
      <c r="D511" s="4" t="str">
        <f>"15697"</f>
        <v>15697</v>
      </c>
      <c r="E511" s="4" t="str">
        <f t="shared" si="14"/>
        <v>FE15697</v>
      </c>
      <c r="F511" s="7">
        <v>44344</v>
      </c>
      <c r="G511" s="7">
        <v>44350</v>
      </c>
      <c r="H511" s="34">
        <v>181246</v>
      </c>
      <c r="I511" s="31">
        <v>181246</v>
      </c>
      <c r="J511" s="31">
        <f t="shared" si="15"/>
        <v>0</v>
      </c>
      <c r="K511" s="2"/>
      <c r="N511" s="32">
        <v>0</v>
      </c>
      <c r="Q511" s="34">
        <v>0</v>
      </c>
      <c r="R511" s="45"/>
      <c r="S511" s="4" t="str">
        <f>IFERROR(VLOOKUP(E511,'[2]td factu si'!$A:$B,1,0),0)</f>
        <v>FE15697</v>
      </c>
      <c r="T511" s="2">
        <f>IFERROR(VLOOKUP(E511,'[2]td factu si'!$A:$B,2,0),0)*-1</f>
        <v>181246</v>
      </c>
      <c r="W511" s="36"/>
      <c r="X511" s="6">
        <v>181246</v>
      </c>
      <c r="AH511" s="3">
        <v>0</v>
      </c>
      <c r="AJ511" s="3">
        <v>0</v>
      </c>
    </row>
    <row r="512" spans="1:36" x14ac:dyDescent="0.25">
      <c r="A512">
        <v>504</v>
      </c>
      <c r="B512" s="29" t="s">
        <v>45</v>
      </c>
      <c r="C512" s="29" t="s">
        <v>46</v>
      </c>
      <c r="D512" s="4" t="str">
        <f>"15698"</f>
        <v>15698</v>
      </c>
      <c r="E512" s="4" t="str">
        <f t="shared" si="14"/>
        <v>FE15698</v>
      </c>
      <c r="F512" s="7">
        <v>44344</v>
      </c>
      <c r="G512" s="7">
        <v>44350</v>
      </c>
      <c r="H512" s="34">
        <v>181246</v>
      </c>
      <c r="I512" s="31">
        <v>181246</v>
      </c>
      <c r="J512" s="31">
        <f t="shared" si="15"/>
        <v>0</v>
      </c>
      <c r="K512" s="2"/>
      <c r="N512" s="32">
        <v>0</v>
      </c>
      <c r="Q512" s="34">
        <v>0</v>
      </c>
      <c r="R512" s="45"/>
      <c r="S512" s="4" t="str">
        <f>IFERROR(VLOOKUP(E512,'[2]td factu si'!$A:$B,1,0),0)</f>
        <v>FE15698</v>
      </c>
      <c r="T512" s="2">
        <f>IFERROR(VLOOKUP(E512,'[2]td factu si'!$A:$B,2,0),0)*-1</f>
        <v>181246</v>
      </c>
      <c r="W512" s="36"/>
      <c r="X512" s="6">
        <v>181246</v>
      </c>
      <c r="AH512" s="3">
        <v>0</v>
      </c>
      <c r="AJ512" s="3">
        <v>0</v>
      </c>
    </row>
    <row r="513" spans="1:36" x14ac:dyDescent="0.25">
      <c r="A513">
        <v>505</v>
      </c>
      <c r="B513" s="29" t="s">
        <v>45</v>
      </c>
      <c r="C513" s="29" t="s">
        <v>46</v>
      </c>
      <c r="D513" s="4" t="str">
        <f>"15700"</f>
        <v>15700</v>
      </c>
      <c r="E513" s="4" t="str">
        <f t="shared" si="14"/>
        <v>FE15700</v>
      </c>
      <c r="F513" s="7">
        <v>44344</v>
      </c>
      <c r="G513" s="7">
        <v>44350</v>
      </c>
      <c r="H513" s="34">
        <v>280370</v>
      </c>
      <c r="I513" s="31">
        <v>280370</v>
      </c>
      <c r="J513" s="31">
        <f t="shared" si="15"/>
        <v>0</v>
      </c>
      <c r="K513" s="2"/>
      <c r="N513" s="32">
        <v>0</v>
      </c>
      <c r="Q513" s="34">
        <v>0</v>
      </c>
      <c r="R513" s="45"/>
      <c r="S513" s="4" t="str">
        <f>IFERROR(VLOOKUP(E513,'[2]td factu si'!$A:$B,1,0),0)</f>
        <v>FE15700</v>
      </c>
      <c r="T513" s="2">
        <f>IFERROR(VLOOKUP(E513,'[2]td factu si'!$A:$B,2,0),0)*-1</f>
        <v>280370</v>
      </c>
      <c r="W513" s="36"/>
      <c r="X513" s="6">
        <v>280370</v>
      </c>
      <c r="AH513" s="3">
        <v>0</v>
      </c>
      <c r="AJ513" s="3">
        <v>0</v>
      </c>
    </row>
    <row r="514" spans="1:36" x14ac:dyDescent="0.25">
      <c r="A514">
        <v>506</v>
      </c>
      <c r="B514" s="29" t="s">
        <v>45</v>
      </c>
      <c r="C514" s="29" t="s">
        <v>46</v>
      </c>
      <c r="D514" s="4" t="str">
        <f>"15701"</f>
        <v>15701</v>
      </c>
      <c r="E514" s="4" t="str">
        <f t="shared" si="14"/>
        <v>FE15701</v>
      </c>
      <c r="F514" s="7">
        <v>44344</v>
      </c>
      <c r="G514" s="7">
        <v>44350</v>
      </c>
      <c r="H514" s="34">
        <v>181246</v>
      </c>
      <c r="I514" s="31">
        <v>181246</v>
      </c>
      <c r="J514" s="31">
        <f t="shared" si="15"/>
        <v>0</v>
      </c>
      <c r="K514" s="2"/>
      <c r="N514" s="32">
        <v>0</v>
      </c>
      <c r="Q514" s="34">
        <v>0</v>
      </c>
      <c r="R514" s="45"/>
      <c r="S514" s="4" t="str">
        <f>IFERROR(VLOOKUP(E514,'[2]td factu si'!$A:$B,1,0),0)</f>
        <v>FE15701</v>
      </c>
      <c r="T514" s="2">
        <f>IFERROR(VLOOKUP(E514,'[2]td factu si'!$A:$B,2,0),0)*-1</f>
        <v>181246</v>
      </c>
      <c r="W514" s="36"/>
      <c r="AH514" s="3">
        <v>0</v>
      </c>
      <c r="AJ514" s="3">
        <v>0</v>
      </c>
    </row>
    <row r="515" spans="1:36" x14ac:dyDescent="0.25">
      <c r="A515">
        <v>507</v>
      </c>
      <c r="B515" s="29" t="s">
        <v>45</v>
      </c>
      <c r="C515" s="29" t="s">
        <v>46</v>
      </c>
      <c r="D515" s="4" t="str">
        <f>"15702"</f>
        <v>15702</v>
      </c>
      <c r="E515" s="4" t="str">
        <f t="shared" si="14"/>
        <v>FE15702</v>
      </c>
      <c r="F515" s="7">
        <v>44344</v>
      </c>
      <c r="G515" s="7">
        <v>44351</v>
      </c>
      <c r="H515" s="34">
        <v>15489</v>
      </c>
      <c r="I515" s="31">
        <v>11989</v>
      </c>
      <c r="J515" s="31">
        <f t="shared" si="15"/>
        <v>3500</v>
      </c>
      <c r="K515" s="2"/>
      <c r="N515" s="32">
        <v>0</v>
      </c>
      <c r="Q515" s="34">
        <v>0</v>
      </c>
      <c r="R515" s="45"/>
      <c r="S515" s="4" t="str">
        <f>IFERROR(VLOOKUP(E515,'[2]td factu si'!$A:$B,1,0),0)</f>
        <v>FE15702</v>
      </c>
      <c r="T515" s="2">
        <f>IFERROR(VLOOKUP(E515,'[2]td factu si'!$A:$B,2,0),0)*-1</f>
        <v>11989</v>
      </c>
      <c r="W515" s="36"/>
      <c r="AH515" s="3">
        <v>0</v>
      </c>
      <c r="AJ515" s="3">
        <v>0</v>
      </c>
    </row>
    <row r="516" spans="1:36" x14ac:dyDescent="0.25">
      <c r="A516">
        <v>508</v>
      </c>
      <c r="B516" s="29" t="s">
        <v>45</v>
      </c>
      <c r="C516" s="29" t="s">
        <v>46</v>
      </c>
      <c r="D516" s="4" t="str">
        <f>"15703"</f>
        <v>15703</v>
      </c>
      <c r="E516" s="4" t="str">
        <f t="shared" si="14"/>
        <v>FE15703</v>
      </c>
      <c r="F516" s="7">
        <v>44344</v>
      </c>
      <c r="G516" s="7">
        <v>44350</v>
      </c>
      <c r="H516" s="34">
        <v>181246</v>
      </c>
      <c r="I516" s="31">
        <v>181246</v>
      </c>
      <c r="J516" s="31">
        <f t="shared" si="15"/>
        <v>0</v>
      </c>
      <c r="K516" s="2"/>
      <c r="N516" s="32">
        <v>0</v>
      </c>
      <c r="Q516" s="34">
        <v>0</v>
      </c>
      <c r="R516" s="45"/>
      <c r="S516" s="4" t="str">
        <f>IFERROR(VLOOKUP(E516,'[2]td factu si'!$A:$B,1,0),0)</f>
        <v>FE15703</v>
      </c>
      <c r="T516" s="2">
        <f>IFERROR(VLOOKUP(E516,'[2]td factu si'!$A:$B,2,0),0)*-1</f>
        <v>181246</v>
      </c>
      <c r="W516" s="36"/>
      <c r="X516" s="6">
        <v>181246</v>
      </c>
      <c r="AH516" s="3">
        <v>0</v>
      </c>
      <c r="AJ516" s="3">
        <v>0</v>
      </c>
    </row>
    <row r="517" spans="1:36" x14ac:dyDescent="0.25">
      <c r="A517">
        <v>509</v>
      </c>
      <c r="B517" s="29" t="s">
        <v>45</v>
      </c>
      <c r="C517" s="29" t="s">
        <v>46</v>
      </c>
      <c r="D517" s="4" t="str">
        <f>"15704"</f>
        <v>15704</v>
      </c>
      <c r="E517" s="4" t="str">
        <f t="shared" si="14"/>
        <v>FE15704</v>
      </c>
      <c r="F517" s="7">
        <v>44344</v>
      </c>
      <c r="G517" s="7">
        <v>44350</v>
      </c>
      <c r="H517" s="34">
        <v>181246</v>
      </c>
      <c r="I517" s="31">
        <v>163121</v>
      </c>
      <c r="J517" s="31">
        <f t="shared" si="15"/>
        <v>18125</v>
      </c>
      <c r="K517" s="2"/>
      <c r="N517" s="32">
        <v>0</v>
      </c>
      <c r="Q517" s="34">
        <v>0</v>
      </c>
      <c r="R517" s="45"/>
      <c r="S517" s="4">
        <f>IFERROR(VLOOKUP(E517,'[2]td factu si'!$A:$B,1,0),0)</f>
        <v>0</v>
      </c>
      <c r="T517" s="2">
        <f>IFERROR(VLOOKUP(E517,'[2]td factu si'!$A:$B,2,0),0)*-1</f>
        <v>0</v>
      </c>
      <c r="W517" s="36"/>
      <c r="X517" s="6">
        <v>163121</v>
      </c>
      <c r="AH517" s="3">
        <v>0</v>
      </c>
      <c r="AJ517" s="3">
        <v>0</v>
      </c>
    </row>
    <row r="518" spans="1:36" x14ac:dyDescent="0.25">
      <c r="A518">
        <v>510</v>
      </c>
      <c r="B518" s="29" t="s">
        <v>45</v>
      </c>
      <c r="C518" s="29" t="s">
        <v>46</v>
      </c>
      <c r="D518" s="4" t="str">
        <f>"15705"</f>
        <v>15705</v>
      </c>
      <c r="E518" s="4" t="str">
        <f t="shared" si="14"/>
        <v>FE15705</v>
      </c>
      <c r="F518" s="7">
        <v>44344</v>
      </c>
      <c r="G518" s="7">
        <v>44350</v>
      </c>
      <c r="H518" s="34">
        <v>15489</v>
      </c>
      <c r="I518" s="31">
        <v>15489</v>
      </c>
      <c r="J518" s="31">
        <f t="shared" si="15"/>
        <v>0</v>
      </c>
      <c r="K518" s="2"/>
      <c r="N518" s="32">
        <v>0</v>
      </c>
      <c r="Q518" s="34">
        <v>0</v>
      </c>
      <c r="R518" s="45"/>
      <c r="S518" s="4" t="str">
        <f>IFERROR(VLOOKUP(E518,'[2]td factu si'!$A:$B,1,0),0)</f>
        <v>FE15705</v>
      </c>
      <c r="T518" s="2">
        <f>IFERROR(VLOOKUP(E518,'[2]td factu si'!$A:$B,2,0),0)*-1</f>
        <v>15489</v>
      </c>
      <c r="W518" s="36"/>
      <c r="AH518" s="3">
        <v>0</v>
      </c>
      <c r="AJ518" s="3">
        <v>0</v>
      </c>
    </row>
    <row r="519" spans="1:36" x14ac:dyDescent="0.25">
      <c r="A519">
        <v>511</v>
      </c>
      <c r="B519" s="29" t="s">
        <v>45</v>
      </c>
      <c r="C519" s="29" t="s">
        <v>46</v>
      </c>
      <c r="D519" s="4" t="str">
        <f>"15707"</f>
        <v>15707</v>
      </c>
      <c r="E519" s="4" t="str">
        <f t="shared" si="14"/>
        <v>FE15707</v>
      </c>
      <c r="F519" s="7">
        <v>44344</v>
      </c>
      <c r="G519" s="7">
        <v>44350</v>
      </c>
      <c r="H519" s="34">
        <v>181246</v>
      </c>
      <c r="I519" s="31">
        <v>181246</v>
      </c>
      <c r="J519" s="31">
        <f t="shared" si="15"/>
        <v>0</v>
      </c>
      <c r="K519" s="2"/>
      <c r="N519" s="32">
        <v>0</v>
      </c>
      <c r="Q519" s="34">
        <v>0</v>
      </c>
      <c r="R519" s="45"/>
      <c r="S519" s="4" t="str">
        <f>IFERROR(VLOOKUP(E519,'[2]td factu si'!$A:$B,1,0),0)</f>
        <v>FE15707</v>
      </c>
      <c r="T519" s="2">
        <f>IFERROR(VLOOKUP(E519,'[2]td factu si'!$A:$B,2,0),0)*-1</f>
        <v>181246</v>
      </c>
      <c r="W519" s="36"/>
      <c r="X519" s="6">
        <v>181246</v>
      </c>
      <c r="AH519" s="3">
        <v>0</v>
      </c>
      <c r="AJ519" s="3">
        <v>0</v>
      </c>
    </row>
    <row r="520" spans="1:36" x14ac:dyDescent="0.25">
      <c r="A520">
        <v>512</v>
      </c>
      <c r="B520" s="29" t="s">
        <v>45</v>
      </c>
      <c r="C520" s="29" t="s">
        <v>46</v>
      </c>
      <c r="D520" s="4" t="str">
        <f>"15714"</f>
        <v>15714</v>
      </c>
      <c r="E520" s="4" t="str">
        <f t="shared" si="14"/>
        <v>FE15714</v>
      </c>
      <c r="F520" s="7">
        <v>44344</v>
      </c>
      <c r="G520" s="7">
        <v>44350</v>
      </c>
      <c r="H520" s="34">
        <v>15489</v>
      </c>
      <c r="I520" s="31">
        <v>15489</v>
      </c>
      <c r="J520" s="31">
        <f t="shared" si="15"/>
        <v>0</v>
      </c>
      <c r="K520" s="2"/>
      <c r="N520" s="32">
        <v>0</v>
      </c>
      <c r="Q520" s="34">
        <v>0</v>
      </c>
      <c r="R520" s="45"/>
      <c r="S520" s="4" t="str">
        <f>IFERROR(VLOOKUP(E520,'[2]td factu si'!$A:$B,1,0),0)</f>
        <v>FE15714</v>
      </c>
      <c r="T520" s="2">
        <f>IFERROR(VLOOKUP(E520,'[2]td factu si'!$A:$B,2,0),0)*-1</f>
        <v>15489</v>
      </c>
      <c r="W520" s="36"/>
      <c r="AH520" s="3">
        <v>0</v>
      </c>
      <c r="AJ520" s="3">
        <v>0</v>
      </c>
    </row>
    <row r="521" spans="1:36" x14ac:dyDescent="0.25">
      <c r="A521">
        <v>513</v>
      </c>
      <c r="B521" s="29" t="s">
        <v>45</v>
      </c>
      <c r="C521" s="29" t="s">
        <v>46</v>
      </c>
      <c r="D521" s="4" t="str">
        <f>"15717"</f>
        <v>15717</v>
      </c>
      <c r="E521" s="4" t="str">
        <f t="shared" si="14"/>
        <v>FE15717</v>
      </c>
      <c r="F521" s="7">
        <v>44344</v>
      </c>
      <c r="G521" s="7">
        <v>44350</v>
      </c>
      <c r="H521" s="34">
        <v>15489</v>
      </c>
      <c r="I521" s="31">
        <v>15489</v>
      </c>
      <c r="J521" s="31">
        <f t="shared" si="15"/>
        <v>0</v>
      </c>
      <c r="K521" s="2"/>
      <c r="N521" s="32">
        <v>0</v>
      </c>
      <c r="Q521" s="34">
        <v>0</v>
      </c>
      <c r="R521" s="45"/>
      <c r="S521" s="4" t="str">
        <f>IFERROR(VLOOKUP(E521,'[2]td factu si'!$A:$B,1,0),0)</f>
        <v>FE15717</v>
      </c>
      <c r="T521" s="2">
        <f>IFERROR(VLOOKUP(E521,'[2]td factu si'!$A:$B,2,0),0)*-1</f>
        <v>15489</v>
      </c>
      <c r="W521" s="36"/>
      <c r="AH521" s="3">
        <v>0</v>
      </c>
      <c r="AJ521" s="3">
        <v>0</v>
      </c>
    </row>
    <row r="522" spans="1:36" x14ac:dyDescent="0.25">
      <c r="A522">
        <v>514</v>
      </c>
      <c r="B522" s="29" t="s">
        <v>45</v>
      </c>
      <c r="C522" s="29" t="s">
        <v>46</v>
      </c>
      <c r="D522" s="4" t="str">
        <f>"15718"</f>
        <v>15718</v>
      </c>
      <c r="E522" s="4" t="str">
        <f t="shared" ref="E522:E585" si="16">_xlfn.CONCAT(C522,D522)</f>
        <v>FE15718</v>
      </c>
      <c r="F522" s="7">
        <v>44344</v>
      </c>
      <c r="G522" s="7">
        <v>44350</v>
      </c>
      <c r="H522" s="34">
        <v>15489</v>
      </c>
      <c r="I522" s="31">
        <v>15489</v>
      </c>
      <c r="J522" s="31">
        <f t="shared" ref="J522:J585" si="17">+H522-I522</f>
        <v>0</v>
      </c>
      <c r="K522" s="2"/>
      <c r="N522" s="32">
        <v>0</v>
      </c>
      <c r="Q522" s="34">
        <v>0</v>
      </c>
      <c r="R522" s="45"/>
      <c r="S522" s="4" t="str">
        <f>IFERROR(VLOOKUP(E522,'[2]td factu si'!$A:$B,1,0),0)</f>
        <v>FE15718</v>
      </c>
      <c r="T522" s="2">
        <f>IFERROR(VLOOKUP(E522,'[2]td factu si'!$A:$B,2,0),0)*-1</f>
        <v>15489</v>
      </c>
      <c r="W522" s="36"/>
      <c r="AH522" s="3">
        <v>0</v>
      </c>
      <c r="AJ522" s="3">
        <v>0</v>
      </c>
    </row>
    <row r="523" spans="1:36" x14ac:dyDescent="0.25">
      <c r="A523">
        <v>515</v>
      </c>
      <c r="B523" s="29" t="s">
        <v>45</v>
      </c>
      <c r="C523" s="29" t="s">
        <v>46</v>
      </c>
      <c r="D523" s="4" t="str">
        <f>"15719"</f>
        <v>15719</v>
      </c>
      <c r="E523" s="4" t="str">
        <f t="shared" si="16"/>
        <v>FE15719</v>
      </c>
      <c r="F523" s="7">
        <v>44344</v>
      </c>
      <c r="G523" s="7">
        <v>44350</v>
      </c>
      <c r="H523" s="34">
        <v>15489</v>
      </c>
      <c r="I523" s="31">
        <v>15489</v>
      </c>
      <c r="J523" s="31">
        <f t="shared" si="17"/>
        <v>0</v>
      </c>
      <c r="K523" s="2"/>
      <c r="N523" s="32">
        <v>0</v>
      </c>
      <c r="Q523" s="34">
        <v>0</v>
      </c>
      <c r="R523" s="45"/>
      <c r="S523" s="4" t="str">
        <f>IFERROR(VLOOKUP(E523,'[2]td factu si'!$A:$B,1,0),0)</f>
        <v>FE15719</v>
      </c>
      <c r="T523" s="2">
        <f>IFERROR(VLOOKUP(E523,'[2]td factu si'!$A:$B,2,0),0)*-1</f>
        <v>15489</v>
      </c>
      <c r="W523" s="36"/>
      <c r="AH523" s="3">
        <v>0</v>
      </c>
      <c r="AJ523" s="3">
        <v>0</v>
      </c>
    </row>
    <row r="524" spans="1:36" x14ac:dyDescent="0.25">
      <c r="A524">
        <v>516</v>
      </c>
      <c r="B524" s="29" t="s">
        <v>45</v>
      </c>
      <c r="C524" s="29" t="s">
        <v>46</v>
      </c>
      <c r="D524" s="4" t="str">
        <f>"15721"</f>
        <v>15721</v>
      </c>
      <c r="E524" s="4" t="str">
        <f t="shared" si="16"/>
        <v>FE15721</v>
      </c>
      <c r="F524" s="7">
        <v>44344</v>
      </c>
      <c r="G524" s="7">
        <v>44350</v>
      </c>
      <c r="H524" s="34">
        <v>181246</v>
      </c>
      <c r="I524" s="31">
        <v>181246</v>
      </c>
      <c r="J524" s="31">
        <f t="shared" si="17"/>
        <v>0</v>
      </c>
      <c r="K524" s="2"/>
      <c r="N524" s="32">
        <v>0</v>
      </c>
      <c r="Q524" s="34">
        <v>0</v>
      </c>
      <c r="R524" s="45"/>
      <c r="S524" s="4" t="str">
        <f>IFERROR(VLOOKUP(E524,'[2]td factu si'!$A:$B,1,0),0)</f>
        <v>FE15721</v>
      </c>
      <c r="T524" s="2">
        <f>IFERROR(VLOOKUP(E524,'[2]td factu si'!$A:$B,2,0),0)*-1</f>
        <v>181246</v>
      </c>
      <c r="W524" s="36"/>
      <c r="AH524" s="3">
        <v>0</v>
      </c>
      <c r="AJ524" s="3">
        <v>0</v>
      </c>
    </row>
    <row r="525" spans="1:36" x14ac:dyDescent="0.25">
      <c r="A525">
        <v>517</v>
      </c>
      <c r="B525" s="29" t="s">
        <v>45</v>
      </c>
      <c r="C525" s="29" t="s">
        <v>46</v>
      </c>
      <c r="D525" s="4" t="str">
        <f>"15722"</f>
        <v>15722</v>
      </c>
      <c r="E525" s="4" t="str">
        <f t="shared" si="16"/>
        <v>FE15722</v>
      </c>
      <c r="F525" s="7">
        <v>44344</v>
      </c>
      <c r="G525" s="7">
        <v>44350</v>
      </c>
      <c r="H525" s="34">
        <v>181246</v>
      </c>
      <c r="I525" s="31">
        <v>181246</v>
      </c>
      <c r="J525" s="31">
        <f t="shared" si="17"/>
        <v>0</v>
      </c>
      <c r="K525" s="2"/>
      <c r="N525" s="32">
        <v>0</v>
      </c>
      <c r="Q525" s="34">
        <v>0</v>
      </c>
      <c r="R525" s="45"/>
      <c r="S525" s="4" t="str">
        <f>IFERROR(VLOOKUP(E525,'[2]td factu si'!$A:$B,1,0),0)</f>
        <v>FE15722</v>
      </c>
      <c r="T525" s="2">
        <f>IFERROR(VLOOKUP(E525,'[2]td factu si'!$A:$B,2,0),0)*-1</f>
        <v>181246</v>
      </c>
      <c r="W525" s="36"/>
      <c r="AH525" s="3">
        <v>0</v>
      </c>
      <c r="AJ525" s="3">
        <v>0</v>
      </c>
    </row>
    <row r="526" spans="1:36" x14ac:dyDescent="0.25">
      <c r="A526">
        <v>518</v>
      </c>
      <c r="B526" s="29" t="s">
        <v>45</v>
      </c>
      <c r="C526" s="29" t="s">
        <v>46</v>
      </c>
      <c r="D526" s="4" t="str">
        <f>"15723"</f>
        <v>15723</v>
      </c>
      <c r="E526" s="4" t="str">
        <f t="shared" si="16"/>
        <v>FE15723</v>
      </c>
      <c r="F526" s="7">
        <v>44344</v>
      </c>
      <c r="G526" s="7">
        <v>44351</v>
      </c>
      <c r="H526" s="34">
        <v>181246</v>
      </c>
      <c r="I526" s="31">
        <v>160403</v>
      </c>
      <c r="J526" s="31">
        <f t="shared" si="17"/>
        <v>20843</v>
      </c>
      <c r="K526" s="2"/>
      <c r="N526" s="32">
        <v>0</v>
      </c>
      <c r="Q526" s="34">
        <v>0</v>
      </c>
      <c r="R526" s="45"/>
      <c r="S526" s="4" t="str">
        <f>IFERROR(VLOOKUP(E526,'[2]td factu si'!$A:$B,1,0),0)</f>
        <v>FE15723</v>
      </c>
      <c r="T526" s="2">
        <f>IFERROR(VLOOKUP(E526,'[2]td factu si'!$A:$B,2,0),0)*-1</f>
        <v>160403</v>
      </c>
      <c r="W526" s="36"/>
      <c r="AH526" s="3">
        <v>0</v>
      </c>
      <c r="AJ526" s="3">
        <v>0</v>
      </c>
    </row>
    <row r="527" spans="1:36" x14ac:dyDescent="0.25">
      <c r="A527">
        <v>519</v>
      </c>
      <c r="B527" s="29" t="s">
        <v>45</v>
      </c>
      <c r="C527" s="29" t="s">
        <v>46</v>
      </c>
      <c r="D527" s="4" t="str">
        <f>"15725"</f>
        <v>15725</v>
      </c>
      <c r="E527" s="4" t="str">
        <f t="shared" si="16"/>
        <v>FE15725</v>
      </c>
      <c r="F527" s="7">
        <v>44344</v>
      </c>
      <c r="G527" s="7">
        <v>44350</v>
      </c>
      <c r="H527" s="34">
        <v>15489</v>
      </c>
      <c r="I527" s="31">
        <v>15489</v>
      </c>
      <c r="J527" s="31">
        <f t="shared" si="17"/>
        <v>0</v>
      </c>
      <c r="K527" s="2"/>
      <c r="N527" s="32">
        <v>0</v>
      </c>
      <c r="Q527" s="34">
        <v>0</v>
      </c>
      <c r="R527" s="45"/>
      <c r="S527" s="4" t="str">
        <f>IFERROR(VLOOKUP(E527,'[2]td factu si'!$A:$B,1,0),0)</f>
        <v>FE15725</v>
      </c>
      <c r="T527" s="2">
        <f>IFERROR(VLOOKUP(E527,'[2]td factu si'!$A:$B,2,0),0)*-1</f>
        <v>15489</v>
      </c>
      <c r="W527" s="36"/>
      <c r="AH527" s="3">
        <v>0</v>
      </c>
      <c r="AJ527" s="3">
        <v>0</v>
      </c>
    </row>
    <row r="528" spans="1:36" x14ac:dyDescent="0.25">
      <c r="A528">
        <v>520</v>
      </c>
      <c r="B528" s="29" t="s">
        <v>45</v>
      </c>
      <c r="C528" s="29" t="s">
        <v>46</v>
      </c>
      <c r="D528" s="4" t="str">
        <f>"15727"</f>
        <v>15727</v>
      </c>
      <c r="E528" s="4" t="str">
        <f t="shared" si="16"/>
        <v>FE15727</v>
      </c>
      <c r="F528" s="7">
        <v>44344</v>
      </c>
      <c r="G528" s="7">
        <v>44350</v>
      </c>
      <c r="H528" s="34">
        <v>15489</v>
      </c>
      <c r="I528" s="31">
        <v>15489</v>
      </c>
      <c r="J528" s="31">
        <f t="shared" si="17"/>
        <v>0</v>
      </c>
      <c r="K528" s="2"/>
      <c r="N528" s="32">
        <v>0</v>
      </c>
      <c r="Q528" s="34">
        <v>0</v>
      </c>
      <c r="R528" s="45"/>
      <c r="S528" s="4" t="str">
        <f>IFERROR(VLOOKUP(E528,'[2]td factu si'!$A:$B,1,0),0)</f>
        <v>FE15727</v>
      </c>
      <c r="T528" s="2">
        <f>IFERROR(VLOOKUP(E528,'[2]td factu si'!$A:$B,2,0),0)*-1</f>
        <v>15489</v>
      </c>
      <c r="W528" s="36"/>
      <c r="AH528" s="3">
        <v>0</v>
      </c>
      <c r="AJ528" s="3">
        <v>0</v>
      </c>
    </row>
    <row r="529" spans="1:36" x14ac:dyDescent="0.25">
      <c r="A529">
        <v>521</v>
      </c>
      <c r="B529" s="29" t="s">
        <v>45</v>
      </c>
      <c r="C529" s="29" t="s">
        <v>46</v>
      </c>
      <c r="D529" s="4" t="str">
        <f>"15729"</f>
        <v>15729</v>
      </c>
      <c r="E529" s="4" t="str">
        <f t="shared" si="16"/>
        <v>FE15729</v>
      </c>
      <c r="F529" s="7">
        <v>44344</v>
      </c>
      <c r="G529" s="7">
        <v>44350</v>
      </c>
      <c r="H529" s="34">
        <v>181246</v>
      </c>
      <c r="I529" s="31">
        <v>177746</v>
      </c>
      <c r="J529" s="31">
        <f t="shared" si="17"/>
        <v>3500</v>
      </c>
      <c r="K529" s="2"/>
      <c r="N529" s="32">
        <v>0</v>
      </c>
      <c r="Q529" s="34">
        <v>0</v>
      </c>
      <c r="R529" s="45"/>
      <c r="S529" s="4">
        <f>IFERROR(VLOOKUP(E529,'[2]td factu si'!$A:$B,1,0),0)</f>
        <v>0</v>
      </c>
      <c r="T529" s="2">
        <f>IFERROR(VLOOKUP(E529,'[2]td factu si'!$A:$B,2,0),0)*-1</f>
        <v>0</v>
      </c>
      <c r="W529" s="36"/>
      <c r="X529" s="6">
        <v>177746</v>
      </c>
      <c r="AH529" s="3">
        <v>0</v>
      </c>
      <c r="AJ529" s="3">
        <v>0</v>
      </c>
    </row>
    <row r="530" spans="1:36" x14ac:dyDescent="0.25">
      <c r="A530">
        <v>522</v>
      </c>
      <c r="B530" s="29" t="s">
        <v>45</v>
      </c>
      <c r="C530" s="29" t="s">
        <v>46</v>
      </c>
      <c r="D530" s="4" t="str">
        <f>"15730"</f>
        <v>15730</v>
      </c>
      <c r="E530" s="4" t="str">
        <f t="shared" si="16"/>
        <v>FE15730</v>
      </c>
      <c r="F530" s="7">
        <v>44344</v>
      </c>
      <c r="G530" s="7">
        <v>44350</v>
      </c>
      <c r="H530" s="34">
        <v>354659</v>
      </c>
      <c r="I530" s="31">
        <v>354659</v>
      </c>
      <c r="J530" s="31">
        <f t="shared" si="17"/>
        <v>0</v>
      </c>
      <c r="K530" s="2"/>
      <c r="N530" s="32">
        <v>0</v>
      </c>
      <c r="Q530" s="34">
        <v>0</v>
      </c>
      <c r="R530" s="45"/>
      <c r="S530" s="4">
        <f>IFERROR(VLOOKUP(E530,'[2]td factu si'!$A:$B,1,0),0)</f>
        <v>0</v>
      </c>
      <c r="T530" s="2">
        <f>IFERROR(VLOOKUP(E530,'[2]td factu si'!$A:$B,2,0),0)*-1</f>
        <v>0</v>
      </c>
      <c r="W530" s="36"/>
      <c r="X530" s="6">
        <v>354659</v>
      </c>
      <c r="AH530" s="3">
        <v>0</v>
      </c>
      <c r="AJ530" s="3">
        <v>0</v>
      </c>
    </row>
    <row r="531" spans="1:36" x14ac:dyDescent="0.25">
      <c r="A531">
        <v>523</v>
      </c>
      <c r="B531" s="29" t="s">
        <v>45</v>
      </c>
      <c r="C531" s="29" t="s">
        <v>46</v>
      </c>
      <c r="D531" s="4" t="str">
        <f>"15731"</f>
        <v>15731</v>
      </c>
      <c r="E531" s="4" t="str">
        <f t="shared" si="16"/>
        <v>FE15731</v>
      </c>
      <c r="F531" s="7">
        <v>44344</v>
      </c>
      <c r="G531" s="7">
        <v>44350</v>
      </c>
      <c r="H531" s="34">
        <v>181246</v>
      </c>
      <c r="I531" s="31">
        <v>181246</v>
      </c>
      <c r="J531" s="31">
        <f t="shared" si="17"/>
        <v>0</v>
      </c>
      <c r="K531" s="2"/>
      <c r="N531" s="32">
        <v>0</v>
      </c>
      <c r="Q531" s="34">
        <v>0</v>
      </c>
      <c r="R531" s="45"/>
      <c r="S531" s="4" t="str">
        <f>IFERROR(VLOOKUP(E531,'[2]td factu si'!$A:$B,1,0),0)</f>
        <v>FE15731</v>
      </c>
      <c r="T531" s="2">
        <f>IFERROR(VLOOKUP(E531,'[2]td factu si'!$A:$B,2,0),0)*-1</f>
        <v>181246</v>
      </c>
      <c r="W531" s="36"/>
      <c r="X531" s="6">
        <v>181246</v>
      </c>
      <c r="AH531" s="3">
        <v>0</v>
      </c>
      <c r="AJ531" s="3">
        <v>0</v>
      </c>
    </row>
    <row r="532" spans="1:36" x14ac:dyDescent="0.25">
      <c r="A532">
        <v>524</v>
      </c>
      <c r="B532" s="29" t="s">
        <v>45</v>
      </c>
      <c r="C532" s="29" t="s">
        <v>46</v>
      </c>
      <c r="D532" s="4" t="str">
        <f>"15732"</f>
        <v>15732</v>
      </c>
      <c r="E532" s="4" t="str">
        <f t="shared" si="16"/>
        <v>FE15732</v>
      </c>
      <c r="F532" s="7">
        <v>44344</v>
      </c>
      <c r="G532" s="7">
        <v>44350</v>
      </c>
      <c r="H532" s="34">
        <v>181246</v>
      </c>
      <c r="I532" s="31">
        <v>177746</v>
      </c>
      <c r="J532" s="31">
        <f t="shared" si="17"/>
        <v>3500</v>
      </c>
      <c r="K532" s="2"/>
      <c r="N532" s="32">
        <v>0</v>
      </c>
      <c r="Q532" s="34">
        <v>0</v>
      </c>
      <c r="R532" s="45"/>
      <c r="S532" s="4">
        <f>IFERROR(VLOOKUP(E532,'[2]td factu si'!$A:$B,1,0),0)</f>
        <v>0</v>
      </c>
      <c r="T532" s="2">
        <f>IFERROR(VLOOKUP(E532,'[2]td factu si'!$A:$B,2,0),0)*-1</f>
        <v>0</v>
      </c>
      <c r="W532" s="36"/>
      <c r="X532" s="6">
        <v>177746</v>
      </c>
      <c r="AH532" s="3">
        <v>0</v>
      </c>
      <c r="AJ532" s="3">
        <v>0</v>
      </c>
    </row>
    <row r="533" spans="1:36" x14ac:dyDescent="0.25">
      <c r="A533">
        <v>525</v>
      </c>
      <c r="B533" s="29" t="s">
        <v>45</v>
      </c>
      <c r="C533" s="29" t="s">
        <v>46</v>
      </c>
      <c r="D533" s="4" t="str">
        <f>"15733"</f>
        <v>15733</v>
      </c>
      <c r="E533" s="4" t="str">
        <f t="shared" si="16"/>
        <v>FE15733</v>
      </c>
      <c r="F533" s="7">
        <v>44344</v>
      </c>
      <c r="G533" s="7">
        <v>44350</v>
      </c>
      <c r="H533" s="34">
        <v>181246</v>
      </c>
      <c r="I533" s="31">
        <v>177746</v>
      </c>
      <c r="J533" s="31">
        <f t="shared" si="17"/>
        <v>3500</v>
      </c>
      <c r="K533" s="2"/>
      <c r="N533" s="32">
        <v>0</v>
      </c>
      <c r="Q533" s="34">
        <v>0</v>
      </c>
      <c r="R533" s="45"/>
      <c r="S533" s="4">
        <f>IFERROR(VLOOKUP(E533,'[2]td factu si'!$A:$B,1,0),0)</f>
        <v>0</v>
      </c>
      <c r="T533" s="2">
        <f>IFERROR(VLOOKUP(E533,'[2]td factu si'!$A:$B,2,0),0)*-1</f>
        <v>0</v>
      </c>
      <c r="W533" s="36"/>
      <c r="X533" s="6">
        <v>177746</v>
      </c>
      <c r="AH533" s="3">
        <v>0</v>
      </c>
      <c r="AJ533" s="3">
        <v>0</v>
      </c>
    </row>
    <row r="534" spans="1:36" x14ac:dyDescent="0.25">
      <c r="A534">
        <v>526</v>
      </c>
      <c r="B534" s="29" t="s">
        <v>45</v>
      </c>
      <c r="C534" s="29" t="s">
        <v>46</v>
      </c>
      <c r="D534" s="4" t="str">
        <f>"15737"</f>
        <v>15737</v>
      </c>
      <c r="E534" s="4" t="str">
        <f t="shared" si="16"/>
        <v>FE15737</v>
      </c>
      <c r="F534" s="7">
        <v>44344</v>
      </c>
      <c r="G534" s="7">
        <v>44350</v>
      </c>
      <c r="H534" s="34">
        <v>135855</v>
      </c>
      <c r="I534" s="31">
        <v>135855</v>
      </c>
      <c r="J534" s="31">
        <f t="shared" si="17"/>
        <v>0</v>
      </c>
      <c r="K534" s="2"/>
      <c r="N534" s="32">
        <v>0</v>
      </c>
      <c r="Q534" s="34">
        <v>0</v>
      </c>
      <c r="R534" s="45"/>
      <c r="S534" s="4" t="str">
        <f>IFERROR(VLOOKUP(E534,'[2]td factu si'!$A:$B,1,0),0)</f>
        <v>FE15737</v>
      </c>
      <c r="T534" s="2">
        <f>IFERROR(VLOOKUP(E534,'[2]td factu si'!$A:$B,2,0),0)*-1</f>
        <v>135855</v>
      </c>
      <c r="W534" s="36"/>
      <c r="AH534" s="3">
        <v>0</v>
      </c>
      <c r="AJ534" s="3">
        <v>0</v>
      </c>
    </row>
    <row r="535" spans="1:36" x14ac:dyDescent="0.25">
      <c r="A535">
        <v>527</v>
      </c>
      <c r="B535" s="29" t="s">
        <v>45</v>
      </c>
      <c r="C535" s="29" t="s">
        <v>46</v>
      </c>
      <c r="D535" s="4" t="str">
        <f>"15739"</f>
        <v>15739</v>
      </c>
      <c r="E535" s="4" t="str">
        <f t="shared" si="16"/>
        <v>FE15739</v>
      </c>
      <c r="F535" s="7">
        <v>44344</v>
      </c>
      <c r="G535" s="7">
        <v>44350</v>
      </c>
      <c r="H535" s="34">
        <v>181246</v>
      </c>
      <c r="I535" s="31">
        <v>181246</v>
      </c>
      <c r="J535" s="31">
        <f t="shared" si="17"/>
        <v>0</v>
      </c>
      <c r="K535" s="2"/>
      <c r="N535" s="32">
        <v>0</v>
      </c>
      <c r="Q535" s="34">
        <v>0</v>
      </c>
      <c r="R535" s="45"/>
      <c r="S535" s="4" t="str">
        <f>IFERROR(VLOOKUP(E535,'[2]td factu si'!$A:$B,1,0),0)</f>
        <v>FE15739</v>
      </c>
      <c r="T535" s="2">
        <f>IFERROR(VLOOKUP(E535,'[2]td factu si'!$A:$B,2,0),0)*-1</f>
        <v>181246</v>
      </c>
      <c r="W535" s="36"/>
      <c r="X535" s="6">
        <v>181246</v>
      </c>
      <c r="AH535" s="3">
        <v>0</v>
      </c>
      <c r="AJ535" s="3">
        <v>0</v>
      </c>
    </row>
    <row r="536" spans="1:36" x14ac:dyDescent="0.25">
      <c r="A536">
        <v>528</v>
      </c>
      <c r="B536" s="29" t="s">
        <v>45</v>
      </c>
      <c r="C536" s="29" t="s">
        <v>46</v>
      </c>
      <c r="D536" s="4" t="str">
        <f>"15740"</f>
        <v>15740</v>
      </c>
      <c r="E536" s="4" t="str">
        <f t="shared" si="16"/>
        <v>FE15740</v>
      </c>
      <c r="F536" s="7">
        <v>44344</v>
      </c>
      <c r="G536" s="7">
        <v>44350</v>
      </c>
      <c r="H536" s="34">
        <v>135855</v>
      </c>
      <c r="I536" s="31">
        <v>135855</v>
      </c>
      <c r="J536" s="31">
        <f t="shared" si="17"/>
        <v>0</v>
      </c>
      <c r="K536" s="2"/>
      <c r="N536" s="32">
        <v>0</v>
      </c>
      <c r="Q536" s="34">
        <v>0</v>
      </c>
      <c r="R536" s="45"/>
      <c r="S536" s="4" t="str">
        <f>IFERROR(VLOOKUP(E536,'[2]td factu si'!$A:$B,1,0),0)</f>
        <v>FE15740</v>
      </c>
      <c r="T536" s="2">
        <f>IFERROR(VLOOKUP(E536,'[2]td factu si'!$A:$B,2,0),0)*-1</f>
        <v>135855</v>
      </c>
      <c r="W536" s="36"/>
      <c r="AH536" s="3">
        <v>0</v>
      </c>
      <c r="AJ536" s="3">
        <v>0</v>
      </c>
    </row>
    <row r="537" spans="1:36" x14ac:dyDescent="0.25">
      <c r="A537">
        <v>529</v>
      </c>
      <c r="B537" s="29" t="s">
        <v>45</v>
      </c>
      <c r="C537" s="29" t="s">
        <v>46</v>
      </c>
      <c r="D537" s="4" t="str">
        <f>"15743"</f>
        <v>15743</v>
      </c>
      <c r="E537" s="4" t="str">
        <f t="shared" si="16"/>
        <v>FE15743</v>
      </c>
      <c r="F537" s="7">
        <v>44344</v>
      </c>
      <c r="G537" s="7">
        <v>44350</v>
      </c>
      <c r="H537" s="34">
        <v>135855</v>
      </c>
      <c r="I537" s="31">
        <v>135855</v>
      </c>
      <c r="J537" s="31">
        <f t="shared" si="17"/>
        <v>0</v>
      </c>
      <c r="K537" s="2"/>
      <c r="N537" s="32">
        <v>0</v>
      </c>
      <c r="Q537" s="34">
        <v>0</v>
      </c>
      <c r="R537" s="45"/>
      <c r="S537" s="4" t="str">
        <f>IFERROR(VLOOKUP(E537,'[2]td factu si'!$A:$B,1,0),0)</f>
        <v>FE15743</v>
      </c>
      <c r="T537" s="2">
        <f>IFERROR(VLOOKUP(E537,'[2]td factu si'!$A:$B,2,0),0)*-1</f>
        <v>135855</v>
      </c>
      <c r="W537" s="36"/>
      <c r="AH537" s="3">
        <v>0</v>
      </c>
      <c r="AJ537" s="3">
        <v>0</v>
      </c>
    </row>
    <row r="538" spans="1:36" x14ac:dyDescent="0.25">
      <c r="A538">
        <v>530</v>
      </c>
      <c r="B538" s="29" t="s">
        <v>45</v>
      </c>
      <c r="C538" s="29" t="s">
        <v>46</v>
      </c>
      <c r="D538" s="4" t="str">
        <f>"15744"</f>
        <v>15744</v>
      </c>
      <c r="E538" s="4" t="str">
        <f t="shared" si="16"/>
        <v>FE15744</v>
      </c>
      <c r="F538" s="7">
        <v>44344</v>
      </c>
      <c r="G538" s="7">
        <v>44350</v>
      </c>
      <c r="H538" s="34">
        <v>135855</v>
      </c>
      <c r="I538" s="31">
        <v>135855</v>
      </c>
      <c r="J538" s="31">
        <f t="shared" si="17"/>
        <v>0</v>
      </c>
      <c r="K538" s="2"/>
      <c r="N538" s="32">
        <v>0</v>
      </c>
      <c r="Q538" s="34">
        <v>0</v>
      </c>
      <c r="R538" s="45"/>
      <c r="S538" s="4" t="str">
        <f>IFERROR(VLOOKUP(E538,'[2]td factu si'!$A:$B,1,0),0)</f>
        <v>FE15744</v>
      </c>
      <c r="T538" s="2">
        <f>IFERROR(VLOOKUP(E538,'[2]td factu si'!$A:$B,2,0),0)*-1</f>
        <v>135855</v>
      </c>
      <c r="W538" s="36"/>
      <c r="AH538" s="3">
        <v>0</v>
      </c>
      <c r="AJ538" s="3">
        <v>0</v>
      </c>
    </row>
    <row r="539" spans="1:36" x14ac:dyDescent="0.25">
      <c r="A539">
        <v>531</v>
      </c>
      <c r="B539" s="29" t="s">
        <v>45</v>
      </c>
      <c r="C539" s="29" t="s">
        <v>46</v>
      </c>
      <c r="D539" s="4" t="str">
        <f>"15745"</f>
        <v>15745</v>
      </c>
      <c r="E539" s="4" t="str">
        <f t="shared" si="16"/>
        <v>FE15745</v>
      </c>
      <c r="F539" s="7">
        <v>44344</v>
      </c>
      <c r="G539" s="7">
        <v>44350</v>
      </c>
      <c r="H539" s="34">
        <v>452956</v>
      </c>
      <c r="I539" s="31">
        <v>407661</v>
      </c>
      <c r="J539" s="31">
        <f t="shared" si="17"/>
        <v>45295</v>
      </c>
      <c r="K539" s="2"/>
      <c r="N539" s="32">
        <v>0</v>
      </c>
      <c r="Q539" s="34">
        <v>0</v>
      </c>
      <c r="R539" s="45"/>
      <c r="S539" s="4" t="str">
        <f>IFERROR(VLOOKUP(E539,'[2]td factu si'!$A:$B,1,0),0)</f>
        <v>FE15745</v>
      </c>
      <c r="T539" s="2">
        <f>IFERROR(VLOOKUP(E539,'[2]td factu si'!$A:$B,2,0),0)*-1</f>
        <v>407661</v>
      </c>
      <c r="W539" s="36"/>
      <c r="AH539" s="3">
        <v>0</v>
      </c>
      <c r="AJ539" s="3">
        <v>0</v>
      </c>
    </row>
    <row r="540" spans="1:36" x14ac:dyDescent="0.25">
      <c r="A540">
        <v>532</v>
      </c>
      <c r="B540" s="29" t="s">
        <v>45</v>
      </c>
      <c r="C540" s="29" t="s">
        <v>46</v>
      </c>
      <c r="D540" s="4" t="str">
        <f>"15746"</f>
        <v>15746</v>
      </c>
      <c r="E540" s="4" t="str">
        <f t="shared" si="16"/>
        <v>FE15746</v>
      </c>
      <c r="F540" s="7">
        <v>44344</v>
      </c>
      <c r="G540" s="7">
        <v>44351</v>
      </c>
      <c r="H540" s="34">
        <v>271710</v>
      </c>
      <c r="I540" s="31">
        <v>264710</v>
      </c>
      <c r="J540" s="31">
        <f t="shared" si="17"/>
        <v>7000</v>
      </c>
      <c r="K540" s="2"/>
      <c r="N540" s="32">
        <v>0</v>
      </c>
      <c r="Q540" s="34">
        <v>0</v>
      </c>
      <c r="R540" s="45"/>
      <c r="S540" s="4" t="str">
        <f>IFERROR(VLOOKUP(E540,'[2]td factu si'!$A:$B,1,0),0)</f>
        <v>FE15746</v>
      </c>
      <c r="T540" s="2">
        <f>IFERROR(VLOOKUP(E540,'[2]td factu si'!$A:$B,2,0),0)*-1</f>
        <v>264710</v>
      </c>
      <c r="W540" s="36"/>
      <c r="AH540" s="3">
        <v>0</v>
      </c>
      <c r="AJ540" s="3">
        <v>0</v>
      </c>
    </row>
    <row r="541" spans="1:36" x14ac:dyDescent="0.25">
      <c r="A541">
        <v>533</v>
      </c>
      <c r="B541" s="29" t="s">
        <v>45</v>
      </c>
      <c r="C541" s="29" t="s">
        <v>46</v>
      </c>
      <c r="D541" s="4" t="str">
        <f>"15749"</f>
        <v>15749</v>
      </c>
      <c r="E541" s="4" t="str">
        <f t="shared" si="16"/>
        <v>FE15749</v>
      </c>
      <c r="F541" s="7">
        <v>44344</v>
      </c>
      <c r="G541" s="7">
        <v>44350</v>
      </c>
      <c r="H541" s="34">
        <v>135855</v>
      </c>
      <c r="I541" s="31">
        <v>135855</v>
      </c>
      <c r="J541" s="31">
        <f t="shared" si="17"/>
        <v>0</v>
      </c>
      <c r="K541" s="2"/>
      <c r="N541" s="32">
        <v>0</v>
      </c>
      <c r="Q541" s="34">
        <v>0</v>
      </c>
      <c r="R541" s="45"/>
      <c r="S541" s="4" t="str">
        <f>IFERROR(VLOOKUP(E541,'[2]td factu si'!$A:$B,1,0),0)</f>
        <v>FE15749</v>
      </c>
      <c r="T541" s="2">
        <f>IFERROR(VLOOKUP(E541,'[2]td factu si'!$A:$B,2,0),0)*-1</f>
        <v>135855</v>
      </c>
      <c r="W541" s="36"/>
      <c r="AH541" s="3">
        <v>0</v>
      </c>
      <c r="AJ541" s="3">
        <v>0</v>
      </c>
    </row>
    <row r="542" spans="1:36" x14ac:dyDescent="0.25">
      <c r="A542">
        <v>534</v>
      </c>
      <c r="B542" s="29" t="s">
        <v>45</v>
      </c>
      <c r="C542" s="29" t="s">
        <v>46</v>
      </c>
      <c r="D542" s="4" t="str">
        <f>"15751"</f>
        <v>15751</v>
      </c>
      <c r="E542" s="4" t="str">
        <f t="shared" si="16"/>
        <v>FE15751</v>
      </c>
      <c r="F542" s="7">
        <v>44344</v>
      </c>
      <c r="G542" s="7">
        <v>44351</v>
      </c>
      <c r="H542" s="34">
        <v>317101</v>
      </c>
      <c r="I542" s="31">
        <v>310101</v>
      </c>
      <c r="J542" s="31">
        <f t="shared" si="17"/>
        <v>7000</v>
      </c>
      <c r="K542" s="2"/>
      <c r="N542" s="32">
        <v>0</v>
      </c>
      <c r="Q542" s="34">
        <v>0</v>
      </c>
      <c r="R542" s="45"/>
      <c r="S542" s="4" t="str">
        <f>IFERROR(VLOOKUP(E542,'[2]td factu si'!$A:$B,1,0),0)</f>
        <v>FE15751</v>
      </c>
      <c r="T542" s="2">
        <f>IFERROR(VLOOKUP(E542,'[2]td factu si'!$A:$B,2,0),0)*-1</f>
        <v>310101</v>
      </c>
      <c r="W542" s="36"/>
      <c r="AH542" s="3">
        <v>0</v>
      </c>
      <c r="AJ542" s="3">
        <v>0</v>
      </c>
    </row>
    <row r="543" spans="1:36" x14ac:dyDescent="0.25">
      <c r="A543">
        <v>535</v>
      </c>
      <c r="B543" s="29" t="s">
        <v>45</v>
      </c>
      <c r="C543" s="29" t="s">
        <v>46</v>
      </c>
      <c r="D543" s="4" t="str">
        <f>"15752"</f>
        <v>15752</v>
      </c>
      <c r="E543" s="4" t="str">
        <f t="shared" si="16"/>
        <v>FE15752</v>
      </c>
      <c r="F543" s="7">
        <v>44345</v>
      </c>
      <c r="G543" s="7">
        <v>44350</v>
      </c>
      <c r="H543" s="34">
        <v>317101</v>
      </c>
      <c r="I543" s="31">
        <v>285391</v>
      </c>
      <c r="J543" s="31">
        <f t="shared" si="17"/>
        <v>31710</v>
      </c>
      <c r="K543" s="2"/>
      <c r="N543" s="32">
        <v>0</v>
      </c>
      <c r="Q543" s="34">
        <v>0</v>
      </c>
      <c r="R543" s="45"/>
      <c r="S543" s="4">
        <f>IFERROR(VLOOKUP(E543,'[2]td factu si'!$A:$B,1,0),0)</f>
        <v>0</v>
      </c>
      <c r="T543" s="2">
        <f>IFERROR(VLOOKUP(E543,'[2]td factu si'!$A:$B,2,0),0)*-1</f>
        <v>0</v>
      </c>
      <c r="W543" s="36"/>
      <c r="X543" s="6">
        <v>285391</v>
      </c>
      <c r="AH543" s="3">
        <v>0</v>
      </c>
      <c r="AJ543" s="3">
        <v>0</v>
      </c>
    </row>
    <row r="544" spans="1:36" x14ac:dyDescent="0.25">
      <c r="A544">
        <v>536</v>
      </c>
      <c r="B544" s="29" t="s">
        <v>45</v>
      </c>
      <c r="C544" s="29" t="s">
        <v>46</v>
      </c>
      <c r="D544" s="4" t="str">
        <f>"15758"</f>
        <v>15758</v>
      </c>
      <c r="E544" s="4" t="str">
        <f t="shared" si="16"/>
        <v>FE15758</v>
      </c>
      <c r="F544" s="7">
        <v>44345</v>
      </c>
      <c r="G544" s="7">
        <v>44350</v>
      </c>
      <c r="H544" s="34">
        <v>181246</v>
      </c>
      <c r="I544" s="31">
        <v>181246</v>
      </c>
      <c r="J544" s="31">
        <f t="shared" si="17"/>
        <v>0</v>
      </c>
      <c r="K544" s="2"/>
      <c r="N544" s="32">
        <v>0</v>
      </c>
      <c r="Q544" s="34">
        <v>0</v>
      </c>
      <c r="R544" s="45"/>
      <c r="S544" s="4" t="str">
        <f>IFERROR(VLOOKUP(E544,'[2]td factu si'!$A:$B,1,0),0)</f>
        <v>FE15758</v>
      </c>
      <c r="T544" s="2">
        <f>IFERROR(VLOOKUP(E544,'[2]td factu si'!$A:$B,2,0),0)*-1</f>
        <v>181246</v>
      </c>
      <c r="W544" s="36"/>
      <c r="X544" s="6">
        <v>181246</v>
      </c>
      <c r="AH544" s="3">
        <v>0</v>
      </c>
      <c r="AJ544" s="3">
        <v>0</v>
      </c>
    </row>
    <row r="545" spans="1:36" x14ac:dyDescent="0.25">
      <c r="A545">
        <v>537</v>
      </c>
      <c r="B545" s="29" t="s">
        <v>45</v>
      </c>
      <c r="C545" s="29" t="s">
        <v>46</v>
      </c>
      <c r="D545" s="4" t="str">
        <f>"15759"</f>
        <v>15759</v>
      </c>
      <c r="E545" s="4" t="str">
        <f t="shared" si="16"/>
        <v>FE15759</v>
      </c>
      <c r="F545" s="7">
        <v>44345</v>
      </c>
      <c r="G545" s="7">
        <v>44350</v>
      </c>
      <c r="H545" s="34">
        <v>181246</v>
      </c>
      <c r="I545" s="31">
        <v>181246</v>
      </c>
      <c r="J545" s="31">
        <f t="shared" si="17"/>
        <v>0</v>
      </c>
      <c r="K545" s="2"/>
      <c r="N545" s="32">
        <v>0</v>
      </c>
      <c r="Q545" s="34">
        <v>0</v>
      </c>
      <c r="R545" s="45"/>
      <c r="S545" s="4" t="str">
        <f>IFERROR(VLOOKUP(E545,'[2]td factu si'!$A:$B,1,0),0)</f>
        <v>FE15759</v>
      </c>
      <c r="T545" s="2">
        <f>IFERROR(VLOOKUP(E545,'[2]td factu si'!$A:$B,2,0),0)*-1</f>
        <v>181246</v>
      </c>
      <c r="W545" s="36"/>
      <c r="X545" s="6">
        <v>181246</v>
      </c>
      <c r="AH545" s="3">
        <v>0</v>
      </c>
      <c r="AJ545" s="3">
        <v>0</v>
      </c>
    </row>
    <row r="546" spans="1:36" x14ac:dyDescent="0.25">
      <c r="A546">
        <v>538</v>
      </c>
      <c r="B546" s="29" t="s">
        <v>45</v>
      </c>
      <c r="C546" s="29" t="s">
        <v>46</v>
      </c>
      <c r="D546" s="4" t="str">
        <f>"15761"</f>
        <v>15761</v>
      </c>
      <c r="E546" s="4" t="str">
        <f t="shared" si="16"/>
        <v>FE15761</v>
      </c>
      <c r="F546" s="7">
        <v>44345</v>
      </c>
      <c r="G546" s="7">
        <v>44350</v>
      </c>
      <c r="H546" s="34">
        <v>181246</v>
      </c>
      <c r="I546" s="31">
        <v>181246</v>
      </c>
      <c r="J546" s="31">
        <f t="shared" si="17"/>
        <v>0</v>
      </c>
      <c r="K546" s="2"/>
      <c r="N546" s="32">
        <v>0</v>
      </c>
      <c r="Q546" s="34">
        <v>0</v>
      </c>
      <c r="R546" s="45"/>
      <c r="S546" s="4" t="str">
        <f>IFERROR(VLOOKUP(E546,'[2]td factu si'!$A:$B,1,0),0)</f>
        <v>FE15761</v>
      </c>
      <c r="T546" s="2">
        <f>IFERROR(VLOOKUP(E546,'[2]td factu si'!$A:$B,2,0),0)*-1</f>
        <v>181246</v>
      </c>
      <c r="W546" s="36"/>
      <c r="X546" s="6">
        <v>181246</v>
      </c>
      <c r="AH546" s="3">
        <v>0</v>
      </c>
      <c r="AJ546" s="3">
        <v>0</v>
      </c>
    </row>
    <row r="547" spans="1:36" x14ac:dyDescent="0.25">
      <c r="A547">
        <v>539</v>
      </c>
      <c r="B547" s="29" t="s">
        <v>45</v>
      </c>
      <c r="C547" s="29" t="s">
        <v>46</v>
      </c>
      <c r="D547" s="4" t="str">
        <f>"15762"</f>
        <v>15762</v>
      </c>
      <c r="E547" s="4" t="str">
        <f t="shared" si="16"/>
        <v>FE15762</v>
      </c>
      <c r="F547" s="7">
        <v>44345</v>
      </c>
      <c r="G547" s="7">
        <v>44350</v>
      </c>
      <c r="H547" s="34">
        <v>181246</v>
      </c>
      <c r="I547" s="31">
        <v>177746</v>
      </c>
      <c r="J547" s="31">
        <f t="shared" si="17"/>
        <v>3500</v>
      </c>
      <c r="K547" s="2"/>
      <c r="N547" s="32">
        <v>0</v>
      </c>
      <c r="Q547" s="34">
        <v>0</v>
      </c>
      <c r="R547" s="45"/>
      <c r="S547" s="4">
        <f>IFERROR(VLOOKUP(E547,'[2]td factu si'!$A:$B,1,0),0)</f>
        <v>0</v>
      </c>
      <c r="T547" s="2">
        <f>IFERROR(VLOOKUP(E547,'[2]td factu si'!$A:$B,2,0),0)*-1</f>
        <v>0</v>
      </c>
      <c r="W547" s="36"/>
      <c r="X547" s="6">
        <v>177746</v>
      </c>
      <c r="AH547" s="3">
        <v>0</v>
      </c>
      <c r="AJ547" s="3">
        <v>0</v>
      </c>
    </row>
    <row r="548" spans="1:36" x14ac:dyDescent="0.25">
      <c r="A548">
        <v>540</v>
      </c>
      <c r="B548" s="29" t="s">
        <v>45</v>
      </c>
      <c r="C548" s="29" t="s">
        <v>46</v>
      </c>
      <c r="D548" s="4" t="str">
        <f>"15764"</f>
        <v>15764</v>
      </c>
      <c r="E548" s="4" t="str">
        <f t="shared" si="16"/>
        <v>FE15764</v>
      </c>
      <c r="F548" s="7">
        <v>44345</v>
      </c>
      <c r="G548" s="7">
        <v>44350</v>
      </c>
      <c r="H548" s="34">
        <v>181246</v>
      </c>
      <c r="I548" s="31">
        <v>181246</v>
      </c>
      <c r="J548" s="31">
        <f t="shared" si="17"/>
        <v>0</v>
      </c>
      <c r="K548" s="2"/>
      <c r="N548" s="32">
        <v>0</v>
      </c>
      <c r="Q548" s="34">
        <v>0</v>
      </c>
      <c r="R548" s="45"/>
      <c r="S548" s="4" t="str">
        <f>IFERROR(VLOOKUP(E548,'[2]td factu si'!$A:$B,1,0),0)</f>
        <v>FE15764</v>
      </c>
      <c r="T548" s="2">
        <f>IFERROR(VLOOKUP(E548,'[2]td factu si'!$A:$B,2,0),0)*-1</f>
        <v>181246</v>
      </c>
      <c r="W548" s="36"/>
      <c r="X548" s="6">
        <v>181246</v>
      </c>
      <c r="AH548" s="3">
        <v>0</v>
      </c>
      <c r="AJ548" s="3">
        <v>0</v>
      </c>
    </row>
    <row r="549" spans="1:36" x14ac:dyDescent="0.25">
      <c r="A549">
        <v>541</v>
      </c>
      <c r="B549" s="29" t="s">
        <v>45</v>
      </c>
      <c r="C549" s="29" t="s">
        <v>46</v>
      </c>
      <c r="D549" s="4" t="str">
        <f>"15767"</f>
        <v>15767</v>
      </c>
      <c r="E549" s="4" t="str">
        <f t="shared" si="16"/>
        <v>FE15767</v>
      </c>
      <c r="F549" s="7">
        <v>44345</v>
      </c>
      <c r="G549" s="7">
        <v>44350</v>
      </c>
      <c r="H549" s="34">
        <v>181246</v>
      </c>
      <c r="I549" s="31">
        <v>181246</v>
      </c>
      <c r="J549" s="31">
        <f t="shared" si="17"/>
        <v>0</v>
      </c>
      <c r="K549" s="2"/>
      <c r="N549" s="32">
        <v>0</v>
      </c>
      <c r="Q549" s="34">
        <v>0</v>
      </c>
      <c r="R549" s="45"/>
      <c r="S549" s="4" t="str">
        <f>IFERROR(VLOOKUP(E549,'[2]td factu si'!$A:$B,1,0),0)</f>
        <v>FE15767</v>
      </c>
      <c r="T549" s="2">
        <f>IFERROR(VLOOKUP(E549,'[2]td factu si'!$A:$B,2,0),0)*-1</f>
        <v>181246</v>
      </c>
      <c r="W549" s="36"/>
      <c r="AH549" s="3">
        <v>0</v>
      </c>
      <c r="AJ549" s="3">
        <v>0</v>
      </c>
    </row>
    <row r="550" spans="1:36" x14ac:dyDescent="0.25">
      <c r="A550">
        <v>542</v>
      </c>
      <c r="B550" s="29" t="s">
        <v>45</v>
      </c>
      <c r="C550" s="29" t="s">
        <v>46</v>
      </c>
      <c r="D550" s="4" t="str">
        <f>"15769"</f>
        <v>15769</v>
      </c>
      <c r="E550" s="4" t="str">
        <f t="shared" si="16"/>
        <v>FE15769</v>
      </c>
      <c r="F550" s="7">
        <v>44345</v>
      </c>
      <c r="G550" s="7">
        <v>44350</v>
      </c>
      <c r="H550" s="34">
        <v>181246</v>
      </c>
      <c r="I550" s="31">
        <v>181246</v>
      </c>
      <c r="J550" s="31">
        <f t="shared" si="17"/>
        <v>0</v>
      </c>
      <c r="K550" s="2"/>
      <c r="N550" s="32">
        <v>0</v>
      </c>
      <c r="Q550" s="34">
        <v>0</v>
      </c>
      <c r="R550" s="45"/>
      <c r="S550" s="4" t="str">
        <f>IFERROR(VLOOKUP(E550,'[2]td factu si'!$A:$B,1,0),0)</f>
        <v>FE15769</v>
      </c>
      <c r="T550" s="2">
        <f>IFERROR(VLOOKUP(E550,'[2]td factu si'!$A:$B,2,0),0)*-1</f>
        <v>181246</v>
      </c>
      <c r="W550" s="36"/>
      <c r="AH550" s="3">
        <v>0</v>
      </c>
      <c r="AJ550" s="3">
        <v>0</v>
      </c>
    </row>
    <row r="551" spans="1:36" x14ac:dyDescent="0.25">
      <c r="A551">
        <v>543</v>
      </c>
      <c r="B551" s="29" t="s">
        <v>45</v>
      </c>
      <c r="C551" s="29" t="s">
        <v>46</v>
      </c>
      <c r="D551" s="4" t="str">
        <f>"15774"</f>
        <v>15774</v>
      </c>
      <c r="E551" s="4" t="str">
        <f t="shared" si="16"/>
        <v>FE15774</v>
      </c>
      <c r="F551" s="7">
        <v>44347</v>
      </c>
      <c r="G551" s="7">
        <v>44350</v>
      </c>
      <c r="H551" s="34">
        <v>15489</v>
      </c>
      <c r="I551" s="31">
        <v>15489</v>
      </c>
      <c r="J551" s="31">
        <f t="shared" si="17"/>
        <v>0</v>
      </c>
      <c r="K551" s="2"/>
      <c r="N551" s="32">
        <v>0</v>
      </c>
      <c r="Q551" s="34">
        <v>0</v>
      </c>
      <c r="R551" s="45"/>
      <c r="S551" s="4" t="str">
        <f>IFERROR(VLOOKUP(E551,'[2]td factu si'!$A:$B,1,0),0)</f>
        <v>FE15774</v>
      </c>
      <c r="T551" s="2">
        <f>IFERROR(VLOOKUP(E551,'[2]td factu si'!$A:$B,2,0),0)*-1</f>
        <v>15489</v>
      </c>
      <c r="W551" s="36"/>
      <c r="AH551" s="3">
        <v>0</v>
      </c>
      <c r="AJ551" s="3">
        <v>0</v>
      </c>
    </row>
    <row r="552" spans="1:36" x14ac:dyDescent="0.25">
      <c r="A552">
        <v>544</v>
      </c>
      <c r="B552" s="29" t="s">
        <v>45</v>
      </c>
      <c r="C552" s="29" t="s">
        <v>46</v>
      </c>
      <c r="D552" s="4" t="str">
        <f>"15775"</f>
        <v>15775</v>
      </c>
      <c r="E552" s="4" t="str">
        <f t="shared" si="16"/>
        <v>FE15775</v>
      </c>
      <c r="F552" s="7">
        <v>44347</v>
      </c>
      <c r="G552" s="7">
        <v>44351</v>
      </c>
      <c r="H552" s="34">
        <v>317101</v>
      </c>
      <c r="I552" s="31">
        <v>310101</v>
      </c>
      <c r="J552" s="31">
        <f t="shared" si="17"/>
        <v>7000</v>
      </c>
      <c r="K552" s="2"/>
      <c r="N552" s="32">
        <v>0</v>
      </c>
      <c r="Q552" s="34">
        <v>0</v>
      </c>
      <c r="R552" s="45"/>
      <c r="S552" s="4" t="str">
        <f>IFERROR(VLOOKUP(E552,'[2]td factu si'!$A:$B,1,0),0)</f>
        <v>FE15775</v>
      </c>
      <c r="T552" s="2">
        <f>IFERROR(VLOOKUP(E552,'[2]td factu si'!$A:$B,2,0),0)*-1</f>
        <v>310101</v>
      </c>
      <c r="W552" s="36"/>
      <c r="AH552" s="3">
        <v>0</v>
      </c>
      <c r="AJ552" s="3">
        <v>0</v>
      </c>
    </row>
    <row r="553" spans="1:36" x14ac:dyDescent="0.25">
      <c r="A553">
        <v>545</v>
      </c>
      <c r="B553" s="29" t="s">
        <v>45</v>
      </c>
      <c r="C553" s="29" t="s">
        <v>46</v>
      </c>
      <c r="D553" s="4" t="str">
        <f>"15776"</f>
        <v>15776</v>
      </c>
      <c r="E553" s="4" t="str">
        <f t="shared" si="16"/>
        <v>FE15776</v>
      </c>
      <c r="F553" s="7">
        <v>44347</v>
      </c>
      <c r="G553" s="7">
        <v>44350</v>
      </c>
      <c r="H553" s="34">
        <v>317101</v>
      </c>
      <c r="I553" s="31">
        <v>317101</v>
      </c>
      <c r="J553" s="31">
        <f t="shared" si="17"/>
        <v>0</v>
      </c>
      <c r="K553" s="2"/>
      <c r="N553" s="32">
        <v>0</v>
      </c>
      <c r="Q553" s="34">
        <v>0</v>
      </c>
      <c r="R553" s="45"/>
      <c r="S553" s="4" t="str">
        <f>IFERROR(VLOOKUP(E553,'[2]td factu si'!$A:$B,1,0),0)</f>
        <v>FE15776</v>
      </c>
      <c r="T553" s="2">
        <f>IFERROR(VLOOKUP(E553,'[2]td factu si'!$A:$B,2,0),0)*-1</f>
        <v>317101</v>
      </c>
      <c r="W553" s="36"/>
      <c r="AH553" s="3">
        <v>0</v>
      </c>
      <c r="AJ553" s="3">
        <v>0</v>
      </c>
    </row>
    <row r="554" spans="1:36" x14ac:dyDescent="0.25">
      <c r="A554">
        <v>546</v>
      </c>
      <c r="B554" s="29" t="s">
        <v>45</v>
      </c>
      <c r="C554" s="29" t="s">
        <v>46</v>
      </c>
      <c r="D554" s="4" t="str">
        <f>"15777"</f>
        <v>15777</v>
      </c>
      <c r="E554" s="4" t="str">
        <f t="shared" si="16"/>
        <v>FE15777</v>
      </c>
      <c r="F554" s="7">
        <v>44347</v>
      </c>
      <c r="G554" s="7">
        <v>44350</v>
      </c>
      <c r="H554" s="34">
        <v>135855</v>
      </c>
      <c r="I554" s="31">
        <v>135855</v>
      </c>
      <c r="J554" s="31">
        <f t="shared" si="17"/>
        <v>0</v>
      </c>
      <c r="K554" s="2"/>
      <c r="N554" s="32">
        <v>0</v>
      </c>
      <c r="Q554" s="34">
        <v>0</v>
      </c>
      <c r="R554" s="45"/>
      <c r="S554" s="4" t="str">
        <f>IFERROR(VLOOKUP(E554,'[2]td factu si'!$A:$B,1,0),0)</f>
        <v>FE15777</v>
      </c>
      <c r="T554" s="2">
        <f>IFERROR(VLOOKUP(E554,'[2]td factu si'!$A:$B,2,0),0)*-1</f>
        <v>135855</v>
      </c>
      <c r="W554" s="36"/>
      <c r="AH554" s="3">
        <v>0</v>
      </c>
      <c r="AJ554" s="3">
        <v>0</v>
      </c>
    </row>
    <row r="555" spans="1:36" x14ac:dyDescent="0.25">
      <c r="A555">
        <v>547</v>
      </c>
      <c r="B555" s="29" t="s">
        <v>45</v>
      </c>
      <c r="C555" s="29" t="s">
        <v>46</v>
      </c>
      <c r="D555" s="4" t="str">
        <f>"15780"</f>
        <v>15780</v>
      </c>
      <c r="E555" s="4" t="str">
        <f t="shared" si="16"/>
        <v>FE15780</v>
      </c>
      <c r="F555" s="7">
        <v>44347</v>
      </c>
      <c r="G555" s="7">
        <v>44350</v>
      </c>
      <c r="H555" s="34">
        <v>31746102</v>
      </c>
      <c r="I555" s="31">
        <v>31746102</v>
      </c>
      <c r="J555" s="31">
        <f t="shared" si="17"/>
        <v>0</v>
      </c>
      <c r="K555" s="2"/>
      <c r="N555" s="32">
        <v>0</v>
      </c>
      <c r="Q555" s="34">
        <v>0</v>
      </c>
      <c r="R555" s="45"/>
      <c r="S555" s="4" t="str">
        <f>IFERROR(VLOOKUP(E555,'[2]td factu si'!$A:$B,1,0),0)</f>
        <v>FE15780</v>
      </c>
      <c r="T555" s="2">
        <f>IFERROR(VLOOKUP(E555,'[2]td factu si'!$A:$B,2,0),0)*-1</f>
        <v>31746102</v>
      </c>
      <c r="W555" s="36"/>
      <c r="AH555" s="3">
        <v>0</v>
      </c>
      <c r="AJ555" s="3">
        <v>0</v>
      </c>
    </row>
    <row r="556" spans="1:36" x14ac:dyDescent="0.25">
      <c r="A556">
        <v>548</v>
      </c>
      <c r="B556" s="29" t="s">
        <v>45</v>
      </c>
      <c r="C556" s="29" t="s">
        <v>46</v>
      </c>
      <c r="D556" s="4" t="str">
        <f>"15790"</f>
        <v>15790</v>
      </c>
      <c r="E556" s="4" t="str">
        <f t="shared" si="16"/>
        <v>FE15790</v>
      </c>
      <c r="F556" s="7">
        <v>44347</v>
      </c>
      <c r="G556" s="7">
        <v>44351</v>
      </c>
      <c r="H556" s="34">
        <v>15489</v>
      </c>
      <c r="I556" s="31">
        <v>11989</v>
      </c>
      <c r="J556" s="31">
        <f t="shared" si="17"/>
        <v>3500</v>
      </c>
      <c r="K556" s="2"/>
      <c r="N556" s="32">
        <v>0</v>
      </c>
      <c r="Q556" s="34">
        <v>0</v>
      </c>
      <c r="R556" s="45"/>
      <c r="S556" s="4" t="str">
        <f>IFERROR(VLOOKUP(E556,'[2]td factu si'!$A:$B,1,0),0)</f>
        <v>FE15790</v>
      </c>
      <c r="T556" s="2">
        <f>IFERROR(VLOOKUP(E556,'[2]td factu si'!$A:$B,2,0),0)*-1</f>
        <v>11989</v>
      </c>
      <c r="W556" s="36"/>
      <c r="AH556" s="3">
        <v>0</v>
      </c>
      <c r="AJ556" s="3">
        <v>0</v>
      </c>
    </row>
    <row r="557" spans="1:36" x14ac:dyDescent="0.25">
      <c r="A557">
        <v>549</v>
      </c>
      <c r="B557" s="29" t="s">
        <v>45</v>
      </c>
      <c r="C557" s="29" t="s">
        <v>46</v>
      </c>
      <c r="D557" s="4" t="str">
        <f>"15792"</f>
        <v>15792</v>
      </c>
      <c r="E557" s="4" t="str">
        <f t="shared" si="16"/>
        <v>FE15792</v>
      </c>
      <c r="F557" s="7">
        <v>44347</v>
      </c>
      <c r="G557" s="7">
        <v>44351</v>
      </c>
      <c r="H557" s="34">
        <v>10792108</v>
      </c>
      <c r="I557" s="31">
        <v>10792108</v>
      </c>
      <c r="J557" s="31">
        <f t="shared" si="17"/>
        <v>0</v>
      </c>
      <c r="K557" s="2"/>
      <c r="N557" s="32">
        <v>0</v>
      </c>
      <c r="Q557" s="34">
        <v>0</v>
      </c>
      <c r="R557" s="45"/>
      <c r="S557" s="4" t="str">
        <f>IFERROR(VLOOKUP(E557,'[2]td factu si'!$A:$B,1,0),0)</f>
        <v>FE15792</v>
      </c>
      <c r="T557" s="2">
        <f>IFERROR(VLOOKUP(E557,'[2]td factu si'!$A:$B,2,0),0)*-1</f>
        <v>10792108</v>
      </c>
      <c r="W557" s="36"/>
      <c r="AH557" s="3">
        <v>0</v>
      </c>
      <c r="AJ557" s="3">
        <v>0</v>
      </c>
    </row>
    <row r="558" spans="1:36" x14ac:dyDescent="0.25">
      <c r="A558">
        <v>550</v>
      </c>
      <c r="B558" s="29" t="s">
        <v>45</v>
      </c>
      <c r="C558" s="29" t="s">
        <v>46</v>
      </c>
      <c r="D558" s="4" t="str">
        <f>"15794"</f>
        <v>15794</v>
      </c>
      <c r="E558" s="4" t="str">
        <f t="shared" si="16"/>
        <v>FE15794</v>
      </c>
      <c r="F558" s="7">
        <v>44347</v>
      </c>
      <c r="G558" s="7">
        <v>44350</v>
      </c>
      <c r="H558" s="34">
        <v>181246</v>
      </c>
      <c r="I558" s="31">
        <v>181246</v>
      </c>
      <c r="J558" s="31">
        <f t="shared" si="17"/>
        <v>0</v>
      </c>
      <c r="K558" s="2"/>
      <c r="N558" s="32">
        <v>0</v>
      </c>
      <c r="Q558" s="34">
        <v>0</v>
      </c>
      <c r="R558" s="45"/>
      <c r="S558" s="4" t="str">
        <f>IFERROR(VLOOKUP(E558,'[2]td factu si'!$A:$B,1,0),0)</f>
        <v>FE15794</v>
      </c>
      <c r="T558" s="2">
        <f>IFERROR(VLOOKUP(E558,'[2]td factu si'!$A:$B,2,0),0)*-1</f>
        <v>181246</v>
      </c>
      <c r="W558" s="36"/>
      <c r="AH558" s="3">
        <v>0</v>
      </c>
      <c r="AJ558" s="3">
        <v>0</v>
      </c>
    </row>
    <row r="559" spans="1:36" x14ac:dyDescent="0.25">
      <c r="A559">
        <v>551</v>
      </c>
      <c r="B559" s="29" t="s">
        <v>45</v>
      </c>
      <c r="C559" s="29" t="s">
        <v>46</v>
      </c>
      <c r="D559" s="4" t="str">
        <f>"15796"</f>
        <v>15796</v>
      </c>
      <c r="E559" s="4" t="str">
        <f t="shared" si="16"/>
        <v>FE15796</v>
      </c>
      <c r="F559" s="7">
        <v>44347</v>
      </c>
      <c r="G559" s="7">
        <v>44350</v>
      </c>
      <c r="H559" s="34">
        <v>339170</v>
      </c>
      <c r="I559" s="31">
        <v>339170</v>
      </c>
      <c r="J559" s="31">
        <f t="shared" si="17"/>
        <v>0</v>
      </c>
      <c r="K559" s="2"/>
      <c r="N559" s="32">
        <v>0</v>
      </c>
      <c r="Q559" s="34">
        <v>0</v>
      </c>
      <c r="R559" s="45"/>
      <c r="S559" s="4" t="str">
        <f>IFERROR(VLOOKUP(E559,'[2]td factu si'!$A:$B,1,0),0)</f>
        <v>FE15796</v>
      </c>
      <c r="T559" s="2">
        <f>IFERROR(VLOOKUP(E559,'[2]td factu si'!$A:$B,2,0),0)*-1</f>
        <v>339170</v>
      </c>
      <c r="W559" s="36"/>
      <c r="AH559" s="3">
        <v>0</v>
      </c>
      <c r="AJ559" s="3">
        <v>0</v>
      </c>
    </row>
    <row r="560" spans="1:36" x14ac:dyDescent="0.25">
      <c r="A560">
        <v>552</v>
      </c>
      <c r="B560" s="29" t="s">
        <v>45</v>
      </c>
      <c r="C560" s="29" t="s">
        <v>46</v>
      </c>
      <c r="D560" s="4" t="str">
        <f>"15798"</f>
        <v>15798</v>
      </c>
      <c r="E560" s="4" t="str">
        <f t="shared" si="16"/>
        <v>FE15798</v>
      </c>
      <c r="F560" s="7">
        <v>44347</v>
      </c>
      <c r="G560" s="7">
        <v>44350</v>
      </c>
      <c r="H560" s="34">
        <v>15489</v>
      </c>
      <c r="I560" s="31">
        <v>15489</v>
      </c>
      <c r="J560" s="31">
        <f t="shared" si="17"/>
        <v>0</v>
      </c>
      <c r="K560" s="2"/>
      <c r="N560" s="32">
        <v>0</v>
      </c>
      <c r="Q560" s="34">
        <v>0</v>
      </c>
      <c r="R560" s="45"/>
      <c r="S560" s="4" t="str">
        <f>IFERROR(VLOOKUP(E560,'[2]td factu si'!$A:$B,1,0),0)</f>
        <v>FE15798</v>
      </c>
      <c r="T560" s="2">
        <f>IFERROR(VLOOKUP(E560,'[2]td factu si'!$A:$B,2,0),0)*-1</f>
        <v>15489</v>
      </c>
      <c r="W560" s="36"/>
      <c r="AH560" s="3">
        <v>0</v>
      </c>
      <c r="AJ560" s="3">
        <v>0</v>
      </c>
    </row>
    <row r="561" spans="1:36" x14ac:dyDescent="0.25">
      <c r="A561">
        <v>553</v>
      </c>
      <c r="B561" s="29" t="s">
        <v>45</v>
      </c>
      <c r="C561" s="29" t="s">
        <v>46</v>
      </c>
      <c r="D561" s="4" t="str">
        <f>"15803"</f>
        <v>15803</v>
      </c>
      <c r="E561" s="4" t="str">
        <f t="shared" si="16"/>
        <v>FE15803</v>
      </c>
      <c r="F561" s="7">
        <v>44347</v>
      </c>
      <c r="G561" s="7">
        <v>44350</v>
      </c>
      <c r="H561" s="34">
        <v>15489</v>
      </c>
      <c r="I561" s="31">
        <v>15489</v>
      </c>
      <c r="J561" s="31">
        <f t="shared" si="17"/>
        <v>0</v>
      </c>
      <c r="K561" s="2"/>
      <c r="N561" s="32">
        <v>0</v>
      </c>
      <c r="Q561" s="34">
        <v>0</v>
      </c>
      <c r="R561" s="45"/>
      <c r="S561" s="4" t="str">
        <f>IFERROR(VLOOKUP(E561,'[2]td factu si'!$A:$B,1,0),0)</f>
        <v>FE15803</v>
      </c>
      <c r="T561" s="2">
        <f>IFERROR(VLOOKUP(E561,'[2]td factu si'!$A:$B,2,0),0)*-1</f>
        <v>15489</v>
      </c>
      <c r="W561" s="36"/>
      <c r="AH561" s="3">
        <v>0</v>
      </c>
      <c r="AJ561" s="3">
        <v>0</v>
      </c>
    </row>
    <row r="562" spans="1:36" x14ac:dyDescent="0.25">
      <c r="A562">
        <v>554</v>
      </c>
      <c r="B562" s="29" t="s">
        <v>45</v>
      </c>
      <c r="C562" s="29" t="s">
        <v>46</v>
      </c>
      <c r="D562" s="4" t="str">
        <f>"15809"</f>
        <v>15809</v>
      </c>
      <c r="E562" s="4" t="str">
        <f t="shared" si="16"/>
        <v>FE15809</v>
      </c>
      <c r="F562" s="7">
        <v>44347</v>
      </c>
      <c r="G562" s="7">
        <v>44350</v>
      </c>
      <c r="H562" s="34">
        <v>1851536</v>
      </c>
      <c r="I562" s="31">
        <v>1851536</v>
      </c>
      <c r="J562" s="31">
        <f t="shared" si="17"/>
        <v>0</v>
      </c>
      <c r="K562" s="2"/>
      <c r="N562" s="32">
        <v>0</v>
      </c>
      <c r="Q562" s="34">
        <v>0</v>
      </c>
      <c r="R562" s="45"/>
      <c r="S562" s="4" t="str">
        <f>IFERROR(VLOOKUP(E562,'[2]td factu si'!$A:$B,1,0),0)</f>
        <v>FE15809</v>
      </c>
      <c r="T562" s="2">
        <f>IFERROR(VLOOKUP(E562,'[2]td factu si'!$A:$B,2,0),0)*-1</f>
        <v>1851536</v>
      </c>
      <c r="W562" s="36"/>
      <c r="AH562" s="3">
        <v>0</v>
      </c>
      <c r="AJ562" s="3">
        <v>0</v>
      </c>
    </row>
    <row r="563" spans="1:36" x14ac:dyDescent="0.25">
      <c r="A563">
        <v>555</v>
      </c>
      <c r="B563" s="29" t="s">
        <v>45</v>
      </c>
      <c r="C563" s="29" t="s">
        <v>46</v>
      </c>
      <c r="D563" s="4" t="str">
        <f>"15812"</f>
        <v>15812</v>
      </c>
      <c r="E563" s="4" t="str">
        <f t="shared" si="16"/>
        <v>FE15812</v>
      </c>
      <c r="F563" s="7">
        <v>44347</v>
      </c>
      <c r="G563" s="7">
        <v>44350</v>
      </c>
      <c r="H563" s="34">
        <v>317101</v>
      </c>
      <c r="I563" s="31">
        <v>317101</v>
      </c>
      <c r="J563" s="31">
        <f t="shared" si="17"/>
        <v>0</v>
      </c>
      <c r="K563" s="2"/>
      <c r="N563" s="32">
        <v>0</v>
      </c>
      <c r="Q563" s="34">
        <v>0</v>
      </c>
      <c r="R563" s="45"/>
      <c r="S563" s="4" t="str">
        <f>IFERROR(VLOOKUP(E563,'[2]td factu si'!$A:$B,1,0),0)</f>
        <v>FE15812</v>
      </c>
      <c r="T563" s="2">
        <f>IFERROR(VLOOKUP(E563,'[2]td factu si'!$A:$B,2,0),0)*-1</f>
        <v>317101</v>
      </c>
      <c r="W563" s="36"/>
      <c r="X563" s="6">
        <v>317101</v>
      </c>
      <c r="AH563" s="3">
        <v>0</v>
      </c>
      <c r="AJ563" s="3">
        <v>0</v>
      </c>
    </row>
    <row r="564" spans="1:36" x14ac:dyDescent="0.25">
      <c r="A564">
        <v>556</v>
      </c>
      <c r="B564" s="29" t="s">
        <v>45</v>
      </c>
      <c r="C564" s="29" t="s">
        <v>46</v>
      </c>
      <c r="D564" s="4" t="str">
        <f>"15813"</f>
        <v>15813</v>
      </c>
      <c r="E564" s="4" t="str">
        <f t="shared" si="16"/>
        <v>FE15813</v>
      </c>
      <c r="F564" s="7">
        <v>44347</v>
      </c>
      <c r="G564" s="7">
        <v>44351</v>
      </c>
      <c r="H564" s="34">
        <v>15489</v>
      </c>
      <c r="I564" s="31">
        <v>11989</v>
      </c>
      <c r="J564" s="31">
        <f t="shared" si="17"/>
        <v>3500</v>
      </c>
      <c r="K564" s="2"/>
      <c r="N564" s="32">
        <v>0</v>
      </c>
      <c r="Q564" s="34">
        <v>0</v>
      </c>
      <c r="R564" s="45"/>
      <c r="S564" s="4" t="str">
        <f>IFERROR(VLOOKUP(E564,'[2]td factu si'!$A:$B,1,0),0)</f>
        <v>FE15813</v>
      </c>
      <c r="T564" s="2">
        <f>IFERROR(VLOOKUP(E564,'[2]td factu si'!$A:$B,2,0),0)*-1</f>
        <v>11989</v>
      </c>
      <c r="W564" s="36"/>
      <c r="AH564" s="3">
        <v>0</v>
      </c>
      <c r="AJ564" s="3">
        <v>0</v>
      </c>
    </row>
    <row r="565" spans="1:36" x14ac:dyDescent="0.25">
      <c r="A565">
        <v>557</v>
      </c>
      <c r="B565" s="29" t="s">
        <v>45</v>
      </c>
      <c r="C565" s="29" t="s">
        <v>46</v>
      </c>
      <c r="D565" s="4" t="str">
        <f>"15819"</f>
        <v>15819</v>
      </c>
      <c r="E565" s="4" t="str">
        <f t="shared" si="16"/>
        <v>FE15819</v>
      </c>
      <c r="F565" s="7">
        <v>44347</v>
      </c>
      <c r="G565" s="7">
        <v>44350</v>
      </c>
      <c r="H565" s="34">
        <v>1920055</v>
      </c>
      <c r="I565" s="31">
        <v>1920055</v>
      </c>
      <c r="J565" s="31">
        <f t="shared" si="17"/>
        <v>0</v>
      </c>
      <c r="K565" s="2"/>
      <c r="N565" s="32">
        <v>0</v>
      </c>
      <c r="Q565" s="34">
        <v>0</v>
      </c>
      <c r="R565" s="45"/>
      <c r="S565" s="4" t="str">
        <f>IFERROR(VLOOKUP(E565,'[2]td factu si'!$A:$B,1,0),0)</f>
        <v>FE15819</v>
      </c>
      <c r="T565" s="2">
        <f>IFERROR(VLOOKUP(E565,'[2]td factu si'!$A:$B,2,0),0)*-1</f>
        <v>1920055</v>
      </c>
      <c r="W565" s="36"/>
      <c r="AH565" s="3">
        <v>0</v>
      </c>
      <c r="AJ565" s="3">
        <v>0</v>
      </c>
    </row>
    <row r="566" spans="1:36" x14ac:dyDescent="0.25">
      <c r="A566">
        <v>558</v>
      </c>
      <c r="B566" s="29" t="s">
        <v>45</v>
      </c>
      <c r="C566" s="29" t="s">
        <v>46</v>
      </c>
      <c r="D566" s="4" t="str">
        <f>"15825"</f>
        <v>15825</v>
      </c>
      <c r="E566" s="4" t="str">
        <f t="shared" si="16"/>
        <v>FE15825</v>
      </c>
      <c r="F566" s="7">
        <v>44347</v>
      </c>
      <c r="G566" s="7">
        <v>44351</v>
      </c>
      <c r="H566" s="34">
        <v>15489</v>
      </c>
      <c r="I566" s="31">
        <v>11989</v>
      </c>
      <c r="J566" s="31">
        <f t="shared" si="17"/>
        <v>3500</v>
      </c>
      <c r="K566" s="2"/>
      <c r="N566" s="32">
        <v>0</v>
      </c>
      <c r="Q566" s="34">
        <v>0</v>
      </c>
      <c r="R566" s="45"/>
      <c r="S566" s="4" t="str">
        <f>IFERROR(VLOOKUP(E566,'[2]td factu si'!$A:$B,1,0),0)</f>
        <v>FE15825</v>
      </c>
      <c r="T566" s="2">
        <f>IFERROR(VLOOKUP(E566,'[2]td factu si'!$A:$B,2,0),0)*-1</f>
        <v>11989</v>
      </c>
      <c r="W566" s="36"/>
      <c r="AH566" s="3">
        <v>0</v>
      </c>
      <c r="AJ566" s="3">
        <v>0</v>
      </c>
    </row>
    <row r="567" spans="1:36" x14ac:dyDescent="0.25">
      <c r="A567">
        <v>559</v>
      </c>
      <c r="B567" s="29" t="s">
        <v>45</v>
      </c>
      <c r="C567" s="29" t="s">
        <v>46</v>
      </c>
      <c r="D567" s="4" t="str">
        <f>"15828"</f>
        <v>15828</v>
      </c>
      <c r="E567" s="4" t="str">
        <f t="shared" si="16"/>
        <v>FE15828</v>
      </c>
      <c r="F567" s="7">
        <v>44347</v>
      </c>
      <c r="G567" s="7">
        <v>44351</v>
      </c>
      <c r="H567" s="34">
        <v>15489</v>
      </c>
      <c r="I567" s="31">
        <v>11989</v>
      </c>
      <c r="J567" s="31">
        <f t="shared" si="17"/>
        <v>3500</v>
      </c>
      <c r="K567" s="2"/>
      <c r="N567" s="32">
        <v>0</v>
      </c>
      <c r="Q567" s="34">
        <v>0</v>
      </c>
      <c r="R567" s="45"/>
      <c r="S567" s="4" t="str">
        <f>IFERROR(VLOOKUP(E567,'[2]td factu si'!$A:$B,1,0),0)</f>
        <v>FE15828</v>
      </c>
      <c r="T567" s="2">
        <f>IFERROR(VLOOKUP(E567,'[2]td factu si'!$A:$B,2,0),0)*-1</f>
        <v>11989</v>
      </c>
      <c r="W567" s="36"/>
      <c r="AH567" s="3">
        <v>0</v>
      </c>
      <c r="AJ567" s="3">
        <v>0</v>
      </c>
    </row>
    <row r="568" spans="1:36" x14ac:dyDescent="0.25">
      <c r="A568">
        <v>560</v>
      </c>
      <c r="B568" s="29" t="s">
        <v>45</v>
      </c>
      <c r="C568" s="29" t="s">
        <v>46</v>
      </c>
      <c r="D568" s="4" t="str">
        <f>"15832"</f>
        <v>15832</v>
      </c>
      <c r="E568" s="4" t="str">
        <f t="shared" si="16"/>
        <v>FE15832</v>
      </c>
      <c r="F568" s="7">
        <v>44347</v>
      </c>
      <c r="G568" s="7">
        <v>44350</v>
      </c>
      <c r="H568" s="34">
        <v>135855</v>
      </c>
      <c r="I568" s="31">
        <v>135855</v>
      </c>
      <c r="J568" s="31">
        <f t="shared" si="17"/>
        <v>0</v>
      </c>
      <c r="K568" s="2"/>
      <c r="N568" s="32">
        <v>0</v>
      </c>
      <c r="Q568" s="34">
        <v>0</v>
      </c>
      <c r="R568" s="45"/>
      <c r="S568" s="4" t="str">
        <f>IFERROR(VLOOKUP(E568,'[2]td factu si'!$A:$B,1,0),0)</f>
        <v>FE15832</v>
      </c>
      <c r="T568" s="2">
        <f>IFERROR(VLOOKUP(E568,'[2]td factu si'!$A:$B,2,0),0)*-1</f>
        <v>135855</v>
      </c>
      <c r="W568" s="36"/>
      <c r="AH568" s="3">
        <v>0</v>
      </c>
      <c r="AJ568" s="3">
        <v>0</v>
      </c>
    </row>
    <row r="569" spans="1:36" x14ac:dyDescent="0.25">
      <c r="A569">
        <v>561</v>
      </c>
      <c r="B569" s="29" t="s">
        <v>45</v>
      </c>
      <c r="C569" s="29" t="s">
        <v>46</v>
      </c>
      <c r="D569" s="4" t="str">
        <f>"15833"</f>
        <v>15833</v>
      </c>
      <c r="E569" s="4" t="str">
        <f t="shared" si="16"/>
        <v>FE15833</v>
      </c>
      <c r="F569" s="7">
        <v>44347</v>
      </c>
      <c r="G569" s="7">
        <v>44351</v>
      </c>
      <c r="H569" s="34">
        <v>317101</v>
      </c>
      <c r="I569" s="31">
        <v>280634</v>
      </c>
      <c r="J569" s="31">
        <f t="shared" si="17"/>
        <v>36467</v>
      </c>
      <c r="K569" s="2"/>
      <c r="N569" s="32">
        <v>0</v>
      </c>
      <c r="Q569" s="34">
        <v>0</v>
      </c>
      <c r="R569" s="45"/>
      <c r="S569" s="4" t="str">
        <f>IFERROR(VLOOKUP(E569,'[2]td factu si'!$A:$B,1,0),0)</f>
        <v>FE15833</v>
      </c>
      <c r="T569" s="2">
        <f>IFERROR(VLOOKUP(E569,'[2]td factu si'!$A:$B,2,0),0)*-1</f>
        <v>280634</v>
      </c>
      <c r="W569" s="36"/>
      <c r="AH569" s="3">
        <v>0</v>
      </c>
      <c r="AJ569" s="3">
        <v>0</v>
      </c>
    </row>
    <row r="570" spans="1:36" x14ac:dyDescent="0.25">
      <c r="A570">
        <v>562</v>
      </c>
      <c r="B570" s="29" t="s">
        <v>45</v>
      </c>
      <c r="C570" s="29" t="s">
        <v>46</v>
      </c>
      <c r="D570" s="4" t="str">
        <f>"15837"</f>
        <v>15837</v>
      </c>
      <c r="E570" s="4" t="str">
        <f t="shared" si="16"/>
        <v>FE15837</v>
      </c>
      <c r="F570" s="7">
        <v>44347</v>
      </c>
      <c r="G570" s="7">
        <v>44350</v>
      </c>
      <c r="H570" s="34">
        <v>135855</v>
      </c>
      <c r="I570" s="31">
        <v>132355</v>
      </c>
      <c r="J570" s="31">
        <f t="shared" si="17"/>
        <v>3500</v>
      </c>
      <c r="K570" s="2"/>
      <c r="N570" s="32">
        <v>0</v>
      </c>
      <c r="Q570" s="34">
        <v>0</v>
      </c>
      <c r="R570" s="45"/>
      <c r="S570" s="4">
        <f>IFERROR(VLOOKUP(E570,'[2]td factu si'!$A:$B,1,0),0)</f>
        <v>0</v>
      </c>
      <c r="T570" s="2">
        <f>IFERROR(VLOOKUP(E570,'[2]td factu si'!$A:$B,2,0),0)*-1</f>
        <v>0</v>
      </c>
      <c r="W570" s="36"/>
      <c r="X570" s="6">
        <v>132355</v>
      </c>
      <c r="AH570" s="3">
        <v>0</v>
      </c>
      <c r="AJ570" s="3">
        <v>0</v>
      </c>
    </row>
    <row r="571" spans="1:36" x14ac:dyDescent="0.25">
      <c r="A571">
        <v>563</v>
      </c>
      <c r="B571" s="29" t="s">
        <v>45</v>
      </c>
      <c r="C571" s="29" t="s">
        <v>46</v>
      </c>
      <c r="D571" s="4" t="str">
        <f>"15845"</f>
        <v>15845</v>
      </c>
      <c r="E571" s="4" t="str">
        <f t="shared" si="16"/>
        <v>FE15845</v>
      </c>
      <c r="F571" s="7">
        <v>44347</v>
      </c>
      <c r="G571" s="7">
        <v>44350</v>
      </c>
      <c r="H571" s="34">
        <v>15490</v>
      </c>
      <c r="I571" s="31">
        <v>15490</v>
      </c>
      <c r="J571" s="31">
        <f t="shared" si="17"/>
        <v>0</v>
      </c>
      <c r="K571" s="2"/>
      <c r="N571" s="32">
        <v>0</v>
      </c>
      <c r="Q571" s="34">
        <v>0</v>
      </c>
      <c r="R571" s="45"/>
      <c r="S571" s="4" t="str">
        <f>IFERROR(VLOOKUP(E571,'[2]td factu si'!$A:$B,1,0),0)</f>
        <v>FE15845</v>
      </c>
      <c r="T571" s="2">
        <f>IFERROR(VLOOKUP(E571,'[2]td factu si'!$A:$B,2,0),0)*-1</f>
        <v>15490</v>
      </c>
      <c r="W571" s="36"/>
      <c r="X571" s="6">
        <v>15490</v>
      </c>
      <c r="AH571" s="3">
        <v>0</v>
      </c>
      <c r="AJ571" s="3">
        <v>0</v>
      </c>
    </row>
    <row r="572" spans="1:36" x14ac:dyDescent="0.25">
      <c r="A572">
        <v>564</v>
      </c>
      <c r="B572" s="29" t="s">
        <v>45</v>
      </c>
      <c r="C572" s="29" t="s">
        <v>46</v>
      </c>
      <c r="D572" s="4" t="str">
        <f>"15847"</f>
        <v>15847</v>
      </c>
      <c r="E572" s="4" t="str">
        <f t="shared" si="16"/>
        <v>FE15847</v>
      </c>
      <c r="F572" s="7">
        <v>44347</v>
      </c>
      <c r="G572" s="7">
        <v>44350</v>
      </c>
      <c r="H572" s="34">
        <v>181246</v>
      </c>
      <c r="I572" s="31">
        <v>181246</v>
      </c>
      <c r="J572" s="31">
        <f t="shared" si="17"/>
        <v>0</v>
      </c>
      <c r="K572" s="2"/>
      <c r="N572" s="32">
        <v>0</v>
      </c>
      <c r="Q572" s="34">
        <v>0</v>
      </c>
      <c r="R572" s="45"/>
      <c r="S572" s="4" t="str">
        <f>IFERROR(VLOOKUP(E572,'[2]td factu si'!$A:$B,1,0),0)</f>
        <v>FE15847</v>
      </c>
      <c r="T572" s="2">
        <f>IFERROR(VLOOKUP(E572,'[2]td factu si'!$A:$B,2,0),0)*-1</f>
        <v>181246</v>
      </c>
      <c r="W572" s="36"/>
      <c r="AH572" s="3">
        <v>0</v>
      </c>
      <c r="AJ572" s="3">
        <v>0</v>
      </c>
    </row>
    <row r="573" spans="1:36" x14ac:dyDescent="0.25">
      <c r="A573">
        <v>565</v>
      </c>
      <c r="B573" s="29" t="s">
        <v>45</v>
      </c>
      <c r="C573" s="29" t="s">
        <v>46</v>
      </c>
      <c r="D573" s="4" t="str">
        <f>"15849"</f>
        <v>15849</v>
      </c>
      <c r="E573" s="4" t="str">
        <f t="shared" si="16"/>
        <v>FE15849</v>
      </c>
      <c r="F573" s="7">
        <v>44347</v>
      </c>
      <c r="G573" s="7">
        <v>44350</v>
      </c>
      <c r="H573" s="34">
        <v>181246</v>
      </c>
      <c r="I573" s="31">
        <v>181246</v>
      </c>
      <c r="J573" s="31">
        <f t="shared" si="17"/>
        <v>0</v>
      </c>
      <c r="K573" s="2"/>
      <c r="N573" s="32">
        <v>0</v>
      </c>
      <c r="Q573" s="34">
        <v>0</v>
      </c>
      <c r="R573" s="45"/>
      <c r="S573" s="4" t="str">
        <f>IFERROR(VLOOKUP(E573,'[2]td factu si'!$A:$B,1,0),0)</f>
        <v>FE15849</v>
      </c>
      <c r="T573" s="2">
        <f>IFERROR(VLOOKUP(E573,'[2]td factu si'!$A:$B,2,0),0)*-1</f>
        <v>181246</v>
      </c>
      <c r="W573" s="36"/>
      <c r="AH573" s="3">
        <v>0</v>
      </c>
      <c r="AJ573" s="3">
        <v>0</v>
      </c>
    </row>
    <row r="574" spans="1:36" x14ac:dyDescent="0.25">
      <c r="A574">
        <v>566</v>
      </c>
      <c r="B574" s="29" t="s">
        <v>45</v>
      </c>
      <c r="C574" s="29" t="s">
        <v>46</v>
      </c>
      <c r="D574" s="4" t="str">
        <f>"15853"</f>
        <v>15853</v>
      </c>
      <c r="E574" s="4" t="str">
        <f t="shared" si="16"/>
        <v>FE15853</v>
      </c>
      <c r="F574" s="7">
        <v>44347</v>
      </c>
      <c r="G574" s="7">
        <v>44350</v>
      </c>
      <c r="H574" s="34">
        <v>181246</v>
      </c>
      <c r="I574" s="31">
        <v>181246</v>
      </c>
      <c r="J574" s="31">
        <f t="shared" si="17"/>
        <v>0</v>
      </c>
      <c r="K574" s="2"/>
      <c r="N574" s="32">
        <v>0</v>
      </c>
      <c r="Q574" s="34">
        <v>0</v>
      </c>
      <c r="R574" s="45"/>
      <c r="S574" s="4" t="str">
        <f>IFERROR(VLOOKUP(E574,'[2]td factu si'!$A:$B,1,0),0)</f>
        <v>FE15853</v>
      </c>
      <c r="T574" s="2">
        <f>IFERROR(VLOOKUP(E574,'[2]td factu si'!$A:$B,2,0),0)*-1</f>
        <v>181246</v>
      </c>
      <c r="W574" s="36"/>
      <c r="AH574" s="3">
        <v>0</v>
      </c>
      <c r="AJ574" s="3">
        <v>0</v>
      </c>
    </row>
    <row r="575" spans="1:36" x14ac:dyDescent="0.25">
      <c r="A575">
        <v>567</v>
      </c>
      <c r="B575" s="29" t="s">
        <v>45</v>
      </c>
      <c r="C575" s="29" t="s">
        <v>46</v>
      </c>
      <c r="D575" s="4" t="str">
        <f>"15854"</f>
        <v>15854</v>
      </c>
      <c r="E575" s="4" t="str">
        <f t="shared" si="16"/>
        <v>FE15854</v>
      </c>
      <c r="F575" s="7">
        <v>44347</v>
      </c>
      <c r="G575" s="7">
        <v>44350</v>
      </c>
      <c r="H575" s="34">
        <v>181246</v>
      </c>
      <c r="I575" s="31">
        <v>181246</v>
      </c>
      <c r="J575" s="31">
        <f t="shared" si="17"/>
        <v>0</v>
      </c>
      <c r="K575" s="2"/>
      <c r="N575" s="32">
        <v>0</v>
      </c>
      <c r="Q575" s="34">
        <v>0</v>
      </c>
      <c r="R575" s="45"/>
      <c r="S575" s="4" t="str">
        <f>IFERROR(VLOOKUP(E575,'[2]td factu si'!$A:$B,1,0),0)</f>
        <v>FE15854</v>
      </c>
      <c r="T575" s="2">
        <f>IFERROR(VLOOKUP(E575,'[2]td factu si'!$A:$B,2,0),0)*-1</f>
        <v>181246</v>
      </c>
      <c r="W575" s="36"/>
      <c r="AH575" s="3">
        <v>0</v>
      </c>
      <c r="AJ575" s="3">
        <v>0</v>
      </c>
    </row>
    <row r="576" spans="1:36" x14ac:dyDescent="0.25">
      <c r="A576">
        <v>568</v>
      </c>
      <c r="B576" s="29" t="s">
        <v>45</v>
      </c>
      <c r="C576" s="29" t="s">
        <v>46</v>
      </c>
      <c r="D576" s="4" t="str">
        <f>"15855"</f>
        <v>15855</v>
      </c>
      <c r="E576" s="4" t="str">
        <f t="shared" si="16"/>
        <v>FE15855</v>
      </c>
      <c r="F576" s="7">
        <v>44347</v>
      </c>
      <c r="G576" s="7">
        <v>44350</v>
      </c>
      <c r="H576" s="34">
        <v>181246</v>
      </c>
      <c r="I576" s="31">
        <v>181246</v>
      </c>
      <c r="J576" s="31">
        <f t="shared" si="17"/>
        <v>0</v>
      </c>
      <c r="K576" s="2"/>
      <c r="N576" s="32">
        <v>0</v>
      </c>
      <c r="Q576" s="34">
        <v>0</v>
      </c>
      <c r="R576" s="45"/>
      <c r="S576" s="4" t="str">
        <f>IFERROR(VLOOKUP(E576,'[2]td factu si'!$A:$B,1,0),0)</f>
        <v>FE15855</v>
      </c>
      <c r="T576" s="2">
        <f>IFERROR(VLOOKUP(E576,'[2]td factu si'!$A:$B,2,0),0)*-1</f>
        <v>181246</v>
      </c>
      <c r="W576" s="36"/>
      <c r="AH576" s="3">
        <v>0</v>
      </c>
      <c r="AJ576" s="3">
        <v>0</v>
      </c>
    </row>
    <row r="577" spans="1:36" x14ac:dyDescent="0.25">
      <c r="A577">
        <v>569</v>
      </c>
      <c r="B577" s="29" t="s">
        <v>45</v>
      </c>
      <c r="C577" s="29" t="s">
        <v>46</v>
      </c>
      <c r="D577" s="4" t="str">
        <f>"15856"</f>
        <v>15856</v>
      </c>
      <c r="E577" s="4" t="str">
        <f t="shared" si="16"/>
        <v>FE15856</v>
      </c>
      <c r="F577" s="7">
        <v>44347</v>
      </c>
      <c r="G577" s="7">
        <v>44350</v>
      </c>
      <c r="H577" s="34">
        <v>181246</v>
      </c>
      <c r="I577" s="31">
        <v>181246</v>
      </c>
      <c r="J577" s="31">
        <f t="shared" si="17"/>
        <v>0</v>
      </c>
      <c r="K577" s="2"/>
      <c r="N577" s="32">
        <v>0</v>
      </c>
      <c r="Q577" s="34">
        <v>0</v>
      </c>
      <c r="R577" s="45"/>
      <c r="S577" s="4" t="str">
        <f>IFERROR(VLOOKUP(E577,'[2]td factu si'!$A:$B,1,0),0)</f>
        <v>FE15856</v>
      </c>
      <c r="T577" s="2">
        <f>IFERROR(VLOOKUP(E577,'[2]td factu si'!$A:$B,2,0),0)*-1</f>
        <v>181246</v>
      </c>
      <c r="W577" s="36"/>
      <c r="AH577" s="3">
        <v>0</v>
      </c>
      <c r="AJ577" s="3">
        <v>0</v>
      </c>
    </row>
    <row r="578" spans="1:36" x14ac:dyDescent="0.25">
      <c r="A578">
        <v>570</v>
      </c>
      <c r="B578" s="29" t="s">
        <v>45</v>
      </c>
      <c r="C578" s="29" t="s">
        <v>46</v>
      </c>
      <c r="D578" s="4" t="str">
        <f>"15857"</f>
        <v>15857</v>
      </c>
      <c r="E578" s="4" t="str">
        <f t="shared" si="16"/>
        <v>FE15857</v>
      </c>
      <c r="F578" s="7">
        <v>44347</v>
      </c>
      <c r="G578" s="7">
        <v>44351</v>
      </c>
      <c r="H578" s="34">
        <v>181246</v>
      </c>
      <c r="I578" s="31">
        <v>160403</v>
      </c>
      <c r="J578" s="31">
        <f t="shared" si="17"/>
        <v>20843</v>
      </c>
      <c r="K578" s="2"/>
      <c r="N578" s="32">
        <v>0</v>
      </c>
      <c r="Q578" s="34">
        <v>0</v>
      </c>
      <c r="R578" s="45"/>
      <c r="S578" s="4" t="str">
        <f>IFERROR(VLOOKUP(E578,'[2]td factu si'!$A:$B,1,0),0)</f>
        <v>FE15857</v>
      </c>
      <c r="T578" s="2">
        <f>IFERROR(VLOOKUP(E578,'[2]td factu si'!$A:$B,2,0),0)*-1</f>
        <v>160403</v>
      </c>
      <c r="W578" s="36"/>
      <c r="AH578" s="3">
        <v>0</v>
      </c>
      <c r="AJ578" s="3">
        <v>0</v>
      </c>
    </row>
    <row r="579" spans="1:36" x14ac:dyDescent="0.25">
      <c r="A579">
        <v>571</v>
      </c>
      <c r="B579" s="29" t="s">
        <v>45</v>
      </c>
      <c r="C579" s="29" t="s">
        <v>46</v>
      </c>
      <c r="D579" s="4" t="str">
        <f>"15859"</f>
        <v>15859</v>
      </c>
      <c r="E579" s="4" t="str">
        <f t="shared" si="16"/>
        <v>FE15859</v>
      </c>
      <c r="F579" s="7">
        <v>44347</v>
      </c>
      <c r="G579" s="7">
        <v>44350</v>
      </c>
      <c r="H579" s="34">
        <v>181246</v>
      </c>
      <c r="I579" s="31">
        <v>181246</v>
      </c>
      <c r="J579" s="31">
        <f t="shared" si="17"/>
        <v>0</v>
      </c>
      <c r="K579" s="2"/>
      <c r="N579" s="32">
        <v>0</v>
      </c>
      <c r="Q579" s="34">
        <v>0</v>
      </c>
      <c r="R579" s="45"/>
      <c r="S579" s="4" t="str">
        <f>IFERROR(VLOOKUP(E579,'[2]td factu si'!$A:$B,1,0),0)</f>
        <v>FE15859</v>
      </c>
      <c r="T579" s="2">
        <f>IFERROR(VLOOKUP(E579,'[2]td factu si'!$A:$B,2,0),0)*-1</f>
        <v>181246</v>
      </c>
      <c r="W579" s="36"/>
      <c r="AH579" s="3">
        <v>0</v>
      </c>
      <c r="AJ579" s="3">
        <v>0</v>
      </c>
    </row>
    <row r="580" spans="1:36" x14ac:dyDescent="0.25">
      <c r="A580">
        <v>572</v>
      </c>
      <c r="B580" s="29" t="s">
        <v>45</v>
      </c>
      <c r="C580" s="29" t="s">
        <v>46</v>
      </c>
      <c r="D580" s="4" t="str">
        <f>"15861"</f>
        <v>15861</v>
      </c>
      <c r="E580" s="4" t="str">
        <f t="shared" si="16"/>
        <v>FE15861</v>
      </c>
      <c r="F580" s="7">
        <v>44347</v>
      </c>
      <c r="G580" s="7">
        <v>44350</v>
      </c>
      <c r="H580" s="34">
        <v>196735</v>
      </c>
      <c r="I580" s="31">
        <v>196735</v>
      </c>
      <c r="J580" s="31">
        <f t="shared" si="17"/>
        <v>0</v>
      </c>
      <c r="K580" s="2"/>
      <c r="N580" s="32">
        <v>0</v>
      </c>
      <c r="Q580" s="34">
        <v>0</v>
      </c>
      <c r="R580" s="45"/>
      <c r="S580" s="4">
        <f>IFERROR(VLOOKUP(E580,'[2]td factu si'!$A:$B,1,0),0)</f>
        <v>0</v>
      </c>
      <c r="T580" s="2">
        <f>IFERROR(VLOOKUP(E580,'[2]td factu si'!$A:$B,2,0),0)*-1</f>
        <v>0</v>
      </c>
      <c r="W580" s="36"/>
      <c r="X580" s="6">
        <v>196735</v>
      </c>
      <c r="AH580" s="3">
        <v>0</v>
      </c>
      <c r="AJ580" s="3">
        <v>0</v>
      </c>
    </row>
    <row r="581" spans="1:36" x14ac:dyDescent="0.25">
      <c r="A581">
        <v>573</v>
      </c>
      <c r="B581" s="29" t="s">
        <v>45</v>
      </c>
      <c r="C581" s="29" t="s">
        <v>46</v>
      </c>
      <c r="D581" s="4" t="str">
        <f>"15863"</f>
        <v>15863</v>
      </c>
      <c r="E581" s="4" t="str">
        <f t="shared" si="16"/>
        <v>FE15863</v>
      </c>
      <c r="F581" s="7">
        <v>44347</v>
      </c>
      <c r="G581" s="7">
        <v>44350</v>
      </c>
      <c r="H581" s="34">
        <v>15490</v>
      </c>
      <c r="I581" s="31">
        <v>15490</v>
      </c>
      <c r="J581" s="31">
        <f t="shared" si="17"/>
        <v>0</v>
      </c>
      <c r="K581" s="2"/>
      <c r="N581" s="32">
        <v>0</v>
      </c>
      <c r="Q581" s="34">
        <v>0</v>
      </c>
      <c r="R581" s="45"/>
      <c r="S581" s="4" t="str">
        <f>IFERROR(VLOOKUP(E581,'[2]td factu si'!$A:$B,1,0),0)</f>
        <v>FE15863</v>
      </c>
      <c r="T581" s="2">
        <f>IFERROR(VLOOKUP(E581,'[2]td factu si'!$A:$B,2,0),0)*-1</f>
        <v>15490</v>
      </c>
      <c r="W581" s="36"/>
      <c r="AH581" s="3">
        <v>0</v>
      </c>
      <c r="AJ581" s="3">
        <v>0</v>
      </c>
    </row>
    <row r="582" spans="1:36" x14ac:dyDescent="0.25">
      <c r="A582">
        <v>574</v>
      </c>
      <c r="B582" s="29" t="s">
        <v>45</v>
      </c>
      <c r="C582" s="29" t="s">
        <v>46</v>
      </c>
      <c r="D582" s="4" t="str">
        <f>"15864"</f>
        <v>15864</v>
      </c>
      <c r="E582" s="4" t="str">
        <f t="shared" si="16"/>
        <v>FE15864</v>
      </c>
      <c r="F582" s="7">
        <v>44347</v>
      </c>
      <c r="G582" s="7">
        <v>44350</v>
      </c>
      <c r="H582" s="34">
        <v>12874401</v>
      </c>
      <c r="I582" s="31">
        <v>12874401</v>
      </c>
      <c r="J582" s="31">
        <f t="shared" si="17"/>
        <v>0</v>
      </c>
      <c r="K582" s="2"/>
      <c r="N582" s="32">
        <v>0</v>
      </c>
      <c r="Q582" s="34">
        <v>0</v>
      </c>
      <c r="R582" s="45"/>
      <c r="S582" s="4" t="str">
        <f>IFERROR(VLOOKUP(E582,'[2]td factu si'!$A:$B,1,0),0)</f>
        <v>FE15864</v>
      </c>
      <c r="T582" s="2">
        <f>IFERROR(VLOOKUP(E582,'[2]td factu si'!$A:$B,2,0),0)*-1</f>
        <v>12874401</v>
      </c>
      <c r="W582" s="36"/>
      <c r="AH582" s="3">
        <v>0</v>
      </c>
      <c r="AJ582" s="3">
        <v>0</v>
      </c>
    </row>
    <row r="583" spans="1:36" x14ac:dyDescent="0.25">
      <c r="A583">
        <v>575</v>
      </c>
      <c r="B583" s="29" t="s">
        <v>45</v>
      </c>
      <c r="C583" s="29" t="s">
        <v>46</v>
      </c>
      <c r="D583" s="4" t="str">
        <f>"15865"</f>
        <v>15865</v>
      </c>
      <c r="E583" s="4" t="str">
        <f t="shared" si="16"/>
        <v>FE15865</v>
      </c>
      <c r="F583" s="7">
        <v>44347</v>
      </c>
      <c r="G583" s="7">
        <v>44350</v>
      </c>
      <c r="H583" s="34">
        <v>181246</v>
      </c>
      <c r="I583" s="31">
        <v>181246</v>
      </c>
      <c r="J583" s="31">
        <f t="shared" si="17"/>
        <v>0</v>
      </c>
      <c r="K583" s="2"/>
      <c r="N583" s="32">
        <v>0</v>
      </c>
      <c r="Q583" s="34">
        <v>0</v>
      </c>
      <c r="R583" s="45"/>
      <c r="S583" s="4" t="str">
        <f>IFERROR(VLOOKUP(E583,'[2]td factu si'!$A:$B,1,0),0)</f>
        <v>FE15865</v>
      </c>
      <c r="T583" s="2">
        <f>IFERROR(VLOOKUP(E583,'[2]td factu si'!$A:$B,2,0),0)*-1</f>
        <v>181246</v>
      </c>
      <c r="W583" s="36"/>
      <c r="AH583" s="3">
        <v>0</v>
      </c>
      <c r="AJ583" s="3">
        <v>0</v>
      </c>
    </row>
    <row r="584" spans="1:36" x14ac:dyDescent="0.25">
      <c r="A584">
        <v>576</v>
      </c>
      <c r="B584" s="29" t="s">
        <v>45</v>
      </c>
      <c r="C584" s="29" t="s">
        <v>46</v>
      </c>
      <c r="D584" s="4" t="str">
        <f>"15866"</f>
        <v>15866</v>
      </c>
      <c r="E584" s="4" t="str">
        <f t="shared" si="16"/>
        <v>FE15866</v>
      </c>
      <c r="F584" s="7">
        <v>44347</v>
      </c>
      <c r="G584" s="7">
        <v>44350</v>
      </c>
      <c r="H584" s="34">
        <v>15490</v>
      </c>
      <c r="I584" s="31">
        <v>15490</v>
      </c>
      <c r="J584" s="31">
        <f t="shared" si="17"/>
        <v>0</v>
      </c>
      <c r="K584" s="2"/>
      <c r="N584" s="32">
        <v>0</v>
      </c>
      <c r="Q584" s="34">
        <v>0</v>
      </c>
      <c r="R584" s="45"/>
      <c r="S584" s="4" t="str">
        <f>IFERROR(VLOOKUP(E584,'[2]td factu si'!$A:$B,1,0),0)</f>
        <v>FE15866</v>
      </c>
      <c r="T584" s="2">
        <f>IFERROR(VLOOKUP(E584,'[2]td factu si'!$A:$B,2,0),0)*-1</f>
        <v>15490</v>
      </c>
      <c r="W584" s="36"/>
      <c r="AH584" s="3">
        <v>0</v>
      </c>
      <c r="AJ584" s="3">
        <v>0</v>
      </c>
    </row>
    <row r="585" spans="1:36" x14ac:dyDescent="0.25">
      <c r="A585">
        <v>577</v>
      </c>
      <c r="B585" s="29" t="s">
        <v>45</v>
      </c>
      <c r="C585" s="29" t="s">
        <v>46</v>
      </c>
      <c r="D585" s="4" t="str">
        <f>"15867"</f>
        <v>15867</v>
      </c>
      <c r="E585" s="4" t="str">
        <f t="shared" si="16"/>
        <v>FE15867</v>
      </c>
      <c r="F585" s="7">
        <v>44347</v>
      </c>
      <c r="G585" s="7">
        <v>44350</v>
      </c>
      <c r="H585" s="34">
        <v>9050682</v>
      </c>
      <c r="I585" s="31">
        <v>9050682</v>
      </c>
      <c r="J585" s="31">
        <f t="shared" si="17"/>
        <v>0</v>
      </c>
      <c r="K585" s="2"/>
      <c r="N585" s="32">
        <v>0</v>
      </c>
      <c r="Q585" s="34">
        <v>0</v>
      </c>
      <c r="R585" s="45"/>
      <c r="S585" s="4" t="str">
        <f>IFERROR(VLOOKUP(E585,'[2]td factu si'!$A:$B,1,0),0)</f>
        <v>FE15867</v>
      </c>
      <c r="T585" s="2">
        <f>IFERROR(VLOOKUP(E585,'[2]td factu si'!$A:$B,2,0),0)*-1</f>
        <v>9050682</v>
      </c>
      <c r="W585" s="36"/>
      <c r="AH585" s="3">
        <v>0</v>
      </c>
      <c r="AJ585" s="3">
        <v>0</v>
      </c>
    </row>
    <row r="586" spans="1:36" x14ac:dyDescent="0.25">
      <c r="A586">
        <v>578</v>
      </c>
      <c r="B586" s="29" t="s">
        <v>45</v>
      </c>
      <c r="C586" s="29" t="s">
        <v>46</v>
      </c>
      <c r="D586" s="4" t="str">
        <f>"15868"</f>
        <v>15868</v>
      </c>
      <c r="E586" s="4" t="str">
        <f t="shared" ref="E586:E649" si="18">_xlfn.CONCAT(C586,D586)</f>
        <v>FE15868</v>
      </c>
      <c r="F586" s="7">
        <v>44347</v>
      </c>
      <c r="G586" s="7">
        <v>44351</v>
      </c>
      <c r="H586" s="34">
        <v>15490</v>
      </c>
      <c r="I586" s="31">
        <v>11990</v>
      </c>
      <c r="J586" s="31">
        <f t="shared" ref="J586:J649" si="19">+H586-I586</f>
        <v>3500</v>
      </c>
      <c r="K586" s="2"/>
      <c r="N586" s="32">
        <v>0</v>
      </c>
      <c r="Q586" s="34">
        <v>0</v>
      </c>
      <c r="R586" s="45"/>
      <c r="S586" s="4" t="str">
        <f>IFERROR(VLOOKUP(E586,'[2]td factu si'!$A:$B,1,0),0)</f>
        <v>FE15868</v>
      </c>
      <c r="T586" s="2">
        <f>IFERROR(VLOOKUP(E586,'[2]td factu si'!$A:$B,2,0),0)*-1</f>
        <v>11990</v>
      </c>
      <c r="W586" s="36"/>
      <c r="AH586" s="3">
        <v>0</v>
      </c>
      <c r="AJ586" s="3">
        <v>0</v>
      </c>
    </row>
    <row r="587" spans="1:36" x14ac:dyDescent="0.25">
      <c r="A587">
        <v>579</v>
      </c>
      <c r="B587" s="29" t="s">
        <v>45</v>
      </c>
      <c r="C587" s="29" t="s">
        <v>46</v>
      </c>
      <c r="D587" s="4" t="str">
        <f>"15875"</f>
        <v>15875</v>
      </c>
      <c r="E587" s="4" t="str">
        <f t="shared" si="18"/>
        <v>FE15875</v>
      </c>
      <c r="F587" s="7">
        <v>44347</v>
      </c>
      <c r="G587" s="7">
        <v>44350</v>
      </c>
      <c r="H587" s="34">
        <v>15489</v>
      </c>
      <c r="I587" s="31">
        <v>15489</v>
      </c>
      <c r="J587" s="31">
        <f t="shared" si="19"/>
        <v>0</v>
      </c>
      <c r="K587" s="2"/>
      <c r="N587" s="32">
        <v>0</v>
      </c>
      <c r="Q587" s="34">
        <v>0</v>
      </c>
      <c r="R587" s="45"/>
      <c r="S587" s="4" t="str">
        <f>IFERROR(VLOOKUP(E587,'[2]td factu si'!$A:$B,1,0),0)</f>
        <v>FE15875</v>
      </c>
      <c r="T587" s="2">
        <f>IFERROR(VLOOKUP(E587,'[2]td factu si'!$A:$B,2,0),0)*-1</f>
        <v>15489</v>
      </c>
      <c r="W587" s="36"/>
      <c r="AH587" s="3">
        <v>0</v>
      </c>
      <c r="AJ587" s="3">
        <v>0</v>
      </c>
    </row>
    <row r="588" spans="1:36" x14ac:dyDescent="0.25">
      <c r="A588">
        <v>580</v>
      </c>
      <c r="B588" s="29" t="s">
        <v>45</v>
      </c>
      <c r="C588" s="29" t="s">
        <v>46</v>
      </c>
      <c r="D588" s="4" t="str">
        <f>"15884"</f>
        <v>15884</v>
      </c>
      <c r="E588" s="4" t="str">
        <f t="shared" si="18"/>
        <v>FE15884</v>
      </c>
      <c r="F588" s="7">
        <v>44347</v>
      </c>
      <c r="G588" s="7">
        <v>44351</v>
      </c>
      <c r="H588" s="34">
        <v>15489</v>
      </c>
      <c r="I588" s="31">
        <v>1489</v>
      </c>
      <c r="J588" s="31">
        <f t="shared" si="19"/>
        <v>14000</v>
      </c>
      <c r="K588" s="2"/>
      <c r="N588" s="32">
        <v>0</v>
      </c>
      <c r="Q588" s="34">
        <v>0</v>
      </c>
      <c r="R588" s="45"/>
      <c r="S588" s="4" t="str">
        <f>IFERROR(VLOOKUP(E588,'[2]td factu si'!$A:$B,1,0),0)</f>
        <v>FE15884</v>
      </c>
      <c r="T588" s="2">
        <f>IFERROR(VLOOKUP(E588,'[2]td factu si'!$A:$B,2,0),0)*-1</f>
        <v>1489</v>
      </c>
      <c r="W588" s="36"/>
      <c r="AH588" s="3">
        <v>0</v>
      </c>
      <c r="AJ588" s="3">
        <v>0</v>
      </c>
    </row>
    <row r="589" spans="1:36" x14ac:dyDescent="0.25">
      <c r="A589">
        <v>581</v>
      </c>
      <c r="B589" s="29" t="s">
        <v>45</v>
      </c>
      <c r="C589" s="29" t="s">
        <v>46</v>
      </c>
      <c r="D589" s="4" t="str">
        <f>"15885"</f>
        <v>15885</v>
      </c>
      <c r="E589" s="4" t="str">
        <f t="shared" si="18"/>
        <v>FE15885</v>
      </c>
      <c r="F589" s="7">
        <v>44347</v>
      </c>
      <c r="G589" s="7">
        <v>44350</v>
      </c>
      <c r="H589" s="34">
        <v>135855</v>
      </c>
      <c r="I589" s="31">
        <v>135855</v>
      </c>
      <c r="J589" s="31">
        <f t="shared" si="19"/>
        <v>0</v>
      </c>
      <c r="K589" s="2"/>
      <c r="N589" s="32">
        <v>0</v>
      </c>
      <c r="Q589" s="34">
        <v>0</v>
      </c>
      <c r="R589" s="45"/>
      <c r="S589" s="4" t="str">
        <f>IFERROR(VLOOKUP(E589,'[2]td factu si'!$A:$B,1,0),0)</f>
        <v>FE15885</v>
      </c>
      <c r="T589" s="2">
        <f>IFERROR(VLOOKUP(E589,'[2]td factu si'!$A:$B,2,0),0)*-1</f>
        <v>135855</v>
      </c>
      <c r="W589" s="36"/>
      <c r="AH589" s="3">
        <v>0</v>
      </c>
      <c r="AJ589" s="3">
        <v>0</v>
      </c>
    </row>
    <row r="590" spans="1:36" x14ac:dyDescent="0.25">
      <c r="A590">
        <v>582</v>
      </c>
      <c r="B590" s="29" t="s">
        <v>45</v>
      </c>
      <c r="C590" s="29" t="s">
        <v>46</v>
      </c>
      <c r="D590" s="4" t="str">
        <f>"15886"</f>
        <v>15886</v>
      </c>
      <c r="E590" s="4" t="str">
        <f t="shared" si="18"/>
        <v>FE15886</v>
      </c>
      <c r="F590" s="7">
        <v>44347</v>
      </c>
      <c r="G590" s="7">
        <v>44350</v>
      </c>
      <c r="H590" s="34">
        <v>135855</v>
      </c>
      <c r="I590" s="31">
        <v>135855</v>
      </c>
      <c r="J590" s="31">
        <f t="shared" si="19"/>
        <v>0</v>
      </c>
      <c r="K590" s="2"/>
      <c r="N590" s="32">
        <v>0</v>
      </c>
      <c r="Q590" s="34">
        <v>0</v>
      </c>
      <c r="R590" s="45"/>
      <c r="S590" s="4" t="str">
        <f>IFERROR(VLOOKUP(E590,'[2]td factu si'!$A:$B,1,0),0)</f>
        <v>FE15886</v>
      </c>
      <c r="T590" s="2">
        <f>IFERROR(VLOOKUP(E590,'[2]td factu si'!$A:$B,2,0),0)*-1</f>
        <v>135855</v>
      </c>
      <c r="W590" s="36"/>
      <c r="AH590" s="3">
        <v>0</v>
      </c>
      <c r="AJ590" s="3">
        <v>0</v>
      </c>
    </row>
    <row r="591" spans="1:36" x14ac:dyDescent="0.25">
      <c r="A591">
        <v>583</v>
      </c>
      <c r="B591" s="29" t="s">
        <v>45</v>
      </c>
      <c r="C591" s="29" t="s">
        <v>46</v>
      </c>
      <c r="D591" s="4" t="str">
        <f>"15888"</f>
        <v>15888</v>
      </c>
      <c r="E591" s="4" t="str">
        <f t="shared" si="18"/>
        <v>FE15888</v>
      </c>
      <c r="F591" s="7">
        <v>44347</v>
      </c>
      <c r="G591" s="7">
        <v>44350</v>
      </c>
      <c r="H591" s="34">
        <v>135855</v>
      </c>
      <c r="I591" s="31">
        <v>135855</v>
      </c>
      <c r="J591" s="31">
        <f t="shared" si="19"/>
        <v>0</v>
      </c>
      <c r="K591" s="2"/>
      <c r="N591" s="32">
        <v>0</v>
      </c>
      <c r="Q591" s="34">
        <v>0</v>
      </c>
      <c r="R591" s="45"/>
      <c r="S591" s="4" t="str">
        <f>IFERROR(VLOOKUP(E591,'[2]td factu si'!$A:$B,1,0),0)</f>
        <v>FE15888</v>
      </c>
      <c r="T591" s="2">
        <f>IFERROR(VLOOKUP(E591,'[2]td factu si'!$A:$B,2,0),0)*-1</f>
        <v>135855</v>
      </c>
      <c r="W591" s="36"/>
      <c r="AH591" s="3">
        <v>0</v>
      </c>
      <c r="AJ591" s="3">
        <v>0</v>
      </c>
    </row>
    <row r="592" spans="1:36" x14ac:dyDescent="0.25">
      <c r="A592">
        <v>584</v>
      </c>
      <c r="B592" s="29" t="s">
        <v>45</v>
      </c>
      <c r="C592" s="29" t="s">
        <v>46</v>
      </c>
      <c r="D592" s="4" t="str">
        <f>"15891"</f>
        <v>15891</v>
      </c>
      <c r="E592" s="4" t="str">
        <f t="shared" si="18"/>
        <v>FE15891</v>
      </c>
      <c r="F592" s="7">
        <v>44347</v>
      </c>
      <c r="G592" s="7">
        <v>44350</v>
      </c>
      <c r="H592" s="34">
        <v>3183889</v>
      </c>
      <c r="I592" s="31">
        <v>3183889</v>
      </c>
      <c r="J592" s="31">
        <f t="shared" si="19"/>
        <v>0</v>
      </c>
      <c r="K592" s="2"/>
      <c r="N592" s="32">
        <v>0</v>
      </c>
      <c r="Q592" s="34">
        <v>0</v>
      </c>
      <c r="R592" s="45"/>
      <c r="S592" s="4" t="str">
        <f>IFERROR(VLOOKUP(E592,'[2]td factu si'!$A:$B,1,0),0)</f>
        <v>FE15891</v>
      </c>
      <c r="T592" s="2">
        <f>IFERROR(VLOOKUP(E592,'[2]td factu si'!$A:$B,2,0),0)*-1</f>
        <v>3183889</v>
      </c>
      <c r="W592" s="36"/>
      <c r="AH592" s="3">
        <v>0</v>
      </c>
      <c r="AJ592" s="3">
        <v>0</v>
      </c>
    </row>
    <row r="593" spans="1:36" x14ac:dyDescent="0.25">
      <c r="A593">
        <v>585</v>
      </c>
      <c r="B593" s="29" t="s">
        <v>45</v>
      </c>
      <c r="C593" s="29" t="s">
        <v>46</v>
      </c>
      <c r="D593" s="4" t="str">
        <f>"15899"</f>
        <v>15899</v>
      </c>
      <c r="E593" s="4" t="str">
        <f t="shared" si="18"/>
        <v>FE15899</v>
      </c>
      <c r="F593" s="7">
        <v>44347</v>
      </c>
      <c r="G593" s="7">
        <v>44350</v>
      </c>
      <c r="H593" s="34">
        <v>12851392</v>
      </c>
      <c r="I593" s="31">
        <v>12851392</v>
      </c>
      <c r="J593" s="31">
        <f t="shared" si="19"/>
        <v>0</v>
      </c>
      <c r="K593" s="2"/>
      <c r="N593" s="32">
        <v>0</v>
      </c>
      <c r="Q593" s="34">
        <v>0</v>
      </c>
      <c r="R593" s="45"/>
      <c r="S593" s="4" t="str">
        <f>IFERROR(VLOOKUP(E593,'[2]td factu si'!$A:$B,1,0),0)</f>
        <v>FE15899</v>
      </c>
      <c r="T593" s="2">
        <f>IFERROR(VLOOKUP(E593,'[2]td factu si'!$A:$B,2,0),0)*-1</f>
        <v>12851392</v>
      </c>
      <c r="W593" s="36"/>
      <c r="AH593" s="3">
        <v>0</v>
      </c>
      <c r="AJ593" s="3">
        <v>0</v>
      </c>
    </row>
    <row r="594" spans="1:36" x14ac:dyDescent="0.25">
      <c r="A594">
        <v>586</v>
      </c>
      <c r="B594" s="29" t="s">
        <v>45</v>
      </c>
      <c r="C594" s="29" t="s">
        <v>46</v>
      </c>
      <c r="D594" s="4" t="str">
        <f>"15902"</f>
        <v>15902</v>
      </c>
      <c r="E594" s="4" t="str">
        <f t="shared" si="18"/>
        <v>FE15902</v>
      </c>
      <c r="F594" s="7">
        <v>44347</v>
      </c>
      <c r="G594" s="7">
        <v>44357</v>
      </c>
      <c r="H594" s="34">
        <v>135855</v>
      </c>
      <c r="I594" s="31">
        <v>135855</v>
      </c>
      <c r="J594" s="31">
        <f t="shared" si="19"/>
        <v>0</v>
      </c>
      <c r="K594" s="2"/>
      <c r="N594" s="32">
        <v>0</v>
      </c>
      <c r="Q594" s="34">
        <v>0</v>
      </c>
      <c r="R594" s="45"/>
      <c r="S594" s="4" t="str">
        <f>IFERROR(VLOOKUP(E594,'[2]td factu si'!$A:$B,1,0),0)</f>
        <v>FE15902</v>
      </c>
      <c r="T594" s="2">
        <f>IFERROR(VLOOKUP(E594,'[2]td factu si'!$A:$B,2,0),0)*-1</f>
        <v>135855</v>
      </c>
      <c r="W594" s="36"/>
      <c r="AH594" s="3">
        <v>0</v>
      </c>
      <c r="AJ594" s="3">
        <v>0</v>
      </c>
    </row>
    <row r="595" spans="1:36" x14ac:dyDescent="0.25">
      <c r="A595">
        <v>587</v>
      </c>
      <c r="B595" s="29" t="s">
        <v>45</v>
      </c>
      <c r="C595" s="29" t="s">
        <v>46</v>
      </c>
      <c r="D595" s="4" t="str">
        <f>"15906"</f>
        <v>15906</v>
      </c>
      <c r="E595" s="4" t="str">
        <f t="shared" si="18"/>
        <v>FE15906</v>
      </c>
      <c r="F595" s="7">
        <v>44347</v>
      </c>
      <c r="G595" s="7">
        <v>44350</v>
      </c>
      <c r="H595" s="34">
        <v>135855</v>
      </c>
      <c r="I595" s="31">
        <v>135855</v>
      </c>
      <c r="J595" s="31">
        <f t="shared" si="19"/>
        <v>0</v>
      </c>
      <c r="K595" s="2"/>
      <c r="N595" s="32">
        <v>0</v>
      </c>
      <c r="Q595" s="34">
        <v>0</v>
      </c>
      <c r="R595" s="45"/>
      <c r="S595" s="4" t="str">
        <f>IFERROR(VLOOKUP(E595,'[2]td factu si'!$A:$B,1,0),0)</f>
        <v>FE15906</v>
      </c>
      <c r="T595" s="2">
        <f>IFERROR(VLOOKUP(E595,'[2]td factu si'!$A:$B,2,0),0)*-1</f>
        <v>135855</v>
      </c>
      <c r="W595" s="36"/>
      <c r="AH595" s="3">
        <v>0</v>
      </c>
      <c r="AJ595" s="3">
        <v>0</v>
      </c>
    </row>
    <row r="596" spans="1:36" x14ac:dyDescent="0.25">
      <c r="A596">
        <v>588</v>
      </c>
      <c r="B596" s="29" t="s">
        <v>45</v>
      </c>
      <c r="C596" s="29" t="s">
        <v>46</v>
      </c>
      <c r="D596" s="4" t="str">
        <f>"15907"</f>
        <v>15907</v>
      </c>
      <c r="E596" s="4" t="str">
        <f t="shared" si="18"/>
        <v>FE15907</v>
      </c>
      <c r="F596" s="7">
        <v>44347</v>
      </c>
      <c r="G596" s="7">
        <v>44350</v>
      </c>
      <c r="H596" s="34">
        <v>181246</v>
      </c>
      <c r="I596" s="31">
        <v>181246</v>
      </c>
      <c r="J596" s="31">
        <f t="shared" si="19"/>
        <v>0</v>
      </c>
      <c r="K596" s="2"/>
      <c r="N596" s="32">
        <v>0</v>
      </c>
      <c r="Q596" s="34">
        <v>0</v>
      </c>
      <c r="R596" s="45"/>
      <c r="S596" s="4" t="str">
        <f>IFERROR(VLOOKUP(E596,'[2]td factu si'!$A:$B,1,0),0)</f>
        <v>FE15907</v>
      </c>
      <c r="T596" s="2">
        <f>IFERROR(VLOOKUP(E596,'[2]td factu si'!$A:$B,2,0),0)*-1</f>
        <v>181246</v>
      </c>
      <c r="W596" s="36"/>
      <c r="AH596" s="3">
        <v>0</v>
      </c>
      <c r="AJ596" s="3">
        <v>0</v>
      </c>
    </row>
    <row r="597" spans="1:36" x14ac:dyDescent="0.25">
      <c r="A597">
        <v>589</v>
      </c>
      <c r="B597" s="29" t="s">
        <v>45</v>
      </c>
      <c r="C597" s="29" t="s">
        <v>46</v>
      </c>
      <c r="D597" s="4" t="str">
        <f>"15914"</f>
        <v>15914</v>
      </c>
      <c r="E597" s="4" t="str">
        <f t="shared" si="18"/>
        <v>FE15914</v>
      </c>
      <c r="F597" s="7">
        <v>44348</v>
      </c>
      <c r="G597" s="7">
        <v>44357</v>
      </c>
      <c r="H597" s="34">
        <v>181246</v>
      </c>
      <c r="I597" s="31">
        <v>181246</v>
      </c>
      <c r="J597" s="31">
        <f t="shared" si="19"/>
        <v>0</v>
      </c>
      <c r="K597" s="2"/>
      <c r="N597" s="32">
        <v>181246</v>
      </c>
      <c r="Q597" s="34">
        <v>181246</v>
      </c>
      <c r="R597" s="45"/>
      <c r="S597" s="4" t="str">
        <f>IFERROR(VLOOKUP(E597,'[2]td factu si'!$A:$B,1,0),0)</f>
        <v>FE15914</v>
      </c>
      <c r="T597" s="2">
        <f>IFERROR(VLOOKUP(E597,'[2]td factu si'!$A:$B,2,0),0)*-1</f>
        <v>181246</v>
      </c>
      <c r="U597" s="40"/>
      <c r="W597" s="36"/>
      <c r="AH597" s="3">
        <v>0</v>
      </c>
      <c r="AJ597" s="3">
        <v>0</v>
      </c>
    </row>
    <row r="598" spans="1:36" x14ac:dyDescent="0.25">
      <c r="A598">
        <v>590</v>
      </c>
      <c r="B598" s="29" t="s">
        <v>45</v>
      </c>
      <c r="C598" s="29" t="s">
        <v>46</v>
      </c>
      <c r="D598" s="4" t="str">
        <f>"15917"</f>
        <v>15917</v>
      </c>
      <c r="E598" s="4" t="str">
        <f t="shared" si="18"/>
        <v>FE15917</v>
      </c>
      <c r="F598" s="7">
        <v>44348</v>
      </c>
      <c r="G598" s="7">
        <v>44357</v>
      </c>
      <c r="H598" s="34">
        <v>181246</v>
      </c>
      <c r="I598" s="31">
        <v>181246</v>
      </c>
      <c r="J598" s="31">
        <f t="shared" si="19"/>
        <v>0</v>
      </c>
      <c r="K598" s="2"/>
      <c r="N598" s="32">
        <v>181246</v>
      </c>
      <c r="Q598" s="34">
        <v>181246</v>
      </c>
      <c r="R598" s="45"/>
      <c r="S598" s="4" t="str">
        <f>IFERROR(VLOOKUP(E598,'[2]td factu si'!$A:$B,1,0),0)</f>
        <v>FE15917</v>
      </c>
      <c r="T598" s="2">
        <f>IFERROR(VLOOKUP(E598,'[2]td factu si'!$A:$B,2,0),0)*-1</f>
        <v>181246</v>
      </c>
      <c r="U598" s="40"/>
      <c r="W598" s="36"/>
      <c r="AH598" s="3">
        <v>0</v>
      </c>
      <c r="AJ598" s="3">
        <v>0</v>
      </c>
    </row>
    <row r="599" spans="1:36" x14ac:dyDescent="0.25">
      <c r="A599">
        <v>591</v>
      </c>
      <c r="B599" s="29" t="s">
        <v>45</v>
      </c>
      <c r="C599" s="29" t="s">
        <v>46</v>
      </c>
      <c r="D599" s="4" t="str">
        <f>"15921"</f>
        <v>15921</v>
      </c>
      <c r="E599" s="4" t="str">
        <f t="shared" si="18"/>
        <v>FE15921</v>
      </c>
      <c r="F599" s="7">
        <v>44348</v>
      </c>
      <c r="G599" s="7">
        <v>44357</v>
      </c>
      <c r="H599" s="34">
        <v>181246</v>
      </c>
      <c r="I599" s="31">
        <v>181246</v>
      </c>
      <c r="J599" s="31">
        <f t="shared" si="19"/>
        <v>0</v>
      </c>
      <c r="K599" s="2"/>
      <c r="N599" s="32">
        <v>181246</v>
      </c>
      <c r="Q599" s="34">
        <v>181246</v>
      </c>
      <c r="R599" s="45"/>
      <c r="S599" s="4" t="str">
        <f>IFERROR(VLOOKUP(E599,'[2]td factu si'!$A:$B,1,0),0)</f>
        <v>FE15921</v>
      </c>
      <c r="T599" s="2">
        <f>IFERROR(VLOOKUP(E599,'[2]td factu si'!$A:$B,2,0),0)*-1</f>
        <v>181246</v>
      </c>
      <c r="U599" s="40"/>
      <c r="W599" s="36"/>
      <c r="AH599" s="3">
        <v>0</v>
      </c>
      <c r="AJ599" s="3">
        <v>0</v>
      </c>
    </row>
    <row r="600" spans="1:36" x14ac:dyDescent="0.25">
      <c r="A600">
        <v>592</v>
      </c>
      <c r="B600" s="29" t="s">
        <v>45</v>
      </c>
      <c r="C600" s="29" t="s">
        <v>46</v>
      </c>
      <c r="D600" s="4" t="str">
        <f>"15922"</f>
        <v>15922</v>
      </c>
      <c r="E600" s="4" t="str">
        <f t="shared" si="18"/>
        <v>FE15922</v>
      </c>
      <c r="F600" s="7">
        <v>44348</v>
      </c>
      <c r="G600" s="7">
        <v>44357</v>
      </c>
      <c r="H600" s="34">
        <v>49114</v>
      </c>
      <c r="I600" s="31">
        <v>49114</v>
      </c>
      <c r="J600" s="31">
        <f t="shared" si="19"/>
        <v>0</v>
      </c>
      <c r="K600" s="2"/>
      <c r="N600" s="32">
        <v>49114</v>
      </c>
      <c r="Q600" s="34">
        <v>49114</v>
      </c>
      <c r="R600" s="45"/>
      <c r="S600" s="4" t="str">
        <f>IFERROR(VLOOKUP(E600,'[2]td factu si'!$A:$B,1,0),0)</f>
        <v>FE15922</v>
      </c>
      <c r="T600" s="2">
        <f>IFERROR(VLOOKUP(E600,'[2]td factu si'!$A:$B,2,0),0)*-1</f>
        <v>49114</v>
      </c>
      <c r="U600" s="40"/>
      <c r="W600" s="36"/>
      <c r="AH600" s="3">
        <v>0</v>
      </c>
      <c r="AJ600" s="3">
        <v>0</v>
      </c>
    </row>
    <row r="601" spans="1:36" x14ac:dyDescent="0.25">
      <c r="A601">
        <v>593</v>
      </c>
      <c r="B601" s="29" t="s">
        <v>45</v>
      </c>
      <c r="C601" s="29" t="s">
        <v>46</v>
      </c>
      <c r="D601" s="4" t="str">
        <f>"15924"</f>
        <v>15924</v>
      </c>
      <c r="E601" s="4" t="str">
        <f t="shared" si="18"/>
        <v>FE15924</v>
      </c>
      <c r="F601" s="7">
        <v>44348</v>
      </c>
      <c r="G601" s="7">
        <v>44357</v>
      </c>
      <c r="H601" s="34">
        <v>49114</v>
      </c>
      <c r="I601" s="31">
        <v>49114</v>
      </c>
      <c r="J601" s="31">
        <f t="shared" si="19"/>
        <v>0</v>
      </c>
      <c r="K601" s="2"/>
      <c r="N601" s="32">
        <v>49114</v>
      </c>
      <c r="Q601" s="34">
        <v>49114</v>
      </c>
      <c r="R601" s="45"/>
      <c r="S601" s="4" t="str">
        <f>IFERROR(VLOOKUP(E601,'[2]td factu si'!$A:$B,1,0),0)</f>
        <v>FE15924</v>
      </c>
      <c r="T601" s="2">
        <f>IFERROR(VLOOKUP(E601,'[2]td factu si'!$A:$B,2,0),0)*-1</f>
        <v>49114</v>
      </c>
      <c r="U601" s="40"/>
      <c r="W601" s="36"/>
      <c r="AH601" s="3">
        <v>0</v>
      </c>
      <c r="AJ601" s="3">
        <v>0</v>
      </c>
    </row>
    <row r="602" spans="1:36" x14ac:dyDescent="0.25">
      <c r="A602">
        <v>594</v>
      </c>
      <c r="B602" s="29" t="s">
        <v>45</v>
      </c>
      <c r="C602" s="29" t="s">
        <v>46</v>
      </c>
      <c r="D602" s="4" t="str">
        <f>"15930"</f>
        <v>15930</v>
      </c>
      <c r="E602" s="4" t="str">
        <f t="shared" si="18"/>
        <v>FE15930</v>
      </c>
      <c r="F602" s="7">
        <v>44348</v>
      </c>
      <c r="G602" s="7">
        <v>44357</v>
      </c>
      <c r="H602" s="34">
        <v>181246</v>
      </c>
      <c r="I602" s="31">
        <v>181246</v>
      </c>
      <c r="J602" s="31">
        <f t="shared" si="19"/>
        <v>0</v>
      </c>
      <c r="K602" s="2"/>
      <c r="N602" s="32">
        <v>181246</v>
      </c>
      <c r="Q602" s="34">
        <v>181246</v>
      </c>
      <c r="R602" s="45"/>
      <c r="S602" s="4" t="str">
        <f>IFERROR(VLOOKUP(E602,'[2]td factu si'!$A:$B,1,0),0)</f>
        <v>FE15930</v>
      </c>
      <c r="T602" s="2">
        <f>IFERROR(VLOOKUP(E602,'[2]td factu si'!$A:$B,2,0),0)*-1</f>
        <v>181246</v>
      </c>
      <c r="U602" s="40"/>
      <c r="W602" s="36"/>
      <c r="AH602" s="3">
        <v>0</v>
      </c>
      <c r="AJ602" s="3">
        <v>0</v>
      </c>
    </row>
    <row r="603" spans="1:36" x14ac:dyDescent="0.25">
      <c r="A603">
        <v>595</v>
      </c>
      <c r="B603" s="29" t="s">
        <v>45</v>
      </c>
      <c r="C603" s="29" t="s">
        <v>46</v>
      </c>
      <c r="D603" s="4" t="str">
        <f>"15954"</f>
        <v>15954</v>
      </c>
      <c r="E603" s="4" t="str">
        <f t="shared" si="18"/>
        <v>FE15954</v>
      </c>
      <c r="F603" s="7">
        <v>44349</v>
      </c>
      <c r="G603" s="7">
        <v>44357</v>
      </c>
      <c r="H603" s="34">
        <v>181246</v>
      </c>
      <c r="I603" s="31">
        <v>181246</v>
      </c>
      <c r="J603" s="31">
        <f t="shared" si="19"/>
        <v>0</v>
      </c>
      <c r="K603" s="2"/>
      <c r="N603" s="32">
        <v>181246</v>
      </c>
      <c r="Q603" s="34">
        <v>181246</v>
      </c>
      <c r="R603" s="45"/>
      <c r="S603" s="4" t="str">
        <f>IFERROR(VLOOKUP(E603,'[2]td factu si'!$A:$B,1,0),0)</f>
        <v>FE15954</v>
      </c>
      <c r="T603" s="2">
        <f>IFERROR(VLOOKUP(E603,'[2]td factu si'!$A:$B,2,0),0)*-1</f>
        <v>181246</v>
      </c>
      <c r="U603" s="40"/>
      <c r="W603" s="36"/>
      <c r="AH603" s="3">
        <v>0</v>
      </c>
      <c r="AJ603" s="3">
        <v>0</v>
      </c>
    </row>
    <row r="604" spans="1:36" x14ac:dyDescent="0.25">
      <c r="A604">
        <v>596</v>
      </c>
      <c r="B604" s="29" t="s">
        <v>45</v>
      </c>
      <c r="C604" s="29" t="s">
        <v>46</v>
      </c>
      <c r="D604" s="4" t="str">
        <f>"15955"</f>
        <v>15955</v>
      </c>
      <c r="E604" s="4" t="str">
        <f t="shared" si="18"/>
        <v>FE15955</v>
      </c>
      <c r="F604" s="7">
        <v>44349</v>
      </c>
      <c r="G604" s="7">
        <v>44357</v>
      </c>
      <c r="H604" s="34">
        <v>181246</v>
      </c>
      <c r="I604" s="31">
        <v>181246</v>
      </c>
      <c r="J604" s="31">
        <f t="shared" si="19"/>
        <v>0</v>
      </c>
      <c r="K604" s="2"/>
      <c r="N604" s="32">
        <v>181246</v>
      </c>
      <c r="Q604" s="34">
        <v>181246</v>
      </c>
      <c r="R604" s="45"/>
      <c r="S604" s="4" t="str">
        <f>IFERROR(VLOOKUP(E604,'[2]td factu si'!$A:$B,1,0),0)</f>
        <v>FE15955</v>
      </c>
      <c r="T604" s="2">
        <f>IFERROR(VLOOKUP(E604,'[2]td factu si'!$A:$B,2,0),0)*-1</f>
        <v>181246</v>
      </c>
      <c r="U604" s="40"/>
      <c r="W604" s="36"/>
      <c r="AH604" s="3">
        <v>0</v>
      </c>
      <c r="AJ604" s="3">
        <v>0</v>
      </c>
    </row>
    <row r="605" spans="1:36" x14ac:dyDescent="0.25">
      <c r="A605">
        <v>597</v>
      </c>
      <c r="B605" s="29" t="s">
        <v>45</v>
      </c>
      <c r="C605" s="29" t="s">
        <v>46</v>
      </c>
      <c r="D605" s="4" t="str">
        <f>"15956"</f>
        <v>15956</v>
      </c>
      <c r="E605" s="4" t="str">
        <f t="shared" si="18"/>
        <v>FE15956</v>
      </c>
      <c r="F605" s="7">
        <v>44349</v>
      </c>
      <c r="G605" s="7">
        <v>44357</v>
      </c>
      <c r="H605" s="34">
        <v>181246</v>
      </c>
      <c r="I605" s="31">
        <v>163121</v>
      </c>
      <c r="J605" s="31">
        <f t="shared" si="19"/>
        <v>18125</v>
      </c>
      <c r="K605" s="2"/>
      <c r="N605" s="32">
        <v>163121</v>
      </c>
      <c r="Q605" s="34">
        <v>163121</v>
      </c>
      <c r="R605" s="45"/>
      <c r="S605" s="4" t="str">
        <f>IFERROR(VLOOKUP(E605,'[2]td factu si'!$A:$B,1,0),0)</f>
        <v>FE15956</v>
      </c>
      <c r="T605" s="2">
        <f>IFERROR(VLOOKUP(E605,'[2]td factu si'!$A:$B,2,0),0)*-1</f>
        <v>163121</v>
      </c>
      <c r="U605" s="40"/>
      <c r="W605" s="36"/>
      <c r="AH605" s="3">
        <v>0</v>
      </c>
      <c r="AJ605" s="3">
        <v>0</v>
      </c>
    </row>
    <row r="606" spans="1:36" x14ac:dyDescent="0.25">
      <c r="A606">
        <v>598</v>
      </c>
      <c r="B606" s="29" t="s">
        <v>45</v>
      </c>
      <c r="C606" s="29" t="s">
        <v>46</v>
      </c>
      <c r="D606" s="4" t="str">
        <f>"15961"</f>
        <v>15961</v>
      </c>
      <c r="E606" s="4" t="str">
        <f t="shared" si="18"/>
        <v>FE15961</v>
      </c>
      <c r="F606" s="7">
        <v>44349</v>
      </c>
      <c r="G606" s="7">
        <v>44357</v>
      </c>
      <c r="H606" s="34">
        <v>181246</v>
      </c>
      <c r="I606" s="31">
        <v>181246</v>
      </c>
      <c r="J606" s="31">
        <f t="shared" si="19"/>
        <v>0</v>
      </c>
      <c r="K606" s="2"/>
      <c r="N606" s="32">
        <v>181246</v>
      </c>
      <c r="Q606" s="34">
        <v>181246</v>
      </c>
      <c r="R606" s="45"/>
      <c r="S606" s="4" t="str">
        <f>IFERROR(VLOOKUP(E606,'[2]td factu si'!$A:$B,1,0),0)</f>
        <v>FE15961</v>
      </c>
      <c r="T606" s="2">
        <f>IFERROR(VLOOKUP(E606,'[2]td factu si'!$A:$B,2,0),0)*-1</f>
        <v>181246</v>
      </c>
      <c r="U606" s="40"/>
      <c r="W606" s="36"/>
      <c r="AH606" s="3">
        <v>0</v>
      </c>
      <c r="AJ606" s="3">
        <v>0</v>
      </c>
    </row>
    <row r="607" spans="1:36" x14ac:dyDescent="0.25">
      <c r="A607">
        <v>599</v>
      </c>
      <c r="B607" s="29" t="s">
        <v>45</v>
      </c>
      <c r="C607" s="29" t="s">
        <v>46</v>
      </c>
      <c r="D607" s="4" t="str">
        <f>"15964"</f>
        <v>15964</v>
      </c>
      <c r="E607" s="4" t="str">
        <f t="shared" si="18"/>
        <v>FE15964</v>
      </c>
      <c r="F607" s="7">
        <v>44349</v>
      </c>
      <c r="G607" s="7">
        <v>44357</v>
      </c>
      <c r="H607" s="34">
        <v>181246</v>
      </c>
      <c r="I607" s="31">
        <v>181246</v>
      </c>
      <c r="J607" s="31">
        <f t="shared" si="19"/>
        <v>0</v>
      </c>
      <c r="K607" s="2"/>
      <c r="N607" s="32">
        <v>181246</v>
      </c>
      <c r="Q607" s="34">
        <v>181246</v>
      </c>
      <c r="R607" s="45"/>
      <c r="S607" s="4" t="str">
        <f>IFERROR(VLOOKUP(E607,'[2]td factu si'!$A:$B,1,0),0)</f>
        <v>FE15964</v>
      </c>
      <c r="T607" s="2">
        <f>IFERROR(VLOOKUP(E607,'[2]td factu si'!$A:$B,2,0),0)*-1</f>
        <v>181246</v>
      </c>
      <c r="U607" s="40"/>
      <c r="W607" s="36"/>
      <c r="AH607" s="3">
        <v>0</v>
      </c>
      <c r="AJ607" s="3">
        <v>0</v>
      </c>
    </row>
    <row r="608" spans="1:36" x14ac:dyDescent="0.25">
      <c r="A608">
        <v>600</v>
      </c>
      <c r="B608" s="29" t="s">
        <v>45</v>
      </c>
      <c r="C608" s="29" t="s">
        <v>46</v>
      </c>
      <c r="D608" s="4" t="str">
        <f>"15969"</f>
        <v>15969</v>
      </c>
      <c r="E608" s="4" t="str">
        <f t="shared" si="18"/>
        <v>FE15969</v>
      </c>
      <c r="F608" s="7">
        <v>44349</v>
      </c>
      <c r="G608" s="7">
        <v>44357</v>
      </c>
      <c r="H608" s="34">
        <v>181246</v>
      </c>
      <c r="I608" s="31">
        <v>181246</v>
      </c>
      <c r="J608" s="31">
        <f t="shared" si="19"/>
        <v>0</v>
      </c>
      <c r="K608" s="2"/>
      <c r="N608" s="32">
        <v>181246</v>
      </c>
      <c r="Q608" s="34">
        <v>181246</v>
      </c>
      <c r="R608" s="45"/>
      <c r="S608" s="4" t="str">
        <f>IFERROR(VLOOKUP(E608,'[2]td factu si'!$A:$B,1,0),0)</f>
        <v>FE15969</v>
      </c>
      <c r="T608" s="2">
        <f>IFERROR(VLOOKUP(E608,'[2]td factu si'!$A:$B,2,0),0)*-1</f>
        <v>181246</v>
      </c>
      <c r="U608" s="40"/>
      <c r="W608" s="36"/>
      <c r="AH608" s="3">
        <v>0</v>
      </c>
      <c r="AJ608" s="3">
        <v>0</v>
      </c>
    </row>
    <row r="609" spans="1:36" x14ac:dyDescent="0.25">
      <c r="A609">
        <v>601</v>
      </c>
      <c r="B609" s="29" t="s">
        <v>45</v>
      </c>
      <c r="C609" s="29" t="s">
        <v>46</v>
      </c>
      <c r="D609" s="4" t="str">
        <f>"15970"</f>
        <v>15970</v>
      </c>
      <c r="E609" s="4" t="str">
        <f t="shared" si="18"/>
        <v>FE15970</v>
      </c>
      <c r="F609" s="7">
        <v>44349</v>
      </c>
      <c r="G609" s="7">
        <v>44357</v>
      </c>
      <c r="H609" s="34">
        <v>99124</v>
      </c>
      <c r="I609" s="31">
        <v>99124</v>
      </c>
      <c r="J609" s="31">
        <f t="shared" si="19"/>
        <v>0</v>
      </c>
      <c r="K609" s="2"/>
      <c r="N609" s="32">
        <v>99124</v>
      </c>
      <c r="Q609" s="34">
        <v>99124</v>
      </c>
      <c r="R609" s="45"/>
      <c r="S609" s="4" t="str">
        <f>IFERROR(VLOOKUP(E609,'[2]td factu si'!$A:$B,1,0),0)</f>
        <v>FE15970</v>
      </c>
      <c r="T609" s="2">
        <f>IFERROR(VLOOKUP(E609,'[2]td factu si'!$A:$B,2,0),0)*-1</f>
        <v>99124</v>
      </c>
      <c r="U609" s="40"/>
      <c r="W609" s="36"/>
      <c r="AH609" s="3">
        <v>0</v>
      </c>
      <c r="AJ609" s="3">
        <v>0</v>
      </c>
    </row>
    <row r="610" spans="1:36" x14ac:dyDescent="0.25">
      <c r="A610">
        <v>602</v>
      </c>
      <c r="B610" s="29" t="s">
        <v>45</v>
      </c>
      <c r="C610" s="29" t="s">
        <v>46</v>
      </c>
      <c r="D610" s="4" t="str">
        <f>"15974"</f>
        <v>15974</v>
      </c>
      <c r="E610" s="4" t="str">
        <f t="shared" si="18"/>
        <v>FE15974</v>
      </c>
      <c r="F610" s="7">
        <v>44349</v>
      </c>
      <c r="G610" s="7">
        <v>44357</v>
      </c>
      <c r="H610" s="34">
        <v>122952</v>
      </c>
      <c r="I610" s="31">
        <v>122952</v>
      </c>
      <c r="J610" s="31">
        <f t="shared" si="19"/>
        <v>0</v>
      </c>
      <c r="K610" s="2"/>
      <c r="N610" s="32">
        <v>122952</v>
      </c>
      <c r="Q610" s="34">
        <v>122952</v>
      </c>
      <c r="R610" s="45"/>
      <c r="S610" s="4" t="str">
        <f>IFERROR(VLOOKUP(E610,'[2]td factu si'!$A:$B,1,0),0)</f>
        <v>FE15974</v>
      </c>
      <c r="T610" s="2">
        <f>IFERROR(VLOOKUP(E610,'[2]td factu si'!$A:$B,2,0),0)*-1</f>
        <v>122952</v>
      </c>
      <c r="U610" s="40"/>
      <c r="W610" s="36"/>
      <c r="AH610" s="3">
        <v>0</v>
      </c>
      <c r="AJ610" s="3">
        <v>0</v>
      </c>
    </row>
    <row r="611" spans="1:36" x14ac:dyDescent="0.25">
      <c r="A611">
        <v>603</v>
      </c>
      <c r="B611" s="29" t="s">
        <v>45</v>
      </c>
      <c r="C611" s="29" t="s">
        <v>46</v>
      </c>
      <c r="D611" s="4" t="str">
        <f>"15977"</f>
        <v>15977</v>
      </c>
      <c r="E611" s="4" t="str">
        <f t="shared" si="18"/>
        <v>FE15977</v>
      </c>
      <c r="F611" s="7">
        <v>44349</v>
      </c>
      <c r="G611" s="7">
        <v>44357</v>
      </c>
      <c r="H611" s="34">
        <v>181246</v>
      </c>
      <c r="I611" s="31">
        <v>181246</v>
      </c>
      <c r="J611" s="31">
        <f t="shared" si="19"/>
        <v>0</v>
      </c>
      <c r="K611" s="2"/>
      <c r="N611" s="32">
        <v>181246</v>
      </c>
      <c r="Q611" s="34">
        <v>181246</v>
      </c>
      <c r="R611" s="45"/>
      <c r="S611" s="4" t="str">
        <f>IFERROR(VLOOKUP(E611,'[2]td factu si'!$A:$B,1,0),0)</f>
        <v>FE15977</v>
      </c>
      <c r="T611" s="2">
        <f>IFERROR(VLOOKUP(E611,'[2]td factu si'!$A:$B,2,0),0)*-1</f>
        <v>181246</v>
      </c>
      <c r="U611" s="40"/>
      <c r="W611" s="36"/>
      <c r="AH611" s="3">
        <v>0</v>
      </c>
      <c r="AJ611" s="3">
        <v>0</v>
      </c>
    </row>
    <row r="612" spans="1:36" x14ac:dyDescent="0.25">
      <c r="A612">
        <v>604</v>
      </c>
      <c r="B612" s="29" t="s">
        <v>45</v>
      </c>
      <c r="C612" s="29" t="s">
        <v>46</v>
      </c>
      <c r="D612" s="4" t="str">
        <f>"15978"</f>
        <v>15978</v>
      </c>
      <c r="E612" s="4" t="str">
        <f t="shared" si="18"/>
        <v>FE15978</v>
      </c>
      <c r="F612" s="7">
        <v>44350</v>
      </c>
      <c r="G612" s="7">
        <v>44357</v>
      </c>
      <c r="H612" s="34">
        <v>181246</v>
      </c>
      <c r="I612" s="31">
        <v>177746</v>
      </c>
      <c r="J612" s="31">
        <f t="shared" si="19"/>
        <v>3500</v>
      </c>
      <c r="K612" s="2"/>
      <c r="N612" s="32">
        <v>177746</v>
      </c>
      <c r="Q612" s="34">
        <v>177746</v>
      </c>
      <c r="R612" s="45"/>
      <c r="S612" s="4" t="str">
        <f>IFERROR(VLOOKUP(E612,'[2]td factu si'!$A:$B,1,0),0)</f>
        <v>FE15978</v>
      </c>
      <c r="T612" s="2">
        <f>IFERROR(VLOOKUP(E612,'[2]td factu si'!$A:$B,2,0),0)*-1</f>
        <v>177746</v>
      </c>
      <c r="U612" s="40"/>
      <c r="W612" s="36"/>
      <c r="AH612" s="3">
        <v>0</v>
      </c>
      <c r="AJ612" s="3">
        <v>0</v>
      </c>
    </row>
    <row r="613" spans="1:36" x14ac:dyDescent="0.25">
      <c r="A613">
        <v>605</v>
      </c>
      <c r="B613" s="29" t="s">
        <v>45</v>
      </c>
      <c r="C613" s="29" t="s">
        <v>46</v>
      </c>
      <c r="D613" s="4" t="str">
        <f>"15979"</f>
        <v>15979</v>
      </c>
      <c r="E613" s="4" t="str">
        <f t="shared" si="18"/>
        <v>FE15979</v>
      </c>
      <c r="F613" s="7">
        <v>44350</v>
      </c>
      <c r="G613" s="7">
        <v>44357</v>
      </c>
      <c r="H613" s="34">
        <v>181246</v>
      </c>
      <c r="I613" s="31">
        <v>181246</v>
      </c>
      <c r="J613" s="31">
        <f t="shared" si="19"/>
        <v>0</v>
      </c>
      <c r="K613" s="2"/>
      <c r="N613" s="32">
        <v>181246</v>
      </c>
      <c r="Q613" s="34">
        <v>181246</v>
      </c>
      <c r="R613" s="45"/>
      <c r="S613" s="4" t="str">
        <f>IFERROR(VLOOKUP(E613,'[2]td factu si'!$A:$B,1,0),0)</f>
        <v>FE15979</v>
      </c>
      <c r="T613" s="2">
        <f>IFERROR(VLOOKUP(E613,'[2]td factu si'!$A:$B,2,0),0)*-1</f>
        <v>181246</v>
      </c>
      <c r="U613" s="40"/>
      <c r="W613" s="36"/>
      <c r="AH613" s="3">
        <v>0</v>
      </c>
      <c r="AJ613" s="3">
        <v>0</v>
      </c>
    </row>
    <row r="614" spans="1:36" x14ac:dyDescent="0.25">
      <c r="A614">
        <v>606</v>
      </c>
      <c r="B614" s="29" t="s">
        <v>45</v>
      </c>
      <c r="C614" s="29" t="s">
        <v>46</v>
      </c>
      <c r="D614" s="4" t="str">
        <f>"15980"</f>
        <v>15980</v>
      </c>
      <c r="E614" s="4" t="str">
        <f t="shared" si="18"/>
        <v>FE15980</v>
      </c>
      <c r="F614" s="7">
        <v>44350</v>
      </c>
      <c r="G614" s="7">
        <v>44357</v>
      </c>
      <c r="H614" s="34">
        <v>339170</v>
      </c>
      <c r="I614" s="31">
        <v>339170</v>
      </c>
      <c r="J614" s="31">
        <f t="shared" si="19"/>
        <v>0</v>
      </c>
      <c r="K614" s="2"/>
      <c r="N614" s="32">
        <v>339170</v>
      </c>
      <c r="Q614" s="34">
        <v>339170</v>
      </c>
      <c r="R614" s="45"/>
      <c r="S614" s="4" t="str">
        <f>IFERROR(VLOOKUP(E614,'[2]td factu si'!$A:$B,1,0),0)</f>
        <v>FE15980</v>
      </c>
      <c r="T614" s="2">
        <f>IFERROR(VLOOKUP(E614,'[2]td factu si'!$A:$B,2,0),0)*-1</f>
        <v>339170</v>
      </c>
      <c r="U614" s="40"/>
      <c r="W614" s="36"/>
      <c r="AH614" s="3">
        <v>0</v>
      </c>
      <c r="AJ614" s="3">
        <v>0</v>
      </c>
    </row>
    <row r="615" spans="1:36" x14ac:dyDescent="0.25">
      <c r="A615">
        <v>607</v>
      </c>
      <c r="B615" s="29" t="s">
        <v>45</v>
      </c>
      <c r="C615" s="29" t="s">
        <v>46</v>
      </c>
      <c r="D615" s="4" t="str">
        <f>"15993"</f>
        <v>15993</v>
      </c>
      <c r="E615" s="4" t="str">
        <f t="shared" si="18"/>
        <v>FE15993</v>
      </c>
      <c r="F615" s="7">
        <v>44350</v>
      </c>
      <c r="G615" s="7">
        <v>44357</v>
      </c>
      <c r="H615" s="34">
        <v>181246</v>
      </c>
      <c r="I615" s="31">
        <v>181246</v>
      </c>
      <c r="J615" s="31">
        <f t="shared" si="19"/>
        <v>0</v>
      </c>
      <c r="K615" s="2"/>
      <c r="N615" s="32">
        <v>181246</v>
      </c>
      <c r="Q615" s="34">
        <v>181246</v>
      </c>
      <c r="R615" s="45"/>
      <c r="S615" s="4" t="str">
        <f>IFERROR(VLOOKUP(E615,'[2]td factu si'!$A:$B,1,0),0)</f>
        <v>FE15993</v>
      </c>
      <c r="T615" s="2">
        <f>IFERROR(VLOOKUP(E615,'[2]td factu si'!$A:$B,2,0),0)*-1</f>
        <v>181246</v>
      </c>
      <c r="U615" s="40"/>
      <c r="W615" s="36"/>
      <c r="AH615" s="3">
        <v>0</v>
      </c>
      <c r="AJ615" s="3">
        <v>0</v>
      </c>
    </row>
    <row r="616" spans="1:36" x14ac:dyDescent="0.25">
      <c r="A616">
        <v>608</v>
      </c>
      <c r="B616" s="29" t="s">
        <v>45</v>
      </c>
      <c r="C616" s="29" t="s">
        <v>46</v>
      </c>
      <c r="D616" s="4" t="str">
        <f>"15996"</f>
        <v>15996</v>
      </c>
      <c r="E616" s="4" t="str">
        <f t="shared" si="18"/>
        <v>FE15996</v>
      </c>
      <c r="F616" s="7">
        <v>44350</v>
      </c>
      <c r="G616" s="7">
        <v>44357</v>
      </c>
      <c r="H616" s="34">
        <v>181246</v>
      </c>
      <c r="I616" s="31">
        <v>181246</v>
      </c>
      <c r="J616" s="31">
        <f t="shared" si="19"/>
        <v>0</v>
      </c>
      <c r="K616" s="2"/>
      <c r="N616" s="32">
        <v>181246</v>
      </c>
      <c r="Q616" s="34">
        <v>181246</v>
      </c>
      <c r="R616" s="45"/>
      <c r="S616" s="4" t="str">
        <f>IFERROR(VLOOKUP(E616,'[2]td factu si'!$A:$B,1,0),0)</f>
        <v>FE15996</v>
      </c>
      <c r="T616" s="2">
        <f>IFERROR(VLOOKUP(E616,'[2]td factu si'!$A:$B,2,0),0)*-1</f>
        <v>181246</v>
      </c>
      <c r="U616" s="40"/>
      <c r="W616" s="36"/>
      <c r="AH616" s="3">
        <v>0</v>
      </c>
      <c r="AJ616" s="3">
        <v>0</v>
      </c>
    </row>
    <row r="617" spans="1:36" x14ac:dyDescent="0.25">
      <c r="A617">
        <v>609</v>
      </c>
      <c r="B617" s="29" t="s">
        <v>45</v>
      </c>
      <c r="C617" s="29" t="s">
        <v>46</v>
      </c>
      <c r="D617" s="4" t="str">
        <f>"15997"</f>
        <v>15997</v>
      </c>
      <c r="E617" s="4" t="str">
        <f t="shared" si="18"/>
        <v>FE15997</v>
      </c>
      <c r="F617" s="7">
        <v>44350</v>
      </c>
      <c r="G617" s="7">
        <v>44357</v>
      </c>
      <c r="H617" s="34">
        <v>181246</v>
      </c>
      <c r="I617" s="31">
        <v>181246</v>
      </c>
      <c r="J617" s="31">
        <f t="shared" si="19"/>
        <v>0</v>
      </c>
      <c r="K617" s="2"/>
      <c r="N617" s="32">
        <v>181246</v>
      </c>
      <c r="Q617" s="34">
        <v>181246</v>
      </c>
      <c r="R617" s="45"/>
      <c r="S617" s="4" t="str">
        <f>IFERROR(VLOOKUP(E617,'[2]td factu si'!$A:$B,1,0),0)</f>
        <v>FE15997</v>
      </c>
      <c r="T617" s="2">
        <f>IFERROR(VLOOKUP(E617,'[2]td factu si'!$A:$B,2,0),0)*-1</f>
        <v>181246</v>
      </c>
      <c r="U617" s="40"/>
      <c r="W617" s="36"/>
      <c r="AH617" s="3">
        <v>0</v>
      </c>
      <c r="AJ617" s="3">
        <v>0</v>
      </c>
    </row>
    <row r="618" spans="1:36" x14ac:dyDescent="0.25">
      <c r="A618">
        <v>610</v>
      </c>
      <c r="B618" s="29" t="s">
        <v>45</v>
      </c>
      <c r="C618" s="29" t="s">
        <v>46</v>
      </c>
      <c r="D618" s="4" t="str">
        <f>"15998"</f>
        <v>15998</v>
      </c>
      <c r="E618" s="4" t="str">
        <f t="shared" si="18"/>
        <v>FE15998</v>
      </c>
      <c r="F618" s="7">
        <v>44350</v>
      </c>
      <c r="G618" s="7">
        <v>44351</v>
      </c>
      <c r="H618" s="34">
        <v>181246</v>
      </c>
      <c r="I618" s="31">
        <v>177746</v>
      </c>
      <c r="J618" s="31">
        <f t="shared" si="19"/>
        <v>3500</v>
      </c>
      <c r="K618" s="2"/>
      <c r="N618" s="32">
        <v>177746</v>
      </c>
      <c r="Q618" s="34">
        <v>177746</v>
      </c>
      <c r="R618" s="45"/>
      <c r="S618" s="4" t="str">
        <f>IFERROR(VLOOKUP(E618,'[2]td factu si'!$A:$B,1,0),0)</f>
        <v>FE15998</v>
      </c>
      <c r="T618" s="2">
        <f>IFERROR(VLOOKUP(E618,'[2]td factu si'!$A:$B,2,0),0)*-1</f>
        <v>177746</v>
      </c>
      <c r="U618" s="40"/>
      <c r="W618" s="36"/>
      <c r="AH618" s="3">
        <v>0</v>
      </c>
      <c r="AJ618" s="3">
        <v>0</v>
      </c>
    </row>
    <row r="619" spans="1:36" x14ac:dyDescent="0.25">
      <c r="A619">
        <v>611</v>
      </c>
      <c r="B619" s="29" t="s">
        <v>45</v>
      </c>
      <c r="C619" s="29" t="s">
        <v>46</v>
      </c>
      <c r="D619" s="4" t="str">
        <f>"15999"</f>
        <v>15999</v>
      </c>
      <c r="E619" s="4" t="str">
        <f t="shared" si="18"/>
        <v>FE15999</v>
      </c>
      <c r="F619" s="7">
        <v>44350</v>
      </c>
      <c r="G619" s="7">
        <v>44357</v>
      </c>
      <c r="H619" s="34">
        <v>181246</v>
      </c>
      <c r="I619" s="31">
        <v>181246</v>
      </c>
      <c r="J619" s="31">
        <f t="shared" si="19"/>
        <v>0</v>
      </c>
      <c r="K619" s="2"/>
      <c r="N619" s="32">
        <v>181246</v>
      </c>
      <c r="Q619" s="34">
        <v>181246</v>
      </c>
      <c r="R619" s="45"/>
      <c r="S619" s="4" t="str">
        <f>IFERROR(VLOOKUP(E619,'[2]td factu si'!$A:$B,1,0),0)</f>
        <v>FE15999</v>
      </c>
      <c r="T619" s="2">
        <f>IFERROR(VLOOKUP(E619,'[2]td factu si'!$A:$B,2,0),0)*-1</f>
        <v>181246</v>
      </c>
      <c r="U619" s="40"/>
      <c r="W619" s="36"/>
      <c r="AH619" s="3">
        <v>0</v>
      </c>
      <c r="AJ619" s="3">
        <v>0</v>
      </c>
    </row>
    <row r="620" spans="1:36" x14ac:dyDescent="0.25">
      <c r="A620">
        <v>612</v>
      </c>
      <c r="B620" s="29" t="s">
        <v>45</v>
      </c>
      <c r="C620" s="29" t="s">
        <v>46</v>
      </c>
      <c r="D620" s="4" t="str">
        <f>"16000"</f>
        <v>16000</v>
      </c>
      <c r="E620" s="4" t="str">
        <f t="shared" si="18"/>
        <v>FE16000</v>
      </c>
      <c r="F620" s="7">
        <v>44350</v>
      </c>
      <c r="G620" s="7">
        <v>44357</v>
      </c>
      <c r="H620" s="34">
        <v>181246</v>
      </c>
      <c r="I620" s="31">
        <v>181246</v>
      </c>
      <c r="J620" s="31">
        <f t="shared" si="19"/>
        <v>0</v>
      </c>
      <c r="K620" s="2"/>
      <c r="N620" s="32">
        <v>181246</v>
      </c>
      <c r="Q620" s="34">
        <v>181246</v>
      </c>
      <c r="R620" s="45"/>
      <c r="S620" s="4" t="str">
        <f>IFERROR(VLOOKUP(E620,'[2]td factu si'!$A:$B,1,0),0)</f>
        <v>FE16000</v>
      </c>
      <c r="T620" s="2">
        <f>IFERROR(VLOOKUP(E620,'[2]td factu si'!$A:$B,2,0),0)*-1</f>
        <v>181246</v>
      </c>
      <c r="U620" s="40"/>
      <c r="W620" s="36"/>
      <c r="AH620" s="3">
        <v>0</v>
      </c>
      <c r="AJ620" s="3">
        <v>0</v>
      </c>
    </row>
    <row r="621" spans="1:36" x14ac:dyDescent="0.25">
      <c r="A621">
        <v>613</v>
      </c>
      <c r="B621" s="29" t="s">
        <v>45</v>
      </c>
      <c r="C621" s="29" t="s">
        <v>46</v>
      </c>
      <c r="D621" s="4" t="str">
        <f>"16001"</f>
        <v>16001</v>
      </c>
      <c r="E621" s="4" t="str">
        <f t="shared" si="18"/>
        <v>FE16001</v>
      </c>
      <c r="F621" s="7">
        <v>44350</v>
      </c>
      <c r="G621" s="7">
        <v>44357</v>
      </c>
      <c r="H621" s="34">
        <v>181246</v>
      </c>
      <c r="I621" s="31">
        <v>181246</v>
      </c>
      <c r="J621" s="31">
        <f t="shared" si="19"/>
        <v>0</v>
      </c>
      <c r="K621" s="2"/>
      <c r="N621" s="32">
        <v>181246</v>
      </c>
      <c r="Q621" s="34">
        <v>181246</v>
      </c>
      <c r="R621" s="45"/>
      <c r="S621" s="4" t="str">
        <f>IFERROR(VLOOKUP(E621,'[2]td factu si'!$A:$B,1,0),0)</f>
        <v>FE16001</v>
      </c>
      <c r="T621" s="2">
        <f>IFERROR(VLOOKUP(E621,'[2]td factu si'!$A:$B,2,0),0)*-1</f>
        <v>181246</v>
      </c>
      <c r="U621" s="40"/>
      <c r="W621" s="36"/>
      <c r="AH621" s="3">
        <v>0</v>
      </c>
      <c r="AJ621" s="3">
        <v>0</v>
      </c>
    </row>
    <row r="622" spans="1:36" x14ac:dyDescent="0.25">
      <c r="A622">
        <v>614</v>
      </c>
      <c r="B622" s="29" t="s">
        <v>45</v>
      </c>
      <c r="C622" s="29" t="s">
        <v>46</v>
      </c>
      <c r="D622" s="4" t="str">
        <f>"16015"</f>
        <v>16015</v>
      </c>
      <c r="E622" s="4" t="str">
        <f t="shared" si="18"/>
        <v>FE16015</v>
      </c>
      <c r="F622" s="7">
        <v>44350</v>
      </c>
      <c r="G622" s="7">
        <v>44351</v>
      </c>
      <c r="H622" s="34">
        <v>15489</v>
      </c>
      <c r="I622" s="31">
        <v>11989</v>
      </c>
      <c r="J622" s="31">
        <f t="shared" si="19"/>
        <v>3500</v>
      </c>
      <c r="K622" s="2"/>
      <c r="N622" s="32">
        <v>11989</v>
      </c>
      <c r="Q622" s="34">
        <v>11989</v>
      </c>
      <c r="R622" s="45"/>
      <c r="S622" s="4" t="str">
        <f>IFERROR(VLOOKUP(E622,'[2]td factu si'!$A:$B,1,0),0)</f>
        <v>FE16015</v>
      </c>
      <c r="T622" s="2">
        <f>IFERROR(VLOOKUP(E622,'[2]td factu si'!$A:$B,2,0),0)*-1</f>
        <v>11989</v>
      </c>
      <c r="U622" s="40"/>
      <c r="W622" s="36"/>
      <c r="AH622" s="3">
        <v>0</v>
      </c>
      <c r="AJ622" s="3">
        <v>0</v>
      </c>
    </row>
    <row r="623" spans="1:36" x14ac:dyDescent="0.25">
      <c r="A623">
        <v>615</v>
      </c>
      <c r="B623" s="29" t="s">
        <v>45</v>
      </c>
      <c r="C623" s="29" t="s">
        <v>46</v>
      </c>
      <c r="D623" s="4" t="str">
        <f>"16017"</f>
        <v>16017</v>
      </c>
      <c r="E623" s="4" t="str">
        <f t="shared" si="18"/>
        <v>FE16017</v>
      </c>
      <c r="F623" s="7">
        <v>44350</v>
      </c>
      <c r="G623" s="7">
        <v>44357</v>
      </c>
      <c r="H623" s="34">
        <v>15489</v>
      </c>
      <c r="I623" s="31">
        <v>15489</v>
      </c>
      <c r="J623" s="31">
        <f t="shared" si="19"/>
        <v>0</v>
      </c>
      <c r="K623" s="2"/>
      <c r="N623" s="32">
        <v>15489</v>
      </c>
      <c r="Q623" s="34">
        <v>15489</v>
      </c>
      <c r="R623" s="45"/>
      <c r="S623" s="4" t="str">
        <f>IFERROR(VLOOKUP(E623,'[2]td factu si'!$A:$B,1,0),0)</f>
        <v>FE16017</v>
      </c>
      <c r="T623" s="2">
        <f>IFERROR(VLOOKUP(E623,'[2]td factu si'!$A:$B,2,0),0)*-1</f>
        <v>15489</v>
      </c>
      <c r="U623" s="40"/>
      <c r="W623" s="36"/>
      <c r="AH623" s="3">
        <v>0</v>
      </c>
      <c r="AJ623" s="3">
        <v>0</v>
      </c>
    </row>
    <row r="624" spans="1:36" x14ac:dyDescent="0.25">
      <c r="A624">
        <v>616</v>
      </c>
      <c r="B624" s="29" t="s">
        <v>45</v>
      </c>
      <c r="C624" s="29" t="s">
        <v>46</v>
      </c>
      <c r="D624" s="4" t="str">
        <f>"16022"</f>
        <v>16022</v>
      </c>
      <c r="E624" s="4" t="str">
        <f t="shared" si="18"/>
        <v>FE16022</v>
      </c>
      <c r="F624" s="7">
        <v>44350</v>
      </c>
      <c r="G624" s="7">
        <v>44357</v>
      </c>
      <c r="H624" s="34">
        <v>15489</v>
      </c>
      <c r="I624" s="31">
        <v>15489</v>
      </c>
      <c r="J624" s="31">
        <f t="shared" si="19"/>
        <v>0</v>
      </c>
      <c r="K624" s="2"/>
      <c r="N624" s="32">
        <v>15489</v>
      </c>
      <c r="Q624" s="34">
        <v>15489</v>
      </c>
      <c r="R624" s="45"/>
      <c r="S624" s="4" t="str">
        <f>IFERROR(VLOOKUP(E624,'[2]td factu si'!$A:$B,1,0),0)</f>
        <v>FE16022</v>
      </c>
      <c r="T624" s="2">
        <f>IFERROR(VLOOKUP(E624,'[2]td factu si'!$A:$B,2,0),0)*-1</f>
        <v>15489</v>
      </c>
      <c r="U624" s="40"/>
      <c r="W624" s="36"/>
      <c r="AH624" s="3">
        <v>0</v>
      </c>
      <c r="AJ624" s="3">
        <v>0</v>
      </c>
    </row>
    <row r="625" spans="1:36" x14ac:dyDescent="0.25">
      <c r="A625">
        <v>617</v>
      </c>
      <c r="B625" s="29" t="s">
        <v>45</v>
      </c>
      <c r="C625" s="29" t="s">
        <v>46</v>
      </c>
      <c r="D625" s="4" t="str">
        <f>"16026"</f>
        <v>16026</v>
      </c>
      <c r="E625" s="4" t="str">
        <f t="shared" si="18"/>
        <v>FE16026</v>
      </c>
      <c r="F625" s="7">
        <v>44351</v>
      </c>
      <c r="G625" s="7">
        <v>44357</v>
      </c>
      <c r="H625" s="34">
        <v>15489</v>
      </c>
      <c r="I625" s="31">
        <v>13940</v>
      </c>
      <c r="J625" s="31">
        <f t="shared" si="19"/>
        <v>1549</v>
      </c>
      <c r="K625" s="2"/>
      <c r="N625" s="32">
        <v>13940</v>
      </c>
      <c r="Q625" s="34">
        <v>13940</v>
      </c>
      <c r="R625" s="45"/>
      <c r="S625" s="4" t="str">
        <f>IFERROR(VLOOKUP(E625,'[2]td factu si'!$A:$B,1,0),0)</f>
        <v>FE16026</v>
      </c>
      <c r="T625" s="2">
        <f>IFERROR(VLOOKUP(E625,'[2]td factu si'!$A:$B,2,0),0)*-1</f>
        <v>13940</v>
      </c>
      <c r="U625" s="40"/>
      <c r="W625" s="36"/>
      <c r="AH625" s="3">
        <v>0</v>
      </c>
      <c r="AJ625" s="3">
        <v>0</v>
      </c>
    </row>
    <row r="626" spans="1:36" x14ac:dyDescent="0.25">
      <c r="A626">
        <v>618</v>
      </c>
      <c r="B626" s="29" t="s">
        <v>45</v>
      </c>
      <c r="C626" s="29" t="s">
        <v>46</v>
      </c>
      <c r="D626" s="4" t="str">
        <f>"16038"</f>
        <v>16038</v>
      </c>
      <c r="E626" s="4" t="str">
        <f t="shared" si="18"/>
        <v>FE16038</v>
      </c>
      <c r="F626" s="7">
        <v>44351</v>
      </c>
      <c r="G626" s="7">
        <v>44357</v>
      </c>
      <c r="H626" s="34">
        <v>181246</v>
      </c>
      <c r="I626" s="31">
        <v>163121</v>
      </c>
      <c r="J626" s="31">
        <f t="shared" si="19"/>
        <v>18125</v>
      </c>
      <c r="K626" s="2"/>
      <c r="N626" s="32">
        <v>163121</v>
      </c>
      <c r="Q626" s="34">
        <v>163121</v>
      </c>
      <c r="R626" s="45"/>
      <c r="S626" s="4" t="str">
        <f>IFERROR(VLOOKUP(E626,'[2]td factu si'!$A:$B,1,0),0)</f>
        <v>FE16038</v>
      </c>
      <c r="T626" s="2">
        <f>IFERROR(VLOOKUP(E626,'[2]td factu si'!$A:$B,2,0),0)*-1</f>
        <v>163121</v>
      </c>
      <c r="U626" s="40"/>
      <c r="W626" s="36"/>
      <c r="AH626" s="3">
        <v>0</v>
      </c>
      <c r="AJ626" s="3">
        <v>0</v>
      </c>
    </row>
    <row r="627" spans="1:36" x14ac:dyDescent="0.25">
      <c r="A627">
        <v>619</v>
      </c>
      <c r="B627" s="29" t="s">
        <v>45</v>
      </c>
      <c r="C627" s="29" t="s">
        <v>46</v>
      </c>
      <c r="D627" s="4" t="str">
        <f>"16039"</f>
        <v>16039</v>
      </c>
      <c r="E627" s="4" t="str">
        <f t="shared" si="18"/>
        <v>FE16039</v>
      </c>
      <c r="F627" s="7">
        <v>44351</v>
      </c>
      <c r="G627" s="7">
        <v>44357</v>
      </c>
      <c r="H627" s="34">
        <v>181246</v>
      </c>
      <c r="I627" s="31">
        <v>177746</v>
      </c>
      <c r="J627" s="31">
        <f t="shared" si="19"/>
        <v>3500</v>
      </c>
      <c r="K627" s="2"/>
      <c r="N627" s="32">
        <v>177746</v>
      </c>
      <c r="Q627" s="34">
        <v>177746</v>
      </c>
      <c r="R627" s="45"/>
      <c r="S627" s="4" t="str">
        <f>IFERROR(VLOOKUP(E627,'[2]td factu si'!$A:$B,1,0),0)</f>
        <v>FE16039</v>
      </c>
      <c r="T627" s="2">
        <f>IFERROR(VLOOKUP(E627,'[2]td factu si'!$A:$B,2,0),0)*-1</f>
        <v>177746</v>
      </c>
      <c r="U627" s="40"/>
      <c r="W627" s="36"/>
      <c r="AH627" s="3">
        <v>0</v>
      </c>
      <c r="AJ627" s="3">
        <v>0</v>
      </c>
    </row>
    <row r="628" spans="1:36" x14ac:dyDescent="0.25">
      <c r="A628">
        <v>620</v>
      </c>
      <c r="B628" s="29" t="s">
        <v>45</v>
      </c>
      <c r="C628" s="29" t="s">
        <v>46</v>
      </c>
      <c r="D628" s="4" t="str">
        <f>"16042"</f>
        <v>16042</v>
      </c>
      <c r="E628" s="4" t="str">
        <f t="shared" si="18"/>
        <v>FE16042</v>
      </c>
      <c r="F628" s="7">
        <v>44351</v>
      </c>
      <c r="G628" s="7">
        <v>44357</v>
      </c>
      <c r="H628" s="34">
        <v>181246</v>
      </c>
      <c r="I628" s="31">
        <v>177746</v>
      </c>
      <c r="J628" s="31">
        <f t="shared" si="19"/>
        <v>3500</v>
      </c>
      <c r="K628" s="2"/>
      <c r="N628" s="32">
        <v>177746</v>
      </c>
      <c r="Q628" s="34">
        <v>177746</v>
      </c>
      <c r="R628" s="45"/>
      <c r="S628" s="4" t="str">
        <f>IFERROR(VLOOKUP(E628,'[2]td factu si'!$A:$B,1,0),0)</f>
        <v>FE16042</v>
      </c>
      <c r="T628" s="2">
        <f>IFERROR(VLOOKUP(E628,'[2]td factu si'!$A:$B,2,0),0)*-1</f>
        <v>177746</v>
      </c>
      <c r="U628" s="40"/>
      <c r="W628" s="36"/>
      <c r="AH628" s="3">
        <v>0</v>
      </c>
      <c r="AJ628" s="3">
        <v>0</v>
      </c>
    </row>
    <row r="629" spans="1:36" x14ac:dyDescent="0.25">
      <c r="A629">
        <v>621</v>
      </c>
      <c r="B629" s="29" t="s">
        <v>45</v>
      </c>
      <c r="C629" s="29" t="s">
        <v>46</v>
      </c>
      <c r="D629" s="4" t="str">
        <f>"16051"</f>
        <v>16051</v>
      </c>
      <c r="E629" s="4" t="str">
        <f t="shared" si="18"/>
        <v>FE16051</v>
      </c>
      <c r="F629" s="7">
        <v>44351</v>
      </c>
      <c r="G629" s="7">
        <v>44357</v>
      </c>
      <c r="H629" s="34">
        <v>15489</v>
      </c>
      <c r="I629" s="31">
        <v>15489</v>
      </c>
      <c r="J629" s="31">
        <f t="shared" si="19"/>
        <v>0</v>
      </c>
      <c r="K629" s="2"/>
      <c r="N629" s="32">
        <v>15489</v>
      </c>
      <c r="Q629" s="34">
        <v>15489</v>
      </c>
      <c r="R629" s="45"/>
      <c r="S629" s="4" t="str">
        <f>IFERROR(VLOOKUP(E629,'[2]td factu si'!$A:$B,1,0),0)</f>
        <v>FE16051</v>
      </c>
      <c r="T629" s="2">
        <f>IFERROR(VLOOKUP(E629,'[2]td factu si'!$A:$B,2,0),0)*-1</f>
        <v>15489</v>
      </c>
      <c r="U629" s="40"/>
      <c r="W629" s="36"/>
      <c r="AH629" s="3">
        <v>0</v>
      </c>
      <c r="AJ629" s="3">
        <v>0</v>
      </c>
    </row>
    <row r="630" spans="1:36" x14ac:dyDescent="0.25">
      <c r="A630">
        <v>622</v>
      </c>
      <c r="B630" s="29" t="s">
        <v>45</v>
      </c>
      <c r="C630" s="29" t="s">
        <v>46</v>
      </c>
      <c r="D630" s="4" t="str">
        <f>"16052"</f>
        <v>16052</v>
      </c>
      <c r="E630" s="4" t="str">
        <f t="shared" si="18"/>
        <v>FE16052</v>
      </c>
      <c r="F630" s="7">
        <v>44351</v>
      </c>
      <c r="G630" s="7">
        <v>44357</v>
      </c>
      <c r="H630" s="34">
        <v>15489</v>
      </c>
      <c r="I630" s="31">
        <v>15489</v>
      </c>
      <c r="J630" s="31">
        <f t="shared" si="19"/>
        <v>0</v>
      </c>
      <c r="K630" s="2"/>
      <c r="N630" s="32">
        <v>15489</v>
      </c>
      <c r="Q630" s="34">
        <v>15489</v>
      </c>
      <c r="R630" s="45"/>
      <c r="S630" s="4" t="str">
        <f>IFERROR(VLOOKUP(E630,'[2]td factu si'!$A:$B,1,0),0)</f>
        <v>FE16052</v>
      </c>
      <c r="T630" s="2">
        <f>IFERROR(VLOOKUP(E630,'[2]td factu si'!$A:$B,2,0),0)*-1</f>
        <v>15489</v>
      </c>
      <c r="U630" s="40"/>
      <c r="W630" s="36"/>
      <c r="AH630" s="3">
        <v>0</v>
      </c>
      <c r="AJ630" s="3">
        <v>0</v>
      </c>
    </row>
    <row r="631" spans="1:36" x14ac:dyDescent="0.25">
      <c r="A631">
        <v>623</v>
      </c>
      <c r="B631" s="29" t="s">
        <v>45</v>
      </c>
      <c r="C631" s="29" t="s">
        <v>46</v>
      </c>
      <c r="D631" s="4" t="str">
        <f>"16053"</f>
        <v>16053</v>
      </c>
      <c r="E631" s="4" t="str">
        <f t="shared" si="18"/>
        <v>FE16053</v>
      </c>
      <c r="F631" s="7">
        <v>44351</v>
      </c>
      <c r="G631" s="7">
        <v>44357</v>
      </c>
      <c r="H631" s="34">
        <v>15489</v>
      </c>
      <c r="I631" s="31">
        <v>11989</v>
      </c>
      <c r="J631" s="31">
        <f t="shared" si="19"/>
        <v>3500</v>
      </c>
      <c r="K631" s="2"/>
      <c r="N631" s="32">
        <v>11989</v>
      </c>
      <c r="Q631" s="34">
        <v>11989</v>
      </c>
      <c r="R631" s="45"/>
      <c r="S631" s="4" t="str">
        <f>IFERROR(VLOOKUP(E631,'[2]td factu si'!$A:$B,1,0),0)</f>
        <v>FE16053</v>
      </c>
      <c r="T631" s="2">
        <f>IFERROR(VLOOKUP(E631,'[2]td factu si'!$A:$B,2,0),0)*-1</f>
        <v>11989</v>
      </c>
      <c r="U631" s="40"/>
      <c r="W631" s="36"/>
      <c r="AH631" s="3">
        <v>0</v>
      </c>
      <c r="AJ631" s="3">
        <v>0</v>
      </c>
    </row>
    <row r="632" spans="1:36" x14ac:dyDescent="0.25">
      <c r="A632">
        <v>624</v>
      </c>
      <c r="B632" s="29" t="s">
        <v>45</v>
      </c>
      <c r="C632" s="29" t="s">
        <v>46</v>
      </c>
      <c r="D632" s="4" t="str">
        <f>"16057"</f>
        <v>16057</v>
      </c>
      <c r="E632" s="4" t="str">
        <f t="shared" si="18"/>
        <v>FE16057</v>
      </c>
      <c r="F632" s="7">
        <v>44351</v>
      </c>
      <c r="G632" s="7">
        <v>44357</v>
      </c>
      <c r="H632" s="34">
        <v>181246</v>
      </c>
      <c r="I632" s="31">
        <v>181246</v>
      </c>
      <c r="J632" s="31">
        <f t="shared" si="19"/>
        <v>0</v>
      </c>
      <c r="K632" s="2"/>
      <c r="N632" s="32">
        <v>181246</v>
      </c>
      <c r="Q632" s="34">
        <v>181246</v>
      </c>
      <c r="R632" s="45"/>
      <c r="S632" s="4" t="str">
        <f>IFERROR(VLOOKUP(E632,'[2]td factu si'!$A:$B,1,0),0)</f>
        <v>FE16057</v>
      </c>
      <c r="T632" s="2">
        <f>IFERROR(VLOOKUP(E632,'[2]td factu si'!$A:$B,2,0),0)*-1</f>
        <v>181246</v>
      </c>
      <c r="U632" s="40"/>
      <c r="W632" s="36"/>
      <c r="AH632" s="3">
        <v>0</v>
      </c>
      <c r="AJ632" s="3">
        <v>0</v>
      </c>
    </row>
    <row r="633" spans="1:36" x14ac:dyDescent="0.25">
      <c r="A633">
        <v>625</v>
      </c>
      <c r="B633" s="29" t="s">
        <v>45</v>
      </c>
      <c r="C633" s="29" t="s">
        <v>46</v>
      </c>
      <c r="D633" s="4" t="str">
        <f>"16058"</f>
        <v>16058</v>
      </c>
      <c r="E633" s="4" t="str">
        <f t="shared" si="18"/>
        <v>FE16058</v>
      </c>
      <c r="F633" s="7">
        <v>44351</v>
      </c>
      <c r="G633" s="7">
        <v>44357</v>
      </c>
      <c r="H633" s="34">
        <v>181246</v>
      </c>
      <c r="I633" s="31">
        <v>181246</v>
      </c>
      <c r="J633" s="31">
        <f t="shared" si="19"/>
        <v>0</v>
      </c>
      <c r="K633" s="2"/>
      <c r="N633" s="32">
        <v>181246</v>
      </c>
      <c r="Q633" s="34">
        <v>181246</v>
      </c>
      <c r="R633" s="45"/>
      <c r="S633" s="4" t="str">
        <f>IFERROR(VLOOKUP(E633,'[2]td factu si'!$A:$B,1,0),0)</f>
        <v>FE16058</v>
      </c>
      <c r="T633" s="2">
        <f>IFERROR(VLOOKUP(E633,'[2]td factu si'!$A:$B,2,0),0)*-1</f>
        <v>181246</v>
      </c>
      <c r="U633" s="40"/>
      <c r="W633" s="36"/>
      <c r="AH633" s="3">
        <v>0</v>
      </c>
      <c r="AJ633" s="3">
        <v>0</v>
      </c>
    </row>
    <row r="634" spans="1:36" x14ac:dyDescent="0.25">
      <c r="A634">
        <v>626</v>
      </c>
      <c r="B634" s="29" t="s">
        <v>45</v>
      </c>
      <c r="C634" s="29" t="s">
        <v>46</v>
      </c>
      <c r="D634" s="4" t="str">
        <f>"16059"</f>
        <v>16059</v>
      </c>
      <c r="E634" s="4" t="str">
        <f t="shared" si="18"/>
        <v>FE16059</v>
      </c>
      <c r="F634" s="7">
        <v>44351</v>
      </c>
      <c r="G634" s="7">
        <v>44357</v>
      </c>
      <c r="H634" s="34">
        <v>181246</v>
      </c>
      <c r="I634" s="31">
        <v>177746</v>
      </c>
      <c r="J634" s="31">
        <f t="shared" si="19"/>
        <v>3500</v>
      </c>
      <c r="K634" s="2"/>
      <c r="N634" s="32">
        <v>177746</v>
      </c>
      <c r="Q634" s="34">
        <v>177746</v>
      </c>
      <c r="R634" s="45"/>
      <c r="S634" s="4" t="str">
        <f>IFERROR(VLOOKUP(E634,'[2]td factu si'!$A:$B,1,0),0)</f>
        <v>FE16059</v>
      </c>
      <c r="T634" s="2">
        <f>IFERROR(VLOOKUP(E634,'[2]td factu si'!$A:$B,2,0),0)*-1</f>
        <v>177746</v>
      </c>
      <c r="U634" s="40"/>
      <c r="W634" s="36"/>
      <c r="AH634" s="3">
        <v>0</v>
      </c>
      <c r="AJ634" s="3">
        <v>0</v>
      </c>
    </row>
    <row r="635" spans="1:36" x14ac:dyDescent="0.25">
      <c r="A635">
        <v>627</v>
      </c>
      <c r="B635" s="29" t="s">
        <v>45</v>
      </c>
      <c r="C635" s="29" t="s">
        <v>46</v>
      </c>
      <c r="D635" s="4" t="str">
        <f>"16060"</f>
        <v>16060</v>
      </c>
      <c r="E635" s="4" t="str">
        <f t="shared" si="18"/>
        <v>FE16060</v>
      </c>
      <c r="F635" s="7">
        <v>44351</v>
      </c>
      <c r="G635" s="7">
        <v>44357</v>
      </c>
      <c r="H635" s="34">
        <v>181246</v>
      </c>
      <c r="I635" s="31">
        <v>181246</v>
      </c>
      <c r="J635" s="31">
        <f t="shared" si="19"/>
        <v>0</v>
      </c>
      <c r="K635" s="2"/>
      <c r="N635" s="32">
        <v>181246</v>
      </c>
      <c r="Q635" s="34">
        <v>181246</v>
      </c>
      <c r="R635" s="45"/>
      <c r="S635" s="4" t="str">
        <f>IFERROR(VLOOKUP(E635,'[2]td factu si'!$A:$B,1,0),0)</f>
        <v>FE16060</v>
      </c>
      <c r="T635" s="2">
        <f>IFERROR(VLOOKUP(E635,'[2]td factu si'!$A:$B,2,0),0)*-1</f>
        <v>181246</v>
      </c>
      <c r="U635" s="40"/>
      <c r="W635" s="36"/>
      <c r="AH635" s="3">
        <v>0</v>
      </c>
      <c r="AJ635" s="3">
        <v>0</v>
      </c>
    </row>
    <row r="636" spans="1:36" x14ac:dyDescent="0.25">
      <c r="A636">
        <v>628</v>
      </c>
      <c r="B636" s="29" t="s">
        <v>45</v>
      </c>
      <c r="C636" s="29" t="s">
        <v>46</v>
      </c>
      <c r="D636" s="4" t="str">
        <f>"16061"</f>
        <v>16061</v>
      </c>
      <c r="E636" s="4" t="str">
        <f t="shared" si="18"/>
        <v>FE16061</v>
      </c>
      <c r="F636" s="7">
        <v>44351</v>
      </c>
      <c r="G636" s="7">
        <v>44357</v>
      </c>
      <c r="H636" s="34">
        <v>181246</v>
      </c>
      <c r="I636" s="31">
        <v>181246</v>
      </c>
      <c r="J636" s="31">
        <f t="shared" si="19"/>
        <v>0</v>
      </c>
      <c r="K636" s="2"/>
      <c r="N636" s="32">
        <v>181246</v>
      </c>
      <c r="Q636" s="34">
        <v>181246</v>
      </c>
      <c r="R636" s="45"/>
      <c r="S636" s="4" t="str">
        <f>IFERROR(VLOOKUP(E636,'[2]td factu si'!$A:$B,1,0),0)</f>
        <v>FE16061</v>
      </c>
      <c r="T636" s="2">
        <f>IFERROR(VLOOKUP(E636,'[2]td factu si'!$A:$B,2,0),0)*-1</f>
        <v>181246</v>
      </c>
      <c r="U636" s="40"/>
      <c r="W636" s="36"/>
      <c r="AH636" s="3">
        <v>0</v>
      </c>
      <c r="AJ636" s="3">
        <v>0</v>
      </c>
    </row>
    <row r="637" spans="1:36" x14ac:dyDescent="0.25">
      <c r="A637">
        <v>629</v>
      </c>
      <c r="B637" s="29" t="s">
        <v>45</v>
      </c>
      <c r="C637" s="29" t="s">
        <v>46</v>
      </c>
      <c r="D637" s="4" t="str">
        <f>"16062"</f>
        <v>16062</v>
      </c>
      <c r="E637" s="4" t="str">
        <f t="shared" si="18"/>
        <v>FE16062</v>
      </c>
      <c r="F637" s="7">
        <v>44351</v>
      </c>
      <c r="G637" s="7">
        <v>44357</v>
      </c>
      <c r="H637" s="34">
        <v>181246</v>
      </c>
      <c r="I637" s="31">
        <v>181246</v>
      </c>
      <c r="J637" s="31">
        <f t="shared" si="19"/>
        <v>0</v>
      </c>
      <c r="K637" s="2"/>
      <c r="N637" s="32">
        <v>181246</v>
      </c>
      <c r="Q637" s="34">
        <v>181246</v>
      </c>
      <c r="R637" s="45"/>
      <c r="S637" s="4" t="str">
        <f>IFERROR(VLOOKUP(E637,'[2]td factu si'!$A:$B,1,0),0)</f>
        <v>FE16062</v>
      </c>
      <c r="T637" s="2">
        <f>IFERROR(VLOOKUP(E637,'[2]td factu si'!$A:$B,2,0),0)*-1</f>
        <v>181246</v>
      </c>
      <c r="U637" s="40"/>
      <c r="W637" s="36"/>
      <c r="AH637" s="3">
        <v>0</v>
      </c>
      <c r="AJ637" s="3">
        <v>0</v>
      </c>
    </row>
    <row r="638" spans="1:36" x14ac:dyDescent="0.25">
      <c r="A638">
        <v>630</v>
      </c>
      <c r="B638" s="29" t="s">
        <v>45</v>
      </c>
      <c r="C638" s="29" t="s">
        <v>46</v>
      </c>
      <c r="D638" s="4" t="str">
        <f>"16063"</f>
        <v>16063</v>
      </c>
      <c r="E638" s="4" t="str">
        <f t="shared" si="18"/>
        <v>FE16063</v>
      </c>
      <c r="F638" s="7">
        <v>44351</v>
      </c>
      <c r="G638" s="7">
        <v>44357</v>
      </c>
      <c r="H638" s="34">
        <v>339170</v>
      </c>
      <c r="I638" s="31">
        <v>335670</v>
      </c>
      <c r="J638" s="31">
        <f t="shared" si="19"/>
        <v>3500</v>
      </c>
      <c r="K638" s="2"/>
      <c r="N638" s="32">
        <v>335670</v>
      </c>
      <c r="Q638" s="34">
        <v>335670</v>
      </c>
      <c r="R638" s="45"/>
      <c r="S638" s="4" t="str">
        <f>IFERROR(VLOOKUP(E638,'[2]td factu si'!$A:$B,1,0),0)</f>
        <v>FE16063</v>
      </c>
      <c r="T638" s="2">
        <f>IFERROR(VLOOKUP(E638,'[2]td factu si'!$A:$B,2,0),0)*-1</f>
        <v>335670</v>
      </c>
      <c r="U638" s="40"/>
      <c r="W638" s="36"/>
      <c r="AH638" s="3">
        <v>0</v>
      </c>
      <c r="AJ638" s="3">
        <v>0</v>
      </c>
    </row>
    <row r="639" spans="1:36" x14ac:dyDescent="0.25">
      <c r="A639">
        <v>631</v>
      </c>
      <c r="B639" s="29" t="s">
        <v>45</v>
      </c>
      <c r="C639" s="29" t="s">
        <v>46</v>
      </c>
      <c r="D639" s="4" t="str">
        <f>"16065"</f>
        <v>16065</v>
      </c>
      <c r="E639" s="4" t="str">
        <f t="shared" si="18"/>
        <v>FE16065</v>
      </c>
      <c r="F639" s="7">
        <v>44351</v>
      </c>
      <c r="G639" s="7">
        <v>44357</v>
      </c>
      <c r="H639" s="34">
        <v>181246</v>
      </c>
      <c r="I639" s="31">
        <v>163121</v>
      </c>
      <c r="J639" s="31">
        <f t="shared" si="19"/>
        <v>18125</v>
      </c>
      <c r="K639" s="2"/>
      <c r="N639" s="32">
        <v>163121</v>
      </c>
      <c r="Q639" s="34">
        <v>163121</v>
      </c>
      <c r="R639" s="45"/>
      <c r="S639" s="4" t="str">
        <f>IFERROR(VLOOKUP(E639,'[2]td factu si'!$A:$B,1,0),0)</f>
        <v>FE16065</v>
      </c>
      <c r="T639" s="2">
        <f>IFERROR(VLOOKUP(E639,'[2]td factu si'!$A:$B,2,0),0)*-1</f>
        <v>163121</v>
      </c>
      <c r="U639" s="40"/>
      <c r="W639" s="36"/>
      <c r="AH639" s="3">
        <v>0</v>
      </c>
      <c r="AJ639" s="3">
        <v>0</v>
      </c>
    </row>
    <row r="640" spans="1:36" x14ac:dyDescent="0.25">
      <c r="A640">
        <v>632</v>
      </c>
      <c r="B640" s="29" t="s">
        <v>45</v>
      </c>
      <c r="C640" s="29" t="s">
        <v>46</v>
      </c>
      <c r="D640" s="4" t="str">
        <f>"16071"</f>
        <v>16071</v>
      </c>
      <c r="E640" s="4" t="str">
        <f t="shared" si="18"/>
        <v>FE16071</v>
      </c>
      <c r="F640" s="7">
        <v>44351</v>
      </c>
      <c r="G640" s="7">
        <v>44357</v>
      </c>
      <c r="H640" s="34">
        <v>181246</v>
      </c>
      <c r="I640" s="31">
        <v>181246</v>
      </c>
      <c r="J640" s="31">
        <f t="shared" si="19"/>
        <v>0</v>
      </c>
      <c r="K640" s="2"/>
      <c r="N640" s="32">
        <v>181246</v>
      </c>
      <c r="Q640" s="34">
        <v>181246</v>
      </c>
      <c r="R640" s="45"/>
      <c r="S640" s="4" t="str">
        <f>IFERROR(VLOOKUP(E640,'[2]td factu si'!$A:$B,1,0),0)</f>
        <v>FE16071</v>
      </c>
      <c r="T640" s="2">
        <f>IFERROR(VLOOKUP(E640,'[2]td factu si'!$A:$B,2,0),0)*-1</f>
        <v>181246</v>
      </c>
      <c r="U640" s="40"/>
      <c r="W640" s="36"/>
      <c r="AH640" s="3">
        <v>0</v>
      </c>
      <c r="AJ640" s="3">
        <v>0</v>
      </c>
    </row>
    <row r="641" spans="1:36" x14ac:dyDescent="0.25">
      <c r="A641">
        <v>633</v>
      </c>
      <c r="B641" s="29" t="s">
        <v>45</v>
      </c>
      <c r="C641" s="29" t="s">
        <v>46</v>
      </c>
      <c r="D641" s="4" t="str">
        <f>"16076"</f>
        <v>16076</v>
      </c>
      <c r="E641" s="4" t="str">
        <f t="shared" si="18"/>
        <v>FE16076</v>
      </c>
      <c r="F641" s="7">
        <v>44352</v>
      </c>
      <c r="G641" s="7">
        <v>44357</v>
      </c>
      <c r="H641" s="34">
        <v>15489</v>
      </c>
      <c r="I641" s="31">
        <v>15489</v>
      </c>
      <c r="J641" s="31">
        <f t="shared" si="19"/>
        <v>0</v>
      </c>
      <c r="K641" s="2"/>
      <c r="N641" s="32">
        <v>15489</v>
      </c>
      <c r="Q641" s="34">
        <v>15489</v>
      </c>
      <c r="R641" s="45"/>
      <c r="S641" s="4" t="str">
        <f>IFERROR(VLOOKUP(E641,'[2]td factu si'!$A:$B,1,0),0)</f>
        <v>FE16076</v>
      </c>
      <c r="T641" s="2">
        <f>IFERROR(VLOOKUP(E641,'[2]td factu si'!$A:$B,2,0),0)*-1</f>
        <v>15489</v>
      </c>
      <c r="U641" s="40"/>
      <c r="W641" s="36"/>
      <c r="AH641" s="3">
        <v>0</v>
      </c>
      <c r="AJ641" s="3">
        <v>0</v>
      </c>
    </row>
    <row r="642" spans="1:36" x14ac:dyDescent="0.25">
      <c r="A642">
        <v>634</v>
      </c>
      <c r="B642" s="29" t="s">
        <v>45</v>
      </c>
      <c r="C642" s="29" t="s">
        <v>46</v>
      </c>
      <c r="D642" s="4" t="str">
        <f>"16081"</f>
        <v>16081</v>
      </c>
      <c r="E642" s="4" t="str">
        <f t="shared" si="18"/>
        <v>FE16081</v>
      </c>
      <c r="F642" s="7">
        <v>44352</v>
      </c>
      <c r="G642" s="7">
        <v>44357</v>
      </c>
      <c r="H642" s="34">
        <v>15489</v>
      </c>
      <c r="I642" s="31">
        <v>15489</v>
      </c>
      <c r="J642" s="31">
        <f t="shared" si="19"/>
        <v>0</v>
      </c>
      <c r="K642" s="2"/>
      <c r="N642" s="32">
        <v>15489</v>
      </c>
      <c r="Q642" s="34">
        <v>15489</v>
      </c>
      <c r="R642" s="45"/>
      <c r="S642" s="4" t="str">
        <f>IFERROR(VLOOKUP(E642,'[2]td factu si'!$A:$B,1,0),0)</f>
        <v>FE16081</v>
      </c>
      <c r="T642" s="2">
        <f>IFERROR(VLOOKUP(E642,'[2]td factu si'!$A:$B,2,0),0)*-1</f>
        <v>15489</v>
      </c>
      <c r="U642" s="40"/>
      <c r="W642" s="36"/>
      <c r="AH642" s="3">
        <v>0</v>
      </c>
      <c r="AJ642" s="3">
        <v>0</v>
      </c>
    </row>
    <row r="643" spans="1:36" x14ac:dyDescent="0.25">
      <c r="A643">
        <v>635</v>
      </c>
      <c r="B643" s="29" t="s">
        <v>45</v>
      </c>
      <c r="C643" s="29" t="s">
        <v>46</v>
      </c>
      <c r="D643" s="4" t="str">
        <f>"16105"</f>
        <v>16105</v>
      </c>
      <c r="E643" s="4" t="str">
        <f t="shared" si="18"/>
        <v>FE16105</v>
      </c>
      <c r="F643" s="7">
        <v>44355</v>
      </c>
      <c r="G643" s="7">
        <v>44357</v>
      </c>
      <c r="H643" s="34">
        <v>15489</v>
      </c>
      <c r="I643" s="31">
        <v>13940</v>
      </c>
      <c r="J643" s="31">
        <f t="shared" si="19"/>
        <v>1549</v>
      </c>
      <c r="K643" s="2"/>
      <c r="N643" s="32">
        <v>13940</v>
      </c>
      <c r="Q643" s="34">
        <v>13940</v>
      </c>
      <c r="R643" s="45"/>
      <c r="S643" s="4" t="str">
        <f>IFERROR(VLOOKUP(E643,'[2]td factu si'!$A:$B,1,0),0)</f>
        <v>FE16105</v>
      </c>
      <c r="T643" s="2">
        <f>IFERROR(VLOOKUP(E643,'[2]td factu si'!$A:$B,2,0),0)*-1</f>
        <v>13940</v>
      </c>
      <c r="U643" s="40"/>
      <c r="W643" s="36"/>
      <c r="AH643" s="3">
        <v>0</v>
      </c>
      <c r="AJ643" s="3">
        <v>0</v>
      </c>
    </row>
    <row r="644" spans="1:36" x14ac:dyDescent="0.25">
      <c r="A644">
        <v>636</v>
      </c>
      <c r="B644" s="29" t="s">
        <v>45</v>
      </c>
      <c r="C644" s="29" t="s">
        <v>46</v>
      </c>
      <c r="D644" s="4" t="str">
        <f>"16107"</f>
        <v>16107</v>
      </c>
      <c r="E644" s="4" t="str">
        <f t="shared" si="18"/>
        <v>FE16107</v>
      </c>
      <c r="F644" s="7">
        <v>44355</v>
      </c>
      <c r="G644" s="7">
        <v>44357</v>
      </c>
      <c r="H644" s="34">
        <v>15489</v>
      </c>
      <c r="I644" s="31">
        <v>11989</v>
      </c>
      <c r="J644" s="31">
        <f t="shared" si="19"/>
        <v>3500</v>
      </c>
      <c r="K644" s="2"/>
      <c r="N644" s="32">
        <v>11989</v>
      </c>
      <c r="Q644" s="34">
        <v>11989</v>
      </c>
      <c r="R644" s="45"/>
      <c r="S644" s="4" t="str">
        <f>IFERROR(VLOOKUP(E644,'[2]td factu si'!$A:$B,1,0),0)</f>
        <v>FE16107</v>
      </c>
      <c r="T644" s="2">
        <f>IFERROR(VLOOKUP(E644,'[2]td factu si'!$A:$B,2,0),0)*-1</f>
        <v>11989</v>
      </c>
      <c r="U644" s="40"/>
      <c r="W644" s="36"/>
      <c r="AH644" s="3">
        <v>0</v>
      </c>
      <c r="AJ644" s="3">
        <v>0</v>
      </c>
    </row>
    <row r="645" spans="1:36" x14ac:dyDescent="0.25">
      <c r="A645">
        <v>637</v>
      </c>
      <c r="B645" s="29" t="s">
        <v>45</v>
      </c>
      <c r="C645" s="29" t="s">
        <v>46</v>
      </c>
      <c r="D645" s="4" t="str">
        <f>"16109"</f>
        <v>16109</v>
      </c>
      <c r="E645" s="4" t="str">
        <f t="shared" si="18"/>
        <v>FE16109</v>
      </c>
      <c r="F645" s="7">
        <v>44355</v>
      </c>
      <c r="G645" s="7">
        <v>44357</v>
      </c>
      <c r="H645" s="34">
        <v>297639</v>
      </c>
      <c r="I645" s="31">
        <v>297639</v>
      </c>
      <c r="J645" s="31">
        <f t="shared" si="19"/>
        <v>0</v>
      </c>
      <c r="K645" s="2"/>
      <c r="N645" s="32">
        <v>297639</v>
      </c>
      <c r="Q645" s="34">
        <v>297639</v>
      </c>
      <c r="R645" s="45"/>
      <c r="S645" s="4" t="str">
        <f>IFERROR(VLOOKUP(E645,'[2]td factu si'!$A:$B,1,0),0)</f>
        <v>FE16109</v>
      </c>
      <c r="T645" s="2">
        <f>IFERROR(VLOOKUP(E645,'[2]td factu si'!$A:$B,2,0),0)*-1</f>
        <v>297639</v>
      </c>
      <c r="U645" s="40"/>
      <c r="W645" s="36"/>
      <c r="AH645" s="3">
        <v>0</v>
      </c>
      <c r="AJ645" s="3">
        <v>0</v>
      </c>
    </row>
    <row r="646" spans="1:36" x14ac:dyDescent="0.25">
      <c r="A646">
        <v>638</v>
      </c>
      <c r="B646" s="29" t="s">
        <v>45</v>
      </c>
      <c r="C646" s="29" t="s">
        <v>46</v>
      </c>
      <c r="D646" s="4" t="str">
        <f>"16122"</f>
        <v>16122</v>
      </c>
      <c r="E646" s="4" t="str">
        <f t="shared" si="18"/>
        <v>FE16122</v>
      </c>
      <c r="F646" s="7">
        <v>44355</v>
      </c>
      <c r="G646" s="7">
        <v>44357</v>
      </c>
      <c r="H646" s="34">
        <v>15489</v>
      </c>
      <c r="I646" s="31">
        <v>15489</v>
      </c>
      <c r="J646" s="31">
        <f t="shared" si="19"/>
        <v>0</v>
      </c>
      <c r="K646" s="2"/>
      <c r="N646" s="32">
        <v>15489</v>
      </c>
      <c r="Q646" s="34">
        <v>15489</v>
      </c>
      <c r="R646" s="45"/>
      <c r="S646" s="4" t="str">
        <f>IFERROR(VLOOKUP(E646,'[2]td factu si'!$A:$B,1,0),0)</f>
        <v>FE16122</v>
      </c>
      <c r="T646" s="2">
        <f>IFERROR(VLOOKUP(E646,'[2]td factu si'!$A:$B,2,0),0)*-1</f>
        <v>15489</v>
      </c>
      <c r="U646" s="40"/>
      <c r="W646" s="36"/>
      <c r="AH646" s="3">
        <v>0</v>
      </c>
      <c r="AJ646" s="3">
        <v>0</v>
      </c>
    </row>
    <row r="647" spans="1:36" x14ac:dyDescent="0.25">
      <c r="A647">
        <v>639</v>
      </c>
      <c r="B647" s="29" t="s">
        <v>45</v>
      </c>
      <c r="C647" s="29" t="s">
        <v>46</v>
      </c>
      <c r="D647" s="4" t="str">
        <f>"16124"</f>
        <v>16124</v>
      </c>
      <c r="E647" s="4" t="str">
        <f t="shared" si="18"/>
        <v>FE16124</v>
      </c>
      <c r="F647" s="7">
        <v>44355</v>
      </c>
      <c r="G647" s="7">
        <v>44357</v>
      </c>
      <c r="H647" s="34">
        <v>181246</v>
      </c>
      <c r="I647" s="31">
        <v>181246</v>
      </c>
      <c r="J647" s="31">
        <f t="shared" si="19"/>
        <v>0</v>
      </c>
      <c r="K647" s="2"/>
      <c r="N647" s="32">
        <v>181246</v>
      </c>
      <c r="Q647" s="34">
        <v>181246</v>
      </c>
      <c r="R647" s="45"/>
      <c r="S647" s="4" t="str">
        <f>IFERROR(VLOOKUP(E647,'[2]td factu si'!$A:$B,1,0),0)</f>
        <v>FE16124</v>
      </c>
      <c r="T647" s="2">
        <f>IFERROR(VLOOKUP(E647,'[2]td factu si'!$A:$B,2,0),0)*-1</f>
        <v>181246</v>
      </c>
      <c r="U647" s="40"/>
      <c r="W647" s="36"/>
      <c r="AH647" s="3">
        <v>0</v>
      </c>
      <c r="AJ647" s="3">
        <v>0</v>
      </c>
    </row>
    <row r="648" spans="1:36" x14ac:dyDescent="0.25">
      <c r="A648">
        <v>640</v>
      </c>
      <c r="B648" s="29" t="s">
        <v>45</v>
      </c>
      <c r="C648" s="29" t="s">
        <v>46</v>
      </c>
      <c r="D648" s="4" t="str">
        <f>"16129"</f>
        <v>16129</v>
      </c>
      <c r="E648" s="4" t="str">
        <f t="shared" si="18"/>
        <v>FE16129</v>
      </c>
      <c r="F648" s="7">
        <v>44355</v>
      </c>
      <c r="G648" s="7">
        <v>44357</v>
      </c>
      <c r="H648" s="34">
        <v>15489</v>
      </c>
      <c r="I648" s="31">
        <v>15489</v>
      </c>
      <c r="J648" s="31">
        <f t="shared" si="19"/>
        <v>0</v>
      </c>
      <c r="K648" s="2"/>
      <c r="N648" s="32">
        <v>15489</v>
      </c>
      <c r="Q648" s="34">
        <v>15489</v>
      </c>
      <c r="R648" s="45"/>
      <c r="S648" s="4" t="str">
        <f>IFERROR(VLOOKUP(E648,'[2]td factu si'!$A:$B,1,0),0)</f>
        <v>FE16129</v>
      </c>
      <c r="T648" s="2">
        <f>IFERROR(VLOOKUP(E648,'[2]td factu si'!$A:$B,2,0),0)*-1</f>
        <v>15489</v>
      </c>
      <c r="U648" s="40"/>
      <c r="W648" s="36"/>
      <c r="AH648" s="3">
        <v>0</v>
      </c>
      <c r="AJ648" s="3">
        <v>0</v>
      </c>
    </row>
    <row r="649" spans="1:36" x14ac:dyDescent="0.25">
      <c r="A649">
        <v>641</v>
      </c>
      <c r="B649" s="29" t="s">
        <v>45</v>
      </c>
      <c r="C649" s="29" t="s">
        <v>46</v>
      </c>
      <c r="D649" s="4" t="str">
        <f>"16134"</f>
        <v>16134</v>
      </c>
      <c r="E649" s="4" t="str">
        <f t="shared" si="18"/>
        <v>FE16134</v>
      </c>
      <c r="F649" s="7">
        <v>44355</v>
      </c>
      <c r="G649" s="7">
        <v>44357</v>
      </c>
      <c r="H649" s="34">
        <v>280634</v>
      </c>
      <c r="I649" s="31">
        <v>248361</v>
      </c>
      <c r="J649" s="31">
        <f t="shared" si="19"/>
        <v>32273</v>
      </c>
      <c r="K649" s="2"/>
      <c r="N649" s="32">
        <v>248361</v>
      </c>
      <c r="Q649" s="34">
        <v>248361</v>
      </c>
      <c r="R649" s="45"/>
      <c r="S649" s="4" t="str">
        <f>IFERROR(VLOOKUP(E649,'[2]td factu si'!$A:$B,1,0),0)</f>
        <v>FE16134</v>
      </c>
      <c r="T649" s="2">
        <f>IFERROR(VLOOKUP(E649,'[2]td factu si'!$A:$B,2,0),0)*-1</f>
        <v>248361</v>
      </c>
      <c r="U649" s="40"/>
      <c r="W649" s="36"/>
      <c r="AH649" s="3">
        <v>0</v>
      </c>
      <c r="AJ649" s="3">
        <v>0</v>
      </c>
    </row>
    <row r="650" spans="1:36" x14ac:dyDescent="0.25">
      <c r="A650">
        <v>642</v>
      </c>
      <c r="B650" s="29" t="s">
        <v>45</v>
      </c>
      <c r="C650" s="29" t="s">
        <v>46</v>
      </c>
      <c r="D650" s="4" t="str">
        <f>"16141"</f>
        <v>16141</v>
      </c>
      <c r="E650" s="4" t="str">
        <f t="shared" ref="E650:E713" si="20">_xlfn.CONCAT(C650,D650)</f>
        <v>FE16141</v>
      </c>
      <c r="F650" s="7">
        <v>44355</v>
      </c>
      <c r="G650" s="7">
        <v>44357</v>
      </c>
      <c r="H650" s="34">
        <v>317101</v>
      </c>
      <c r="I650" s="31">
        <v>317101</v>
      </c>
      <c r="J650" s="31">
        <f t="shared" ref="J650:J713" si="21">+H650-I650</f>
        <v>0</v>
      </c>
      <c r="K650" s="2"/>
      <c r="N650" s="32">
        <v>317101</v>
      </c>
      <c r="Q650" s="34">
        <v>317101</v>
      </c>
      <c r="R650" s="45"/>
      <c r="S650" s="4" t="str">
        <f>IFERROR(VLOOKUP(E650,'[2]td factu si'!$A:$B,1,0),0)</f>
        <v>FE16141</v>
      </c>
      <c r="T650" s="2">
        <f>IFERROR(VLOOKUP(E650,'[2]td factu si'!$A:$B,2,0),0)*-1</f>
        <v>317101</v>
      </c>
      <c r="U650" s="40"/>
      <c r="W650" s="36"/>
      <c r="AH650" s="3">
        <v>0</v>
      </c>
      <c r="AJ650" s="3">
        <v>0</v>
      </c>
    </row>
    <row r="651" spans="1:36" x14ac:dyDescent="0.25">
      <c r="A651">
        <v>643</v>
      </c>
      <c r="B651" s="29" t="s">
        <v>45</v>
      </c>
      <c r="C651" s="29" t="s">
        <v>46</v>
      </c>
      <c r="D651" s="4" t="str">
        <f>"16142"</f>
        <v>16142</v>
      </c>
      <c r="E651" s="4" t="str">
        <f t="shared" si="20"/>
        <v>FE16142</v>
      </c>
      <c r="F651" s="7">
        <v>44355</v>
      </c>
      <c r="G651" s="7">
        <v>44357</v>
      </c>
      <c r="H651" s="34">
        <v>116393</v>
      </c>
      <c r="I651" s="31">
        <v>104754</v>
      </c>
      <c r="J651" s="31">
        <f t="shared" si="21"/>
        <v>11639</v>
      </c>
      <c r="K651" s="2"/>
      <c r="N651" s="32">
        <v>104754</v>
      </c>
      <c r="Q651" s="34">
        <v>104754</v>
      </c>
      <c r="R651" s="45"/>
      <c r="S651" s="4" t="str">
        <f>IFERROR(VLOOKUP(E651,'[2]td factu si'!$A:$B,1,0),0)</f>
        <v>FE16142</v>
      </c>
      <c r="T651" s="2">
        <f>IFERROR(VLOOKUP(E651,'[2]td factu si'!$A:$B,2,0),0)*-1</f>
        <v>104754</v>
      </c>
      <c r="U651" s="40"/>
      <c r="W651" s="36"/>
      <c r="AH651" s="3">
        <v>0</v>
      </c>
      <c r="AJ651" s="3">
        <v>0</v>
      </c>
    </row>
    <row r="652" spans="1:36" x14ac:dyDescent="0.25">
      <c r="A652">
        <v>644</v>
      </c>
      <c r="B652" s="29" t="s">
        <v>45</v>
      </c>
      <c r="C652" s="29" t="s">
        <v>46</v>
      </c>
      <c r="D652" s="4" t="str">
        <f>"16144"</f>
        <v>16144</v>
      </c>
      <c r="E652" s="4" t="str">
        <f t="shared" si="20"/>
        <v>FE16144</v>
      </c>
      <c r="F652" s="7">
        <v>44355</v>
      </c>
      <c r="G652" s="7">
        <v>44357</v>
      </c>
      <c r="H652" s="34">
        <v>135855</v>
      </c>
      <c r="I652" s="31">
        <v>135855</v>
      </c>
      <c r="J652" s="31">
        <f t="shared" si="21"/>
        <v>0</v>
      </c>
      <c r="K652" s="2"/>
      <c r="N652" s="32">
        <v>135855</v>
      </c>
      <c r="Q652" s="34">
        <v>135855</v>
      </c>
      <c r="R652" s="45"/>
      <c r="S652" s="4" t="str">
        <f>IFERROR(VLOOKUP(E652,'[2]td factu si'!$A:$B,1,0),0)</f>
        <v>FE16144</v>
      </c>
      <c r="T652" s="2">
        <f>IFERROR(VLOOKUP(E652,'[2]td factu si'!$A:$B,2,0),0)*-1</f>
        <v>135855</v>
      </c>
      <c r="U652" s="40"/>
      <c r="W652" s="36"/>
      <c r="AH652" s="3">
        <v>0</v>
      </c>
      <c r="AJ652" s="3">
        <v>0</v>
      </c>
    </row>
    <row r="653" spans="1:36" x14ac:dyDescent="0.25">
      <c r="A653">
        <v>645</v>
      </c>
      <c r="B653" s="29" t="s">
        <v>45</v>
      </c>
      <c r="C653" s="29" t="s">
        <v>46</v>
      </c>
      <c r="D653" s="4" t="str">
        <f>"16146"</f>
        <v>16146</v>
      </c>
      <c r="E653" s="4" t="str">
        <f t="shared" si="20"/>
        <v>FE16146</v>
      </c>
      <c r="F653" s="7">
        <v>44355</v>
      </c>
      <c r="G653" s="7">
        <v>44357</v>
      </c>
      <c r="H653" s="34">
        <v>15489</v>
      </c>
      <c r="I653" s="31">
        <v>11989</v>
      </c>
      <c r="J653" s="31">
        <f t="shared" si="21"/>
        <v>3500</v>
      </c>
      <c r="K653" s="2"/>
      <c r="N653" s="32">
        <v>11989</v>
      </c>
      <c r="Q653" s="34">
        <v>11989</v>
      </c>
      <c r="R653" s="45"/>
      <c r="S653" s="4" t="str">
        <f>IFERROR(VLOOKUP(E653,'[2]td factu si'!$A:$B,1,0),0)</f>
        <v>FE16146</v>
      </c>
      <c r="T653" s="2">
        <f>IFERROR(VLOOKUP(E653,'[2]td factu si'!$A:$B,2,0),0)*-1</f>
        <v>11989</v>
      </c>
      <c r="U653" s="40"/>
      <c r="W653" s="36"/>
      <c r="AH653" s="3">
        <v>0</v>
      </c>
      <c r="AJ653" s="3">
        <v>0</v>
      </c>
    </row>
    <row r="654" spans="1:36" x14ac:dyDescent="0.25">
      <c r="A654">
        <v>646</v>
      </c>
      <c r="B654" s="29" t="s">
        <v>45</v>
      </c>
      <c r="C654" s="29" t="s">
        <v>46</v>
      </c>
      <c r="D654" s="4" t="str">
        <f>"16147"</f>
        <v>16147</v>
      </c>
      <c r="E654" s="4" t="str">
        <f t="shared" si="20"/>
        <v>FE16147</v>
      </c>
      <c r="F654" s="7">
        <v>44355</v>
      </c>
      <c r="G654" s="7">
        <v>44357</v>
      </c>
      <c r="H654" s="34">
        <v>416225</v>
      </c>
      <c r="I654" s="31">
        <v>374603</v>
      </c>
      <c r="J654" s="31">
        <f t="shared" si="21"/>
        <v>41622</v>
      </c>
      <c r="K654" s="2"/>
      <c r="N654" s="32">
        <v>374603</v>
      </c>
      <c r="Q654" s="34">
        <v>374603</v>
      </c>
      <c r="R654" s="45"/>
      <c r="S654" s="4" t="str">
        <f>IFERROR(VLOOKUP(E654,'[2]td factu si'!$A:$B,1,0),0)</f>
        <v>FE16147</v>
      </c>
      <c r="T654" s="2">
        <f>IFERROR(VLOOKUP(E654,'[2]td factu si'!$A:$B,2,0),0)*-1</f>
        <v>374603</v>
      </c>
      <c r="U654" s="40"/>
      <c r="W654" s="36"/>
      <c r="AH654" s="3">
        <v>0</v>
      </c>
      <c r="AJ654" s="3">
        <v>0</v>
      </c>
    </row>
    <row r="655" spans="1:36" x14ac:dyDescent="0.25">
      <c r="A655">
        <v>647</v>
      </c>
      <c r="B655" s="29" t="s">
        <v>45</v>
      </c>
      <c r="C655" s="29" t="s">
        <v>46</v>
      </c>
      <c r="D655" s="4" t="str">
        <f>"16151"</f>
        <v>16151</v>
      </c>
      <c r="E655" s="4" t="str">
        <f t="shared" si="20"/>
        <v>FE16151</v>
      </c>
      <c r="F655" s="7">
        <v>44355</v>
      </c>
      <c r="G655" s="7">
        <v>44357</v>
      </c>
      <c r="H655" s="34">
        <v>475025</v>
      </c>
      <c r="I655" s="31">
        <v>427523</v>
      </c>
      <c r="J655" s="31">
        <f t="shared" si="21"/>
        <v>47502</v>
      </c>
      <c r="K655" s="2"/>
      <c r="N655" s="32">
        <v>427523</v>
      </c>
      <c r="Q655" s="34">
        <v>427523</v>
      </c>
      <c r="R655" s="45"/>
      <c r="S655" s="4" t="str">
        <f>IFERROR(VLOOKUP(E655,'[2]td factu si'!$A:$B,1,0),0)</f>
        <v>FE16151</v>
      </c>
      <c r="T655" s="2">
        <f>IFERROR(VLOOKUP(E655,'[2]td factu si'!$A:$B,2,0),0)*-1</f>
        <v>427523</v>
      </c>
      <c r="U655" s="40"/>
      <c r="W655" s="36"/>
      <c r="AH655" s="3">
        <v>0</v>
      </c>
      <c r="AJ655" s="3">
        <v>0</v>
      </c>
    </row>
    <row r="656" spans="1:36" x14ac:dyDescent="0.25">
      <c r="A656">
        <v>648</v>
      </c>
      <c r="B656" s="29" t="s">
        <v>45</v>
      </c>
      <c r="C656" s="29" t="s">
        <v>46</v>
      </c>
      <c r="D656" s="4" t="str">
        <f>"16159"</f>
        <v>16159</v>
      </c>
      <c r="E656" s="4" t="str">
        <f t="shared" si="20"/>
        <v>FE16159</v>
      </c>
      <c r="F656" s="7">
        <v>44356</v>
      </c>
      <c r="G656" s="7">
        <v>44357</v>
      </c>
      <c r="H656" s="34">
        <v>317101</v>
      </c>
      <c r="I656" s="31">
        <v>317101</v>
      </c>
      <c r="J656" s="31">
        <f t="shared" si="21"/>
        <v>0</v>
      </c>
      <c r="K656" s="2"/>
      <c r="N656" s="32">
        <v>317101</v>
      </c>
      <c r="Q656" s="34">
        <v>317101</v>
      </c>
      <c r="R656" s="45"/>
      <c r="S656" s="4" t="str">
        <f>IFERROR(VLOOKUP(E656,'[2]td factu si'!$A:$B,1,0),0)</f>
        <v>FE16159</v>
      </c>
      <c r="T656" s="2">
        <f>IFERROR(VLOOKUP(E656,'[2]td factu si'!$A:$B,2,0),0)*-1</f>
        <v>317101</v>
      </c>
      <c r="U656" s="40"/>
      <c r="W656" s="36"/>
      <c r="AH656" s="3">
        <v>0</v>
      </c>
      <c r="AJ656" s="3">
        <v>0</v>
      </c>
    </row>
    <row r="657" spans="1:36" x14ac:dyDescent="0.25">
      <c r="A657">
        <v>649</v>
      </c>
      <c r="B657" s="29" t="s">
        <v>45</v>
      </c>
      <c r="C657" s="29" t="s">
        <v>46</v>
      </c>
      <c r="D657" s="4" t="str">
        <f>"16165"</f>
        <v>16165</v>
      </c>
      <c r="E657" s="4" t="str">
        <f t="shared" si="20"/>
        <v>FE16165</v>
      </c>
      <c r="F657" s="7">
        <v>44356</v>
      </c>
      <c r="G657" s="7">
        <v>44357</v>
      </c>
      <c r="H657" s="34">
        <v>181246</v>
      </c>
      <c r="I657" s="31">
        <v>181246</v>
      </c>
      <c r="J657" s="31">
        <f t="shared" si="21"/>
        <v>0</v>
      </c>
      <c r="K657" s="2"/>
      <c r="N657" s="32">
        <v>181246</v>
      </c>
      <c r="Q657" s="34">
        <v>181246</v>
      </c>
      <c r="R657" s="45"/>
      <c r="S657" s="4" t="str">
        <f>IFERROR(VLOOKUP(E657,'[2]td factu si'!$A:$B,1,0),0)</f>
        <v>FE16165</v>
      </c>
      <c r="T657" s="2">
        <f>IFERROR(VLOOKUP(E657,'[2]td factu si'!$A:$B,2,0),0)*-1</f>
        <v>181246</v>
      </c>
      <c r="U657" s="40"/>
      <c r="W657" s="36"/>
      <c r="AH657" s="3">
        <v>0</v>
      </c>
      <c r="AJ657" s="3">
        <v>0</v>
      </c>
    </row>
    <row r="658" spans="1:36" x14ac:dyDescent="0.25">
      <c r="A658">
        <v>650</v>
      </c>
      <c r="B658" s="29" t="s">
        <v>45</v>
      </c>
      <c r="C658" s="29" t="s">
        <v>46</v>
      </c>
      <c r="D658" s="4" t="str">
        <f>"16166"</f>
        <v>16166</v>
      </c>
      <c r="E658" s="4" t="str">
        <f t="shared" si="20"/>
        <v>FE16166</v>
      </c>
      <c r="F658" s="7">
        <v>44356</v>
      </c>
      <c r="G658" s="7">
        <v>44357</v>
      </c>
      <c r="H658" s="34">
        <v>181246</v>
      </c>
      <c r="I658" s="31">
        <v>181246</v>
      </c>
      <c r="J658" s="31">
        <f t="shared" si="21"/>
        <v>0</v>
      </c>
      <c r="K658" s="2"/>
      <c r="N658" s="32">
        <v>181246</v>
      </c>
      <c r="Q658" s="34">
        <v>181246</v>
      </c>
      <c r="R658" s="45"/>
      <c r="S658" s="4" t="str">
        <f>IFERROR(VLOOKUP(E658,'[2]td factu si'!$A:$B,1,0),0)</f>
        <v>FE16166</v>
      </c>
      <c r="T658" s="2">
        <f>IFERROR(VLOOKUP(E658,'[2]td factu si'!$A:$B,2,0),0)*-1</f>
        <v>181246</v>
      </c>
      <c r="U658" s="40"/>
      <c r="W658" s="36"/>
      <c r="AH658" s="3">
        <v>0</v>
      </c>
      <c r="AJ658" s="3">
        <v>0</v>
      </c>
    </row>
    <row r="659" spans="1:36" x14ac:dyDescent="0.25">
      <c r="A659">
        <v>651</v>
      </c>
      <c r="B659" s="29" t="s">
        <v>45</v>
      </c>
      <c r="C659" s="29" t="s">
        <v>46</v>
      </c>
      <c r="D659" s="4" t="str">
        <f>"16167"</f>
        <v>16167</v>
      </c>
      <c r="E659" s="4" t="str">
        <f t="shared" si="20"/>
        <v>FE16167</v>
      </c>
      <c r="F659" s="7">
        <v>44356</v>
      </c>
      <c r="G659" s="7">
        <v>44357</v>
      </c>
      <c r="H659" s="34">
        <v>181246</v>
      </c>
      <c r="I659" s="31">
        <v>181246</v>
      </c>
      <c r="J659" s="31">
        <f t="shared" si="21"/>
        <v>0</v>
      </c>
      <c r="K659" s="2"/>
      <c r="N659" s="32">
        <v>181246</v>
      </c>
      <c r="Q659" s="34">
        <v>181246</v>
      </c>
      <c r="R659" s="45"/>
      <c r="S659" s="4" t="str">
        <f>IFERROR(VLOOKUP(E659,'[2]td factu si'!$A:$B,1,0),0)</f>
        <v>FE16167</v>
      </c>
      <c r="T659" s="2">
        <f>IFERROR(VLOOKUP(E659,'[2]td factu si'!$A:$B,2,0),0)*-1</f>
        <v>181246</v>
      </c>
      <c r="U659" s="40"/>
      <c r="W659" s="36"/>
      <c r="AH659" s="3">
        <v>0</v>
      </c>
      <c r="AJ659" s="3">
        <v>0</v>
      </c>
    </row>
    <row r="660" spans="1:36" x14ac:dyDescent="0.25">
      <c r="A660">
        <v>652</v>
      </c>
      <c r="B660" s="29" t="s">
        <v>45</v>
      </c>
      <c r="C660" s="29" t="s">
        <v>46</v>
      </c>
      <c r="D660" s="4" t="str">
        <f>"16174"</f>
        <v>16174</v>
      </c>
      <c r="E660" s="4" t="str">
        <f t="shared" si="20"/>
        <v>FE16174</v>
      </c>
      <c r="F660" s="7">
        <v>44356</v>
      </c>
      <c r="G660" s="7">
        <v>44357</v>
      </c>
      <c r="H660" s="34">
        <v>181246</v>
      </c>
      <c r="I660" s="31">
        <v>181246</v>
      </c>
      <c r="J660" s="31">
        <f t="shared" si="21"/>
        <v>0</v>
      </c>
      <c r="K660" s="2"/>
      <c r="N660" s="32">
        <v>181246</v>
      </c>
      <c r="Q660" s="34">
        <v>181246</v>
      </c>
      <c r="R660" s="45"/>
      <c r="S660" s="4" t="str">
        <f>IFERROR(VLOOKUP(E660,'[2]td factu si'!$A:$B,1,0),0)</f>
        <v>FE16174</v>
      </c>
      <c r="T660" s="2">
        <f>IFERROR(VLOOKUP(E660,'[2]td factu si'!$A:$B,2,0),0)*-1</f>
        <v>181246</v>
      </c>
      <c r="U660" s="40"/>
      <c r="W660" s="36"/>
      <c r="AH660" s="3">
        <v>0</v>
      </c>
      <c r="AJ660" s="3">
        <v>0</v>
      </c>
    </row>
    <row r="661" spans="1:36" x14ac:dyDescent="0.25">
      <c r="A661">
        <v>653</v>
      </c>
      <c r="B661" s="29" t="s">
        <v>45</v>
      </c>
      <c r="C661" s="29" t="s">
        <v>46</v>
      </c>
      <c r="D661" s="4" t="str">
        <f>"16175"</f>
        <v>16175</v>
      </c>
      <c r="E661" s="4" t="str">
        <f t="shared" si="20"/>
        <v>FE16175</v>
      </c>
      <c r="F661" s="7">
        <v>44356</v>
      </c>
      <c r="G661" s="7">
        <v>44357</v>
      </c>
      <c r="H661" s="34">
        <v>181246</v>
      </c>
      <c r="I661" s="31">
        <v>177746</v>
      </c>
      <c r="J661" s="31">
        <f t="shared" si="21"/>
        <v>3500</v>
      </c>
      <c r="K661" s="2"/>
      <c r="N661" s="32">
        <v>177746</v>
      </c>
      <c r="Q661" s="34">
        <v>177746</v>
      </c>
      <c r="R661" s="45"/>
      <c r="S661" s="4" t="str">
        <f>IFERROR(VLOOKUP(E661,'[2]td factu si'!$A:$B,1,0),0)</f>
        <v>FE16175</v>
      </c>
      <c r="T661" s="2">
        <f>IFERROR(VLOOKUP(E661,'[2]td factu si'!$A:$B,2,0),0)*-1</f>
        <v>177746</v>
      </c>
      <c r="U661" s="40"/>
      <c r="W661" s="36"/>
      <c r="AH661" s="3">
        <v>0</v>
      </c>
      <c r="AJ661" s="3">
        <v>0</v>
      </c>
    </row>
    <row r="662" spans="1:36" x14ac:dyDescent="0.25">
      <c r="A662">
        <v>654</v>
      </c>
      <c r="B662" s="29" t="s">
        <v>45</v>
      </c>
      <c r="C662" s="29" t="s">
        <v>46</v>
      </c>
      <c r="D662" s="4" t="str">
        <f>"16176"</f>
        <v>16176</v>
      </c>
      <c r="E662" s="4" t="str">
        <f t="shared" si="20"/>
        <v>FE16176</v>
      </c>
      <c r="F662" s="7">
        <v>44356</v>
      </c>
      <c r="G662" s="7">
        <v>44357</v>
      </c>
      <c r="H662" s="34">
        <v>181246</v>
      </c>
      <c r="I662" s="31">
        <v>181246</v>
      </c>
      <c r="J662" s="31">
        <f t="shared" si="21"/>
        <v>0</v>
      </c>
      <c r="K662" s="2"/>
      <c r="N662" s="32">
        <v>181246</v>
      </c>
      <c r="Q662" s="34">
        <v>181246</v>
      </c>
      <c r="R662" s="45"/>
      <c r="S662" s="4" t="str">
        <f>IFERROR(VLOOKUP(E662,'[2]td factu si'!$A:$B,1,0),0)</f>
        <v>FE16176</v>
      </c>
      <c r="T662" s="2">
        <f>IFERROR(VLOOKUP(E662,'[2]td factu si'!$A:$B,2,0),0)*-1</f>
        <v>181246</v>
      </c>
      <c r="U662" s="40"/>
      <c r="W662" s="36"/>
      <c r="AH662" s="3">
        <v>0</v>
      </c>
      <c r="AJ662" s="3">
        <v>0</v>
      </c>
    </row>
    <row r="663" spans="1:36" x14ac:dyDescent="0.25">
      <c r="A663">
        <v>655</v>
      </c>
      <c r="B663" s="29" t="s">
        <v>45</v>
      </c>
      <c r="C663" s="29" t="s">
        <v>46</v>
      </c>
      <c r="D663" s="4" t="str">
        <f>"16177"</f>
        <v>16177</v>
      </c>
      <c r="E663" s="4" t="str">
        <f t="shared" si="20"/>
        <v>FE16177</v>
      </c>
      <c r="F663" s="7">
        <v>44356</v>
      </c>
      <c r="G663" s="7">
        <v>44357</v>
      </c>
      <c r="H663" s="34">
        <v>181246</v>
      </c>
      <c r="I663" s="31">
        <v>181246</v>
      </c>
      <c r="J663" s="31">
        <f t="shared" si="21"/>
        <v>0</v>
      </c>
      <c r="K663" s="2"/>
      <c r="N663" s="32">
        <v>181246</v>
      </c>
      <c r="Q663" s="34">
        <v>181246</v>
      </c>
      <c r="R663" s="45"/>
      <c r="S663" s="4" t="str">
        <f>IFERROR(VLOOKUP(E663,'[2]td factu si'!$A:$B,1,0),0)</f>
        <v>FE16177</v>
      </c>
      <c r="T663" s="2">
        <f>IFERROR(VLOOKUP(E663,'[2]td factu si'!$A:$B,2,0),0)*-1</f>
        <v>181246</v>
      </c>
      <c r="U663" s="40"/>
      <c r="W663" s="36"/>
      <c r="AH663" s="3">
        <v>0</v>
      </c>
      <c r="AJ663" s="3">
        <v>0</v>
      </c>
    </row>
    <row r="664" spans="1:36" x14ac:dyDescent="0.25">
      <c r="A664">
        <v>656</v>
      </c>
      <c r="B664" s="29" t="s">
        <v>45</v>
      </c>
      <c r="C664" s="29" t="s">
        <v>46</v>
      </c>
      <c r="D664" s="4" t="str">
        <f>"16179"</f>
        <v>16179</v>
      </c>
      <c r="E664" s="4" t="str">
        <f t="shared" si="20"/>
        <v>FE16179</v>
      </c>
      <c r="F664" s="7">
        <v>44356</v>
      </c>
      <c r="G664" s="7">
        <v>44357</v>
      </c>
      <c r="H664" s="34">
        <v>181246</v>
      </c>
      <c r="I664" s="31">
        <v>181246</v>
      </c>
      <c r="J664" s="31">
        <f t="shared" si="21"/>
        <v>0</v>
      </c>
      <c r="K664" s="2"/>
      <c r="N664" s="32">
        <v>181246</v>
      </c>
      <c r="Q664" s="34">
        <v>181246</v>
      </c>
      <c r="R664" s="45"/>
      <c r="S664" s="4" t="str">
        <f>IFERROR(VLOOKUP(E664,'[2]td factu si'!$A:$B,1,0),0)</f>
        <v>FE16179</v>
      </c>
      <c r="T664" s="2">
        <f>IFERROR(VLOOKUP(E664,'[2]td factu si'!$A:$B,2,0),0)*-1</f>
        <v>181246</v>
      </c>
      <c r="U664" s="40"/>
      <c r="W664" s="36"/>
      <c r="AH664" s="3">
        <v>0</v>
      </c>
      <c r="AJ664" s="3">
        <v>0</v>
      </c>
    </row>
    <row r="665" spans="1:36" x14ac:dyDescent="0.25">
      <c r="A665">
        <v>657</v>
      </c>
      <c r="B665" s="29" t="s">
        <v>45</v>
      </c>
      <c r="C665" s="29" t="s">
        <v>46</v>
      </c>
      <c r="D665" s="4" t="str">
        <f>"16180"</f>
        <v>16180</v>
      </c>
      <c r="E665" s="4" t="str">
        <f t="shared" si="20"/>
        <v>FE16180</v>
      </c>
      <c r="F665" s="7">
        <v>44356</v>
      </c>
      <c r="G665" s="7">
        <v>44357</v>
      </c>
      <c r="H665" s="34">
        <v>181246</v>
      </c>
      <c r="I665" s="31">
        <v>181246</v>
      </c>
      <c r="J665" s="31">
        <f t="shared" si="21"/>
        <v>0</v>
      </c>
      <c r="K665" s="2"/>
      <c r="N665" s="32">
        <v>181246</v>
      </c>
      <c r="Q665" s="34">
        <v>181246</v>
      </c>
      <c r="R665" s="45"/>
      <c r="S665" s="4" t="str">
        <f>IFERROR(VLOOKUP(E665,'[2]td factu si'!$A:$B,1,0),0)</f>
        <v>FE16180</v>
      </c>
      <c r="T665" s="2">
        <f>IFERROR(VLOOKUP(E665,'[2]td factu si'!$A:$B,2,0),0)*-1</f>
        <v>181246</v>
      </c>
      <c r="U665" s="40"/>
      <c r="W665" s="36"/>
      <c r="AH665" s="3">
        <v>0</v>
      </c>
      <c r="AJ665" s="3">
        <v>0</v>
      </c>
    </row>
    <row r="666" spans="1:36" x14ac:dyDescent="0.25">
      <c r="A666">
        <v>658</v>
      </c>
      <c r="B666" s="29" t="s">
        <v>45</v>
      </c>
      <c r="C666" s="29" t="s">
        <v>46</v>
      </c>
      <c r="D666" s="4" t="str">
        <f>"16181"</f>
        <v>16181</v>
      </c>
      <c r="E666" s="4" t="str">
        <f t="shared" si="20"/>
        <v>FE16181</v>
      </c>
      <c r="F666" s="7">
        <v>44356</v>
      </c>
      <c r="G666" s="7">
        <v>44357</v>
      </c>
      <c r="H666" s="34">
        <v>181246</v>
      </c>
      <c r="I666" s="31">
        <v>181246</v>
      </c>
      <c r="J666" s="31">
        <f t="shared" si="21"/>
        <v>0</v>
      </c>
      <c r="K666" s="2"/>
      <c r="N666" s="32">
        <v>181246</v>
      </c>
      <c r="Q666" s="34">
        <v>181246</v>
      </c>
      <c r="R666" s="45"/>
      <c r="S666" s="4" t="str">
        <f>IFERROR(VLOOKUP(E666,'[2]td factu si'!$A:$B,1,0),0)</f>
        <v>FE16181</v>
      </c>
      <c r="T666" s="2">
        <f>IFERROR(VLOOKUP(E666,'[2]td factu si'!$A:$B,2,0),0)*-1</f>
        <v>181246</v>
      </c>
      <c r="U666" s="40"/>
      <c r="W666" s="36"/>
      <c r="AH666" s="3">
        <v>0</v>
      </c>
      <c r="AJ666" s="3">
        <v>0</v>
      </c>
    </row>
    <row r="667" spans="1:36" x14ac:dyDescent="0.25">
      <c r="A667">
        <v>659</v>
      </c>
      <c r="B667" s="29" t="s">
        <v>45</v>
      </c>
      <c r="C667" s="29" t="s">
        <v>46</v>
      </c>
      <c r="D667" s="4" t="str">
        <f>"16192"</f>
        <v>16192</v>
      </c>
      <c r="E667" s="4" t="str">
        <f t="shared" si="20"/>
        <v>FE16192</v>
      </c>
      <c r="F667" s="7">
        <v>44356</v>
      </c>
      <c r="G667" s="7">
        <v>44357</v>
      </c>
      <c r="H667" s="34">
        <v>339170</v>
      </c>
      <c r="I667" s="31">
        <v>339170</v>
      </c>
      <c r="J667" s="31">
        <f t="shared" si="21"/>
        <v>0</v>
      </c>
      <c r="K667" s="2"/>
      <c r="N667" s="32">
        <v>339170</v>
      </c>
      <c r="Q667" s="34">
        <v>339170</v>
      </c>
      <c r="R667" s="45"/>
      <c r="S667" s="4" t="str">
        <f>IFERROR(VLOOKUP(E667,'[2]td factu si'!$A:$B,1,0),0)</f>
        <v>FE16192</v>
      </c>
      <c r="T667" s="2">
        <f>IFERROR(VLOOKUP(E667,'[2]td factu si'!$A:$B,2,0),0)*-1</f>
        <v>339170</v>
      </c>
      <c r="U667" s="40"/>
      <c r="W667" s="36"/>
      <c r="AH667" s="3">
        <v>0</v>
      </c>
      <c r="AJ667" s="3">
        <v>0</v>
      </c>
    </row>
    <row r="668" spans="1:36" x14ac:dyDescent="0.25">
      <c r="A668">
        <v>660</v>
      </c>
      <c r="B668" s="29" t="s">
        <v>45</v>
      </c>
      <c r="C668" s="29" t="s">
        <v>46</v>
      </c>
      <c r="D668" s="4" t="str">
        <f>"16194"</f>
        <v>16194</v>
      </c>
      <c r="E668" s="4" t="str">
        <f t="shared" si="20"/>
        <v>FE16194</v>
      </c>
      <c r="F668" s="7">
        <v>44356</v>
      </c>
      <c r="G668" s="7">
        <v>44357</v>
      </c>
      <c r="H668" s="34">
        <v>317101</v>
      </c>
      <c r="I668" s="31">
        <v>317101</v>
      </c>
      <c r="J668" s="31">
        <f t="shared" si="21"/>
        <v>0</v>
      </c>
      <c r="K668" s="2"/>
      <c r="N668" s="32">
        <v>317101</v>
      </c>
      <c r="Q668" s="34">
        <v>317101</v>
      </c>
      <c r="R668" s="45"/>
      <c r="S668" s="4" t="str">
        <f>IFERROR(VLOOKUP(E668,'[2]td factu si'!$A:$B,1,0),0)</f>
        <v>FE16194</v>
      </c>
      <c r="T668" s="2">
        <f>IFERROR(VLOOKUP(E668,'[2]td factu si'!$A:$B,2,0),0)*-1</f>
        <v>317101</v>
      </c>
      <c r="U668" s="40"/>
      <c r="W668" s="36"/>
      <c r="AH668" s="3">
        <v>0</v>
      </c>
      <c r="AJ668" s="3">
        <v>0</v>
      </c>
    </row>
    <row r="669" spans="1:36" x14ac:dyDescent="0.25">
      <c r="A669">
        <v>661</v>
      </c>
      <c r="B669" s="29" t="s">
        <v>45</v>
      </c>
      <c r="C669" s="29" t="s">
        <v>46</v>
      </c>
      <c r="D669" s="4" t="str">
        <f>"16208"</f>
        <v>16208</v>
      </c>
      <c r="E669" s="4" t="str">
        <f t="shared" si="20"/>
        <v>FE16208</v>
      </c>
      <c r="F669" s="7">
        <v>44356</v>
      </c>
      <c r="G669" s="7">
        <v>44357</v>
      </c>
      <c r="H669" s="34">
        <v>116393</v>
      </c>
      <c r="I669" s="31">
        <v>116393</v>
      </c>
      <c r="J669" s="31">
        <f t="shared" si="21"/>
        <v>0</v>
      </c>
      <c r="K669" s="2"/>
      <c r="N669" s="32">
        <v>116393</v>
      </c>
      <c r="Q669" s="34">
        <v>116393</v>
      </c>
      <c r="R669" s="45"/>
      <c r="S669" s="4" t="str">
        <f>IFERROR(VLOOKUP(E669,'[2]td factu si'!$A:$B,1,0),0)</f>
        <v>FE16208</v>
      </c>
      <c r="T669" s="2">
        <f>IFERROR(VLOOKUP(E669,'[2]td factu si'!$A:$B,2,0),0)*-1</f>
        <v>116393</v>
      </c>
      <c r="U669" s="40"/>
      <c r="W669" s="36"/>
      <c r="AH669" s="3">
        <v>0</v>
      </c>
      <c r="AJ669" s="3">
        <v>0</v>
      </c>
    </row>
    <row r="670" spans="1:36" x14ac:dyDescent="0.25">
      <c r="A670">
        <v>662</v>
      </c>
      <c r="B670" s="29" t="s">
        <v>45</v>
      </c>
      <c r="C670" s="29" t="s">
        <v>46</v>
      </c>
      <c r="D670" s="4" t="str">
        <f>"16217"</f>
        <v>16217</v>
      </c>
      <c r="E670" s="4" t="str">
        <f t="shared" si="20"/>
        <v>FE16217</v>
      </c>
      <c r="F670" s="7">
        <v>44356</v>
      </c>
      <c r="G670" s="7">
        <v>44357</v>
      </c>
      <c r="H670" s="34">
        <v>181246</v>
      </c>
      <c r="I670" s="31">
        <v>181246</v>
      </c>
      <c r="J670" s="31">
        <f t="shared" si="21"/>
        <v>0</v>
      </c>
      <c r="K670" s="2"/>
      <c r="N670" s="32">
        <v>181246</v>
      </c>
      <c r="Q670" s="34">
        <v>181246</v>
      </c>
      <c r="R670" s="45"/>
      <c r="S670" s="4" t="str">
        <f>IFERROR(VLOOKUP(E670,'[2]td factu si'!$A:$B,1,0),0)</f>
        <v>FE16217</v>
      </c>
      <c r="T670" s="2">
        <f>IFERROR(VLOOKUP(E670,'[2]td factu si'!$A:$B,2,0),0)*-1</f>
        <v>181246</v>
      </c>
      <c r="U670" s="40"/>
      <c r="W670" s="36"/>
      <c r="AH670" s="3">
        <v>0</v>
      </c>
      <c r="AJ670" s="3">
        <v>0</v>
      </c>
    </row>
    <row r="671" spans="1:36" x14ac:dyDescent="0.25">
      <c r="A671">
        <v>663</v>
      </c>
      <c r="B671" s="29" t="s">
        <v>45</v>
      </c>
      <c r="C671" s="29" t="s">
        <v>46</v>
      </c>
      <c r="D671" s="4" t="str">
        <f>"16220"</f>
        <v>16220</v>
      </c>
      <c r="E671" s="4" t="str">
        <f t="shared" si="20"/>
        <v>FE16220</v>
      </c>
      <c r="F671" s="7">
        <v>44356</v>
      </c>
      <c r="G671" s="7">
        <v>44357</v>
      </c>
      <c r="H671" s="34">
        <v>135855</v>
      </c>
      <c r="I671" s="31">
        <v>135855</v>
      </c>
      <c r="J671" s="31">
        <f t="shared" si="21"/>
        <v>0</v>
      </c>
      <c r="K671" s="2"/>
      <c r="N671" s="32">
        <v>135855</v>
      </c>
      <c r="Q671" s="34">
        <v>135855</v>
      </c>
      <c r="R671" s="45"/>
      <c r="S671" s="4" t="str">
        <f>IFERROR(VLOOKUP(E671,'[2]td factu si'!$A:$B,1,0),0)</f>
        <v>FE16220</v>
      </c>
      <c r="T671" s="2">
        <f>IFERROR(VLOOKUP(E671,'[2]td factu si'!$A:$B,2,0),0)*-1</f>
        <v>135855</v>
      </c>
      <c r="U671" s="40"/>
      <c r="W671" s="36"/>
      <c r="AH671" s="3">
        <v>0</v>
      </c>
      <c r="AJ671" s="3">
        <v>0</v>
      </c>
    </row>
    <row r="672" spans="1:36" x14ac:dyDescent="0.25">
      <c r="A672">
        <v>664</v>
      </c>
      <c r="B672" s="29" t="s">
        <v>45</v>
      </c>
      <c r="C672" s="29" t="s">
        <v>46</v>
      </c>
      <c r="D672" s="4" t="str">
        <f>"16223"</f>
        <v>16223</v>
      </c>
      <c r="E672" s="4" t="str">
        <f t="shared" si="20"/>
        <v>FE16223</v>
      </c>
      <c r="F672" s="7">
        <v>44356</v>
      </c>
      <c r="G672" s="7">
        <v>44357</v>
      </c>
      <c r="H672" s="34">
        <v>15489</v>
      </c>
      <c r="I672" s="31">
        <v>15489</v>
      </c>
      <c r="J672" s="31">
        <f t="shared" si="21"/>
        <v>0</v>
      </c>
      <c r="K672" s="2"/>
      <c r="N672" s="32">
        <v>15489</v>
      </c>
      <c r="Q672" s="34">
        <v>15489</v>
      </c>
      <c r="R672" s="45"/>
      <c r="S672" s="4" t="str">
        <f>IFERROR(VLOOKUP(E672,'[2]td factu si'!$A:$B,1,0),0)</f>
        <v>FE16223</v>
      </c>
      <c r="T672" s="2">
        <f>IFERROR(VLOOKUP(E672,'[2]td factu si'!$A:$B,2,0),0)*-1</f>
        <v>15489</v>
      </c>
      <c r="U672" s="40"/>
      <c r="W672" s="36"/>
      <c r="AH672" s="3">
        <v>0</v>
      </c>
      <c r="AJ672" s="3">
        <v>0</v>
      </c>
    </row>
    <row r="673" spans="1:38" x14ac:dyDescent="0.25">
      <c r="A673">
        <v>665</v>
      </c>
      <c r="B673" s="29" t="s">
        <v>45</v>
      </c>
      <c r="C673" s="29" t="s">
        <v>46</v>
      </c>
      <c r="D673" s="4" t="str">
        <f>"16224"</f>
        <v>16224</v>
      </c>
      <c r="E673" s="4" t="str">
        <f t="shared" si="20"/>
        <v>FE16224</v>
      </c>
      <c r="F673" s="7">
        <v>44356</v>
      </c>
      <c r="G673" s="7">
        <v>44357</v>
      </c>
      <c r="H673" s="34">
        <v>135855</v>
      </c>
      <c r="I673" s="31">
        <v>135855</v>
      </c>
      <c r="J673" s="31">
        <f t="shared" si="21"/>
        <v>0</v>
      </c>
      <c r="K673" s="2"/>
      <c r="N673" s="32">
        <v>135855</v>
      </c>
      <c r="Q673" s="34">
        <v>135855</v>
      </c>
      <c r="R673" s="45"/>
      <c r="S673" s="4" t="str">
        <f>IFERROR(VLOOKUP(E673,'[2]td factu si'!$A:$B,1,0),0)</f>
        <v>FE16224</v>
      </c>
      <c r="T673" s="2">
        <f>IFERROR(VLOOKUP(E673,'[2]td factu si'!$A:$B,2,0),0)*-1</f>
        <v>135855</v>
      </c>
      <c r="U673" s="40"/>
      <c r="W673" s="36"/>
      <c r="AH673" s="3">
        <v>0</v>
      </c>
      <c r="AJ673" s="3">
        <v>0</v>
      </c>
    </row>
    <row r="674" spans="1:38" x14ac:dyDescent="0.25">
      <c r="A674">
        <v>666</v>
      </c>
      <c r="B674" s="29" t="s">
        <v>45</v>
      </c>
      <c r="C674" s="29" t="s">
        <v>46</v>
      </c>
      <c r="D674" s="4" t="str">
        <f>"16226"</f>
        <v>16226</v>
      </c>
      <c r="E674" s="4" t="str">
        <f t="shared" si="20"/>
        <v>FE16226</v>
      </c>
      <c r="F674" s="7">
        <v>44356</v>
      </c>
      <c r="G674" s="7">
        <v>44357</v>
      </c>
      <c r="H674" s="34">
        <v>7707200</v>
      </c>
      <c r="I674" s="31">
        <v>7252937</v>
      </c>
      <c r="J674" s="31">
        <f t="shared" si="21"/>
        <v>454263</v>
      </c>
      <c r="K674" s="2"/>
      <c r="N674" s="32">
        <v>0</v>
      </c>
      <c r="Q674" s="34">
        <v>0</v>
      </c>
      <c r="R674" s="45"/>
      <c r="S674" s="4" t="str">
        <f>IFERROR(VLOOKUP(E674,'[2]td factu si'!$A:$B,1,0),0)</f>
        <v>FE16226</v>
      </c>
      <c r="T674" s="2">
        <f>IFERROR(VLOOKUP(E674,'[2]td factu si'!$A:$B,2,0),0)*-1</f>
        <v>7252937</v>
      </c>
      <c r="W674" s="36"/>
      <c r="AH674" s="3">
        <v>0</v>
      </c>
      <c r="AJ674" s="3">
        <v>0</v>
      </c>
    </row>
    <row r="675" spans="1:38" x14ac:dyDescent="0.25">
      <c r="A675">
        <v>667</v>
      </c>
      <c r="B675" s="29" t="s">
        <v>45</v>
      </c>
      <c r="C675" s="29" t="s">
        <v>46</v>
      </c>
      <c r="D675" s="4" t="str">
        <f>"16235"</f>
        <v>16235</v>
      </c>
      <c r="E675" s="4" t="str">
        <f t="shared" si="20"/>
        <v>FE16235</v>
      </c>
      <c r="F675" s="7">
        <v>44356</v>
      </c>
      <c r="G675" s="7">
        <v>44357</v>
      </c>
      <c r="H675" s="34">
        <v>122952</v>
      </c>
      <c r="I675" s="31">
        <v>122952</v>
      </c>
      <c r="J675" s="31">
        <f t="shared" si="21"/>
        <v>0</v>
      </c>
      <c r="K675" s="2"/>
      <c r="N675" s="32">
        <v>122952</v>
      </c>
      <c r="Q675" s="34">
        <v>122952</v>
      </c>
      <c r="R675" s="45"/>
      <c r="S675" s="4" t="str">
        <f>IFERROR(VLOOKUP(E675,'[2]td factu si'!$A:$B,1,0),0)</f>
        <v>FE16235</v>
      </c>
      <c r="T675" s="2">
        <f>IFERROR(VLOOKUP(E675,'[2]td factu si'!$A:$B,2,0),0)*-1</f>
        <v>122952</v>
      </c>
      <c r="U675" s="40"/>
      <c r="W675" s="36"/>
      <c r="AH675" s="3">
        <v>0</v>
      </c>
      <c r="AJ675" s="3">
        <v>0</v>
      </c>
    </row>
    <row r="676" spans="1:38" x14ac:dyDescent="0.25">
      <c r="A676">
        <v>668</v>
      </c>
      <c r="B676" s="29" t="s">
        <v>45</v>
      </c>
      <c r="C676" s="29" t="s">
        <v>46</v>
      </c>
      <c r="D676" s="4" t="str">
        <f>"16237"</f>
        <v>16237</v>
      </c>
      <c r="E676" s="4" t="str">
        <f t="shared" si="20"/>
        <v>FE16237</v>
      </c>
      <c r="F676" s="7">
        <v>44356</v>
      </c>
      <c r="G676" s="7">
        <v>44357</v>
      </c>
      <c r="H676" s="34">
        <v>181246</v>
      </c>
      <c r="I676" s="31">
        <v>181246</v>
      </c>
      <c r="J676" s="31">
        <f t="shared" si="21"/>
        <v>0</v>
      </c>
      <c r="K676" s="2"/>
      <c r="N676" s="32">
        <v>181246</v>
      </c>
      <c r="Q676" s="34">
        <v>181246</v>
      </c>
      <c r="R676" s="45"/>
      <c r="S676" s="4" t="str">
        <f>IFERROR(VLOOKUP(E676,'[2]td factu si'!$A:$B,1,0),0)</f>
        <v>FE16237</v>
      </c>
      <c r="T676" s="2">
        <f>IFERROR(VLOOKUP(E676,'[2]td factu si'!$A:$B,2,0),0)*-1</f>
        <v>181246</v>
      </c>
      <c r="U676" s="40"/>
      <c r="W676" s="36"/>
      <c r="AH676" s="3">
        <v>0</v>
      </c>
      <c r="AJ676" s="3">
        <v>0</v>
      </c>
    </row>
    <row r="677" spans="1:38" x14ac:dyDescent="0.25">
      <c r="A677">
        <v>669</v>
      </c>
      <c r="B677" s="29" t="s">
        <v>45</v>
      </c>
      <c r="C677" s="29" t="s">
        <v>46</v>
      </c>
      <c r="D677" s="4" t="str">
        <f>"16238"</f>
        <v>16238</v>
      </c>
      <c r="E677" s="4" t="str">
        <f t="shared" si="20"/>
        <v>FE16238</v>
      </c>
      <c r="F677" s="7">
        <v>44356</v>
      </c>
      <c r="G677" s="7">
        <v>44357</v>
      </c>
      <c r="H677" s="34">
        <v>181246</v>
      </c>
      <c r="I677" s="31">
        <v>181246</v>
      </c>
      <c r="J677" s="31">
        <f t="shared" si="21"/>
        <v>0</v>
      </c>
      <c r="K677" s="2"/>
      <c r="N677" s="32">
        <v>181246</v>
      </c>
      <c r="Q677" s="34">
        <v>181246</v>
      </c>
      <c r="R677" s="45"/>
      <c r="S677" s="4" t="str">
        <f>IFERROR(VLOOKUP(E677,'[2]td factu si'!$A:$B,1,0),0)</f>
        <v>FE16238</v>
      </c>
      <c r="T677" s="2">
        <f>IFERROR(VLOOKUP(E677,'[2]td factu si'!$A:$B,2,0),0)*-1</f>
        <v>181246</v>
      </c>
      <c r="U677" s="40"/>
      <c r="W677" s="36"/>
      <c r="AH677" s="3">
        <v>0</v>
      </c>
      <c r="AJ677" s="3">
        <v>0</v>
      </c>
    </row>
    <row r="678" spans="1:38" x14ac:dyDescent="0.25">
      <c r="A678">
        <v>670</v>
      </c>
      <c r="B678" s="29" t="s">
        <v>45</v>
      </c>
      <c r="C678" s="29" t="s">
        <v>46</v>
      </c>
      <c r="D678" s="4" t="str">
        <f>"16239"</f>
        <v>16239</v>
      </c>
      <c r="E678" s="4" t="str">
        <f t="shared" si="20"/>
        <v>FE16239</v>
      </c>
      <c r="F678" s="7">
        <v>44356</v>
      </c>
      <c r="G678" s="7">
        <v>44357</v>
      </c>
      <c r="H678" s="34">
        <v>181246</v>
      </c>
      <c r="I678" s="31">
        <v>181246</v>
      </c>
      <c r="J678" s="31">
        <f t="shared" si="21"/>
        <v>0</v>
      </c>
      <c r="K678" s="2"/>
      <c r="N678" s="32">
        <v>181246</v>
      </c>
      <c r="Q678" s="34">
        <v>181246</v>
      </c>
      <c r="R678" s="45"/>
      <c r="S678" s="4" t="str">
        <f>IFERROR(VLOOKUP(E678,'[2]td factu si'!$A:$B,1,0),0)</f>
        <v>FE16239</v>
      </c>
      <c r="T678" s="2">
        <f>IFERROR(VLOOKUP(E678,'[2]td factu si'!$A:$B,2,0),0)*-1</f>
        <v>181246</v>
      </c>
      <c r="U678" s="40"/>
      <c r="W678" s="36"/>
      <c r="AH678" s="3">
        <v>0</v>
      </c>
      <c r="AJ678" s="3">
        <v>0</v>
      </c>
    </row>
    <row r="679" spans="1:38" x14ac:dyDescent="0.25">
      <c r="A679">
        <v>671</v>
      </c>
      <c r="B679" s="29" t="s">
        <v>45</v>
      </c>
      <c r="C679" s="29" t="s">
        <v>46</v>
      </c>
      <c r="D679" s="4" t="str">
        <f>"16245"</f>
        <v>16245</v>
      </c>
      <c r="E679" s="4" t="str">
        <f t="shared" si="20"/>
        <v>FE16245</v>
      </c>
      <c r="F679" s="7">
        <v>44356</v>
      </c>
      <c r="G679" s="7">
        <v>44357</v>
      </c>
      <c r="H679" s="34">
        <v>15489</v>
      </c>
      <c r="I679" s="31">
        <v>15489</v>
      </c>
      <c r="J679" s="31">
        <f t="shared" si="21"/>
        <v>0</v>
      </c>
      <c r="K679" s="2"/>
      <c r="N679" s="32">
        <v>15489</v>
      </c>
      <c r="Q679" s="34">
        <v>15489</v>
      </c>
      <c r="R679" s="45"/>
      <c r="S679" s="4" t="str">
        <f>IFERROR(VLOOKUP(E679,'[2]td factu si'!$A:$B,1,0),0)</f>
        <v>FE16245</v>
      </c>
      <c r="T679" s="2">
        <f>IFERROR(VLOOKUP(E679,'[2]td factu si'!$A:$B,2,0),0)*-1</f>
        <v>15489</v>
      </c>
      <c r="U679" s="40"/>
      <c r="W679" s="36"/>
      <c r="AH679" s="3">
        <v>0</v>
      </c>
      <c r="AJ679" s="3">
        <v>0</v>
      </c>
    </row>
    <row r="680" spans="1:38" x14ac:dyDescent="0.25">
      <c r="A680">
        <v>672</v>
      </c>
      <c r="B680" s="29" t="s">
        <v>45</v>
      </c>
      <c r="C680" s="29" t="s">
        <v>46</v>
      </c>
      <c r="D680" s="4" t="str">
        <f>"16246"</f>
        <v>16246</v>
      </c>
      <c r="E680" s="4" t="str">
        <f t="shared" si="20"/>
        <v>FE16246</v>
      </c>
      <c r="F680" s="7">
        <v>44356</v>
      </c>
      <c r="G680" s="7">
        <v>44357</v>
      </c>
      <c r="H680" s="34">
        <v>15489</v>
      </c>
      <c r="I680" s="31">
        <v>15489</v>
      </c>
      <c r="J680" s="31">
        <f t="shared" si="21"/>
        <v>0</v>
      </c>
      <c r="K680" s="2"/>
      <c r="N680" s="32">
        <v>15489</v>
      </c>
      <c r="Q680" s="34">
        <v>15489</v>
      </c>
      <c r="R680" s="45"/>
      <c r="S680" s="4" t="str">
        <f>IFERROR(VLOOKUP(E680,'[2]td factu si'!$A:$B,1,0),0)</f>
        <v>FE16246</v>
      </c>
      <c r="T680" s="2">
        <f>IFERROR(VLOOKUP(E680,'[2]td factu si'!$A:$B,2,0),0)*-1</f>
        <v>15489</v>
      </c>
      <c r="U680" s="40"/>
      <c r="W680" s="36"/>
      <c r="AH680" s="3">
        <v>0</v>
      </c>
      <c r="AJ680" s="3">
        <v>0</v>
      </c>
    </row>
    <row r="681" spans="1:38" x14ac:dyDescent="0.25">
      <c r="A681">
        <v>673</v>
      </c>
      <c r="B681" s="29" t="s">
        <v>45</v>
      </c>
      <c r="C681" s="29" t="s">
        <v>46</v>
      </c>
      <c r="D681" s="4" t="str">
        <f>"16251"</f>
        <v>16251</v>
      </c>
      <c r="E681" s="4" t="str">
        <f t="shared" si="20"/>
        <v>FE16251</v>
      </c>
      <c r="F681" s="7">
        <v>44357</v>
      </c>
      <c r="G681" s="7">
        <v>44357</v>
      </c>
      <c r="H681" s="34">
        <v>135855</v>
      </c>
      <c r="I681" s="31">
        <v>135855</v>
      </c>
      <c r="J681" s="31">
        <f t="shared" si="21"/>
        <v>0</v>
      </c>
      <c r="K681" s="2"/>
      <c r="N681" s="32">
        <v>135855</v>
      </c>
      <c r="Q681" s="34">
        <v>135855</v>
      </c>
      <c r="R681" s="45"/>
      <c r="S681" s="4" t="str">
        <f>IFERROR(VLOOKUP(E681,'[2]td factu si'!$A:$B,1,0),0)</f>
        <v>FE16251</v>
      </c>
      <c r="T681" s="2">
        <f>IFERROR(VLOOKUP(E681,'[2]td factu si'!$A:$B,2,0),0)*-1</f>
        <v>135855</v>
      </c>
      <c r="U681" s="40"/>
      <c r="W681" s="36"/>
      <c r="AH681" s="3">
        <v>0</v>
      </c>
      <c r="AJ681" s="3">
        <v>0</v>
      </c>
    </row>
    <row r="682" spans="1:38" x14ac:dyDescent="0.25">
      <c r="A682">
        <v>674</v>
      </c>
      <c r="B682" s="29" t="s">
        <v>45</v>
      </c>
      <c r="C682" s="29" t="s">
        <v>46</v>
      </c>
      <c r="D682" s="4" t="str">
        <f>"16253"</f>
        <v>16253</v>
      </c>
      <c r="E682" s="4" t="str">
        <f t="shared" si="20"/>
        <v>FE16253</v>
      </c>
      <c r="F682" s="7">
        <v>44357</v>
      </c>
      <c r="G682" s="7">
        <v>44357</v>
      </c>
      <c r="H682" s="34">
        <v>181246</v>
      </c>
      <c r="I682" s="31">
        <v>181246</v>
      </c>
      <c r="J682" s="31">
        <f t="shared" si="21"/>
        <v>0</v>
      </c>
      <c r="K682" s="2"/>
      <c r="N682" s="32">
        <v>181246</v>
      </c>
      <c r="Q682" s="34">
        <v>181246</v>
      </c>
      <c r="R682" s="45"/>
      <c r="S682" s="4" t="str">
        <f>IFERROR(VLOOKUP(E682,'[2]td factu si'!$A:$B,1,0),0)</f>
        <v>FE16253</v>
      </c>
      <c r="T682" s="2">
        <f>IFERROR(VLOOKUP(E682,'[2]td factu si'!$A:$B,2,0),0)*-1</f>
        <v>181246</v>
      </c>
      <c r="U682" s="40"/>
      <c r="W682" s="36"/>
      <c r="AH682" s="3">
        <v>0</v>
      </c>
      <c r="AJ682" s="3">
        <v>0</v>
      </c>
    </row>
    <row r="683" spans="1:38" x14ac:dyDescent="0.25">
      <c r="A683">
        <v>675</v>
      </c>
      <c r="B683" s="29" t="s">
        <v>45</v>
      </c>
      <c r="C683" s="29" t="s">
        <v>46</v>
      </c>
      <c r="D683" s="4" t="str">
        <f>"16254"</f>
        <v>16254</v>
      </c>
      <c r="E683" s="4" t="str">
        <f t="shared" si="20"/>
        <v>FE16254</v>
      </c>
      <c r="F683" s="7">
        <v>44357</v>
      </c>
      <c r="G683" s="7">
        <v>44357</v>
      </c>
      <c r="H683" s="34">
        <v>135855</v>
      </c>
      <c r="I683" s="31">
        <v>135855</v>
      </c>
      <c r="J683" s="31">
        <f t="shared" si="21"/>
        <v>0</v>
      </c>
      <c r="K683" s="2"/>
      <c r="N683" s="32">
        <v>135855</v>
      </c>
      <c r="Q683" s="34">
        <v>135855</v>
      </c>
      <c r="R683" s="45"/>
      <c r="S683" s="4" t="str">
        <f>IFERROR(VLOOKUP(E683,'[2]td factu si'!$A:$B,1,0),0)</f>
        <v>FE16254</v>
      </c>
      <c r="T683" s="2">
        <f>IFERROR(VLOOKUP(E683,'[2]td factu si'!$A:$B,2,0),0)*-1</f>
        <v>135855</v>
      </c>
      <c r="U683" s="40"/>
      <c r="W683" s="36"/>
      <c r="AH683" s="3">
        <v>0</v>
      </c>
      <c r="AJ683" s="3">
        <v>0</v>
      </c>
    </row>
    <row r="684" spans="1:38" x14ac:dyDescent="0.25">
      <c r="A684">
        <v>676</v>
      </c>
      <c r="B684" s="29" t="s">
        <v>45</v>
      </c>
      <c r="C684" s="29" t="s">
        <v>46</v>
      </c>
      <c r="D684" s="4" t="str">
        <f>"16257"</f>
        <v>16257</v>
      </c>
      <c r="E684" s="4" t="str">
        <f t="shared" si="20"/>
        <v>FE16257</v>
      </c>
      <c r="F684" s="7">
        <v>44357</v>
      </c>
      <c r="G684" s="7">
        <v>44378</v>
      </c>
      <c r="H684" s="34">
        <v>15489</v>
      </c>
      <c r="I684" s="31">
        <v>15489</v>
      </c>
      <c r="J684" s="31">
        <f t="shared" si="21"/>
        <v>0</v>
      </c>
      <c r="K684" s="2"/>
      <c r="N684" s="32">
        <v>0</v>
      </c>
      <c r="Q684" s="34">
        <v>0</v>
      </c>
      <c r="R684" s="45"/>
      <c r="S684" s="4">
        <f>IFERROR(VLOOKUP(E684,'[2]td factu si'!$A:$B,1,0),0)</f>
        <v>0</v>
      </c>
      <c r="T684" s="2">
        <f>IFERROR(VLOOKUP(E684,'[2]td factu si'!$A:$B,2,0),0)*-1</f>
        <v>0</v>
      </c>
      <c r="W684" s="36"/>
      <c r="X684" s="6">
        <v>15489</v>
      </c>
      <c r="AH684" s="3">
        <v>0</v>
      </c>
      <c r="AJ684" s="3">
        <v>0</v>
      </c>
    </row>
    <row r="685" spans="1:38" x14ac:dyDescent="0.25">
      <c r="A685">
        <v>677</v>
      </c>
      <c r="B685" s="29" t="s">
        <v>45</v>
      </c>
      <c r="C685" s="29" t="s">
        <v>46</v>
      </c>
      <c r="D685" s="4" t="str">
        <f>"16272"</f>
        <v>16272</v>
      </c>
      <c r="E685" s="4" t="str">
        <f t="shared" si="20"/>
        <v>FE16272</v>
      </c>
      <c r="F685" s="7">
        <v>44357</v>
      </c>
      <c r="G685" s="7">
        <v>44378</v>
      </c>
      <c r="H685" s="34">
        <v>181246</v>
      </c>
      <c r="I685" s="31">
        <v>181246</v>
      </c>
      <c r="J685" s="31">
        <f t="shared" si="21"/>
        <v>0</v>
      </c>
      <c r="K685" s="2"/>
      <c r="N685" s="32">
        <v>0</v>
      </c>
      <c r="Q685" s="34">
        <v>0</v>
      </c>
      <c r="R685" s="45"/>
      <c r="S685" s="4">
        <f>IFERROR(VLOOKUP(E685,'[2]td factu si'!$A:$B,1,0),0)</f>
        <v>0</v>
      </c>
      <c r="T685" s="2">
        <f>IFERROR(VLOOKUP(E685,'[2]td factu si'!$A:$B,2,0),0)*-1</f>
        <v>0</v>
      </c>
      <c r="W685" s="36"/>
      <c r="AH685" s="3">
        <v>0</v>
      </c>
      <c r="AJ685" s="3">
        <v>0</v>
      </c>
      <c r="AL685" s="39" t="s">
        <v>49</v>
      </c>
    </row>
    <row r="686" spans="1:38" x14ac:dyDescent="0.25">
      <c r="A686">
        <v>678</v>
      </c>
      <c r="B686" s="29" t="s">
        <v>45</v>
      </c>
      <c r="C686" s="29" t="s">
        <v>46</v>
      </c>
      <c r="D686" s="4" t="str">
        <f>"16275"</f>
        <v>16275</v>
      </c>
      <c r="E686" s="4" t="str">
        <f t="shared" si="20"/>
        <v>FE16275</v>
      </c>
      <c r="F686" s="7">
        <v>44357</v>
      </c>
      <c r="G686" s="7">
        <v>44378</v>
      </c>
      <c r="H686" s="34">
        <v>181246</v>
      </c>
      <c r="I686" s="31">
        <v>181246</v>
      </c>
      <c r="J686" s="31">
        <f t="shared" si="21"/>
        <v>0</v>
      </c>
      <c r="K686" s="2"/>
      <c r="N686" s="32">
        <v>0</v>
      </c>
      <c r="Q686" s="34">
        <v>0</v>
      </c>
      <c r="R686" s="45"/>
      <c r="S686" s="4">
        <f>IFERROR(VLOOKUP(E686,'[2]td factu si'!$A:$B,1,0),0)</f>
        <v>0</v>
      </c>
      <c r="T686" s="2">
        <f>IFERROR(VLOOKUP(E686,'[2]td factu si'!$A:$B,2,0),0)*-1</f>
        <v>0</v>
      </c>
      <c r="W686" s="36"/>
      <c r="AH686" s="3">
        <v>0</v>
      </c>
      <c r="AJ686" s="3">
        <v>0</v>
      </c>
      <c r="AL686" s="39" t="s">
        <v>49</v>
      </c>
    </row>
    <row r="687" spans="1:38" x14ac:dyDescent="0.25">
      <c r="A687">
        <v>679</v>
      </c>
      <c r="B687" s="29" t="s">
        <v>45</v>
      </c>
      <c r="C687" s="29" t="s">
        <v>46</v>
      </c>
      <c r="D687" s="4" t="str">
        <f>"16284"</f>
        <v>16284</v>
      </c>
      <c r="E687" s="4" t="str">
        <f t="shared" si="20"/>
        <v>FE16284</v>
      </c>
      <c r="F687" s="7">
        <v>44357</v>
      </c>
      <c r="G687" s="7">
        <v>44378</v>
      </c>
      <c r="H687" s="34">
        <v>339170</v>
      </c>
      <c r="I687" s="31">
        <v>339170</v>
      </c>
      <c r="J687" s="31">
        <f t="shared" si="21"/>
        <v>0</v>
      </c>
      <c r="K687" s="2"/>
      <c r="N687" s="32">
        <v>0</v>
      </c>
      <c r="Q687" s="34">
        <v>0</v>
      </c>
      <c r="R687" s="45"/>
      <c r="S687" s="4">
        <f>IFERROR(VLOOKUP(E687,'[2]td factu si'!$A:$B,1,0),0)</f>
        <v>0</v>
      </c>
      <c r="T687" s="2">
        <f>IFERROR(VLOOKUP(E687,'[2]td factu si'!$A:$B,2,0),0)*-1</f>
        <v>0</v>
      </c>
      <c r="W687" s="36"/>
      <c r="AH687" s="3">
        <v>0</v>
      </c>
      <c r="AJ687" s="3">
        <v>0</v>
      </c>
      <c r="AL687" s="39" t="s">
        <v>49</v>
      </c>
    </row>
    <row r="688" spans="1:38" x14ac:dyDescent="0.25">
      <c r="A688">
        <v>680</v>
      </c>
      <c r="B688" s="29" t="s">
        <v>45</v>
      </c>
      <c r="C688" s="29" t="s">
        <v>46</v>
      </c>
      <c r="D688" s="4" t="str">
        <f>"16285"</f>
        <v>16285</v>
      </c>
      <c r="E688" s="4" t="str">
        <f t="shared" si="20"/>
        <v>FE16285</v>
      </c>
      <c r="F688" s="7">
        <v>44357</v>
      </c>
      <c r="G688" s="7">
        <v>44378</v>
      </c>
      <c r="H688" s="34">
        <v>339170</v>
      </c>
      <c r="I688" s="31">
        <v>339170</v>
      </c>
      <c r="J688" s="31">
        <f t="shared" si="21"/>
        <v>0</v>
      </c>
      <c r="K688" s="2"/>
      <c r="N688" s="32">
        <v>0</v>
      </c>
      <c r="Q688" s="34">
        <v>0</v>
      </c>
      <c r="R688" s="45"/>
      <c r="S688" s="4">
        <f>IFERROR(VLOOKUP(E688,'[2]td factu si'!$A:$B,1,0),0)</f>
        <v>0</v>
      </c>
      <c r="T688" s="2">
        <f>IFERROR(VLOOKUP(E688,'[2]td factu si'!$A:$B,2,0),0)*-1</f>
        <v>0</v>
      </c>
      <c r="W688" s="36"/>
      <c r="AH688" s="3">
        <v>0</v>
      </c>
      <c r="AJ688" s="3">
        <v>0</v>
      </c>
      <c r="AL688" s="39" t="s">
        <v>49</v>
      </c>
    </row>
    <row r="689" spans="1:38" x14ac:dyDescent="0.25">
      <c r="A689">
        <v>681</v>
      </c>
      <c r="B689" s="29" t="s">
        <v>45</v>
      </c>
      <c r="C689" s="29" t="s">
        <v>46</v>
      </c>
      <c r="D689" s="4" t="str">
        <f>"16291"</f>
        <v>16291</v>
      </c>
      <c r="E689" s="4" t="str">
        <f t="shared" si="20"/>
        <v>FE16291</v>
      </c>
      <c r="F689" s="7">
        <v>44357</v>
      </c>
      <c r="G689" s="7">
        <v>44378</v>
      </c>
      <c r="H689" s="34">
        <v>181246</v>
      </c>
      <c r="I689" s="31">
        <v>163121</v>
      </c>
      <c r="J689" s="31">
        <f t="shared" si="21"/>
        <v>18125</v>
      </c>
      <c r="K689" s="2"/>
      <c r="N689" s="32">
        <v>0</v>
      </c>
      <c r="Q689" s="34">
        <v>0</v>
      </c>
      <c r="R689" s="45"/>
      <c r="S689" s="4">
        <f>IFERROR(VLOOKUP(E689,'[2]td factu si'!$A:$B,1,0),0)</f>
        <v>0</v>
      </c>
      <c r="T689" s="2">
        <f>IFERROR(VLOOKUP(E689,'[2]td factu si'!$A:$B,2,0),0)*-1</f>
        <v>0</v>
      </c>
      <c r="W689" s="36"/>
      <c r="X689" s="6">
        <v>163121</v>
      </c>
      <c r="AH689" s="3">
        <v>0</v>
      </c>
      <c r="AJ689" s="3">
        <v>0</v>
      </c>
    </row>
    <row r="690" spans="1:38" x14ac:dyDescent="0.25">
      <c r="A690">
        <v>682</v>
      </c>
      <c r="B690" s="29" t="s">
        <v>45</v>
      </c>
      <c r="C690" s="29" t="s">
        <v>46</v>
      </c>
      <c r="D690" s="4" t="str">
        <f>"16292"</f>
        <v>16292</v>
      </c>
      <c r="E690" s="4" t="str">
        <f t="shared" si="20"/>
        <v>FE16292</v>
      </c>
      <c r="F690" s="7">
        <v>44357</v>
      </c>
      <c r="G690" s="7">
        <v>44378</v>
      </c>
      <c r="H690" s="34">
        <v>181246</v>
      </c>
      <c r="I690" s="31">
        <v>181246</v>
      </c>
      <c r="J690" s="31">
        <f t="shared" si="21"/>
        <v>0</v>
      </c>
      <c r="K690" s="2"/>
      <c r="N690" s="32">
        <v>0</v>
      </c>
      <c r="Q690" s="34">
        <v>0</v>
      </c>
      <c r="R690" s="45"/>
      <c r="S690" s="4">
        <f>IFERROR(VLOOKUP(E690,'[2]td factu si'!$A:$B,1,0),0)</f>
        <v>0</v>
      </c>
      <c r="T690" s="2">
        <f>IFERROR(VLOOKUP(E690,'[2]td factu si'!$A:$B,2,0),0)*-1</f>
        <v>0</v>
      </c>
      <c r="W690" s="36"/>
      <c r="X690" s="6">
        <v>181246</v>
      </c>
      <c r="AH690" s="3">
        <v>0</v>
      </c>
      <c r="AJ690" s="3">
        <v>0</v>
      </c>
    </row>
    <row r="691" spans="1:38" x14ac:dyDescent="0.25">
      <c r="A691">
        <v>683</v>
      </c>
      <c r="B691" s="29" t="s">
        <v>45</v>
      </c>
      <c r="C691" s="29" t="s">
        <v>46</v>
      </c>
      <c r="D691" s="4" t="str">
        <f>"16295"</f>
        <v>16295</v>
      </c>
      <c r="E691" s="4" t="str">
        <f t="shared" si="20"/>
        <v>FE16295</v>
      </c>
      <c r="F691" s="7">
        <v>44357</v>
      </c>
      <c r="G691" s="7">
        <v>44378</v>
      </c>
      <c r="H691" s="34">
        <v>15489</v>
      </c>
      <c r="I691" s="31">
        <v>15489</v>
      </c>
      <c r="J691" s="31">
        <f t="shared" si="21"/>
        <v>0</v>
      </c>
      <c r="K691" s="2"/>
      <c r="N691" s="32">
        <v>0</v>
      </c>
      <c r="Q691" s="34">
        <v>0</v>
      </c>
      <c r="R691" s="45"/>
      <c r="S691" s="4">
        <f>IFERROR(VLOOKUP(E691,'[2]td factu si'!$A:$B,1,0),0)</f>
        <v>0</v>
      </c>
      <c r="T691" s="2">
        <f>IFERROR(VLOOKUP(E691,'[2]td factu si'!$A:$B,2,0),0)*-1</f>
        <v>0</v>
      </c>
      <c r="W691" s="36"/>
      <c r="X691" s="6">
        <v>15489</v>
      </c>
      <c r="AH691" s="3">
        <v>0</v>
      </c>
      <c r="AJ691" s="3">
        <v>0</v>
      </c>
    </row>
    <row r="692" spans="1:38" x14ac:dyDescent="0.25">
      <c r="A692">
        <v>684</v>
      </c>
      <c r="B692" s="29" t="s">
        <v>45</v>
      </c>
      <c r="C692" s="29" t="s">
        <v>46</v>
      </c>
      <c r="D692" s="4" t="str">
        <f>"16296"</f>
        <v>16296</v>
      </c>
      <c r="E692" s="4" t="str">
        <f t="shared" si="20"/>
        <v>FE16296</v>
      </c>
      <c r="F692" s="7">
        <v>44357</v>
      </c>
      <c r="G692" s="7">
        <v>44378</v>
      </c>
      <c r="H692" s="34">
        <v>181246</v>
      </c>
      <c r="I692" s="31">
        <v>181246</v>
      </c>
      <c r="J692" s="31">
        <f t="shared" si="21"/>
        <v>0</v>
      </c>
      <c r="K692" s="2"/>
      <c r="N692" s="32">
        <v>0</v>
      </c>
      <c r="Q692" s="34">
        <v>0</v>
      </c>
      <c r="R692" s="45"/>
      <c r="S692" s="4">
        <f>IFERROR(VLOOKUP(E692,'[2]td factu si'!$A:$B,1,0),0)</f>
        <v>0</v>
      </c>
      <c r="T692" s="2">
        <f>IFERROR(VLOOKUP(E692,'[2]td factu si'!$A:$B,2,0),0)*-1</f>
        <v>0</v>
      </c>
      <c r="W692" s="36"/>
      <c r="X692" s="6">
        <v>181246</v>
      </c>
      <c r="AH692" s="3">
        <v>0</v>
      </c>
      <c r="AJ692" s="3">
        <v>0</v>
      </c>
    </row>
    <row r="693" spans="1:38" x14ac:dyDescent="0.25">
      <c r="A693">
        <v>685</v>
      </c>
      <c r="B693" s="29" t="s">
        <v>45</v>
      </c>
      <c r="C693" s="29" t="s">
        <v>46</v>
      </c>
      <c r="D693" s="4" t="str">
        <f>"16297"</f>
        <v>16297</v>
      </c>
      <c r="E693" s="4" t="str">
        <f t="shared" si="20"/>
        <v>FE16297</v>
      </c>
      <c r="F693" s="7">
        <v>44357</v>
      </c>
      <c r="G693" s="7">
        <v>44378</v>
      </c>
      <c r="H693" s="34">
        <v>15489</v>
      </c>
      <c r="I693" s="31">
        <v>15489</v>
      </c>
      <c r="J693" s="31">
        <f t="shared" si="21"/>
        <v>0</v>
      </c>
      <c r="K693" s="2"/>
      <c r="N693" s="32">
        <v>0</v>
      </c>
      <c r="Q693" s="34">
        <v>0</v>
      </c>
      <c r="R693" s="45"/>
      <c r="S693" s="4">
        <f>IFERROR(VLOOKUP(E693,'[2]td factu si'!$A:$B,1,0),0)</f>
        <v>0</v>
      </c>
      <c r="T693" s="2">
        <f>IFERROR(VLOOKUP(E693,'[2]td factu si'!$A:$B,2,0),0)*-1</f>
        <v>0</v>
      </c>
      <c r="W693" s="36"/>
      <c r="X693" s="6">
        <v>15489</v>
      </c>
      <c r="AH693" s="3">
        <v>0</v>
      </c>
      <c r="AJ693" s="3">
        <v>0</v>
      </c>
    </row>
    <row r="694" spans="1:38" x14ac:dyDescent="0.25">
      <c r="A694">
        <v>686</v>
      </c>
      <c r="B694" s="29" t="s">
        <v>45</v>
      </c>
      <c r="C694" s="29" t="s">
        <v>46</v>
      </c>
      <c r="D694" s="4" t="str">
        <f>"16304"</f>
        <v>16304</v>
      </c>
      <c r="E694" s="4" t="str">
        <f t="shared" si="20"/>
        <v>FE16304</v>
      </c>
      <c r="F694" s="7">
        <v>44358</v>
      </c>
      <c r="G694" s="7">
        <v>44378</v>
      </c>
      <c r="H694" s="34">
        <v>181246</v>
      </c>
      <c r="I694" s="31">
        <v>181246</v>
      </c>
      <c r="J694" s="31">
        <f t="shared" si="21"/>
        <v>0</v>
      </c>
      <c r="K694" s="2"/>
      <c r="N694" s="32">
        <v>0</v>
      </c>
      <c r="Q694" s="34">
        <v>0</v>
      </c>
      <c r="R694" s="45"/>
      <c r="S694" s="4">
        <f>IFERROR(VLOOKUP(E694,'[2]td factu si'!$A:$B,1,0),0)</f>
        <v>0</v>
      </c>
      <c r="T694" s="2">
        <f>IFERROR(VLOOKUP(E694,'[2]td factu si'!$A:$B,2,0),0)*-1</f>
        <v>0</v>
      </c>
      <c r="W694" s="36"/>
      <c r="AH694" s="3">
        <v>0</v>
      </c>
      <c r="AJ694" s="3">
        <v>0</v>
      </c>
      <c r="AL694" s="39" t="s">
        <v>49</v>
      </c>
    </row>
    <row r="695" spans="1:38" x14ac:dyDescent="0.25">
      <c r="A695">
        <v>687</v>
      </c>
      <c r="B695" s="29" t="s">
        <v>45</v>
      </c>
      <c r="C695" s="29" t="s">
        <v>46</v>
      </c>
      <c r="D695" s="4" t="str">
        <f>"16305"</f>
        <v>16305</v>
      </c>
      <c r="E695" s="4" t="str">
        <f t="shared" si="20"/>
        <v>FE16305</v>
      </c>
      <c r="F695" s="7">
        <v>44358</v>
      </c>
      <c r="G695" s="7">
        <v>44378</v>
      </c>
      <c r="H695" s="34">
        <v>181246</v>
      </c>
      <c r="I695" s="31">
        <v>177746</v>
      </c>
      <c r="J695" s="31">
        <f t="shared" si="21"/>
        <v>3500</v>
      </c>
      <c r="K695" s="2"/>
      <c r="N695" s="32">
        <v>0</v>
      </c>
      <c r="Q695" s="34">
        <v>0</v>
      </c>
      <c r="R695" s="45"/>
      <c r="S695" s="4">
        <f>IFERROR(VLOOKUP(E695,'[2]td factu si'!$A:$B,1,0),0)</f>
        <v>0</v>
      </c>
      <c r="T695" s="2">
        <f>IFERROR(VLOOKUP(E695,'[2]td factu si'!$A:$B,2,0),0)*-1</f>
        <v>0</v>
      </c>
      <c r="W695" s="36"/>
      <c r="X695" s="6">
        <v>177746</v>
      </c>
      <c r="AH695" s="3">
        <v>0</v>
      </c>
      <c r="AJ695" s="3">
        <v>0</v>
      </c>
    </row>
    <row r="696" spans="1:38" x14ac:dyDescent="0.25">
      <c r="A696">
        <v>688</v>
      </c>
      <c r="B696" s="29" t="s">
        <v>45</v>
      </c>
      <c r="C696" s="29" t="s">
        <v>46</v>
      </c>
      <c r="D696" s="4" t="str">
        <f>"16307"</f>
        <v>16307</v>
      </c>
      <c r="E696" s="4" t="str">
        <f t="shared" si="20"/>
        <v>FE16307</v>
      </c>
      <c r="F696" s="7">
        <v>44358</v>
      </c>
      <c r="G696" s="7">
        <v>44378</v>
      </c>
      <c r="H696" s="34">
        <v>181246</v>
      </c>
      <c r="I696" s="31">
        <v>181246</v>
      </c>
      <c r="J696" s="31">
        <f t="shared" si="21"/>
        <v>0</v>
      </c>
      <c r="K696" s="2"/>
      <c r="N696" s="32">
        <v>0</v>
      </c>
      <c r="Q696" s="34">
        <v>0</v>
      </c>
      <c r="R696" s="45"/>
      <c r="S696" s="4">
        <f>IFERROR(VLOOKUP(E696,'[2]td factu si'!$A:$B,1,0),0)</f>
        <v>0</v>
      </c>
      <c r="T696" s="2">
        <f>IFERROR(VLOOKUP(E696,'[2]td factu si'!$A:$B,2,0),0)*-1</f>
        <v>0</v>
      </c>
      <c r="W696" s="36"/>
      <c r="X696" s="6">
        <v>181246</v>
      </c>
      <c r="AH696" s="3">
        <v>0</v>
      </c>
      <c r="AJ696" s="3">
        <v>0</v>
      </c>
    </row>
    <row r="697" spans="1:38" x14ac:dyDescent="0.25">
      <c r="A697">
        <v>689</v>
      </c>
      <c r="B697" s="29" t="s">
        <v>45</v>
      </c>
      <c r="C697" s="29" t="s">
        <v>46</v>
      </c>
      <c r="D697" s="4" t="str">
        <f>"16308"</f>
        <v>16308</v>
      </c>
      <c r="E697" s="4" t="str">
        <f t="shared" si="20"/>
        <v>FE16308</v>
      </c>
      <c r="F697" s="7">
        <v>44358</v>
      </c>
      <c r="G697" s="7">
        <v>44378</v>
      </c>
      <c r="H697" s="34">
        <v>196735</v>
      </c>
      <c r="I697" s="31">
        <v>196735</v>
      </c>
      <c r="J697" s="31">
        <f t="shared" si="21"/>
        <v>0</v>
      </c>
      <c r="K697" s="2"/>
      <c r="N697" s="32">
        <v>0</v>
      </c>
      <c r="Q697" s="34">
        <v>0</v>
      </c>
      <c r="R697" s="45"/>
      <c r="S697" s="4">
        <f>IFERROR(VLOOKUP(E697,'[2]td factu si'!$A:$B,1,0),0)</f>
        <v>0</v>
      </c>
      <c r="T697" s="2">
        <f>IFERROR(VLOOKUP(E697,'[2]td factu si'!$A:$B,2,0),0)*-1</f>
        <v>0</v>
      </c>
      <c r="W697" s="36"/>
      <c r="X697" s="6">
        <v>196735</v>
      </c>
      <c r="AH697" s="3">
        <v>0</v>
      </c>
      <c r="AJ697" s="3">
        <v>0</v>
      </c>
    </row>
    <row r="698" spans="1:38" x14ac:dyDescent="0.25">
      <c r="A698">
        <v>690</v>
      </c>
      <c r="B698" s="29" t="s">
        <v>45</v>
      </c>
      <c r="C698" s="29" t="s">
        <v>46</v>
      </c>
      <c r="D698" s="4" t="str">
        <f>"16309"</f>
        <v>16309</v>
      </c>
      <c r="E698" s="4" t="str">
        <f t="shared" si="20"/>
        <v>FE16309</v>
      </c>
      <c r="F698" s="7">
        <v>44358</v>
      </c>
      <c r="G698" s="7">
        <v>44378</v>
      </c>
      <c r="H698" s="34">
        <v>15489</v>
      </c>
      <c r="I698" s="31">
        <v>11989</v>
      </c>
      <c r="J698" s="31">
        <f t="shared" si="21"/>
        <v>3500</v>
      </c>
      <c r="K698" s="2"/>
      <c r="N698" s="32">
        <v>0</v>
      </c>
      <c r="Q698" s="34">
        <v>0</v>
      </c>
      <c r="R698" s="45"/>
      <c r="S698" s="4">
        <f>IFERROR(VLOOKUP(E698,'[2]td factu si'!$A:$B,1,0),0)</f>
        <v>0</v>
      </c>
      <c r="T698" s="2">
        <f>IFERROR(VLOOKUP(E698,'[2]td factu si'!$A:$B,2,0),0)*-1</f>
        <v>0</v>
      </c>
      <c r="W698" s="36"/>
      <c r="X698" s="6">
        <v>11989</v>
      </c>
      <c r="AH698" s="3">
        <v>0</v>
      </c>
      <c r="AJ698" s="3">
        <v>0</v>
      </c>
    </row>
    <row r="699" spans="1:38" x14ac:dyDescent="0.25">
      <c r="A699">
        <v>691</v>
      </c>
      <c r="B699" s="29" t="s">
        <v>45</v>
      </c>
      <c r="C699" s="29" t="s">
        <v>46</v>
      </c>
      <c r="D699" s="4" t="str">
        <f>"16311"</f>
        <v>16311</v>
      </c>
      <c r="E699" s="4" t="str">
        <f t="shared" si="20"/>
        <v>FE16311</v>
      </c>
      <c r="F699" s="7">
        <v>44358</v>
      </c>
      <c r="G699" s="7">
        <v>44378</v>
      </c>
      <c r="H699" s="34">
        <v>15489</v>
      </c>
      <c r="I699" s="31">
        <v>15489</v>
      </c>
      <c r="J699" s="31">
        <f t="shared" si="21"/>
        <v>0</v>
      </c>
      <c r="K699" s="2"/>
      <c r="N699" s="32">
        <v>0</v>
      </c>
      <c r="Q699" s="34">
        <v>0</v>
      </c>
      <c r="R699" s="45"/>
      <c r="S699" s="4">
        <f>IFERROR(VLOOKUP(E699,'[2]td factu si'!$A:$B,1,0),0)</f>
        <v>0</v>
      </c>
      <c r="T699" s="2">
        <f>IFERROR(VLOOKUP(E699,'[2]td factu si'!$A:$B,2,0),0)*-1</f>
        <v>0</v>
      </c>
      <c r="W699" s="36"/>
      <c r="X699" s="6">
        <v>15489</v>
      </c>
      <c r="AH699" s="3">
        <v>0</v>
      </c>
      <c r="AJ699" s="3">
        <v>0</v>
      </c>
    </row>
    <row r="700" spans="1:38" x14ac:dyDescent="0.25">
      <c r="A700">
        <v>692</v>
      </c>
      <c r="B700" s="29" t="s">
        <v>45</v>
      </c>
      <c r="C700" s="29" t="s">
        <v>46</v>
      </c>
      <c r="D700" s="4" t="str">
        <f>"16315"</f>
        <v>16315</v>
      </c>
      <c r="E700" s="4" t="str">
        <f t="shared" si="20"/>
        <v>FE16315</v>
      </c>
      <c r="F700" s="7">
        <v>44358</v>
      </c>
      <c r="G700" s="7">
        <v>44378</v>
      </c>
      <c r="H700" s="34">
        <v>15489</v>
      </c>
      <c r="I700" s="31">
        <v>15489</v>
      </c>
      <c r="J700" s="31">
        <f t="shared" si="21"/>
        <v>0</v>
      </c>
      <c r="K700" s="2"/>
      <c r="N700" s="32">
        <v>0</v>
      </c>
      <c r="Q700" s="34">
        <v>0</v>
      </c>
      <c r="R700" s="45"/>
      <c r="S700" s="4">
        <f>IFERROR(VLOOKUP(E700,'[2]td factu si'!$A:$B,1,0),0)</f>
        <v>0</v>
      </c>
      <c r="T700" s="2">
        <f>IFERROR(VLOOKUP(E700,'[2]td factu si'!$A:$B,2,0),0)*-1</f>
        <v>0</v>
      </c>
      <c r="W700" s="36"/>
      <c r="X700" s="6">
        <v>15489</v>
      </c>
      <c r="AH700" s="3">
        <v>0</v>
      </c>
      <c r="AJ700" s="3">
        <v>0</v>
      </c>
    </row>
    <row r="701" spans="1:38" x14ac:dyDescent="0.25">
      <c r="A701">
        <v>693</v>
      </c>
      <c r="B701" s="29" t="s">
        <v>45</v>
      </c>
      <c r="C701" s="29" t="s">
        <v>46</v>
      </c>
      <c r="D701" s="4" t="str">
        <f>"16316"</f>
        <v>16316</v>
      </c>
      <c r="E701" s="4" t="str">
        <f t="shared" si="20"/>
        <v>FE16316</v>
      </c>
      <c r="F701" s="7">
        <v>44358</v>
      </c>
      <c r="G701" s="7">
        <v>44378</v>
      </c>
      <c r="H701" s="34">
        <v>181246</v>
      </c>
      <c r="I701" s="31">
        <v>181246</v>
      </c>
      <c r="J701" s="31">
        <f t="shared" si="21"/>
        <v>0</v>
      </c>
      <c r="K701" s="2"/>
      <c r="N701" s="32">
        <v>0</v>
      </c>
      <c r="Q701" s="34">
        <v>0</v>
      </c>
      <c r="R701" s="45"/>
      <c r="S701" s="4">
        <f>IFERROR(VLOOKUP(E701,'[2]td factu si'!$A:$B,1,0),0)</f>
        <v>0</v>
      </c>
      <c r="T701" s="2">
        <f>IFERROR(VLOOKUP(E701,'[2]td factu si'!$A:$B,2,0),0)*-1</f>
        <v>0</v>
      </c>
      <c r="W701" s="36"/>
      <c r="X701" s="6">
        <v>181246</v>
      </c>
      <c r="AH701" s="3">
        <v>0</v>
      </c>
      <c r="AJ701" s="3">
        <v>0</v>
      </c>
    </row>
    <row r="702" spans="1:38" x14ac:dyDescent="0.25">
      <c r="A702">
        <v>694</v>
      </c>
      <c r="B702" s="29" t="s">
        <v>45</v>
      </c>
      <c r="C702" s="29" t="s">
        <v>46</v>
      </c>
      <c r="D702" s="4" t="str">
        <f>"16317"</f>
        <v>16317</v>
      </c>
      <c r="E702" s="4" t="str">
        <f t="shared" si="20"/>
        <v>FE16317</v>
      </c>
      <c r="F702" s="7">
        <v>44358</v>
      </c>
      <c r="G702" s="7">
        <v>44378</v>
      </c>
      <c r="H702" s="34">
        <v>181246</v>
      </c>
      <c r="I702" s="31">
        <v>163121</v>
      </c>
      <c r="J702" s="31">
        <f t="shared" si="21"/>
        <v>18125</v>
      </c>
      <c r="K702" s="2"/>
      <c r="N702" s="32">
        <v>0</v>
      </c>
      <c r="Q702" s="34">
        <v>0</v>
      </c>
      <c r="R702" s="45"/>
      <c r="S702" s="4">
        <f>IFERROR(VLOOKUP(E702,'[2]td factu si'!$A:$B,1,0),0)</f>
        <v>0</v>
      </c>
      <c r="T702" s="2">
        <f>IFERROR(VLOOKUP(E702,'[2]td factu si'!$A:$B,2,0),0)*-1</f>
        <v>0</v>
      </c>
      <c r="W702" s="36"/>
      <c r="AH702" s="3">
        <v>0</v>
      </c>
      <c r="AJ702" s="3">
        <v>0</v>
      </c>
      <c r="AL702" s="39" t="s">
        <v>49</v>
      </c>
    </row>
    <row r="703" spans="1:38" x14ac:dyDescent="0.25">
      <c r="A703">
        <v>695</v>
      </c>
      <c r="B703" s="29" t="s">
        <v>45</v>
      </c>
      <c r="C703" s="29" t="s">
        <v>46</v>
      </c>
      <c r="D703" s="4" t="str">
        <f>"16319"</f>
        <v>16319</v>
      </c>
      <c r="E703" s="4" t="str">
        <f t="shared" si="20"/>
        <v>FE16319</v>
      </c>
      <c r="F703" s="7">
        <v>44358</v>
      </c>
      <c r="G703" s="7">
        <v>44378</v>
      </c>
      <c r="H703" s="34">
        <v>181246</v>
      </c>
      <c r="I703" s="31">
        <v>181246</v>
      </c>
      <c r="J703" s="31">
        <f t="shared" si="21"/>
        <v>0</v>
      </c>
      <c r="K703" s="2"/>
      <c r="N703" s="32">
        <v>0</v>
      </c>
      <c r="Q703" s="34">
        <v>0</v>
      </c>
      <c r="R703" s="45"/>
      <c r="S703" s="4">
        <f>IFERROR(VLOOKUP(E703,'[2]td factu si'!$A:$B,1,0),0)</f>
        <v>0</v>
      </c>
      <c r="T703" s="2">
        <f>IFERROR(VLOOKUP(E703,'[2]td factu si'!$A:$B,2,0),0)*-1</f>
        <v>0</v>
      </c>
      <c r="W703" s="36"/>
      <c r="X703" s="6">
        <v>181246</v>
      </c>
      <c r="AH703" s="3">
        <v>0</v>
      </c>
      <c r="AJ703" s="3">
        <v>0</v>
      </c>
    </row>
    <row r="704" spans="1:38" x14ac:dyDescent="0.25">
      <c r="A704">
        <v>696</v>
      </c>
      <c r="B704" s="29" t="s">
        <v>45</v>
      </c>
      <c r="C704" s="29" t="s">
        <v>46</v>
      </c>
      <c r="D704" s="4" t="str">
        <f>"16320"</f>
        <v>16320</v>
      </c>
      <c r="E704" s="4" t="str">
        <f t="shared" si="20"/>
        <v>FE16320</v>
      </c>
      <c r="F704" s="7">
        <v>44358</v>
      </c>
      <c r="G704" s="7">
        <v>44378</v>
      </c>
      <c r="H704" s="34">
        <v>181246</v>
      </c>
      <c r="I704" s="31">
        <v>181246</v>
      </c>
      <c r="J704" s="31">
        <f t="shared" si="21"/>
        <v>0</v>
      </c>
      <c r="K704" s="2"/>
      <c r="N704" s="32">
        <v>0</v>
      </c>
      <c r="Q704" s="34">
        <v>0</v>
      </c>
      <c r="R704" s="45"/>
      <c r="S704" s="4">
        <f>IFERROR(VLOOKUP(E704,'[2]td factu si'!$A:$B,1,0),0)</f>
        <v>0</v>
      </c>
      <c r="T704" s="2">
        <f>IFERROR(VLOOKUP(E704,'[2]td factu si'!$A:$B,2,0),0)*-1</f>
        <v>0</v>
      </c>
      <c r="W704" s="36"/>
      <c r="X704" s="6">
        <v>181246</v>
      </c>
      <c r="AH704" s="3">
        <v>0</v>
      </c>
      <c r="AJ704" s="3">
        <v>0</v>
      </c>
    </row>
    <row r="705" spans="1:38" x14ac:dyDescent="0.25">
      <c r="A705">
        <v>697</v>
      </c>
      <c r="B705" s="29" t="s">
        <v>45</v>
      </c>
      <c r="C705" s="29" t="s">
        <v>46</v>
      </c>
      <c r="D705" s="4" t="str">
        <f>"16321"</f>
        <v>16321</v>
      </c>
      <c r="E705" s="4" t="str">
        <f t="shared" si="20"/>
        <v>FE16321</v>
      </c>
      <c r="F705" s="7">
        <v>44358</v>
      </c>
      <c r="G705" s="7">
        <v>44378</v>
      </c>
      <c r="H705" s="34">
        <v>15489</v>
      </c>
      <c r="I705" s="31">
        <v>15489</v>
      </c>
      <c r="J705" s="31">
        <f t="shared" si="21"/>
        <v>0</v>
      </c>
      <c r="K705" s="2"/>
      <c r="N705" s="32">
        <v>0</v>
      </c>
      <c r="Q705" s="34">
        <v>0</v>
      </c>
      <c r="R705" s="45"/>
      <c r="S705" s="4">
        <f>IFERROR(VLOOKUP(E705,'[2]td factu si'!$A:$B,1,0),0)</f>
        <v>0</v>
      </c>
      <c r="T705" s="2">
        <f>IFERROR(VLOOKUP(E705,'[2]td factu si'!$A:$B,2,0),0)*-1</f>
        <v>0</v>
      </c>
      <c r="W705" s="36"/>
      <c r="X705" s="6">
        <v>15489</v>
      </c>
      <c r="AH705" s="3">
        <v>0</v>
      </c>
      <c r="AJ705" s="3">
        <v>0</v>
      </c>
    </row>
    <row r="706" spans="1:38" x14ac:dyDescent="0.25">
      <c r="A706">
        <v>698</v>
      </c>
      <c r="B706" s="29" t="s">
        <v>45</v>
      </c>
      <c r="C706" s="29" t="s">
        <v>46</v>
      </c>
      <c r="D706" s="4" t="str">
        <f>"16328"</f>
        <v>16328</v>
      </c>
      <c r="E706" s="4" t="str">
        <f t="shared" si="20"/>
        <v>FE16328</v>
      </c>
      <c r="F706" s="7">
        <v>44358</v>
      </c>
      <c r="G706" s="7">
        <v>44378</v>
      </c>
      <c r="H706" s="34">
        <v>181246</v>
      </c>
      <c r="I706" s="31">
        <v>181246</v>
      </c>
      <c r="J706" s="31">
        <f t="shared" si="21"/>
        <v>0</v>
      </c>
      <c r="K706" s="2"/>
      <c r="N706" s="32">
        <v>0</v>
      </c>
      <c r="Q706" s="34">
        <v>0</v>
      </c>
      <c r="R706" s="45"/>
      <c r="S706" s="4">
        <f>IFERROR(VLOOKUP(E706,'[2]td factu si'!$A:$B,1,0),0)</f>
        <v>0</v>
      </c>
      <c r="T706" s="2">
        <f>IFERROR(VLOOKUP(E706,'[2]td factu si'!$A:$B,2,0),0)*-1</f>
        <v>0</v>
      </c>
      <c r="W706" s="36"/>
      <c r="AH706" s="3">
        <v>0</v>
      </c>
      <c r="AJ706" s="3">
        <v>0</v>
      </c>
      <c r="AL706" s="39" t="s">
        <v>49</v>
      </c>
    </row>
    <row r="707" spans="1:38" x14ac:dyDescent="0.25">
      <c r="A707">
        <v>699</v>
      </c>
      <c r="B707" s="29" t="s">
        <v>45</v>
      </c>
      <c r="C707" s="29" t="s">
        <v>46</v>
      </c>
      <c r="D707" s="4" t="str">
        <f>"16329"</f>
        <v>16329</v>
      </c>
      <c r="E707" s="4" t="str">
        <f t="shared" si="20"/>
        <v>FE16329</v>
      </c>
      <c r="F707" s="7">
        <v>44358</v>
      </c>
      <c r="G707" s="7">
        <v>44378</v>
      </c>
      <c r="H707" s="34">
        <v>135855</v>
      </c>
      <c r="I707" s="31">
        <v>135855</v>
      </c>
      <c r="J707" s="31">
        <f t="shared" si="21"/>
        <v>0</v>
      </c>
      <c r="K707" s="2"/>
      <c r="N707" s="32">
        <v>0</v>
      </c>
      <c r="Q707" s="34">
        <v>0</v>
      </c>
      <c r="R707" s="45"/>
      <c r="S707" s="4">
        <f>IFERROR(VLOOKUP(E707,'[2]td factu si'!$A:$B,1,0),0)</f>
        <v>0</v>
      </c>
      <c r="T707" s="2">
        <f>IFERROR(VLOOKUP(E707,'[2]td factu si'!$A:$B,2,0),0)*-1</f>
        <v>0</v>
      </c>
      <c r="W707" s="36"/>
      <c r="X707" s="6">
        <v>135855</v>
      </c>
      <c r="AH707" s="3">
        <v>0</v>
      </c>
      <c r="AJ707" s="3">
        <v>0</v>
      </c>
    </row>
    <row r="708" spans="1:38" x14ac:dyDescent="0.25">
      <c r="A708">
        <v>700</v>
      </c>
      <c r="B708" s="29" t="s">
        <v>45</v>
      </c>
      <c r="C708" s="29" t="s">
        <v>46</v>
      </c>
      <c r="D708" s="4" t="str">
        <f>"16330"</f>
        <v>16330</v>
      </c>
      <c r="E708" s="4" t="str">
        <f t="shared" si="20"/>
        <v>FE16330</v>
      </c>
      <c r="F708" s="7">
        <v>44358</v>
      </c>
      <c r="G708" s="7">
        <v>44378</v>
      </c>
      <c r="H708" s="34">
        <v>181246</v>
      </c>
      <c r="I708" s="31">
        <v>181246</v>
      </c>
      <c r="J708" s="31">
        <f t="shared" si="21"/>
        <v>0</v>
      </c>
      <c r="K708" s="2"/>
      <c r="N708" s="32">
        <v>0</v>
      </c>
      <c r="Q708" s="34">
        <v>0</v>
      </c>
      <c r="R708" s="45"/>
      <c r="S708" s="4">
        <f>IFERROR(VLOOKUP(E708,'[2]td factu si'!$A:$B,1,0),0)</f>
        <v>0</v>
      </c>
      <c r="T708" s="2">
        <f>IFERROR(VLOOKUP(E708,'[2]td factu si'!$A:$B,2,0),0)*-1</f>
        <v>0</v>
      </c>
      <c r="W708" s="36"/>
      <c r="AH708" s="3">
        <v>0</v>
      </c>
      <c r="AJ708" s="3">
        <v>0</v>
      </c>
      <c r="AL708" s="39" t="s">
        <v>49</v>
      </c>
    </row>
    <row r="709" spans="1:38" x14ac:dyDescent="0.25">
      <c r="A709">
        <v>701</v>
      </c>
      <c r="B709" s="29" t="s">
        <v>45</v>
      </c>
      <c r="C709" s="29" t="s">
        <v>46</v>
      </c>
      <c r="D709" s="4" t="str">
        <f>"16332"</f>
        <v>16332</v>
      </c>
      <c r="E709" s="4" t="str">
        <f t="shared" si="20"/>
        <v>FE16332</v>
      </c>
      <c r="F709" s="7">
        <v>44358</v>
      </c>
      <c r="G709" s="7">
        <v>44378</v>
      </c>
      <c r="H709" s="34">
        <v>181246</v>
      </c>
      <c r="I709" s="31">
        <v>181246</v>
      </c>
      <c r="J709" s="31">
        <f t="shared" si="21"/>
        <v>0</v>
      </c>
      <c r="K709" s="2"/>
      <c r="N709" s="32">
        <v>0</v>
      </c>
      <c r="Q709" s="34">
        <v>0</v>
      </c>
      <c r="R709" s="45"/>
      <c r="S709" s="4">
        <f>IFERROR(VLOOKUP(E709,'[2]td factu si'!$A:$B,1,0),0)</f>
        <v>0</v>
      </c>
      <c r="T709" s="2">
        <f>IFERROR(VLOOKUP(E709,'[2]td factu si'!$A:$B,2,0),0)*-1</f>
        <v>0</v>
      </c>
      <c r="W709" s="36"/>
      <c r="AH709" s="3">
        <v>0</v>
      </c>
      <c r="AJ709" s="3">
        <v>0</v>
      </c>
      <c r="AL709" s="39" t="s">
        <v>49</v>
      </c>
    </row>
    <row r="710" spans="1:38" x14ac:dyDescent="0.25">
      <c r="A710">
        <v>702</v>
      </c>
      <c r="B710" s="29" t="s">
        <v>45</v>
      </c>
      <c r="C710" s="29" t="s">
        <v>46</v>
      </c>
      <c r="D710" s="4" t="str">
        <f>"16340"</f>
        <v>16340</v>
      </c>
      <c r="E710" s="4" t="str">
        <f t="shared" si="20"/>
        <v>FE16340</v>
      </c>
      <c r="F710" s="7">
        <v>44358</v>
      </c>
      <c r="G710" s="7">
        <v>44378</v>
      </c>
      <c r="H710" s="34">
        <v>181246</v>
      </c>
      <c r="I710" s="31">
        <v>181246</v>
      </c>
      <c r="J710" s="31">
        <f t="shared" si="21"/>
        <v>0</v>
      </c>
      <c r="K710" s="2"/>
      <c r="N710" s="32">
        <v>0</v>
      </c>
      <c r="Q710" s="34">
        <v>0</v>
      </c>
      <c r="R710" s="45"/>
      <c r="S710" s="4">
        <f>IFERROR(VLOOKUP(E710,'[2]td factu si'!$A:$B,1,0),0)</f>
        <v>0</v>
      </c>
      <c r="T710" s="2">
        <f>IFERROR(VLOOKUP(E710,'[2]td factu si'!$A:$B,2,0),0)*-1</f>
        <v>0</v>
      </c>
      <c r="W710" s="36"/>
      <c r="X710" s="6">
        <v>181246</v>
      </c>
      <c r="AH710" s="3">
        <v>0</v>
      </c>
      <c r="AJ710" s="3">
        <v>0</v>
      </c>
    </row>
    <row r="711" spans="1:38" x14ac:dyDescent="0.25">
      <c r="A711">
        <v>703</v>
      </c>
      <c r="B711" s="29" t="s">
        <v>45</v>
      </c>
      <c r="C711" s="29" t="s">
        <v>46</v>
      </c>
      <c r="D711" s="4" t="str">
        <f>"16341"</f>
        <v>16341</v>
      </c>
      <c r="E711" s="4" t="str">
        <f t="shared" si="20"/>
        <v>FE16341</v>
      </c>
      <c r="F711" s="7">
        <v>44358</v>
      </c>
      <c r="G711" s="7">
        <v>44378</v>
      </c>
      <c r="H711" s="34">
        <v>339170</v>
      </c>
      <c r="I711" s="31">
        <v>339170</v>
      </c>
      <c r="J711" s="31">
        <f t="shared" si="21"/>
        <v>0</v>
      </c>
      <c r="K711" s="2"/>
      <c r="N711" s="32">
        <v>0</v>
      </c>
      <c r="Q711" s="34">
        <v>0</v>
      </c>
      <c r="R711" s="45"/>
      <c r="S711" s="4">
        <f>IFERROR(VLOOKUP(E711,'[2]td factu si'!$A:$B,1,0),0)</f>
        <v>0</v>
      </c>
      <c r="T711" s="2">
        <f>IFERROR(VLOOKUP(E711,'[2]td factu si'!$A:$B,2,0),0)*-1</f>
        <v>0</v>
      </c>
      <c r="W711" s="36"/>
      <c r="X711" s="6">
        <v>339170</v>
      </c>
      <c r="AH711" s="3">
        <v>0</v>
      </c>
      <c r="AJ711" s="3">
        <v>0</v>
      </c>
    </row>
    <row r="712" spans="1:38" x14ac:dyDescent="0.25">
      <c r="A712">
        <v>704</v>
      </c>
      <c r="B712" s="29" t="s">
        <v>45</v>
      </c>
      <c r="C712" s="29" t="s">
        <v>46</v>
      </c>
      <c r="D712" s="4" t="str">
        <f>"16342"</f>
        <v>16342</v>
      </c>
      <c r="E712" s="4" t="str">
        <f t="shared" si="20"/>
        <v>FE16342</v>
      </c>
      <c r="F712" s="7">
        <v>44358</v>
      </c>
      <c r="G712" s="7">
        <v>44378</v>
      </c>
      <c r="H712" s="34">
        <v>15489</v>
      </c>
      <c r="I712" s="31">
        <v>15489</v>
      </c>
      <c r="J712" s="31">
        <f t="shared" si="21"/>
        <v>0</v>
      </c>
      <c r="K712" s="2"/>
      <c r="N712" s="32">
        <v>0</v>
      </c>
      <c r="Q712" s="34">
        <v>0</v>
      </c>
      <c r="R712" s="45"/>
      <c r="S712" s="4">
        <f>IFERROR(VLOOKUP(E712,'[2]td factu si'!$A:$B,1,0),0)</f>
        <v>0</v>
      </c>
      <c r="T712" s="2">
        <f>IFERROR(VLOOKUP(E712,'[2]td factu si'!$A:$B,2,0),0)*-1</f>
        <v>0</v>
      </c>
      <c r="W712" s="36"/>
      <c r="X712" s="6">
        <v>15489</v>
      </c>
      <c r="AH712" s="3">
        <v>0</v>
      </c>
      <c r="AJ712" s="3">
        <v>0</v>
      </c>
    </row>
    <row r="713" spans="1:38" x14ac:dyDescent="0.25">
      <c r="A713">
        <v>705</v>
      </c>
      <c r="B713" s="29" t="s">
        <v>45</v>
      </c>
      <c r="C713" s="29" t="s">
        <v>46</v>
      </c>
      <c r="D713" s="4" t="str">
        <f>"16347"</f>
        <v>16347</v>
      </c>
      <c r="E713" s="4" t="str">
        <f t="shared" si="20"/>
        <v>FE16347</v>
      </c>
      <c r="F713" s="7">
        <v>44359</v>
      </c>
      <c r="G713" s="7">
        <v>44378</v>
      </c>
      <c r="H713" s="34">
        <v>99124</v>
      </c>
      <c r="I713" s="31">
        <v>99124</v>
      </c>
      <c r="J713" s="31">
        <f t="shared" si="21"/>
        <v>0</v>
      </c>
      <c r="K713" s="2"/>
      <c r="N713" s="32">
        <v>0</v>
      </c>
      <c r="Q713" s="34">
        <v>0</v>
      </c>
      <c r="R713" s="45"/>
      <c r="S713" s="4">
        <f>IFERROR(VLOOKUP(E713,'[2]td factu si'!$A:$B,1,0),0)</f>
        <v>0</v>
      </c>
      <c r="T713" s="2">
        <f>IFERROR(VLOOKUP(E713,'[2]td factu si'!$A:$B,2,0),0)*-1</f>
        <v>0</v>
      </c>
      <c r="W713" s="36"/>
      <c r="AH713" s="3">
        <v>0</v>
      </c>
      <c r="AJ713" s="3">
        <v>0</v>
      </c>
      <c r="AL713" s="39" t="s">
        <v>49</v>
      </c>
    </row>
    <row r="714" spans="1:38" x14ac:dyDescent="0.25">
      <c r="A714">
        <v>706</v>
      </c>
      <c r="B714" s="29" t="s">
        <v>45</v>
      </c>
      <c r="C714" s="29" t="s">
        <v>46</v>
      </c>
      <c r="D714" s="4" t="str">
        <f>"16350"</f>
        <v>16350</v>
      </c>
      <c r="E714" s="4" t="str">
        <f t="shared" ref="E714:E777" si="22">_xlfn.CONCAT(C714,D714)</f>
        <v>FE16350</v>
      </c>
      <c r="F714" s="7">
        <v>44359</v>
      </c>
      <c r="G714" s="7">
        <v>44378</v>
      </c>
      <c r="H714" s="34">
        <v>181246</v>
      </c>
      <c r="I714" s="31">
        <v>177746</v>
      </c>
      <c r="J714" s="31">
        <f t="shared" ref="J714:J777" si="23">+H714-I714</f>
        <v>3500</v>
      </c>
      <c r="K714" s="2"/>
      <c r="N714" s="32">
        <v>0</v>
      </c>
      <c r="Q714" s="34">
        <v>0</v>
      </c>
      <c r="R714" s="45"/>
      <c r="S714" s="4">
        <f>IFERROR(VLOOKUP(E714,'[2]td factu si'!$A:$B,1,0),0)</f>
        <v>0</v>
      </c>
      <c r="T714" s="2">
        <f>IFERROR(VLOOKUP(E714,'[2]td factu si'!$A:$B,2,0),0)*-1</f>
        <v>0</v>
      </c>
      <c r="W714" s="36"/>
      <c r="X714" s="6">
        <v>177746</v>
      </c>
      <c r="AH714" s="3">
        <v>0</v>
      </c>
      <c r="AJ714" s="3">
        <v>0</v>
      </c>
    </row>
    <row r="715" spans="1:38" x14ac:dyDescent="0.25">
      <c r="A715">
        <v>707</v>
      </c>
      <c r="B715" s="29" t="s">
        <v>45</v>
      </c>
      <c r="C715" s="29" t="s">
        <v>46</v>
      </c>
      <c r="D715" s="4" t="str">
        <f>"16351"</f>
        <v>16351</v>
      </c>
      <c r="E715" s="4" t="str">
        <f t="shared" si="22"/>
        <v>FE16351</v>
      </c>
      <c r="F715" s="7">
        <v>44359</v>
      </c>
      <c r="G715" s="7">
        <v>44378</v>
      </c>
      <c r="H715" s="34">
        <v>181246</v>
      </c>
      <c r="I715" s="31">
        <v>163121</v>
      </c>
      <c r="J715" s="31">
        <f t="shared" si="23"/>
        <v>18125</v>
      </c>
      <c r="K715" s="2"/>
      <c r="N715" s="32">
        <v>0</v>
      </c>
      <c r="Q715" s="34">
        <v>0</v>
      </c>
      <c r="R715" s="45"/>
      <c r="S715" s="4">
        <f>IFERROR(VLOOKUP(E715,'[2]td factu si'!$A:$B,1,0),0)</f>
        <v>0</v>
      </c>
      <c r="T715" s="2">
        <f>IFERROR(VLOOKUP(E715,'[2]td factu si'!$A:$B,2,0),0)*-1</f>
        <v>0</v>
      </c>
      <c r="W715" s="36"/>
      <c r="X715" s="6">
        <v>163121</v>
      </c>
      <c r="AH715" s="3">
        <v>0</v>
      </c>
      <c r="AJ715" s="3">
        <v>0</v>
      </c>
    </row>
    <row r="716" spans="1:38" x14ac:dyDescent="0.25">
      <c r="A716">
        <v>708</v>
      </c>
      <c r="B716" s="29" t="s">
        <v>45</v>
      </c>
      <c r="C716" s="29" t="s">
        <v>46</v>
      </c>
      <c r="D716" s="4" t="str">
        <f>"16354"</f>
        <v>16354</v>
      </c>
      <c r="E716" s="4" t="str">
        <f t="shared" si="22"/>
        <v>FE16354</v>
      </c>
      <c r="F716" s="7">
        <v>44359</v>
      </c>
      <c r="G716" s="7">
        <v>44378</v>
      </c>
      <c r="H716" s="34">
        <v>181246</v>
      </c>
      <c r="I716" s="31">
        <v>181246</v>
      </c>
      <c r="J716" s="31">
        <f t="shared" si="23"/>
        <v>0</v>
      </c>
      <c r="K716" s="2"/>
      <c r="N716" s="32">
        <v>0</v>
      </c>
      <c r="Q716" s="34">
        <v>0</v>
      </c>
      <c r="R716" s="45"/>
      <c r="S716" s="4">
        <f>IFERROR(VLOOKUP(E716,'[2]td factu si'!$A:$B,1,0),0)</f>
        <v>0</v>
      </c>
      <c r="T716" s="2">
        <f>IFERROR(VLOOKUP(E716,'[2]td factu si'!$A:$B,2,0),0)*-1</f>
        <v>0</v>
      </c>
      <c r="W716" s="36"/>
      <c r="X716" s="6">
        <v>181246</v>
      </c>
      <c r="AH716" s="3">
        <v>0</v>
      </c>
      <c r="AJ716" s="3">
        <v>0</v>
      </c>
    </row>
    <row r="717" spans="1:38" x14ac:dyDescent="0.25">
      <c r="A717">
        <v>709</v>
      </c>
      <c r="B717" s="29" t="s">
        <v>45</v>
      </c>
      <c r="C717" s="29" t="s">
        <v>46</v>
      </c>
      <c r="D717" s="4" t="str">
        <f>"16356"</f>
        <v>16356</v>
      </c>
      <c r="E717" s="4" t="str">
        <f t="shared" si="22"/>
        <v>FE16356</v>
      </c>
      <c r="F717" s="7">
        <v>44359</v>
      </c>
      <c r="G717" s="7">
        <v>44378</v>
      </c>
      <c r="H717" s="34">
        <v>15489</v>
      </c>
      <c r="I717" s="31">
        <v>13940</v>
      </c>
      <c r="J717" s="31">
        <f t="shared" si="23"/>
        <v>1549</v>
      </c>
      <c r="K717" s="2"/>
      <c r="N717" s="32">
        <v>0</v>
      </c>
      <c r="Q717" s="34">
        <v>0</v>
      </c>
      <c r="R717" s="45"/>
      <c r="S717" s="4">
        <f>IFERROR(VLOOKUP(E717,'[2]td factu si'!$A:$B,1,0),0)</f>
        <v>0</v>
      </c>
      <c r="T717" s="2">
        <f>IFERROR(VLOOKUP(E717,'[2]td factu si'!$A:$B,2,0),0)*-1</f>
        <v>0</v>
      </c>
      <c r="W717" s="36"/>
      <c r="X717" s="6">
        <v>13940</v>
      </c>
      <c r="AH717" s="3">
        <v>0</v>
      </c>
      <c r="AJ717" s="3">
        <v>0</v>
      </c>
    </row>
    <row r="718" spans="1:38" x14ac:dyDescent="0.25">
      <c r="A718">
        <v>710</v>
      </c>
      <c r="B718" s="29" t="s">
        <v>45</v>
      </c>
      <c r="C718" s="29" t="s">
        <v>46</v>
      </c>
      <c r="D718" s="4" t="str">
        <f>"16357"</f>
        <v>16357</v>
      </c>
      <c r="E718" s="4" t="str">
        <f t="shared" si="22"/>
        <v>FE16357</v>
      </c>
      <c r="F718" s="7">
        <v>44359</v>
      </c>
      <c r="G718" s="7">
        <v>44378</v>
      </c>
      <c r="H718" s="34">
        <v>15489</v>
      </c>
      <c r="I718" s="31">
        <v>15489</v>
      </c>
      <c r="J718" s="31">
        <f t="shared" si="23"/>
        <v>0</v>
      </c>
      <c r="K718" s="2"/>
      <c r="N718" s="32">
        <v>0</v>
      </c>
      <c r="Q718" s="34">
        <v>0</v>
      </c>
      <c r="R718" s="45"/>
      <c r="S718" s="4">
        <f>IFERROR(VLOOKUP(E718,'[2]td factu si'!$A:$B,1,0),0)</f>
        <v>0</v>
      </c>
      <c r="T718" s="2">
        <f>IFERROR(VLOOKUP(E718,'[2]td factu si'!$A:$B,2,0),0)*-1</f>
        <v>0</v>
      </c>
      <c r="W718" s="36"/>
      <c r="X718" s="6">
        <v>15489</v>
      </c>
      <c r="AH718" s="3">
        <v>0</v>
      </c>
      <c r="AJ718" s="3">
        <v>0</v>
      </c>
    </row>
    <row r="719" spans="1:38" x14ac:dyDescent="0.25">
      <c r="A719">
        <v>711</v>
      </c>
      <c r="B719" s="29" t="s">
        <v>45</v>
      </c>
      <c r="C719" s="29" t="s">
        <v>46</v>
      </c>
      <c r="D719" s="4" t="str">
        <f>"16358"</f>
        <v>16358</v>
      </c>
      <c r="E719" s="4" t="str">
        <f t="shared" si="22"/>
        <v>FE16358</v>
      </c>
      <c r="F719" s="7">
        <v>44359</v>
      </c>
      <c r="G719" s="7">
        <v>44378</v>
      </c>
      <c r="H719" s="34">
        <v>15489</v>
      </c>
      <c r="I719" s="31">
        <v>15489</v>
      </c>
      <c r="J719" s="31">
        <f t="shared" si="23"/>
        <v>0</v>
      </c>
      <c r="K719" s="2"/>
      <c r="N719" s="32">
        <v>0</v>
      </c>
      <c r="Q719" s="34">
        <v>0</v>
      </c>
      <c r="R719" s="45"/>
      <c r="S719" s="4">
        <f>IFERROR(VLOOKUP(E719,'[2]td factu si'!$A:$B,1,0),0)</f>
        <v>0</v>
      </c>
      <c r="T719" s="2">
        <f>IFERROR(VLOOKUP(E719,'[2]td factu si'!$A:$B,2,0),0)*-1</f>
        <v>0</v>
      </c>
      <c r="W719" s="36"/>
      <c r="X719" s="6">
        <v>15489</v>
      </c>
      <c r="AH719" s="3">
        <v>0</v>
      </c>
      <c r="AJ719" s="3">
        <v>0</v>
      </c>
    </row>
    <row r="720" spans="1:38" x14ac:dyDescent="0.25">
      <c r="A720">
        <v>712</v>
      </c>
      <c r="B720" s="29" t="s">
        <v>45</v>
      </c>
      <c r="C720" s="29" t="s">
        <v>46</v>
      </c>
      <c r="D720" s="4" t="str">
        <f>"16359"</f>
        <v>16359</v>
      </c>
      <c r="E720" s="4" t="str">
        <f t="shared" si="22"/>
        <v>FE16359</v>
      </c>
      <c r="F720" s="7">
        <v>44359</v>
      </c>
      <c r="G720" s="7">
        <v>44378</v>
      </c>
      <c r="H720" s="34">
        <v>15489</v>
      </c>
      <c r="I720" s="31">
        <v>11989</v>
      </c>
      <c r="J720" s="31">
        <f t="shared" si="23"/>
        <v>3500</v>
      </c>
      <c r="K720" s="2"/>
      <c r="N720" s="32">
        <v>0</v>
      </c>
      <c r="Q720" s="34">
        <v>0</v>
      </c>
      <c r="R720" s="45"/>
      <c r="S720" s="4">
        <f>IFERROR(VLOOKUP(E720,'[2]td factu si'!$A:$B,1,0),0)</f>
        <v>0</v>
      </c>
      <c r="T720" s="2">
        <f>IFERROR(VLOOKUP(E720,'[2]td factu si'!$A:$B,2,0),0)*-1</f>
        <v>0</v>
      </c>
      <c r="W720" s="36"/>
      <c r="X720" s="6">
        <v>11989</v>
      </c>
      <c r="AH720" s="3">
        <v>0</v>
      </c>
      <c r="AJ720" s="3">
        <v>0</v>
      </c>
    </row>
    <row r="721" spans="1:38" x14ac:dyDescent="0.25">
      <c r="A721">
        <v>713</v>
      </c>
      <c r="B721" s="29" t="s">
        <v>45</v>
      </c>
      <c r="C721" s="29" t="s">
        <v>46</v>
      </c>
      <c r="D721" s="4" t="str">
        <f>"16360"</f>
        <v>16360</v>
      </c>
      <c r="E721" s="4" t="str">
        <f t="shared" si="22"/>
        <v>FE16360</v>
      </c>
      <c r="F721" s="7">
        <v>44359</v>
      </c>
      <c r="G721" s="7">
        <v>44378</v>
      </c>
      <c r="H721" s="34">
        <v>15489</v>
      </c>
      <c r="I721" s="31">
        <v>11989</v>
      </c>
      <c r="J721" s="31">
        <f t="shared" si="23"/>
        <v>3500</v>
      </c>
      <c r="K721" s="2"/>
      <c r="N721" s="32">
        <v>0</v>
      </c>
      <c r="Q721" s="34">
        <v>0</v>
      </c>
      <c r="R721" s="45"/>
      <c r="S721" s="4">
        <f>IFERROR(VLOOKUP(E721,'[2]td factu si'!$A:$B,1,0),0)</f>
        <v>0</v>
      </c>
      <c r="T721" s="2">
        <f>IFERROR(VLOOKUP(E721,'[2]td factu si'!$A:$B,2,0),0)*-1</f>
        <v>0</v>
      </c>
      <c r="W721" s="36"/>
      <c r="X721" s="6">
        <v>11989</v>
      </c>
      <c r="AH721" s="3">
        <v>0</v>
      </c>
      <c r="AJ721" s="3">
        <v>0</v>
      </c>
    </row>
    <row r="722" spans="1:38" x14ac:dyDescent="0.25">
      <c r="A722">
        <v>714</v>
      </c>
      <c r="B722" s="29" t="s">
        <v>45</v>
      </c>
      <c r="C722" s="29" t="s">
        <v>46</v>
      </c>
      <c r="D722" s="4" t="str">
        <f>"16363"</f>
        <v>16363</v>
      </c>
      <c r="E722" s="4" t="str">
        <f t="shared" si="22"/>
        <v>FE16363</v>
      </c>
      <c r="F722" s="7">
        <v>44359</v>
      </c>
      <c r="G722" s="7">
        <v>44378</v>
      </c>
      <c r="H722" s="34">
        <v>15489</v>
      </c>
      <c r="I722" s="31">
        <v>15489</v>
      </c>
      <c r="J722" s="31">
        <f t="shared" si="23"/>
        <v>0</v>
      </c>
      <c r="K722" s="2"/>
      <c r="N722" s="32">
        <v>0</v>
      </c>
      <c r="Q722" s="34">
        <v>0</v>
      </c>
      <c r="R722" s="45"/>
      <c r="S722" s="4">
        <f>IFERROR(VLOOKUP(E722,'[2]td factu si'!$A:$B,1,0),0)</f>
        <v>0</v>
      </c>
      <c r="T722" s="2">
        <f>IFERROR(VLOOKUP(E722,'[2]td factu si'!$A:$B,2,0),0)*-1</f>
        <v>0</v>
      </c>
      <c r="W722" s="36"/>
      <c r="X722" s="6">
        <v>15489</v>
      </c>
      <c r="AH722" s="3">
        <v>0</v>
      </c>
      <c r="AJ722" s="3">
        <v>0</v>
      </c>
    </row>
    <row r="723" spans="1:38" x14ac:dyDescent="0.25">
      <c r="A723">
        <v>715</v>
      </c>
      <c r="B723" s="29" t="s">
        <v>45</v>
      </c>
      <c r="C723" s="29" t="s">
        <v>46</v>
      </c>
      <c r="D723" s="4" t="str">
        <f>"16366"</f>
        <v>16366</v>
      </c>
      <c r="E723" s="4" t="str">
        <f t="shared" si="22"/>
        <v>FE16366</v>
      </c>
      <c r="F723" s="7">
        <v>44359</v>
      </c>
      <c r="G723" s="7">
        <v>44378</v>
      </c>
      <c r="H723" s="34">
        <v>15489</v>
      </c>
      <c r="I723" s="31">
        <v>15489</v>
      </c>
      <c r="J723" s="31">
        <f t="shared" si="23"/>
        <v>0</v>
      </c>
      <c r="K723" s="2"/>
      <c r="N723" s="32">
        <v>0</v>
      </c>
      <c r="Q723" s="34">
        <v>0</v>
      </c>
      <c r="R723" s="45"/>
      <c r="S723" s="4">
        <f>IFERROR(VLOOKUP(E723,'[2]td factu si'!$A:$B,1,0),0)</f>
        <v>0</v>
      </c>
      <c r="T723" s="2">
        <f>IFERROR(VLOOKUP(E723,'[2]td factu si'!$A:$B,2,0),0)*-1</f>
        <v>0</v>
      </c>
      <c r="W723" s="36"/>
      <c r="X723" s="6">
        <v>15489</v>
      </c>
      <c r="AH723" s="3">
        <v>0</v>
      </c>
      <c r="AJ723" s="3">
        <v>0</v>
      </c>
    </row>
    <row r="724" spans="1:38" x14ac:dyDescent="0.25">
      <c r="A724">
        <v>716</v>
      </c>
      <c r="B724" s="29" t="s">
        <v>45</v>
      </c>
      <c r="C724" s="29" t="s">
        <v>46</v>
      </c>
      <c r="D724" s="4" t="str">
        <f>"16367"</f>
        <v>16367</v>
      </c>
      <c r="E724" s="4" t="str">
        <f t="shared" si="22"/>
        <v>FE16367</v>
      </c>
      <c r="F724" s="7">
        <v>44359</v>
      </c>
      <c r="G724" s="7">
        <v>44378</v>
      </c>
      <c r="H724" s="34">
        <v>42848053</v>
      </c>
      <c r="I724" s="31">
        <v>42848053</v>
      </c>
      <c r="J724" s="31">
        <f t="shared" si="23"/>
        <v>0</v>
      </c>
      <c r="K724" s="2"/>
      <c r="N724" s="32">
        <v>0</v>
      </c>
      <c r="Q724" s="34">
        <v>0</v>
      </c>
      <c r="R724" s="45"/>
      <c r="S724" s="4">
        <f>IFERROR(VLOOKUP(E724,'[2]td factu si'!$A:$B,1,0),0)</f>
        <v>0</v>
      </c>
      <c r="T724" s="2">
        <f>IFERROR(VLOOKUP(E724,'[2]td factu si'!$A:$B,2,0),0)*-1</f>
        <v>0</v>
      </c>
      <c r="W724" s="36"/>
      <c r="X724" s="6">
        <v>42848053</v>
      </c>
      <c r="AH724" s="3">
        <v>0</v>
      </c>
      <c r="AJ724" s="3">
        <v>0</v>
      </c>
    </row>
    <row r="725" spans="1:38" x14ac:dyDescent="0.25">
      <c r="A725">
        <v>717</v>
      </c>
      <c r="B725" s="29" t="s">
        <v>45</v>
      </c>
      <c r="C725" s="29" t="s">
        <v>46</v>
      </c>
      <c r="D725" s="4" t="str">
        <f>"16372"</f>
        <v>16372</v>
      </c>
      <c r="E725" s="4" t="str">
        <f t="shared" si="22"/>
        <v>FE16372</v>
      </c>
      <c r="F725" s="7">
        <v>44359</v>
      </c>
      <c r="G725" s="7">
        <v>44378</v>
      </c>
      <c r="H725" s="34">
        <v>135855</v>
      </c>
      <c r="I725" s="31">
        <v>135855</v>
      </c>
      <c r="J725" s="31">
        <f t="shared" si="23"/>
        <v>0</v>
      </c>
      <c r="K725" s="2"/>
      <c r="N725" s="32">
        <v>0</v>
      </c>
      <c r="Q725" s="34">
        <v>0</v>
      </c>
      <c r="R725" s="45"/>
      <c r="S725" s="4">
        <f>IFERROR(VLOOKUP(E725,'[2]td factu si'!$A:$B,1,0),0)</f>
        <v>0</v>
      </c>
      <c r="T725" s="2">
        <f>IFERROR(VLOOKUP(E725,'[2]td factu si'!$A:$B,2,0),0)*-1</f>
        <v>0</v>
      </c>
      <c r="W725" s="36"/>
      <c r="X725" s="6">
        <v>135855</v>
      </c>
      <c r="AH725" s="3">
        <v>0</v>
      </c>
      <c r="AJ725" s="3">
        <v>0</v>
      </c>
    </row>
    <row r="726" spans="1:38" x14ac:dyDescent="0.25">
      <c r="A726">
        <v>718</v>
      </c>
      <c r="B726" s="29" t="s">
        <v>45</v>
      </c>
      <c r="C726" s="29" t="s">
        <v>46</v>
      </c>
      <c r="D726" s="4" t="str">
        <f>"16373"</f>
        <v>16373</v>
      </c>
      <c r="E726" s="4" t="str">
        <f t="shared" si="22"/>
        <v>FE16373</v>
      </c>
      <c r="F726" s="7">
        <v>44359</v>
      </c>
      <c r="G726" s="7">
        <v>44378</v>
      </c>
      <c r="H726" s="34">
        <v>317101</v>
      </c>
      <c r="I726" s="31">
        <v>310101</v>
      </c>
      <c r="J726" s="31">
        <f t="shared" si="23"/>
        <v>7000</v>
      </c>
      <c r="K726" s="2"/>
      <c r="N726" s="32">
        <v>0</v>
      </c>
      <c r="Q726" s="34">
        <v>0</v>
      </c>
      <c r="R726" s="45"/>
      <c r="S726" s="4">
        <f>IFERROR(VLOOKUP(E726,'[2]td factu si'!$A:$B,1,0),0)</f>
        <v>0</v>
      </c>
      <c r="T726" s="2">
        <f>IFERROR(VLOOKUP(E726,'[2]td factu si'!$A:$B,2,0),0)*-1</f>
        <v>0</v>
      </c>
      <c r="W726" s="36"/>
      <c r="X726" s="6">
        <v>310101</v>
      </c>
      <c r="AH726" s="3">
        <v>0</v>
      </c>
      <c r="AJ726" s="3">
        <v>0</v>
      </c>
    </row>
    <row r="727" spans="1:38" x14ac:dyDescent="0.25">
      <c r="A727">
        <v>719</v>
      </c>
      <c r="B727" s="29" t="s">
        <v>45</v>
      </c>
      <c r="C727" s="29" t="s">
        <v>46</v>
      </c>
      <c r="D727" s="4" t="str">
        <f>"16374"</f>
        <v>16374</v>
      </c>
      <c r="E727" s="4" t="str">
        <f t="shared" si="22"/>
        <v>FE16374</v>
      </c>
      <c r="F727" s="7">
        <v>44359</v>
      </c>
      <c r="G727" s="7">
        <v>44378</v>
      </c>
      <c r="H727" s="34">
        <v>181246</v>
      </c>
      <c r="I727" s="31">
        <v>181246</v>
      </c>
      <c r="J727" s="31">
        <f t="shared" si="23"/>
        <v>0</v>
      </c>
      <c r="K727" s="2"/>
      <c r="N727" s="32">
        <v>0</v>
      </c>
      <c r="Q727" s="34">
        <v>0</v>
      </c>
      <c r="R727" s="45"/>
      <c r="S727" s="4">
        <f>IFERROR(VLOOKUP(E727,'[2]td factu si'!$A:$B,1,0),0)</f>
        <v>0</v>
      </c>
      <c r="T727" s="2">
        <f>IFERROR(VLOOKUP(E727,'[2]td factu si'!$A:$B,2,0),0)*-1</f>
        <v>0</v>
      </c>
      <c r="W727" s="36"/>
      <c r="X727" s="6">
        <v>181246</v>
      </c>
      <c r="AH727" s="3">
        <v>0</v>
      </c>
      <c r="AJ727" s="3">
        <v>0</v>
      </c>
    </row>
    <row r="728" spans="1:38" x14ac:dyDescent="0.25">
      <c r="A728">
        <v>720</v>
      </c>
      <c r="B728" s="29" t="s">
        <v>45</v>
      </c>
      <c r="C728" s="29" t="s">
        <v>46</v>
      </c>
      <c r="D728" s="4" t="str">
        <f>"16375"</f>
        <v>16375</v>
      </c>
      <c r="E728" s="4" t="str">
        <f t="shared" si="22"/>
        <v>FE16375</v>
      </c>
      <c r="F728" s="7">
        <v>44359</v>
      </c>
      <c r="G728" s="7">
        <v>44378</v>
      </c>
      <c r="H728" s="34">
        <v>181246</v>
      </c>
      <c r="I728" s="31">
        <v>160403</v>
      </c>
      <c r="J728" s="31">
        <f t="shared" si="23"/>
        <v>20843</v>
      </c>
      <c r="K728" s="2"/>
      <c r="N728" s="32">
        <v>0</v>
      </c>
      <c r="Q728" s="34">
        <v>0</v>
      </c>
      <c r="R728" s="45"/>
      <c r="S728" s="4">
        <f>IFERROR(VLOOKUP(E728,'[2]td factu si'!$A:$B,1,0),0)</f>
        <v>0</v>
      </c>
      <c r="T728" s="2">
        <f>IFERROR(VLOOKUP(E728,'[2]td factu si'!$A:$B,2,0),0)*-1</f>
        <v>0</v>
      </c>
      <c r="W728" s="36"/>
      <c r="X728" s="6">
        <v>160403</v>
      </c>
      <c r="AH728" s="3">
        <v>0</v>
      </c>
      <c r="AJ728" s="3">
        <v>0</v>
      </c>
    </row>
    <row r="729" spans="1:38" x14ac:dyDescent="0.25">
      <c r="A729">
        <v>721</v>
      </c>
      <c r="B729" s="29" t="s">
        <v>45</v>
      </c>
      <c r="C729" s="29" t="s">
        <v>46</v>
      </c>
      <c r="D729" s="4" t="str">
        <f>"16376"</f>
        <v>16376</v>
      </c>
      <c r="E729" s="4" t="str">
        <f t="shared" si="22"/>
        <v>FE16376</v>
      </c>
      <c r="F729" s="7">
        <v>44359</v>
      </c>
      <c r="G729" s="7">
        <v>44378</v>
      </c>
      <c r="H729" s="34">
        <v>181246</v>
      </c>
      <c r="I729" s="31">
        <v>181246</v>
      </c>
      <c r="J729" s="31">
        <f t="shared" si="23"/>
        <v>0</v>
      </c>
      <c r="K729" s="2"/>
      <c r="N729" s="32">
        <v>0</v>
      </c>
      <c r="Q729" s="34">
        <v>0</v>
      </c>
      <c r="R729" s="45"/>
      <c r="S729" s="4">
        <f>IFERROR(VLOOKUP(E729,'[2]td factu si'!$A:$B,1,0),0)</f>
        <v>0</v>
      </c>
      <c r="T729" s="2">
        <f>IFERROR(VLOOKUP(E729,'[2]td factu si'!$A:$B,2,0),0)*-1</f>
        <v>0</v>
      </c>
      <c r="W729" s="36"/>
      <c r="X729" s="6">
        <v>181246</v>
      </c>
      <c r="AH729" s="3">
        <v>0</v>
      </c>
      <c r="AJ729" s="3">
        <v>0</v>
      </c>
    </row>
    <row r="730" spans="1:38" x14ac:dyDescent="0.25">
      <c r="A730">
        <v>722</v>
      </c>
      <c r="B730" s="29" t="s">
        <v>45</v>
      </c>
      <c r="C730" s="29" t="s">
        <v>46</v>
      </c>
      <c r="D730" s="4" t="str">
        <f>"16377"</f>
        <v>16377</v>
      </c>
      <c r="E730" s="4" t="str">
        <f t="shared" si="22"/>
        <v>FE16377</v>
      </c>
      <c r="F730" s="7">
        <v>44359</v>
      </c>
      <c r="G730" s="7">
        <v>44378</v>
      </c>
      <c r="H730" s="34">
        <v>181246</v>
      </c>
      <c r="I730" s="31">
        <v>181246</v>
      </c>
      <c r="J730" s="31">
        <f t="shared" si="23"/>
        <v>0</v>
      </c>
      <c r="K730" s="2"/>
      <c r="N730" s="32">
        <v>0</v>
      </c>
      <c r="Q730" s="34">
        <v>0</v>
      </c>
      <c r="R730" s="45"/>
      <c r="S730" s="4">
        <f>IFERROR(VLOOKUP(E730,'[2]td factu si'!$A:$B,1,0),0)</f>
        <v>0</v>
      </c>
      <c r="T730" s="2">
        <f>IFERROR(VLOOKUP(E730,'[2]td factu si'!$A:$B,2,0),0)*-1</f>
        <v>0</v>
      </c>
      <c r="W730" s="36"/>
      <c r="X730" s="6">
        <v>181246</v>
      </c>
      <c r="AH730" s="3">
        <v>0</v>
      </c>
      <c r="AJ730" s="3">
        <v>0</v>
      </c>
    </row>
    <row r="731" spans="1:38" x14ac:dyDescent="0.25">
      <c r="A731">
        <v>723</v>
      </c>
      <c r="B731" s="29" t="s">
        <v>45</v>
      </c>
      <c r="C731" s="29" t="s">
        <v>46</v>
      </c>
      <c r="D731" s="4" t="str">
        <f>"16378"</f>
        <v>16378</v>
      </c>
      <c r="E731" s="4" t="str">
        <f t="shared" si="22"/>
        <v>FE16378</v>
      </c>
      <c r="F731" s="7">
        <v>44359</v>
      </c>
      <c r="G731" s="7">
        <v>44378</v>
      </c>
      <c r="H731" s="34">
        <v>181246</v>
      </c>
      <c r="I731" s="31">
        <v>177746</v>
      </c>
      <c r="J731" s="31">
        <f t="shared" si="23"/>
        <v>3500</v>
      </c>
      <c r="K731" s="2"/>
      <c r="N731" s="32">
        <v>0</v>
      </c>
      <c r="Q731" s="34">
        <v>0</v>
      </c>
      <c r="R731" s="45"/>
      <c r="S731" s="4">
        <f>IFERROR(VLOOKUP(E731,'[2]td factu si'!$A:$B,1,0),0)</f>
        <v>0</v>
      </c>
      <c r="T731" s="2">
        <f>IFERROR(VLOOKUP(E731,'[2]td factu si'!$A:$B,2,0),0)*-1</f>
        <v>0</v>
      </c>
      <c r="W731" s="36"/>
      <c r="X731" s="6">
        <v>177746</v>
      </c>
      <c r="AH731" s="3">
        <v>0</v>
      </c>
      <c r="AJ731" s="3">
        <v>0</v>
      </c>
    </row>
    <row r="732" spans="1:38" x14ac:dyDescent="0.25">
      <c r="A732">
        <v>724</v>
      </c>
      <c r="B732" s="29" t="s">
        <v>45</v>
      </c>
      <c r="C732" s="29" t="s">
        <v>46</v>
      </c>
      <c r="D732" s="4" t="str">
        <f>"16379"</f>
        <v>16379</v>
      </c>
      <c r="E732" s="4" t="str">
        <f t="shared" si="22"/>
        <v>FE16379</v>
      </c>
      <c r="F732" s="7">
        <v>44359</v>
      </c>
      <c r="G732" s="7">
        <v>44378</v>
      </c>
      <c r="H732" s="34">
        <v>181246</v>
      </c>
      <c r="I732" s="31">
        <v>181246</v>
      </c>
      <c r="J732" s="31">
        <f t="shared" si="23"/>
        <v>0</v>
      </c>
      <c r="K732" s="2"/>
      <c r="N732" s="32">
        <v>0</v>
      </c>
      <c r="Q732" s="34">
        <v>0</v>
      </c>
      <c r="R732" s="45"/>
      <c r="S732" s="4">
        <f>IFERROR(VLOOKUP(E732,'[2]td factu si'!$A:$B,1,0),0)</f>
        <v>0</v>
      </c>
      <c r="T732" s="2">
        <f>IFERROR(VLOOKUP(E732,'[2]td factu si'!$A:$B,2,0),0)*-1</f>
        <v>0</v>
      </c>
      <c r="W732" s="36"/>
      <c r="X732" s="6">
        <v>181246</v>
      </c>
      <c r="AH732" s="3">
        <v>0</v>
      </c>
      <c r="AJ732" s="3">
        <v>0</v>
      </c>
    </row>
    <row r="733" spans="1:38" x14ac:dyDescent="0.25">
      <c r="A733">
        <v>725</v>
      </c>
      <c r="B733" s="29" t="s">
        <v>45</v>
      </c>
      <c r="C733" s="29" t="s">
        <v>46</v>
      </c>
      <c r="D733" s="4" t="str">
        <f>"16381"</f>
        <v>16381</v>
      </c>
      <c r="E733" s="4" t="str">
        <f t="shared" si="22"/>
        <v>FE16381</v>
      </c>
      <c r="F733" s="7">
        <v>44362</v>
      </c>
      <c r="G733" s="7">
        <v>44378</v>
      </c>
      <c r="H733" s="34">
        <v>135855</v>
      </c>
      <c r="I733" s="31">
        <v>132355</v>
      </c>
      <c r="J733" s="31">
        <f t="shared" si="23"/>
        <v>3500</v>
      </c>
      <c r="K733" s="2"/>
      <c r="N733" s="32">
        <v>0</v>
      </c>
      <c r="Q733" s="34">
        <v>0</v>
      </c>
      <c r="R733" s="45"/>
      <c r="S733" s="4">
        <f>IFERROR(VLOOKUP(E733,'[2]td factu si'!$A:$B,1,0),0)</f>
        <v>0</v>
      </c>
      <c r="T733" s="2">
        <f>IFERROR(VLOOKUP(E733,'[2]td factu si'!$A:$B,2,0),0)*-1</f>
        <v>0</v>
      </c>
      <c r="W733" s="36"/>
      <c r="X733" s="6">
        <v>132355</v>
      </c>
      <c r="AH733" s="3">
        <v>0</v>
      </c>
      <c r="AJ733" s="3">
        <v>0</v>
      </c>
    </row>
    <row r="734" spans="1:38" x14ac:dyDescent="0.25">
      <c r="A734">
        <v>726</v>
      </c>
      <c r="B734" s="29" t="s">
        <v>45</v>
      </c>
      <c r="C734" s="29" t="s">
        <v>46</v>
      </c>
      <c r="D734" s="4" t="str">
        <f>"16383"</f>
        <v>16383</v>
      </c>
      <c r="E734" s="4" t="str">
        <f t="shared" si="22"/>
        <v>FE16383</v>
      </c>
      <c r="F734" s="7">
        <v>44362</v>
      </c>
      <c r="G734" s="7">
        <v>44378</v>
      </c>
      <c r="H734" s="34">
        <v>317101</v>
      </c>
      <c r="I734" s="31">
        <v>317101</v>
      </c>
      <c r="J734" s="31">
        <f t="shared" si="23"/>
        <v>0</v>
      </c>
      <c r="K734" s="2"/>
      <c r="N734" s="32">
        <v>0</v>
      </c>
      <c r="Q734" s="34">
        <v>0</v>
      </c>
      <c r="R734" s="45"/>
      <c r="S734" s="4">
        <f>IFERROR(VLOOKUP(E734,'[2]td factu si'!$A:$B,1,0),0)</f>
        <v>0</v>
      </c>
      <c r="T734" s="2">
        <f>IFERROR(VLOOKUP(E734,'[2]td factu si'!$A:$B,2,0),0)*-1</f>
        <v>0</v>
      </c>
      <c r="W734" s="36"/>
      <c r="AH734" s="3">
        <v>0</v>
      </c>
      <c r="AJ734" s="3">
        <v>0</v>
      </c>
      <c r="AL734" s="39" t="s">
        <v>49</v>
      </c>
    </row>
    <row r="735" spans="1:38" x14ac:dyDescent="0.25">
      <c r="A735">
        <v>727</v>
      </c>
      <c r="B735" s="29" t="s">
        <v>45</v>
      </c>
      <c r="C735" s="29" t="s">
        <v>46</v>
      </c>
      <c r="D735" s="4" t="str">
        <f>"16387"</f>
        <v>16387</v>
      </c>
      <c r="E735" s="4" t="str">
        <f t="shared" si="22"/>
        <v>FE16387</v>
      </c>
      <c r="F735" s="7">
        <v>44362</v>
      </c>
      <c r="G735" s="7">
        <v>44378</v>
      </c>
      <c r="H735" s="34">
        <v>235243</v>
      </c>
      <c r="I735" s="31">
        <v>235243</v>
      </c>
      <c r="J735" s="31">
        <f t="shared" si="23"/>
        <v>0</v>
      </c>
      <c r="K735" s="2"/>
      <c r="N735" s="32">
        <v>0</v>
      </c>
      <c r="Q735" s="34">
        <v>0</v>
      </c>
      <c r="R735" s="45"/>
      <c r="S735" s="4">
        <f>IFERROR(VLOOKUP(E735,'[2]td factu si'!$A:$B,1,0),0)</f>
        <v>0</v>
      </c>
      <c r="T735" s="2">
        <f>IFERROR(VLOOKUP(E735,'[2]td factu si'!$A:$B,2,0),0)*-1</f>
        <v>0</v>
      </c>
      <c r="W735" s="36"/>
      <c r="AH735" s="3">
        <v>0</v>
      </c>
      <c r="AJ735" s="3">
        <v>0</v>
      </c>
      <c r="AL735" s="39" t="s">
        <v>49</v>
      </c>
    </row>
    <row r="736" spans="1:38" x14ac:dyDescent="0.25">
      <c r="A736">
        <v>728</v>
      </c>
      <c r="B736" s="29" t="s">
        <v>45</v>
      </c>
      <c r="C736" s="29" t="s">
        <v>46</v>
      </c>
      <c r="D736" s="4" t="str">
        <f>"16389"</f>
        <v>16389</v>
      </c>
      <c r="E736" s="4" t="str">
        <f t="shared" si="22"/>
        <v>FE16389</v>
      </c>
      <c r="F736" s="7">
        <v>44362</v>
      </c>
      <c r="G736" s="7">
        <v>44378</v>
      </c>
      <c r="H736" s="34">
        <v>234979</v>
      </c>
      <c r="I736" s="31">
        <v>234979</v>
      </c>
      <c r="J736" s="31">
        <f t="shared" si="23"/>
        <v>0</v>
      </c>
      <c r="K736" s="2"/>
      <c r="N736" s="32">
        <v>0</v>
      </c>
      <c r="Q736" s="34">
        <v>0</v>
      </c>
      <c r="R736" s="45"/>
      <c r="S736" s="4">
        <f>IFERROR(VLOOKUP(E736,'[2]td factu si'!$A:$B,1,0),0)</f>
        <v>0</v>
      </c>
      <c r="T736" s="2">
        <f>IFERROR(VLOOKUP(E736,'[2]td factu si'!$A:$B,2,0),0)*-1</f>
        <v>0</v>
      </c>
      <c r="W736" s="36"/>
      <c r="AH736" s="3">
        <v>0</v>
      </c>
      <c r="AJ736" s="3">
        <v>0</v>
      </c>
      <c r="AL736" s="39" t="s">
        <v>49</v>
      </c>
    </row>
    <row r="737" spans="1:38" x14ac:dyDescent="0.25">
      <c r="A737">
        <v>729</v>
      </c>
      <c r="B737" s="29" t="s">
        <v>45</v>
      </c>
      <c r="C737" s="29" t="s">
        <v>46</v>
      </c>
      <c r="D737" s="4" t="str">
        <f>"16394"</f>
        <v>16394</v>
      </c>
      <c r="E737" s="4" t="str">
        <f t="shared" si="22"/>
        <v>FE16394</v>
      </c>
      <c r="F737" s="7">
        <v>44362</v>
      </c>
      <c r="G737" s="7">
        <v>44378</v>
      </c>
      <c r="H737" s="34">
        <v>34115521</v>
      </c>
      <c r="I737" s="31">
        <v>34115521</v>
      </c>
      <c r="J737" s="31">
        <f t="shared" si="23"/>
        <v>0</v>
      </c>
      <c r="K737" s="2"/>
      <c r="N737" s="32">
        <v>0</v>
      </c>
      <c r="Q737" s="34">
        <v>0</v>
      </c>
      <c r="R737" s="45"/>
      <c r="S737" s="4">
        <f>IFERROR(VLOOKUP(E737,'[2]td factu si'!$A:$B,1,0),0)</f>
        <v>0</v>
      </c>
      <c r="T737" s="2">
        <f>IFERROR(VLOOKUP(E737,'[2]td factu si'!$A:$B,2,0),0)*-1</f>
        <v>0</v>
      </c>
      <c r="W737" s="36"/>
      <c r="X737" s="6">
        <v>34115521</v>
      </c>
      <c r="AH737" s="3">
        <v>0</v>
      </c>
      <c r="AJ737" s="3">
        <v>0</v>
      </c>
    </row>
    <row r="738" spans="1:38" x14ac:dyDescent="0.25">
      <c r="A738">
        <v>730</v>
      </c>
      <c r="B738" s="29" t="s">
        <v>45</v>
      </c>
      <c r="C738" s="29" t="s">
        <v>46</v>
      </c>
      <c r="D738" s="4" t="str">
        <f>"16395"</f>
        <v>16395</v>
      </c>
      <c r="E738" s="4" t="str">
        <f t="shared" si="22"/>
        <v>FE16395</v>
      </c>
      <c r="F738" s="7">
        <v>44362</v>
      </c>
      <c r="G738" s="7">
        <v>44378</v>
      </c>
      <c r="H738" s="34">
        <v>12059511</v>
      </c>
      <c r="I738" s="31">
        <v>12059511</v>
      </c>
      <c r="J738" s="31">
        <f t="shared" si="23"/>
        <v>0</v>
      </c>
      <c r="K738" s="2"/>
      <c r="N738" s="32">
        <v>0</v>
      </c>
      <c r="Q738" s="34">
        <v>0</v>
      </c>
      <c r="R738" s="45"/>
      <c r="S738" s="4">
        <f>IFERROR(VLOOKUP(E738,'[2]td factu si'!$A:$B,1,0),0)</f>
        <v>0</v>
      </c>
      <c r="T738" s="2">
        <f>IFERROR(VLOOKUP(E738,'[2]td factu si'!$A:$B,2,0),0)*-1</f>
        <v>0</v>
      </c>
      <c r="W738" s="36"/>
      <c r="X738" s="6">
        <v>12059511</v>
      </c>
      <c r="AH738" s="3">
        <v>0</v>
      </c>
      <c r="AJ738" s="3">
        <v>0</v>
      </c>
    </row>
    <row r="739" spans="1:38" x14ac:dyDescent="0.25">
      <c r="A739">
        <v>731</v>
      </c>
      <c r="B739" s="29" t="s">
        <v>45</v>
      </c>
      <c r="C739" s="29" t="s">
        <v>46</v>
      </c>
      <c r="D739" s="4" t="str">
        <f>"16409"</f>
        <v>16409</v>
      </c>
      <c r="E739" s="4" t="str">
        <f t="shared" si="22"/>
        <v>FE16409</v>
      </c>
      <c r="F739" s="7">
        <v>44362</v>
      </c>
      <c r="G739" s="7">
        <v>44378</v>
      </c>
      <c r="H739" s="34">
        <v>339170</v>
      </c>
      <c r="I739" s="31">
        <v>339170</v>
      </c>
      <c r="J739" s="31">
        <f t="shared" si="23"/>
        <v>0</v>
      </c>
      <c r="K739" s="2"/>
      <c r="N739" s="32">
        <v>0</v>
      </c>
      <c r="Q739" s="34">
        <v>0</v>
      </c>
      <c r="R739" s="45"/>
      <c r="S739" s="4">
        <f>IFERROR(VLOOKUP(E739,'[2]td factu si'!$A:$B,1,0),0)</f>
        <v>0</v>
      </c>
      <c r="T739" s="2">
        <f>IFERROR(VLOOKUP(E739,'[2]td factu si'!$A:$B,2,0),0)*-1</f>
        <v>0</v>
      </c>
      <c r="W739" s="36"/>
      <c r="AH739" s="3">
        <v>0</v>
      </c>
      <c r="AJ739" s="3">
        <v>0</v>
      </c>
      <c r="AL739" s="39" t="s">
        <v>49</v>
      </c>
    </row>
    <row r="740" spans="1:38" x14ac:dyDescent="0.25">
      <c r="A740">
        <v>732</v>
      </c>
      <c r="B740" s="29" t="s">
        <v>45</v>
      </c>
      <c r="C740" s="29" t="s">
        <v>46</v>
      </c>
      <c r="D740" s="4" t="str">
        <f>"16411"</f>
        <v>16411</v>
      </c>
      <c r="E740" s="4" t="str">
        <f t="shared" si="22"/>
        <v>FE16411</v>
      </c>
      <c r="F740" s="7">
        <v>44362</v>
      </c>
      <c r="G740" s="7">
        <v>44378</v>
      </c>
      <c r="H740" s="34">
        <v>11234936</v>
      </c>
      <c r="I740" s="31">
        <v>11234936</v>
      </c>
      <c r="J740" s="31">
        <f t="shared" si="23"/>
        <v>0</v>
      </c>
      <c r="K740" s="2"/>
      <c r="N740" s="32">
        <v>0</v>
      </c>
      <c r="Q740" s="34">
        <v>0</v>
      </c>
      <c r="R740" s="45"/>
      <c r="S740" s="4">
        <f>IFERROR(VLOOKUP(E740,'[2]td factu si'!$A:$B,1,0),0)</f>
        <v>0</v>
      </c>
      <c r="T740" s="2">
        <f>IFERROR(VLOOKUP(E740,'[2]td factu si'!$A:$B,2,0),0)*-1</f>
        <v>0</v>
      </c>
      <c r="W740" s="36"/>
      <c r="X740" s="6">
        <v>11234936</v>
      </c>
      <c r="AH740" s="3">
        <v>0</v>
      </c>
      <c r="AJ740" s="3">
        <v>0</v>
      </c>
    </row>
    <row r="741" spans="1:38" x14ac:dyDescent="0.25">
      <c r="A741">
        <v>733</v>
      </c>
      <c r="B741" s="29" t="s">
        <v>45</v>
      </c>
      <c r="C741" s="29" t="s">
        <v>46</v>
      </c>
      <c r="D741" s="4" t="str">
        <f>"16412"</f>
        <v>16412</v>
      </c>
      <c r="E741" s="4" t="str">
        <f t="shared" si="22"/>
        <v>FE16412</v>
      </c>
      <c r="F741" s="7">
        <v>44362</v>
      </c>
      <c r="G741" s="7">
        <v>44378</v>
      </c>
      <c r="H741" s="34">
        <v>339170</v>
      </c>
      <c r="I741" s="31">
        <v>339170</v>
      </c>
      <c r="J741" s="31">
        <f t="shared" si="23"/>
        <v>0</v>
      </c>
      <c r="K741" s="2"/>
      <c r="N741" s="32">
        <v>0</v>
      </c>
      <c r="Q741" s="34">
        <v>0</v>
      </c>
      <c r="R741" s="45"/>
      <c r="S741" s="4">
        <f>IFERROR(VLOOKUP(E741,'[2]td factu si'!$A:$B,1,0),0)</f>
        <v>0</v>
      </c>
      <c r="T741" s="2">
        <f>IFERROR(VLOOKUP(E741,'[2]td factu si'!$A:$B,2,0),0)*-1</f>
        <v>0</v>
      </c>
      <c r="W741" s="36"/>
      <c r="AH741" s="3">
        <v>0</v>
      </c>
      <c r="AJ741" s="3">
        <v>0</v>
      </c>
      <c r="AL741" s="39" t="s">
        <v>49</v>
      </c>
    </row>
    <row r="742" spans="1:38" x14ac:dyDescent="0.25">
      <c r="A742">
        <v>734</v>
      </c>
      <c r="B742" s="29" t="s">
        <v>45</v>
      </c>
      <c r="C742" s="29" t="s">
        <v>46</v>
      </c>
      <c r="D742" s="4" t="str">
        <f>"16414"</f>
        <v>16414</v>
      </c>
      <c r="E742" s="4" t="str">
        <f t="shared" si="22"/>
        <v>FE16414</v>
      </c>
      <c r="F742" s="7">
        <v>44362</v>
      </c>
      <c r="G742" s="7">
        <v>44378</v>
      </c>
      <c r="H742" s="34">
        <v>4167352</v>
      </c>
      <c r="I742" s="31">
        <v>4167352</v>
      </c>
      <c r="J742" s="31">
        <f t="shared" si="23"/>
        <v>0</v>
      </c>
      <c r="K742" s="2"/>
      <c r="N742" s="32">
        <v>0</v>
      </c>
      <c r="Q742" s="34">
        <v>0</v>
      </c>
      <c r="R742" s="45"/>
      <c r="S742" s="4">
        <f>IFERROR(VLOOKUP(E742,'[2]td factu si'!$A:$B,1,0),0)</f>
        <v>0</v>
      </c>
      <c r="T742" s="2">
        <f>IFERROR(VLOOKUP(E742,'[2]td factu si'!$A:$B,2,0),0)*-1</f>
        <v>0</v>
      </c>
      <c r="W742" s="36"/>
      <c r="X742" s="6">
        <v>4167352</v>
      </c>
      <c r="AH742" s="3">
        <v>0</v>
      </c>
      <c r="AJ742" s="3">
        <v>0</v>
      </c>
    </row>
    <row r="743" spans="1:38" x14ac:dyDescent="0.25">
      <c r="A743">
        <v>735</v>
      </c>
      <c r="B743" s="29" t="s">
        <v>45</v>
      </c>
      <c r="C743" s="29" t="s">
        <v>46</v>
      </c>
      <c r="D743" s="4" t="str">
        <f>"16416"</f>
        <v>16416</v>
      </c>
      <c r="E743" s="4" t="str">
        <f t="shared" si="22"/>
        <v>FE16416</v>
      </c>
      <c r="F743" s="7">
        <v>44362</v>
      </c>
      <c r="G743" s="7">
        <v>44378</v>
      </c>
      <c r="H743" s="34">
        <v>317101</v>
      </c>
      <c r="I743" s="31">
        <v>280634</v>
      </c>
      <c r="J743" s="31">
        <f t="shared" si="23"/>
        <v>36467</v>
      </c>
      <c r="K743" s="2"/>
      <c r="N743" s="32">
        <v>0</v>
      </c>
      <c r="Q743" s="34">
        <v>0</v>
      </c>
      <c r="R743" s="45"/>
      <c r="S743" s="4">
        <f>IFERROR(VLOOKUP(E743,'[2]td factu si'!$A:$B,1,0),0)</f>
        <v>0</v>
      </c>
      <c r="T743" s="2">
        <f>IFERROR(VLOOKUP(E743,'[2]td factu si'!$A:$B,2,0),0)*-1</f>
        <v>0</v>
      </c>
      <c r="W743" s="36"/>
      <c r="X743" s="6">
        <v>280634</v>
      </c>
      <c r="AH743" s="3">
        <v>0</v>
      </c>
      <c r="AJ743" s="3">
        <v>0</v>
      </c>
    </row>
    <row r="744" spans="1:38" x14ac:dyDescent="0.25">
      <c r="A744">
        <v>736</v>
      </c>
      <c r="B744" s="29" t="s">
        <v>45</v>
      </c>
      <c r="C744" s="29" t="s">
        <v>46</v>
      </c>
      <c r="D744" s="4" t="str">
        <f>"16417"</f>
        <v>16417</v>
      </c>
      <c r="E744" s="4" t="str">
        <f t="shared" si="22"/>
        <v>FE16417</v>
      </c>
      <c r="F744" s="7">
        <v>44362</v>
      </c>
      <c r="G744" s="7">
        <v>44378</v>
      </c>
      <c r="H744" s="34">
        <v>135855</v>
      </c>
      <c r="I744" s="31">
        <v>132355</v>
      </c>
      <c r="J744" s="31">
        <f t="shared" si="23"/>
        <v>3500</v>
      </c>
      <c r="K744" s="2"/>
      <c r="N744" s="32">
        <v>0</v>
      </c>
      <c r="Q744" s="34">
        <v>0</v>
      </c>
      <c r="R744" s="45"/>
      <c r="S744" s="4">
        <f>IFERROR(VLOOKUP(E744,'[2]td factu si'!$A:$B,1,0),0)</f>
        <v>0</v>
      </c>
      <c r="T744" s="2">
        <f>IFERROR(VLOOKUP(E744,'[2]td factu si'!$A:$B,2,0),0)*-1</f>
        <v>0</v>
      </c>
      <c r="W744" s="36"/>
      <c r="X744" s="6">
        <v>132355</v>
      </c>
      <c r="AH744" s="3">
        <v>0</v>
      </c>
      <c r="AJ744" s="3">
        <v>0</v>
      </c>
    </row>
    <row r="745" spans="1:38" x14ac:dyDescent="0.25">
      <c r="A745">
        <v>737</v>
      </c>
      <c r="B745" s="29" t="s">
        <v>45</v>
      </c>
      <c r="C745" s="29" t="s">
        <v>46</v>
      </c>
      <c r="D745" s="4" t="str">
        <f>"16418"</f>
        <v>16418</v>
      </c>
      <c r="E745" s="4" t="str">
        <f t="shared" si="22"/>
        <v>FE16418</v>
      </c>
      <c r="F745" s="7">
        <v>44362</v>
      </c>
      <c r="G745" s="7">
        <v>44378</v>
      </c>
      <c r="H745" s="34">
        <v>317101</v>
      </c>
      <c r="I745" s="31">
        <v>317101</v>
      </c>
      <c r="J745" s="31">
        <f t="shared" si="23"/>
        <v>0</v>
      </c>
      <c r="K745" s="2"/>
      <c r="N745" s="32">
        <v>0</v>
      </c>
      <c r="Q745" s="34">
        <v>0</v>
      </c>
      <c r="R745" s="45"/>
      <c r="S745" s="4">
        <f>IFERROR(VLOOKUP(E745,'[2]td factu si'!$A:$B,1,0),0)</f>
        <v>0</v>
      </c>
      <c r="T745" s="2">
        <f>IFERROR(VLOOKUP(E745,'[2]td factu si'!$A:$B,2,0),0)*-1</f>
        <v>0</v>
      </c>
      <c r="W745" s="36"/>
      <c r="X745" s="6">
        <v>317101</v>
      </c>
      <c r="AH745" s="3">
        <v>0</v>
      </c>
      <c r="AJ745" s="3">
        <v>0</v>
      </c>
    </row>
    <row r="746" spans="1:38" x14ac:dyDescent="0.25">
      <c r="A746">
        <v>738</v>
      </c>
      <c r="B746" s="29" t="s">
        <v>45</v>
      </c>
      <c r="C746" s="29" t="s">
        <v>46</v>
      </c>
      <c r="D746" s="4" t="str">
        <f>"16426"</f>
        <v>16426</v>
      </c>
      <c r="E746" s="4" t="str">
        <f t="shared" si="22"/>
        <v>FE16426</v>
      </c>
      <c r="F746" s="7">
        <v>44362</v>
      </c>
      <c r="G746" s="7">
        <v>44378</v>
      </c>
      <c r="H746" s="34">
        <v>181246</v>
      </c>
      <c r="I746" s="31">
        <v>181246</v>
      </c>
      <c r="J746" s="31">
        <f t="shared" si="23"/>
        <v>0</v>
      </c>
      <c r="K746" s="2"/>
      <c r="N746" s="32">
        <v>0</v>
      </c>
      <c r="Q746" s="34">
        <v>0</v>
      </c>
      <c r="R746" s="45"/>
      <c r="S746" s="4">
        <f>IFERROR(VLOOKUP(E746,'[2]td factu si'!$A:$B,1,0),0)</f>
        <v>0</v>
      </c>
      <c r="T746" s="2">
        <f>IFERROR(VLOOKUP(E746,'[2]td factu si'!$A:$B,2,0),0)*-1</f>
        <v>0</v>
      </c>
      <c r="W746" s="36"/>
      <c r="X746" s="6">
        <v>181246</v>
      </c>
      <c r="AH746" s="3">
        <v>0</v>
      </c>
      <c r="AJ746" s="3">
        <v>0</v>
      </c>
    </row>
    <row r="747" spans="1:38" x14ac:dyDescent="0.25">
      <c r="A747">
        <v>739</v>
      </c>
      <c r="B747" s="29" t="s">
        <v>45</v>
      </c>
      <c r="C747" s="29" t="s">
        <v>46</v>
      </c>
      <c r="D747" s="4" t="str">
        <f>"16428"</f>
        <v>16428</v>
      </c>
      <c r="E747" s="4" t="str">
        <f t="shared" si="22"/>
        <v>FE16428</v>
      </c>
      <c r="F747" s="7">
        <v>44362</v>
      </c>
      <c r="G747" s="7">
        <v>44378</v>
      </c>
      <c r="H747" s="34">
        <v>181246</v>
      </c>
      <c r="I747" s="31">
        <v>181246</v>
      </c>
      <c r="J747" s="31">
        <f t="shared" si="23"/>
        <v>0</v>
      </c>
      <c r="K747" s="2"/>
      <c r="N747" s="32">
        <v>0</v>
      </c>
      <c r="Q747" s="34">
        <v>0</v>
      </c>
      <c r="R747" s="45"/>
      <c r="S747" s="4">
        <f>IFERROR(VLOOKUP(E747,'[2]td factu si'!$A:$B,1,0),0)</f>
        <v>0</v>
      </c>
      <c r="T747" s="2">
        <f>IFERROR(VLOOKUP(E747,'[2]td factu si'!$A:$B,2,0),0)*-1</f>
        <v>0</v>
      </c>
      <c r="W747" s="36"/>
      <c r="X747" s="6">
        <v>181246</v>
      </c>
      <c r="AH747" s="3">
        <v>0</v>
      </c>
      <c r="AJ747" s="3">
        <v>0</v>
      </c>
    </row>
    <row r="748" spans="1:38" x14ac:dyDescent="0.25">
      <c r="A748">
        <v>740</v>
      </c>
      <c r="B748" s="29" t="s">
        <v>45</v>
      </c>
      <c r="C748" s="29" t="s">
        <v>46</v>
      </c>
      <c r="D748" s="4" t="str">
        <f>"16429"</f>
        <v>16429</v>
      </c>
      <c r="E748" s="4" t="str">
        <f t="shared" si="22"/>
        <v>FE16429</v>
      </c>
      <c r="F748" s="7">
        <v>44362</v>
      </c>
      <c r="G748" s="7">
        <v>44378</v>
      </c>
      <c r="H748" s="34">
        <v>181246</v>
      </c>
      <c r="I748" s="31">
        <v>181246</v>
      </c>
      <c r="J748" s="31">
        <f t="shared" si="23"/>
        <v>0</v>
      </c>
      <c r="K748" s="2"/>
      <c r="N748" s="32">
        <v>0</v>
      </c>
      <c r="Q748" s="34">
        <v>0</v>
      </c>
      <c r="R748" s="45"/>
      <c r="S748" s="4">
        <f>IFERROR(VLOOKUP(E748,'[2]td factu si'!$A:$B,1,0),0)</f>
        <v>0</v>
      </c>
      <c r="T748" s="2">
        <f>IFERROR(VLOOKUP(E748,'[2]td factu si'!$A:$B,2,0),0)*-1</f>
        <v>0</v>
      </c>
      <c r="W748" s="36"/>
      <c r="X748" s="6">
        <v>181246</v>
      </c>
      <c r="AH748" s="3">
        <v>0</v>
      </c>
      <c r="AJ748" s="3">
        <v>0</v>
      </c>
    </row>
    <row r="749" spans="1:38" x14ac:dyDescent="0.25">
      <c r="A749">
        <v>741</v>
      </c>
      <c r="B749" s="29" t="s">
        <v>45</v>
      </c>
      <c r="C749" s="29" t="s">
        <v>46</v>
      </c>
      <c r="D749" s="4" t="str">
        <f>"16433"</f>
        <v>16433</v>
      </c>
      <c r="E749" s="4" t="str">
        <f t="shared" si="22"/>
        <v>FE16433</v>
      </c>
      <c r="F749" s="7">
        <v>44362</v>
      </c>
      <c r="G749" s="7">
        <v>44378</v>
      </c>
      <c r="H749" s="34">
        <v>181246</v>
      </c>
      <c r="I749" s="31">
        <v>181246</v>
      </c>
      <c r="J749" s="31">
        <f t="shared" si="23"/>
        <v>0</v>
      </c>
      <c r="K749" s="2"/>
      <c r="N749" s="32">
        <v>0</v>
      </c>
      <c r="Q749" s="34">
        <v>0</v>
      </c>
      <c r="R749" s="45"/>
      <c r="S749" s="4">
        <f>IFERROR(VLOOKUP(E749,'[2]td factu si'!$A:$B,1,0),0)</f>
        <v>0</v>
      </c>
      <c r="T749" s="2">
        <f>IFERROR(VLOOKUP(E749,'[2]td factu si'!$A:$B,2,0),0)*-1</f>
        <v>0</v>
      </c>
      <c r="W749" s="36"/>
      <c r="X749" s="6">
        <v>181246</v>
      </c>
      <c r="AH749" s="3">
        <v>0</v>
      </c>
      <c r="AJ749" s="3">
        <v>0</v>
      </c>
    </row>
    <row r="750" spans="1:38" x14ac:dyDescent="0.25">
      <c r="A750">
        <v>742</v>
      </c>
      <c r="B750" s="29" t="s">
        <v>45</v>
      </c>
      <c r="C750" s="29" t="s">
        <v>46</v>
      </c>
      <c r="D750" s="4" t="str">
        <f>"16434"</f>
        <v>16434</v>
      </c>
      <c r="E750" s="4" t="str">
        <f t="shared" si="22"/>
        <v>FE16434</v>
      </c>
      <c r="F750" s="7">
        <v>44362</v>
      </c>
      <c r="G750" s="7">
        <v>44378</v>
      </c>
      <c r="H750" s="34">
        <v>181246</v>
      </c>
      <c r="I750" s="31">
        <v>181246</v>
      </c>
      <c r="J750" s="31">
        <f t="shared" si="23"/>
        <v>0</v>
      </c>
      <c r="K750" s="2"/>
      <c r="N750" s="32">
        <v>0</v>
      </c>
      <c r="Q750" s="34">
        <v>0</v>
      </c>
      <c r="R750" s="45"/>
      <c r="S750" s="4">
        <f>IFERROR(VLOOKUP(E750,'[2]td factu si'!$A:$B,1,0),0)</f>
        <v>0</v>
      </c>
      <c r="T750" s="2">
        <f>IFERROR(VLOOKUP(E750,'[2]td factu si'!$A:$B,2,0),0)*-1</f>
        <v>0</v>
      </c>
      <c r="W750" s="36"/>
      <c r="X750" s="6">
        <v>181246</v>
      </c>
      <c r="AH750" s="3">
        <v>0</v>
      </c>
      <c r="AJ750" s="3">
        <v>0</v>
      </c>
    </row>
    <row r="751" spans="1:38" x14ac:dyDescent="0.25">
      <c r="A751">
        <v>743</v>
      </c>
      <c r="B751" s="29" t="s">
        <v>45</v>
      </c>
      <c r="C751" s="29" t="s">
        <v>46</v>
      </c>
      <c r="D751" s="4" t="str">
        <f>"16435"</f>
        <v>16435</v>
      </c>
      <c r="E751" s="4" t="str">
        <f t="shared" si="22"/>
        <v>FE16435</v>
      </c>
      <c r="F751" s="7">
        <v>44362</v>
      </c>
      <c r="G751" s="7">
        <v>44378</v>
      </c>
      <c r="H751" s="34">
        <v>99388</v>
      </c>
      <c r="I751" s="31">
        <v>95888</v>
      </c>
      <c r="J751" s="31">
        <f t="shared" si="23"/>
        <v>3500</v>
      </c>
      <c r="K751" s="2"/>
      <c r="N751" s="32">
        <v>0</v>
      </c>
      <c r="Q751" s="34">
        <v>0</v>
      </c>
      <c r="R751" s="45"/>
      <c r="S751" s="4">
        <f>IFERROR(VLOOKUP(E751,'[2]td factu si'!$A:$B,1,0),0)</f>
        <v>0</v>
      </c>
      <c r="T751" s="2">
        <f>IFERROR(VLOOKUP(E751,'[2]td factu si'!$A:$B,2,0),0)*-1</f>
        <v>0</v>
      </c>
      <c r="W751" s="36"/>
      <c r="X751" s="6">
        <v>95888</v>
      </c>
      <c r="AH751" s="3">
        <v>0</v>
      </c>
      <c r="AJ751" s="3">
        <v>0</v>
      </c>
    </row>
    <row r="752" spans="1:38" x14ac:dyDescent="0.25">
      <c r="A752">
        <v>744</v>
      </c>
      <c r="B752" s="29" t="s">
        <v>45</v>
      </c>
      <c r="C752" s="29" t="s">
        <v>46</v>
      </c>
      <c r="D752" s="4" t="str">
        <f>"16438"</f>
        <v>16438</v>
      </c>
      <c r="E752" s="4" t="str">
        <f t="shared" si="22"/>
        <v>FE16438</v>
      </c>
      <c r="F752" s="7">
        <v>44362</v>
      </c>
      <c r="G752" s="7">
        <v>44378</v>
      </c>
      <c r="H752" s="34">
        <v>116393</v>
      </c>
      <c r="I752" s="31">
        <v>116393</v>
      </c>
      <c r="J752" s="31">
        <f t="shared" si="23"/>
        <v>0</v>
      </c>
      <c r="K752" s="2"/>
      <c r="N752" s="32">
        <v>0</v>
      </c>
      <c r="Q752" s="34">
        <v>0</v>
      </c>
      <c r="R752" s="45"/>
      <c r="S752" s="4">
        <f>IFERROR(VLOOKUP(E752,'[2]td factu si'!$A:$B,1,0),0)</f>
        <v>0</v>
      </c>
      <c r="T752" s="2">
        <f>IFERROR(VLOOKUP(E752,'[2]td factu si'!$A:$B,2,0),0)*-1</f>
        <v>0</v>
      </c>
      <c r="W752" s="36"/>
      <c r="AH752" s="3">
        <v>0</v>
      </c>
      <c r="AJ752" s="3">
        <v>0</v>
      </c>
      <c r="AL752" s="39" t="s">
        <v>49</v>
      </c>
    </row>
    <row r="753" spans="1:38" x14ac:dyDescent="0.25">
      <c r="A753">
        <v>745</v>
      </c>
      <c r="B753" s="29" t="s">
        <v>45</v>
      </c>
      <c r="C753" s="29" t="s">
        <v>46</v>
      </c>
      <c r="D753" s="4" t="str">
        <f>"16440"</f>
        <v>16440</v>
      </c>
      <c r="E753" s="4" t="str">
        <f t="shared" si="22"/>
        <v>FE16440</v>
      </c>
      <c r="F753" s="7">
        <v>44362</v>
      </c>
      <c r="G753" s="7">
        <v>44378</v>
      </c>
      <c r="H753" s="34">
        <v>116393</v>
      </c>
      <c r="I753" s="31">
        <v>116393</v>
      </c>
      <c r="J753" s="31">
        <f t="shared" si="23"/>
        <v>0</v>
      </c>
      <c r="K753" s="2"/>
      <c r="N753" s="32">
        <v>0</v>
      </c>
      <c r="Q753" s="34">
        <v>0</v>
      </c>
      <c r="R753" s="45"/>
      <c r="S753" s="4">
        <f>IFERROR(VLOOKUP(E753,'[2]td factu si'!$A:$B,1,0),0)</f>
        <v>0</v>
      </c>
      <c r="T753" s="2">
        <f>IFERROR(VLOOKUP(E753,'[2]td factu si'!$A:$B,2,0),0)*-1</f>
        <v>0</v>
      </c>
      <c r="W753" s="36"/>
      <c r="AH753" s="3">
        <v>0</v>
      </c>
      <c r="AJ753" s="3">
        <v>0</v>
      </c>
      <c r="AL753" s="39" t="s">
        <v>49</v>
      </c>
    </row>
    <row r="754" spans="1:38" x14ac:dyDescent="0.25">
      <c r="A754">
        <v>746</v>
      </c>
      <c r="B754" s="29" t="s">
        <v>45</v>
      </c>
      <c r="C754" s="29" t="s">
        <v>46</v>
      </c>
      <c r="D754" s="4" t="str">
        <f>"16442"</f>
        <v>16442</v>
      </c>
      <c r="E754" s="4" t="str">
        <f t="shared" si="22"/>
        <v>FE16442</v>
      </c>
      <c r="F754" s="7">
        <v>44362</v>
      </c>
      <c r="G754" s="7">
        <v>44378</v>
      </c>
      <c r="H754" s="34">
        <v>220624</v>
      </c>
      <c r="I754" s="31">
        <v>195252</v>
      </c>
      <c r="J754" s="31">
        <f t="shared" si="23"/>
        <v>25372</v>
      </c>
      <c r="K754" s="2"/>
      <c r="N754" s="32">
        <v>0</v>
      </c>
      <c r="Q754" s="34">
        <v>0</v>
      </c>
      <c r="R754" s="45"/>
      <c r="S754" s="4">
        <f>IFERROR(VLOOKUP(E754,'[2]td factu si'!$A:$B,1,0),0)</f>
        <v>0</v>
      </c>
      <c r="T754" s="2">
        <f>IFERROR(VLOOKUP(E754,'[2]td factu si'!$A:$B,2,0),0)*-1</f>
        <v>0</v>
      </c>
      <c r="W754" s="36"/>
      <c r="X754" s="6">
        <v>195252</v>
      </c>
      <c r="AH754" s="3">
        <v>0</v>
      </c>
      <c r="AJ754" s="3">
        <v>0</v>
      </c>
    </row>
    <row r="755" spans="1:38" x14ac:dyDescent="0.25">
      <c r="A755">
        <v>747</v>
      </c>
      <c r="B755" s="29" t="s">
        <v>45</v>
      </c>
      <c r="C755" s="29" t="s">
        <v>46</v>
      </c>
      <c r="D755" s="4" t="str">
        <f>"16447"</f>
        <v>16447</v>
      </c>
      <c r="E755" s="4" t="str">
        <f t="shared" si="22"/>
        <v>FE16447</v>
      </c>
      <c r="F755" s="7">
        <v>44362</v>
      </c>
      <c r="G755" s="7">
        <v>44378</v>
      </c>
      <c r="H755" s="34">
        <v>135855</v>
      </c>
      <c r="I755" s="31">
        <v>135855</v>
      </c>
      <c r="J755" s="31">
        <f t="shared" si="23"/>
        <v>0</v>
      </c>
      <c r="K755" s="2"/>
      <c r="N755" s="32">
        <v>0</v>
      </c>
      <c r="Q755" s="34">
        <v>0</v>
      </c>
      <c r="R755" s="45"/>
      <c r="S755" s="4">
        <f>IFERROR(VLOOKUP(E755,'[2]td factu si'!$A:$B,1,0),0)</f>
        <v>0</v>
      </c>
      <c r="T755" s="2">
        <f>IFERROR(VLOOKUP(E755,'[2]td factu si'!$A:$B,2,0),0)*-1</f>
        <v>0</v>
      </c>
      <c r="W755" s="36"/>
      <c r="X755" s="6">
        <v>135855</v>
      </c>
      <c r="AH755" s="3">
        <v>0</v>
      </c>
      <c r="AJ755" s="3">
        <v>0</v>
      </c>
    </row>
    <row r="756" spans="1:38" x14ac:dyDescent="0.25">
      <c r="A756">
        <v>748</v>
      </c>
      <c r="B756" s="29" t="s">
        <v>45</v>
      </c>
      <c r="C756" s="29" t="s">
        <v>46</v>
      </c>
      <c r="D756" s="4" t="str">
        <f>"16449"</f>
        <v>16449</v>
      </c>
      <c r="E756" s="4" t="str">
        <f t="shared" si="22"/>
        <v>FE16449</v>
      </c>
      <c r="F756" s="7">
        <v>44362</v>
      </c>
      <c r="G756" s="7">
        <v>44378</v>
      </c>
      <c r="H756" s="34">
        <v>317101</v>
      </c>
      <c r="I756" s="31">
        <v>317101</v>
      </c>
      <c r="J756" s="31">
        <f t="shared" si="23"/>
        <v>0</v>
      </c>
      <c r="K756" s="2"/>
      <c r="N756" s="32">
        <v>0</v>
      </c>
      <c r="Q756" s="34">
        <v>0</v>
      </c>
      <c r="R756" s="45"/>
      <c r="S756" s="4">
        <f>IFERROR(VLOOKUP(E756,'[2]td factu si'!$A:$B,1,0),0)</f>
        <v>0</v>
      </c>
      <c r="T756" s="2">
        <f>IFERROR(VLOOKUP(E756,'[2]td factu si'!$A:$B,2,0),0)*-1</f>
        <v>0</v>
      </c>
      <c r="W756" s="36"/>
      <c r="X756" s="6">
        <v>317101</v>
      </c>
      <c r="AH756" s="3">
        <v>0</v>
      </c>
      <c r="AJ756" s="3">
        <v>0</v>
      </c>
    </row>
    <row r="757" spans="1:38" x14ac:dyDescent="0.25">
      <c r="A757">
        <v>749</v>
      </c>
      <c r="B757" s="29" t="s">
        <v>45</v>
      </c>
      <c r="C757" s="29" t="s">
        <v>46</v>
      </c>
      <c r="D757" s="4" t="str">
        <f>"16452"</f>
        <v>16452</v>
      </c>
      <c r="E757" s="4" t="str">
        <f t="shared" si="22"/>
        <v>FE16452</v>
      </c>
      <c r="F757" s="7">
        <v>44362</v>
      </c>
      <c r="G757" s="7">
        <v>44378</v>
      </c>
      <c r="H757" s="34">
        <v>317101</v>
      </c>
      <c r="I757" s="31">
        <v>317101</v>
      </c>
      <c r="J757" s="31">
        <f t="shared" si="23"/>
        <v>0</v>
      </c>
      <c r="K757" s="2"/>
      <c r="N757" s="32">
        <v>0</v>
      </c>
      <c r="Q757" s="34">
        <v>0</v>
      </c>
      <c r="R757" s="45"/>
      <c r="S757" s="4">
        <f>IFERROR(VLOOKUP(E757,'[2]td factu si'!$A:$B,1,0),0)</f>
        <v>0</v>
      </c>
      <c r="T757" s="2">
        <f>IFERROR(VLOOKUP(E757,'[2]td factu si'!$A:$B,2,0),0)*-1</f>
        <v>0</v>
      </c>
      <c r="W757" s="36"/>
      <c r="X757" s="6">
        <v>317101</v>
      </c>
      <c r="AH757" s="3">
        <v>0</v>
      </c>
      <c r="AJ757" s="3">
        <v>0</v>
      </c>
    </row>
    <row r="758" spans="1:38" x14ac:dyDescent="0.25">
      <c r="A758">
        <v>750</v>
      </c>
      <c r="B758" s="29" t="s">
        <v>45</v>
      </c>
      <c r="C758" s="29" t="s">
        <v>46</v>
      </c>
      <c r="D758" s="4" t="str">
        <f>"16466"</f>
        <v>16466</v>
      </c>
      <c r="E758" s="4" t="str">
        <f t="shared" si="22"/>
        <v>FE16466</v>
      </c>
      <c r="F758" s="7">
        <v>44363</v>
      </c>
      <c r="G758" s="7">
        <v>44378</v>
      </c>
      <c r="H758" s="34">
        <v>181246</v>
      </c>
      <c r="I758" s="31">
        <v>181246</v>
      </c>
      <c r="J758" s="31">
        <f t="shared" si="23"/>
        <v>0</v>
      </c>
      <c r="K758" s="2"/>
      <c r="N758" s="32">
        <v>0</v>
      </c>
      <c r="Q758" s="34">
        <v>0</v>
      </c>
      <c r="R758" s="45"/>
      <c r="S758" s="4">
        <f>IFERROR(VLOOKUP(E758,'[2]td factu si'!$A:$B,1,0),0)</f>
        <v>0</v>
      </c>
      <c r="T758" s="2">
        <f>IFERROR(VLOOKUP(E758,'[2]td factu si'!$A:$B,2,0),0)*-1</f>
        <v>0</v>
      </c>
      <c r="W758" s="36"/>
      <c r="X758" s="6">
        <v>181246</v>
      </c>
      <c r="AH758" s="3">
        <v>0</v>
      </c>
      <c r="AJ758" s="3">
        <v>0</v>
      </c>
    </row>
    <row r="759" spans="1:38" x14ac:dyDescent="0.25">
      <c r="A759">
        <v>751</v>
      </c>
      <c r="B759" s="29" t="s">
        <v>45</v>
      </c>
      <c r="C759" s="29" t="s">
        <v>46</v>
      </c>
      <c r="D759" s="4" t="str">
        <f>"16470"</f>
        <v>16470</v>
      </c>
      <c r="E759" s="4" t="str">
        <f t="shared" si="22"/>
        <v>FE16470</v>
      </c>
      <c r="F759" s="7">
        <v>44363</v>
      </c>
      <c r="G759" s="7">
        <v>44378</v>
      </c>
      <c r="H759" s="34">
        <v>181246</v>
      </c>
      <c r="I759" s="31">
        <v>181246</v>
      </c>
      <c r="J759" s="31">
        <f t="shared" si="23"/>
        <v>0</v>
      </c>
      <c r="K759" s="2"/>
      <c r="N759" s="32">
        <v>0</v>
      </c>
      <c r="Q759" s="34">
        <v>0</v>
      </c>
      <c r="R759" s="45"/>
      <c r="S759" s="4">
        <f>IFERROR(VLOOKUP(E759,'[2]td factu si'!$A:$B,1,0),0)</f>
        <v>0</v>
      </c>
      <c r="T759" s="2">
        <f>IFERROR(VLOOKUP(E759,'[2]td factu si'!$A:$B,2,0),0)*-1</f>
        <v>0</v>
      </c>
      <c r="W759" s="36"/>
      <c r="X759" s="6">
        <v>181246</v>
      </c>
      <c r="AH759" s="3">
        <v>0</v>
      </c>
      <c r="AJ759" s="3">
        <v>0</v>
      </c>
    </row>
    <row r="760" spans="1:38" x14ac:dyDescent="0.25">
      <c r="A760">
        <v>752</v>
      </c>
      <c r="B760" s="29" t="s">
        <v>45</v>
      </c>
      <c r="C760" s="29" t="s">
        <v>46</v>
      </c>
      <c r="D760" s="4" t="str">
        <f>"16477"</f>
        <v>16477</v>
      </c>
      <c r="E760" s="4" t="str">
        <f t="shared" si="22"/>
        <v>FE16477</v>
      </c>
      <c r="F760" s="7">
        <v>44363</v>
      </c>
      <c r="G760" s="7">
        <v>44378</v>
      </c>
      <c r="H760" s="34">
        <v>181246</v>
      </c>
      <c r="I760" s="31">
        <v>181246</v>
      </c>
      <c r="J760" s="31">
        <f t="shared" si="23"/>
        <v>0</v>
      </c>
      <c r="K760" s="2"/>
      <c r="N760" s="32">
        <v>0</v>
      </c>
      <c r="Q760" s="34">
        <v>0</v>
      </c>
      <c r="R760" s="45"/>
      <c r="S760" s="4">
        <f>IFERROR(VLOOKUP(E760,'[2]td factu si'!$A:$B,1,0),0)</f>
        <v>0</v>
      </c>
      <c r="T760" s="2">
        <f>IFERROR(VLOOKUP(E760,'[2]td factu si'!$A:$B,2,0),0)*-1</f>
        <v>0</v>
      </c>
      <c r="W760" s="36"/>
      <c r="X760" s="6">
        <v>181246</v>
      </c>
      <c r="AH760" s="3">
        <v>0</v>
      </c>
      <c r="AJ760" s="3">
        <v>0</v>
      </c>
    </row>
    <row r="761" spans="1:38" x14ac:dyDescent="0.25">
      <c r="A761">
        <v>753</v>
      </c>
      <c r="B761" s="29" t="s">
        <v>45</v>
      </c>
      <c r="C761" s="29" t="s">
        <v>46</v>
      </c>
      <c r="D761" s="4" t="str">
        <f>"16478"</f>
        <v>16478</v>
      </c>
      <c r="E761" s="4" t="str">
        <f t="shared" si="22"/>
        <v>FE16478</v>
      </c>
      <c r="F761" s="7">
        <v>44363</v>
      </c>
      <c r="G761" s="7">
        <v>44378</v>
      </c>
      <c r="H761" s="34">
        <v>181246</v>
      </c>
      <c r="I761" s="31">
        <v>181246</v>
      </c>
      <c r="J761" s="31">
        <f t="shared" si="23"/>
        <v>0</v>
      </c>
      <c r="K761" s="2"/>
      <c r="N761" s="32">
        <v>0</v>
      </c>
      <c r="Q761" s="34">
        <v>0</v>
      </c>
      <c r="R761" s="45"/>
      <c r="S761" s="4">
        <f>IFERROR(VLOOKUP(E761,'[2]td factu si'!$A:$B,1,0),0)</f>
        <v>0</v>
      </c>
      <c r="T761" s="2">
        <f>IFERROR(VLOOKUP(E761,'[2]td factu si'!$A:$B,2,0),0)*-1</f>
        <v>0</v>
      </c>
      <c r="W761" s="36"/>
      <c r="X761" s="6">
        <v>181246</v>
      </c>
      <c r="AH761" s="3">
        <v>0</v>
      </c>
      <c r="AJ761" s="3">
        <v>0</v>
      </c>
    </row>
    <row r="762" spans="1:38" x14ac:dyDescent="0.25">
      <c r="A762">
        <v>754</v>
      </c>
      <c r="B762" s="29" t="s">
        <v>45</v>
      </c>
      <c r="C762" s="29" t="s">
        <v>46</v>
      </c>
      <c r="D762" s="4" t="str">
        <f>"16480"</f>
        <v>16480</v>
      </c>
      <c r="E762" s="4" t="str">
        <f t="shared" si="22"/>
        <v>FE16480</v>
      </c>
      <c r="F762" s="7">
        <v>44363</v>
      </c>
      <c r="G762" s="7">
        <v>44378</v>
      </c>
      <c r="H762" s="34">
        <v>181246</v>
      </c>
      <c r="I762" s="31">
        <v>181246</v>
      </c>
      <c r="J762" s="31">
        <f t="shared" si="23"/>
        <v>0</v>
      </c>
      <c r="K762" s="2"/>
      <c r="N762" s="32">
        <v>0</v>
      </c>
      <c r="Q762" s="34">
        <v>0</v>
      </c>
      <c r="R762" s="45"/>
      <c r="S762" s="4">
        <f>IFERROR(VLOOKUP(E762,'[2]td factu si'!$A:$B,1,0),0)</f>
        <v>0</v>
      </c>
      <c r="T762" s="2">
        <f>IFERROR(VLOOKUP(E762,'[2]td factu si'!$A:$B,2,0),0)*-1</f>
        <v>0</v>
      </c>
      <c r="W762" s="36"/>
      <c r="X762" s="6">
        <v>181246</v>
      </c>
      <c r="AH762" s="3">
        <v>0</v>
      </c>
      <c r="AJ762" s="3">
        <v>0</v>
      </c>
    </row>
    <row r="763" spans="1:38" x14ac:dyDescent="0.25">
      <c r="A763">
        <v>755</v>
      </c>
      <c r="B763" s="29" t="s">
        <v>45</v>
      </c>
      <c r="C763" s="29" t="s">
        <v>46</v>
      </c>
      <c r="D763" s="4" t="str">
        <f>"16481"</f>
        <v>16481</v>
      </c>
      <c r="E763" s="4" t="str">
        <f t="shared" si="22"/>
        <v>FE16481</v>
      </c>
      <c r="F763" s="7">
        <v>44363</v>
      </c>
      <c r="G763" s="7">
        <v>44378</v>
      </c>
      <c r="H763" s="34">
        <v>181246</v>
      </c>
      <c r="I763" s="31">
        <v>181246</v>
      </c>
      <c r="J763" s="31">
        <f t="shared" si="23"/>
        <v>0</v>
      </c>
      <c r="K763" s="2"/>
      <c r="N763" s="32">
        <v>0</v>
      </c>
      <c r="Q763" s="34">
        <v>0</v>
      </c>
      <c r="R763" s="45"/>
      <c r="S763" s="4">
        <f>IFERROR(VLOOKUP(E763,'[2]td factu si'!$A:$B,1,0),0)</f>
        <v>0</v>
      </c>
      <c r="T763" s="2">
        <f>IFERROR(VLOOKUP(E763,'[2]td factu si'!$A:$B,2,0),0)*-1</f>
        <v>0</v>
      </c>
      <c r="W763" s="36"/>
      <c r="X763" s="6">
        <v>181246</v>
      </c>
      <c r="AH763" s="3">
        <v>0</v>
      </c>
      <c r="AJ763" s="3">
        <v>0</v>
      </c>
    </row>
    <row r="764" spans="1:38" x14ac:dyDescent="0.25">
      <c r="A764">
        <v>756</v>
      </c>
      <c r="B764" s="29" t="s">
        <v>45</v>
      </c>
      <c r="C764" s="29" t="s">
        <v>46</v>
      </c>
      <c r="D764" s="4" t="str">
        <f>"16482"</f>
        <v>16482</v>
      </c>
      <c r="E764" s="4" t="str">
        <f t="shared" si="22"/>
        <v>FE16482</v>
      </c>
      <c r="F764" s="7">
        <v>44363</v>
      </c>
      <c r="G764" s="7">
        <v>44378</v>
      </c>
      <c r="H764" s="34">
        <v>181246</v>
      </c>
      <c r="I764" s="31">
        <v>181246</v>
      </c>
      <c r="J764" s="31">
        <f t="shared" si="23"/>
        <v>0</v>
      </c>
      <c r="K764" s="2"/>
      <c r="N764" s="32">
        <v>0</v>
      </c>
      <c r="Q764" s="34">
        <v>0</v>
      </c>
      <c r="R764" s="45"/>
      <c r="S764" s="4">
        <f>IFERROR(VLOOKUP(E764,'[2]td factu si'!$A:$B,1,0),0)</f>
        <v>0</v>
      </c>
      <c r="T764" s="2">
        <f>IFERROR(VLOOKUP(E764,'[2]td factu si'!$A:$B,2,0),0)*-1</f>
        <v>0</v>
      </c>
      <c r="W764" s="36"/>
      <c r="X764" s="6">
        <v>181246</v>
      </c>
      <c r="AH764" s="3">
        <v>0</v>
      </c>
      <c r="AJ764" s="3">
        <v>0</v>
      </c>
    </row>
    <row r="765" spans="1:38" x14ac:dyDescent="0.25">
      <c r="A765">
        <v>757</v>
      </c>
      <c r="B765" s="29" t="s">
        <v>45</v>
      </c>
      <c r="C765" s="29" t="s">
        <v>46</v>
      </c>
      <c r="D765" s="4" t="str">
        <f>"16485"</f>
        <v>16485</v>
      </c>
      <c r="E765" s="4" t="str">
        <f t="shared" si="22"/>
        <v>FE16485</v>
      </c>
      <c r="F765" s="7">
        <v>44363</v>
      </c>
      <c r="G765" s="7">
        <v>44378</v>
      </c>
      <c r="H765" s="34">
        <v>181246</v>
      </c>
      <c r="I765" s="31">
        <v>163121</v>
      </c>
      <c r="J765" s="31">
        <f t="shared" si="23"/>
        <v>18125</v>
      </c>
      <c r="K765" s="2"/>
      <c r="N765" s="32">
        <v>0</v>
      </c>
      <c r="Q765" s="34">
        <v>0</v>
      </c>
      <c r="R765" s="45"/>
      <c r="S765" s="4">
        <f>IFERROR(VLOOKUP(E765,'[2]td factu si'!$A:$B,1,0),0)</f>
        <v>0</v>
      </c>
      <c r="T765" s="2">
        <f>IFERROR(VLOOKUP(E765,'[2]td factu si'!$A:$B,2,0),0)*-1</f>
        <v>0</v>
      </c>
      <c r="W765" s="36"/>
      <c r="X765" s="6">
        <v>163121</v>
      </c>
      <c r="AH765" s="3">
        <v>0</v>
      </c>
      <c r="AJ765" s="3">
        <v>0</v>
      </c>
    </row>
    <row r="766" spans="1:38" x14ac:dyDescent="0.25">
      <c r="A766">
        <v>758</v>
      </c>
      <c r="B766" s="29" t="s">
        <v>45</v>
      </c>
      <c r="C766" s="29" t="s">
        <v>46</v>
      </c>
      <c r="D766" s="4" t="str">
        <f>"16487"</f>
        <v>16487</v>
      </c>
      <c r="E766" s="4" t="str">
        <f t="shared" si="22"/>
        <v>FE16487</v>
      </c>
      <c r="F766" s="7">
        <v>44363</v>
      </c>
      <c r="G766" s="7">
        <v>44378</v>
      </c>
      <c r="H766" s="34">
        <v>181246</v>
      </c>
      <c r="I766" s="31">
        <v>181246</v>
      </c>
      <c r="J766" s="31">
        <f t="shared" si="23"/>
        <v>0</v>
      </c>
      <c r="K766" s="2"/>
      <c r="N766" s="32">
        <v>0</v>
      </c>
      <c r="Q766" s="34">
        <v>0</v>
      </c>
      <c r="R766" s="45"/>
      <c r="S766" s="4">
        <f>IFERROR(VLOOKUP(E766,'[2]td factu si'!$A:$B,1,0),0)</f>
        <v>0</v>
      </c>
      <c r="T766" s="2">
        <f>IFERROR(VLOOKUP(E766,'[2]td factu si'!$A:$B,2,0),0)*-1</f>
        <v>0</v>
      </c>
      <c r="W766" s="36"/>
      <c r="X766" s="6">
        <v>181246</v>
      </c>
      <c r="AH766" s="3">
        <v>0</v>
      </c>
      <c r="AJ766" s="3">
        <v>0</v>
      </c>
    </row>
    <row r="767" spans="1:38" x14ac:dyDescent="0.25">
      <c r="A767">
        <v>759</v>
      </c>
      <c r="B767" s="29" t="s">
        <v>45</v>
      </c>
      <c r="C767" s="29" t="s">
        <v>46</v>
      </c>
      <c r="D767" s="4" t="str">
        <f>"16491"</f>
        <v>16491</v>
      </c>
      <c r="E767" s="4" t="str">
        <f t="shared" si="22"/>
        <v>FE16491</v>
      </c>
      <c r="F767" s="7">
        <v>44363</v>
      </c>
      <c r="G767" s="7">
        <v>44378</v>
      </c>
      <c r="H767" s="34">
        <v>181246</v>
      </c>
      <c r="I767" s="31">
        <v>181246</v>
      </c>
      <c r="J767" s="31">
        <f t="shared" si="23"/>
        <v>0</v>
      </c>
      <c r="K767" s="2"/>
      <c r="N767" s="32">
        <v>0</v>
      </c>
      <c r="Q767" s="34">
        <v>0</v>
      </c>
      <c r="R767" s="45"/>
      <c r="S767" s="4">
        <f>IFERROR(VLOOKUP(E767,'[2]td factu si'!$A:$B,1,0),0)</f>
        <v>0</v>
      </c>
      <c r="T767" s="2">
        <f>IFERROR(VLOOKUP(E767,'[2]td factu si'!$A:$B,2,0),0)*-1</f>
        <v>0</v>
      </c>
      <c r="W767" s="36"/>
      <c r="X767" s="6">
        <v>181246</v>
      </c>
      <c r="AH767" s="3">
        <v>0</v>
      </c>
      <c r="AJ767" s="3">
        <v>0</v>
      </c>
    </row>
    <row r="768" spans="1:38" x14ac:dyDescent="0.25">
      <c r="A768">
        <v>760</v>
      </c>
      <c r="B768" s="29" t="s">
        <v>45</v>
      </c>
      <c r="C768" s="29" t="s">
        <v>46</v>
      </c>
      <c r="D768" s="4" t="str">
        <f>"16492"</f>
        <v>16492</v>
      </c>
      <c r="E768" s="4" t="str">
        <f t="shared" si="22"/>
        <v>FE16492</v>
      </c>
      <c r="F768" s="7">
        <v>44363</v>
      </c>
      <c r="G768" s="7">
        <v>44378</v>
      </c>
      <c r="H768" s="34">
        <v>181246</v>
      </c>
      <c r="I768" s="31">
        <v>181246</v>
      </c>
      <c r="J768" s="31">
        <f t="shared" si="23"/>
        <v>0</v>
      </c>
      <c r="K768" s="2"/>
      <c r="N768" s="32">
        <v>0</v>
      </c>
      <c r="Q768" s="34">
        <v>0</v>
      </c>
      <c r="R768" s="45"/>
      <c r="S768" s="4">
        <f>IFERROR(VLOOKUP(E768,'[2]td factu si'!$A:$B,1,0),0)</f>
        <v>0</v>
      </c>
      <c r="T768" s="2">
        <f>IFERROR(VLOOKUP(E768,'[2]td factu si'!$A:$B,2,0),0)*-1</f>
        <v>0</v>
      </c>
      <c r="W768" s="36"/>
      <c r="X768" s="6">
        <v>181246</v>
      </c>
      <c r="AH768" s="3">
        <v>0</v>
      </c>
      <c r="AJ768" s="3">
        <v>0</v>
      </c>
    </row>
    <row r="769" spans="1:38" x14ac:dyDescent="0.25">
      <c r="A769">
        <v>761</v>
      </c>
      <c r="B769" s="29" t="s">
        <v>45</v>
      </c>
      <c r="C769" s="29" t="s">
        <v>46</v>
      </c>
      <c r="D769" s="4" t="str">
        <f>"16493"</f>
        <v>16493</v>
      </c>
      <c r="E769" s="4" t="str">
        <f t="shared" si="22"/>
        <v>FE16493</v>
      </c>
      <c r="F769" s="7">
        <v>44363</v>
      </c>
      <c r="G769" s="7">
        <v>44378</v>
      </c>
      <c r="H769" s="34">
        <v>15489</v>
      </c>
      <c r="I769" s="31">
        <v>15489</v>
      </c>
      <c r="J769" s="31">
        <f t="shared" si="23"/>
        <v>0</v>
      </c>
      <c r="K769" s="2"/>
      <c r="N769" s="32">
        <v>0</v>
      </c>
      <c r="Q769" s="34">
        <v>0</v>
      </c>
      <c r="R769" s="45"/>
      <c r="S769" s="4">
        <f>IFERROR(VLOOKUP(E769,'[2]td factu si'!$A:$B,1,0),0)</f>
        <v>0</v>
      </c>
      <c r="T769" s="2">
        <f>IFERROR(VLOOKUP(E769,'[2]td factu si'!$A:$B,2,0),0)*-1</f>
        <v>0</v>
      </c>
      <c r="W769" s="36"/>
      <c r="X769" s="6">
        <v>15489</v>
      </c>
      <c r="AH769" s="3">
        <v>0</v>
      </c>
      <c r="AJ769" s="3">
        <v>0</v>
      </c>
    </row>
    <row r="770" spans="1:38" x14ac:dyDescent="0.25">
      <c r="A770">
        <v>762</v>
      </c>
      <c r="B770" s="29" t="s">
        <v>45</v>
      </c>
      <c r="C770" s="29" t="s">
        <v>46</v>
      </c>
      <c r="D770" s="4" t="str">
        <f>"16494"</f>
        <v>16494</v>
      </c>
      <c r="E770" s="4" t="str">
        <f t="shared" si="22"/>
        <v>FE16494</v>
      </c>
      <c r="F770" s="7">
        <v>44363</v>
      </c>
      <c r="G770" s="7">
        <v>44378</v>
      </c>
      <c r="H770" s="34">
        <v>181246</v>
      </c>
      <c r="I770" s="31">
        <v>181246</v>
      </c>
      <c r="J770" s="31">
        <f t="shared" si="23"/>
        <v>0</v>
      </c>
      <c r="K770" s="2"/>
      <c r="N770" s="32">
        <v>0</v>
      </c>
      <c r="Q770" s="34">
        <v>0</v>
      </c>
      <c r="R770" s="45"/>
      <c r="S770" s="4">
        <f>IFERROR(VLOOKUP(E770,'[2]td factu si'!$A:$B,1,0),0)</f>
        <v>0</v>
      </c>
      <c r="T770" s="2">
        <f>IFERROR(VLOOKUP(E770,'[2]td factu si'!$A:$B,2,0),0)*-1</f>
        <v>0</v>
      </c>
      <c r="W770" s="36"/>
      <c r="X770" s="6">
        <v>181246</v>
      </c>
      <c r="AH770" s="3">
        <v>0</v>
      </c>
      <c r="AJ770" s="3">
        <v>0</v>
      </c>
    </row>
    <row r="771" spans="1:38" x14ac:dyDescent="0.25">
      <c r="A771">
        <v>763</v>
      </c>
      <c r="B771" s="29" t="s">
        <v>45</v>
      </c>
      <c r="C771" s="29" t="s">
        <v>46</v>
      </c>
      <c r="D771" s="4" t="str">
        <f>"16496"</f>
        <v>16496</v>
      </c>
      <c r="E771" s="4" t="str">
        <f t="shared" si="22"/>
        <v>FE16496</v>
      </c>
      <c r="F771" s="7">
        <v>44363</v>
      </c>
      <c r="G771" s="7">
        <v>44378</v>
      </c>
      <c r="H771" s="34">
        <v>181246</v>
      </c>
      <c r="I771" s="31">
        <v>181246</v>
      </c>
      <c r="J771" s="31">
        <f t="shared" si="23"/>
        <v>0</v>
      </c>
      <c r="K771" s="2"/>
      <c r="N771" s="32">
        <v>0</v>
      </c>
      <c r="Q771" s="34">
        <v>0</v>
      </c>
      <c r="R771" s="45"/>
      <c r="S771" s="4">
        <f>IFERROR(VLOOKUP(E771,'[2]td factu si'!$A:$B,1,0),0)</f>
        <v>0</v>
      </c>
      <c r="T771" s="2">
        <f>IFERROR(VLOOKUP(E771,'[2]td factu si'!$A:$B,2,0),0)*-1</f>
        <v>0</v>
      </c>
      <c r="W771" s="36"/>
      <c r="X771" s="6">
        <v>181246</v>
      </c>
      <c r="AH771" s="3">
        <v>0</v>
      </c>
      <c r="AJ771" s="3">
        <v>0</v>
      </c>
    </row>
    <row r="772" spans="1:38" x14ac:dyDescent="0.25">
      <c r="A772">
        <v>764</v>
      </c>
      <c r="B772" s="29" t="s">
        <v>45</v>
      </c>
      <c r="C772" s="29" t="s">
        <v>46</v>
      </c>
      <c r="D772" s="4" t="str">
        <f>"16497"</f>
        <v>16497</v>
      </c>
      <c r="E772" s="4" t="str">
        <f t="shared" si="22"/>
        <v>FE16497</v>
      </c>
      <c r="F772" s="7">
        <v>44363</v>
      </c>
      <c r="G772" s="7">
        <v>44378</v>
      </c>
      <c r="H772" s="34">
        <v>15489</v>
      </c>
      <c r="I772" s="31">
        <v>15489</v>
      </c>
      <c r="J772" s="31">
        <f t="shared" si="23"/>
        <v>0</v>
      </c>
      <c r="K772" s="2"/>
      <c r="N772" s="32">
        <v>0</v>
      </c>
      <c r="Q772" s="34">
        <v>0</v>
      </c>
      <c r="R772" s="45"/>
      <c r="S772" s="4">
        <f>IFERROR(VLOOKUP(E772,'[2]td factu si'!$A:$B,1,0),0)</f>
        <v>0</v>
      </c>
      <c r="T772" s="2">
        <f>IFERROR(VLOOKUP(E772,'[2]td factu si'!$A:$B,2,0),0)*-1</f>
        <v>0</v>
      </c>
      <c r="W772" s="36"/>
      <c r="X772" s="6">
        <v>15489</v>
      </c>
      <c r="AH772" s="3">
        <v>0</v>
      </c>
      <c r="AJ772" s="3">
        <v>0</v>
      </c>
    </row>
    <row r="773" spans="1:38" x14ac:dyDescent="0.25">
      <c r="A773">
        <v>765</v>
      </c>
      <c r="B773" s="29" t="s">
        <v>45</v>
      </c>
      <c r="C773" s="29" t="s">
        <v>46</v>
      </c>
      <c r="D773" s="4" t="str">
        <f>"16501"</f>
        <v>16501</v>
      </c>
      <c r="E773" s="4" t="str">
        <f t="shared" si="22"/>
        <v>FE16501</v>
      </c>
      <c r="F773" s="7">
        <v>44363</v>
      </c>
      <c r="G773" s="7">
        <v>44378</v>
      </c>
      <c r="H773" s="34">
        <v>15489</v>
      </c>
      <c r="I773" s="31">
        <v>15489</v>
      </c>
      <c r="J773" s="31">
        <f t="shared" si="23"/>
        <v>0</v>
      </c>
      <c r="K773" s="2"/>
      <c r="N773" s="32">
        <v>0</v>
      </c>
      <c r="Q773" s="34">
        <v>0</v>
      </c>
      <c r="R773" s="45"/>
      <c r="S773" s="4">
        <f>IFERROR(VLOOKUP(E773,'[2]td factu si'!$A:$B,1,0),0)</f>
        <v>0</v>
      </c>
      <c r="T773" s="2">
        <f>IFERROR(VLOOKUP(E773,'[2]td factu si'!$A:$B,2,0),0)*-1</f>
        <v>0</v>
      </c>
      <c r="W773" s="36"/>
      <c r="X773" s="6">
        <v>15489</v>
      </c>
      <c r="AH773" s="3">
        <v>0</v>
      </c>
      <c r="AJ773" s="3">
        <v>0</v>
      </c>
    </row>
    <row r="774" spans="1:38" x14ac:dyDescent="0.25">
      <c r="A774">
        <v>766</v>
      </c>
      <c r="B774" s="29" t="s">
        <v>45</v>
      </c>
      <c r="C774" s="29" t="s">
        <v>46</v>
      </c>
      <c r="D774" s="4" t="str">
        <f>"16502"</f>
        <v>16502</v>
      </c>
      <c r="E774" s="4" t="str">
        <f t="shared" si="22"/>
        <v>FE16502</v>
      </c>
      <c r="F774" s="7">
        <v>44363</v>
      </c>
      <c r="G774" s="7">
        <v>44378</v>
      </c>
      <c r="H774" s="34">
        <v>15489</v>
      </c>
      <c r="I774" s="31">
        <v>15489</v>
      </c>
      <c r="J774" s="31">
        <f t="shared" si="23"/>
        <v>0</v>
      </c>
      <c r="K774" s="2"/>
      <c r="N774" s="32">
        <v>0</v>
      </c>
      <c r="Q774" s="34">
        <v>0</v>
      </c>
      <c r="R774" s="45"/>
      <c r="S774" s="4">
        <f>IFERROR(VLOOKUP(E774,'[2]td factu si'!$A:$B,1,0),0)</f>
        <v>0</v>
      </c>
      <c r="T774" s="2">
        <f>IFERROR(VLOOKUP(E774,'[2]td factu si'!$A:$B,2,0),0)*-1</f>
        <v>0</v>
      </c>
      <c r="W774" s="36"/>
      <c r="X774" s="6">
        <v>15489</v>
      </c>
      <c r="AH774" s="3">
        <v>0</v>
      </c>
      <c r="AJ774" s="3">
        <v>0</v>
      </c>
    </row>
    <row r="775" spans="1:38" x14ac:dyDescent="0.25">
      <c r="A775">
        <v>767</v>
      </c>
      <c r="B775" s="29" t="s">
        <v>45</v>
      </c>
      <c r="C775" s="29" t="s">
        <v>46</v>
      </c>
      <c r="D775" s="4" t="str">
        <f>"16503"</f>
        <v>16503</v>
      </c>
      <c r="E775" s="4" t="str">
        <f t="shared" si="22"/>
        <v>FE16503</v>
      </c>
      <c r="F775" s="7">
        <v>44363</v>
      </c>
      <c r="G775" s="7">
        <v>44378</v>
      </c>
      <c r="H775" s="34">
        <v>339170</v>
      </c>
      <c r="I775" s="31">
        <v>339170</v>
      </c>
      <c r="J775" s="31">
        <f t="shared" si="23"/>
        <v>0</v>
      </c>
      <c r="K775" s="2"/>
      <c r="N775" s="32">
        <v>0</v>
      </c>
      <c r="Q775" s="34">
        <v>0</v>
      </c>
      <c r="R775" s="45"/>
      <c r="S775" s="4">
        <f>IFERROR(VLOOKUP(E775,'[2]td factu si'!$A:$B,1,0),0)</f>
        <v>0</v>
      </c>
      <c r="T775" s="2">
        <f>IFERROR(VLOOKUP(E775,'[2]td factu si'!$A:$B,2,0),0)*-1</f>
        <v>0</v>
      </c>
      <c r="W775" s="36"/>
      <c r="X775" s="6">
        <v>339170</v>
      </c>
      <c r="AH775" s="3">
        <v>0</v>
      </c>
      <c r="AJ775" s="3">
        <v>0</v>
      </c>
    </row>
    <row r="776" spans="1:38" x14ac:dyDescent="0.25">
      <c r="A776">
        <v>768</v>
      </c>
      <c r="B776" s="29" t="s">
        <v>45</v>
      </c>
      <c r="C776" s="29" t="s">
        <v>46</v>
      </c>
      <c r="D776" s="4" t="str">
        <f>"16504"</f>
        <v>16504</v>
      </c>
      <c r="E776" s="4" t="str">
        <f t="shared" si="22"/>
        <v>FE16504</v>
      </c>
      <c r="F776" s="7">
        <v>44363</v>
      </c>
      <c r="G776" s="7">
        <v>44378</v>
      </c>
      <c r="H776" s="34">
        <v>181246</v>
      </c>
      <c r="I776" s="31">
        <v>181246</v>
      </c>
      <c r="J776" s="31">
        <f t="shared" si="23"/>
        <v>0</v>
      </c>
      <c r="K776" s="2"/>
      <c r="N776" s="32">
        <v>0</v>
      </c>
      <c r="Q776" s="34">
        <v>0</v>
      </c>
      <c r="R776" s="45"/>
      <c r="S776" s="4">
        <f>IFERROR(VLOOKUP(E776,'[2]td factu si'!$A:$B,1,0),0)</f>
        <v>0</v>
      </c>
      <c r="T776" s="2">
        <f>IFERROR(VLOOKUP(E776,'[2]td factu si'!$A:$B,2,0),0)*-1</f>
        <v>0</v>
      </c>
      <c r="W776" s="36"/>
      <c r="X776" s="6">
        <v>181246</v>
      </c>
      <c r="AH776" s="3">
        <v>0</v>
      </c>
      <c r="AJ776" s="3">
        <v>0</v>
      </c>
    </row>
    <row r="777" spans="1:38" x14ac:dyDescent="0.25">
      <c r="A777">
        <v>769</v>
      </c>
      <c r="B777" s="29" t="s">
        <v>45</v>
      </c>
      <c r="C777" s="29" t="s">
        <v>46</v>
      </c>
      <c r="D777" s="4" t="str">
        <f>"16508"</f>
        <v>16508</v>
      </c>
      <c r="E777" s="4" t="str">
        <f t="shared" si="22"/>
        <v>FE16508</v>
      </c>
      <c r="F777" s="7">
        <v>44364</v>
      </c>
      <c r="G777" s="7">
        <v>44378</v>
      </c>
      <c r="H777" s="34">
        <v>339170</v>
      </c>
      <c r="I777" s="31">
        <v>305253</v>
      </c>
      <c r="J777" s="31">
        <f t="shared" si="23"/>
        <v>33917</v>
      </c>
      <c r="K777" s="2"/>
      <c r="N777" s="32">
        <v>0</v>
      </c>
      <c r="Q777" s="34">
        <v>0</v>
      </c>
      <c r="R777" s="45"/>
      <c r="S777" s="4">
        <f>IFERROR(VLOOKUP(E777,'[2]td factu si'!$A:$B,1,0),0)</f>
        <v>0</v>
      </c>
      <c r="T777" s="2">
        <f>IFERROR(VLOOKUP(E777,'[2]td factu si'!$A:$B,2,0),0)*-1</f>
        <v>0</v>
      </c>
      <c r="W777" s="36"/>
      <c r="AH777" s="3">
        <v>0</v>
      </c>
      <c r="AJ777" s="3">
        <v>0</v>
      </c>
      <c r="AL777" s="39" t="s">
        <v>49</v>
      </c>
    </row>
    <row r="778" spans="1:38" x14ac:dyDescent="0.25">
      <c r="A778">
        <v>770</v>
      </c>
      <c r="B778" s="29" t="s">
        <v>45</v>
      </c>
      <c r="C778" s="29" t="s">
        <v>46</v>
      </c>
      <c r="D778" s="4" t="str">
        <f>"16513"</f>
        <v>16513</v>
      </c>
      <c r="E778" s="4" t="str">
        <f t="shared" ref="E778:E841" si="24">_xlfn.CONCAT(C778,D778)</f>
        <v>FE16513</v>
      </c>
      <c r="F778" s="7">
        <v>44364</v>
      </c>
      <c r="G778" s="7">
        <v>44378</v>
      </c>
      <c r="H778" s="34">
        <v>116393</v>
      </c>
      <c r="I778" s="31">
        <v>112893</v>
      </c>
      <c r="J778" s="31">
        <f t="shared" ref="J778:J841" si="25">+H778-I778</f>
        <v>3500</v>
      </c>
      <c r="K778" s="2"/>
      <c r="N778" s="32">
        <v>0</v>
      </c>
      <c r="Q778" s="34">
        <v>0</v>
      </c>
      <c r="R778" s="45"/>
      <c r="S778" s="4">
        <f>IFERROR(VLOOKUP(E778,'[2]td factu si'!$A:$B,1,0),0)</f>
        <v>0</v>
      </c>
      <c r="T778" s="2">
        <f>IFERROR(VLOOKUP(E778,'[2]td factu si'!$A:$B,2,0),0)*-1</f>
        <v>0</v>
      </c>
      <c r="W778" s="36"/>
      <c r="X778" s="6">
        <v>112893</v>
      </c>
      <c r="AH778" s="3">
        <v>0</v>
      </c>
      <c r="AJ778" s="3">
        <v>0</v>
      </c>
    </row>
    <row r="779" spans="1:38" x14ac:dyDescent="0.25">
      <c r="A779">
        <v>771</v>
      </c>
      <c r="B779" s="29" t="s">
        <v>45</v>
      </c>
      <c r="C779" s="29" t="s">
        <v>46</v>
      </c>
      <c r="D779" s="4" t="str">
        <f>"16517"</f>
        <v>16517</v>
      </c>
      <c r="E779" s="4" t="str">
        <f t="shared" si="24"/>
        <v>FE16517</v>
      </c>
      <c r="F779" s="7">
        <v>44364</v>
      </c>
      <c r="G779" s="7">
        <v>44378</v>
      </c>
      <c r="H779" s="34">
        <v>317101</v>
      </c>
      <c r="I779" s="31">
        <v>280634</v>
      </c>
      <c r="J779" s="31">
        <f t="shared" si="25"/>
        <v>36467</v>
      </c>
      <c r="K779" s="2"/>
      <c r="N779" s="32">
        <v>0</v>
      </c>
      <c r="Q779" s="34">
        <v>0</v>
      </c>
      <c r="R779" s="45"/>
      <c r="S779" s="4">
        <f>IFERROR(VLOOKUP(E779,'[2]td factu si'!$A:$B,1,0),0)</f>
        <v>0</v>
      </c>
      <c r="T779" s="2">
        <f>IFERROR(VLOOKUP(E779,'[2]td factu si'!$A:$B,2,0),0)*-1</f>
        <v>0</v>
      </c>
      <c r="W779" s="36"/>
      <c r="X779" s="6">
        <v>280634</v>
      </c>
      <c r="AH779" s="3">
        <v>0</v>
      </c>
      <c r="AJ779" s="3">
        <v>0</v>
      </c>
    </row>
    <row r="780" spans="1:38" x14ac:dyDescent="0.25">
      <c r="A780">
        <v>772</v>
      </c>
      <c r="B780" s="29" t="s">
        <v>45</v>
      </c>
      <c r="C780" s="29" t="s">
        <v>46</v>
      </c>
      <c r="D780" s="4" t="str">
        <f>"16518"</f>
        <v>16518</v>
      </c>
      <c r="E780" s="4" t="str">
        <f t="shared" si="24"/>
        <v>FE16518</v>
      </c>
      <c r="F780" s="7">
        <v>44364</v>
      </c>
      <c r="G780" s="7">
        <v>44378</v>
      </c>
      <c r="H780" s="34">
        <v>181246</v>
      </c>
      <c r="I780" s="31">
        <v>181246</v>
      </c>
      <c r="J780" s="31">
        <f t="shared" si="25"/>
        <v>0</v>
      </c>
      <c r="K780" s="2"/>
      <c r="N780" s="32">
        <v>0</v>
      </c>
      <c r="Q780" s="34">
        <v>0</v>
      </c>
      <c r="R780" s="45"/>
      <c r="S780" s="4">
        <f>IFERROR(VLOOKUP(E780,'[2]td factu si'!$A:$B,1,0),0)</f>
        <v>0</v>
      </c>
      <c r="T780" s="2">
        <f>IFERROR(VLOOKUP(E780,'[2]td factu si'!$A:$B,2,0),0)*-1</f>
        <v>0</v>
      </c>
      <c r="W780" s="36"/>
      <c r="AH780" s="3">
        <v>0</v>
      </c>
      <c r="AJ780" s="3">
        <v>0</v>
      </c>
      <c r="AL780" s="39" t="s">
        <v>49</v>
      </c>
    </row>
    <row r="781" spans="1:38" x14ac:dyDescent="0.25">
      <c r="A781">
        <v>773</v>
      </c>
      <c r="B781" s="29" t="s">
        <v>45</v>
      </c>
      <c r="C781" s="29" t="s">
        <v>46</v>
      </c>
      <c r="D781" s="4" t="str">
        <f>"16519"</f>
        <v>16519</v>
      </c>
      <c r="E781" s="4" t="str">
        <f t="shared" si="24"/>
        <v>FE16519</v>
      </c>
      <c r="F781" s="7">
        <v>44364</v>
      </c>
      <c r="G781" s="7">
        <v>44378</v>
      </c>
      <c r="H781" s="34">
        <v>135855</v>
      </c>
      <c r="I781" s="31">
        <v>135855</v>
      </c>
      <c r="J781" s="31">
        <f t="shared" si="25"/>
        <v>0</v>
      </c>
      <c r="K781" s="2"/>
      <c r="N781" s="32">
        <v>0</v>
      </c>
      <c r="Q781" s="34">
        <v>0</v>
      </c>
      <c r="R781" s="45"/>
      <c r="S781" s="4">
        <f>IFERROR(VLOOKUP(E781,'[2]td factu si'!$A:$B,1,0),0)</f>
        <v>0</v>
      </c>
      <c r="T781" s="2">
        <f>IFERROR(VLOOKUP(E781,'[2]td factu si'!$A:$B,2,0),0)*-1</f>
        <v>0</v>
      </c>
      <c r="W781" s="36"/>
      <c r="X781" s="6">
        <v>135855</v>
      </c>
      <c r="AH781" s="3">
        <v>0</v>
      </c>
      <c r="AJ781" s="3">
        <v>0</v>
      </c>
    </row>
    <row r="782" spans="1:38" x14ac:dyDescent="0.25">
      <c r="A782">
        <v>774</v>
      </c>
      <c r="B782" s="29" t="s">
        <v>45</v>
      </c>
      <c r="C782" s="29" t="s">
        <v>46</v>
      </c>
      <c r="D782" s="4" t="str">
        <f>"16521"</f>
        <v>16521</v>
      </c>
      <c r="E782" s="4" t="str">
        <f t="shared" si="24"/>
        <v>FE16521</v>
      </c>
      <c r="F782" s="7">
        <v>44364</v>
      </c>
      <c r="G782" s="7">
        <v>44378</v>
      </c>
      <c r="H782" s="34">
        <v>339170</v>
      </c>
      <c r="I782" s="31">
        <v>339170</v>
      </c>
      <c r="J782" s="31">
        <f t="shared" si="25"/>
        <v>0</v>
      </c>
      <c r="K782" s="2"/>
      <c r="N782" s="32">
        <v>0</v>
      </c>
      <c r="Q782" s="34">
        <v>0</v>
      </c>
      <c r="R782" s="45"/>
      <c r="S782" s="4">
        <f>IFERROR(VLOOKUP(E782,'[2]td factu si'!$A:$B,1,0),0)</f>
        <v>0</v>
      </c>
      <c r="T782" s="2">
        <f>IFERROR(VLOOKUP(E782,'[2]td factu si'!$A:$B,2,0),0)*-1</f>
        <v>0</v>
      </c>
      <c r="W782" s="36"/>
      <c r="AH782" s="3">
        <v>0</v>
      </c>
      <c r="AJ782" s="3">
        <v>0</v>
      </c>
      <c r="AL782" s="39" t="s">
        <v>49</v>
      </c>
    </row>
    <row r="783" spans="1:38" x14ac:dyDescent="0.25">
      <c r="A783">
        <v>775</v>
      </c>
      <c r="B783" s="29" t="s">
        <v>45</v>
      </c>
      <c r="C783" s="29" t="s">
        <v>46</v>
      </c>
      <c r="D783" s="4" t="str">
        <f>"16522"</f>
        <v>16522</v>
      </c>
      <c r="E783" s="4" t="str">
        <f t="shared" si="24"/>
        <v>FE16522</v>
      </c>
      <c r="F783" s="7">
        <v>44364</v>
      </c>
      <c r="G783" s="7">
        <v>44378</v>
      </c>
      <c r="H783" s="34">
        <v>181246</v>
      </c>
      <c r="I783" s="31">
        <v>181246</v>
      </c>
      <c r="J783" s="31">
        <f t="shared" si="25"/>
        <v>0</v>
      </c>
      <c r="K783" s="2"/>
      <c r="N783" s="32">
        <v>0</v>
      </c>
      <c r="Q783" s="34">
        <v>0</v>
      </c>
      <c r="R783" s="45"/>
      <c r="S783" s="4">
        <f>IFERROR(VLOOKUP(E783,'[2]td factu si'!$A:$B,1,0),0)</f>
        <v>0</v>
      </c>
      <c r="T783" s="2">
        <f>IFERROR(VLOOKUP(E783,'[2]td factu si'!$A:$B,2,0),0)*-1</f>
        <v>0</v>
      </c>
      <c r="W783" s="36"/>
      <c r="AH783" s="3">
        <v>0</v>
      </c>
      <c r="AJ783" s="3">
        <v>0</v>
      </c>
      <c r="AL783" s="39" t="s">
        <v>49</v>
      </c>
    </row>
    <row r="784" spans="1:38" x14ac:dyDescent="0.25">
      <c r="A784">
        <v>776</v>
      </c>
      <c r="B784" s="29" t="s">
        <v>45</v>
      </c>
      <c r="C784" s="29" t="s">
        <v>46</v>
      </c>
      <c r="D784" s="4" t="str">
        <f>"16525"</f>
        <v>16525</v>
      </c>
      <c r="E784" s="4" t="str">
        <f t="shared" si="24"/>
        <v>FE16525</v>
      </c>
      <c r="F784" s="7">
        <v>44364</v>
      </c>
      <c r="G784" s="7">
        <v>44378</v>
      </c>
      <c r="H784" s="34">
        <v>317101</v>
      </c>
      <c r="I784" s="31">
        <v>317101</v>
      </c>
      <c r="J784" s="31">
        <f t="shared" si="25"/>
        <v>0</v>
      </c>
      <c r="K784" s="2"/>
      <c r="N784" s="32">
        <v>0</v>
      </c>
      <c r="Q784" s="34">
        <v>0</v>
      </c>
      <c r="R784" s="45"/>
      <c r="S784" s="4">
        <f>IFERROR(VLOOKUP(E784,'[2]td factu si'!$A:$B,1,0),0)</f>
        <v>0</v>
      </c>
      <c r="T784" s="2">
        <f>IFERROR(VLOOKUP(E784,'[2]td factu si'!$A:$B,2,0),0)*-1</f>
        <v>0</v>
      </c>
      <c r="W784" s="36"/>
      <c r="X784" s="6">
        <v>317101</v>
      </c>
      <c r="AH784" s="3">
        <v>0</v>
      </c>
      <c r="AJ784" s="3">
        <v>0</v>
      </c>
    </row>
    <row r="785" spans="1:36" x14ac:dyDescent="0.25">
      <c r="A785">
        <v>777</v>
      </c>
      <c r="B785" s="29" t="s">
        <v>45</v>
      </c>
      <c r="C785" s="29" t="s">
        <v>46</v>
      </c>
      <c r="D785" s="4" t="str">
        <f>"16528"</f>
        <v>16528</v>
      </c>
      <c r="E785" s="4" t="str">
        <f t="shared" si="24"/>
        <v>FE16528</v>
      </c>
      <c r="F785" s="7">
        <v>44364</v>
      </c>
      <c r="G785" s="7">
        <v>44378</v>
      </c>
      <c r="H785" s="34">
        <v>181246</v>
      </c>
      <c r="I785" s="31">
        <v>181246</v>
      </c>
      <c r="J785" s="31">
        <f t="shared" si="25"/>
        <v>0</v>
      </c>
      <c r="K785" s="2"/>
      <c r="N785" s="32">
        <v>0</v>
      </c>
      <c r="Q785" s="34">
        <v>0</v>
      </c>
      <c r="R785" s="45"/>
      <c r="S785" s="4">
        <f>IFERROR(VLOOKUP(E785,'[2]td factu si'!$A:$B,1,0),0)</f>
        <v>0</v>
      </c>
      <c r="T785" s="2">
        <f>IFERROR(VLOOKUP(E785,'[2]td factu si'!$A:$B,2,0),0)*-1</f>
        <v>0</v>
      </c>
      <c r="W785" s="36"/>
      <c r="X785" s="6">
        <v>181246</v>
      </c>
      <c r="AH785" s="3">
        <v>0</v>
      </c>
      <c r="AJ785" s="3">
        <v>0</v>
      </c>
    </row>
    <row r="786" spans="1:36" x14ac:dyDescent="0.25">
      <c r="A786">
        <v>778</v>
      </c>
      <c r="B786" s="29" t="s">
        <v>45</v>
      </c>
      <c r="C786" s="29" t="s">
        <v>46</v>
      </c>
      <c r="D786" s="4" t="str">
        <f>"16530"</f>
        <v>16530</v>
      </c>
      <c r="E786" s="4" t="str">
        <f t="shared" si="24"/>
        <v>FE16530</v>
      </c>
      <c r="F786" s="7">
        <v>44364</v>
      </c>
      <c r="G786" s="7">
        <v>44378</v>
      </c>
      <c r="H786" s="34">
        <v>181246</v>
      </c>
      <c r="I786" s="31">
        <v>181246</v>
      </c>
      <c r="J786" s="31">
        <f t="shared" si="25"/>
        <v>0</v>
      </c>
      <c r="K786" s="2"/>
      <c r="N786" s="32">
        <v>0</v>
      </c>
      <c r="Q786" s="34">
        <v>0</v>
      </c>
      <c r="R786" s="45"/>
      <c r="S786" s="4">
        <f>IFERROR(VLOOKUP(E786,'[2]td factu si'!$A:$B,1,0),0)</f>
        <v>0</v>
      </c>
      <c r="T786" s="2">
        <f>IFERROR(VLOOKUP(E786,'[2]td factu si'!$A:$B,2,0),0)*-1</f>
        <v>0</v>
      </c>
      <c r="W786" s="36"/>
      <c r="X786" s="6">
        <v>181246</v>
      </c>
      <c r="AH786" s="3">
        <v>0</v>
      </c>
      <c r="AJ786" s="3">
        <v>0</v>
      </c>
    </row>
    <row r="787" spans="1:36" x14ac:dyDescent="0.25">
      <c r="A787">
        <v>779</v>
      </c>
      <c r="B787" s="29" t="s">
        <v>45</v>
      </c>
      <c r="C787" s="29" t="s">
        <v>46</v>
      </c>
      <c r="D787" s="4" t="str">
        <f>"16531"</f>
        <v>16531</v>
      </c>
      <c r="E787" s="4" t="str">
        <f t="shared" si="24"/>
        <v>FE16531</v>
      </c>
      <c r="F787" s="7">
        <v>44364</v>
      </c>
      <c r="G787" s="7">
        <v>44378</v>
      </c>
      <c r="H787" s="34">
        <v>181246</v>
      </c>
      <c r="I787" s="31">
        <v>181246</v>
      </c>
      <c r="J787" s="31">
        <f t="shared" si="25"/>
        <v>0</v>
      </c>
      <c r="K787" s="2"/>
      <c r="N787" s="32">
        <v>0</v>
      </c>
      <c r="Q787" s="34">
        <v>0</v>
      </c>
      <c r="R787" s="45"/>
      <c r="S787" s="4">
        <f>IFERROR(VLOOKUP(E787,'[2]td factu si'!$A:$B,1,0),0)</f>
        <v>0</v>
      </c>
      <c r="T787" s="2">
        <f>IFERROR(VLOOKUP(E787,'[2]td factu si'!$A:$B,2,0),0)*-1</f>
        <v>0</v>
      </c>
      <c r="W787" s="36"/>
      <c r="X787" s="6">
        <v>181246</v>
      </c>
      <c r="AH787" s="3">
        <v>0</v>
      </c>
      <c r="AJ787" s="3">
        <v>0</v>
      </c>
    </row>
    <row r="788" spans="1:36" x14ac:dyDescent="0.25">
      <c r="A788">
        <v>780</v>
      </c>
      <c r="B788" s="29" t="s">
        <v>45</v>
      </c>
      <c r="C788" s="29" t="s">
        <v>46</v>
      </c>
      <c r="D788" s="4" t="str">
        <f>"16534"</f>
        <v>16534</v>
      </c>
      <c r="E788" s="4" t="str">
        <f t="shared" si="24"/>
        <v>FE16534</v>
      </c>
      <c r="F788" s="7">
        <v>44364</v>
      </c>
      <c r="G788" s="7">
        <v>44378</v>
      </c>
      <c r="H788" s="34">
        <v>15489</v>
      </c>
      <c r="I788" s="31">
        <v>15489</v>
      </c>
      <c r="J788" s="31">
        <f t="shared" si="25"/>
        <v>0</v>
      </c>
      <c r="K788" s="2"/>
      <c r="N788" s="32">
        <v>0</v>
      </c>
      <c r="Q788" s="34">
        <v>0</v>
      </c>
      <c r="R788" s="45"/>
      <c r="S788" s="4">
        <f>IFERROR(VLOOKUP(E788,'[2]td factu si'!$A:$B,1,0),0)</f>
        <v>0</v>
      </c>
      <c r="T788" s="2">
        <f>IFERROR(VLOOKUP(E788,'[2]td factu si'!$A:$B,2,0),0)*-1</f>
        <v>0</v>
      </c>
      <c r="W788" s="36"/>
      <c r="X788" s="6">
        <v>15489</v>
      </c>
      <c r="AH788" s="3">
        <v>0</v>
      </c>
      <c r="AJ788" s="3">
        <v>0</v>
      </c>
    </row>
    <row r="789" spans="1:36" x14ac:dyDescent="0.25">
      <c r="A789">
        <v>781</v>
      </c>
      <c r="B789" s="29" t="s">
        <v>45</v>
      </c>
      <c r="C789" s="29" t="s">
        <v>46</v>
      </c>
      <c r="D789" s="4" t="str">
        <f>"16535"</f>
        <v>16535</v>
      </c>
      <c r="E789" s="4" t="str">
        <f t="shared" si="24"/>
        <v>FE16535</v>
      </c>
      <c r="F789" s="7">
        <v>44364</v>
      </c>
      <c r="G789" s="7">
        <v>44378</v>
      </c>
      <c r="H789" s="34">
        <v>49114</v>
      </c>
      <c r="I789" s="31">
        <v>49114</v>
      </c>
      <c r="J789" s="31">
        <f t="shared" si="25"/>
        <v>0</v>
      </c>
      <c r="K789" s="2"/>
      <c r="N789" s="32">
        <v>0</v>
      </c>
      <c r="Q789" s="34">
        <v>0</v>
      </c>
      <c r="R789" s="45"/>
      <c r="S789" s="4">
        <f>IFERROR(VLOOKUP(E789,'[2]td factu si'!$A:$B,1,0),0)</f>
        <v>0</v>
      </c>
      <c r="T789" s="2">
        <f>IFERROR(VLOOKUP(E789,'[2]td factu si'!$A:$B,2,0),0)*-1</f>
        <v>0</v>
      </c>
      <c r="W789" s="36"/>
      <c r="X789" s="6">
        <v>49114</v>
      </c>
      <c r="AH789" s="3">
        <v>0</v>
      </c>
      <c r="AJ789" s="3">
        <v>0</v>
      </c>
    </row>
    <row r="790" spans="1:36" x14ac:dyDescent="0.25">
      <c r="A790">
        <v>782</v>
      </c>
      <c r="B790" s="29" t="s">
        <v>45</v>
      </c>
      <c r="C790" s="29" t="s">
        <v>46</v>
      </c>
      <c r="D790" s="4" t="str">
        <f>"16543"</f>
        <v>16543</v>
      </c>
      <c r="E790" s="4" t="str">
        <f t="shared" si="24"/>
        <v>FE16543</v>
      </c>
      <c r="F790" s="7">
        <v>44364</v>
      </c>
      <c r="G790" s="7">
        <v>44378</v>
      </c>
      <c r="H790" s="34">
        <v>15489</v>
      </c>
      <c r="I790" s="31">
        <v>15489</v>
      </c>
      <c r="J790" s="31">
        <f t="shared" si="25"/>
        <v>0</v>
      </c>
      <c r="K790" s="2"/>
      <c r="N790" s="32">
        <v>0</v>
      </c>
      <c r="Q790" s="34">
        <v>0</v>
      </c>
      <c r="R790" s="45"/>
      <c r="S790" s="4">
        <f>IFERROR(VLOOKUP(E790,'[2]td factu si'!$A:$B,1,0),0)</f>
        <v>0</v>
      </c>
      <c r="T790" s="2">
        <f>IFERROR(VLOOKUP(E790,'[2]td factu si'!$A:$B,2,0),0)*-1</f>
        <v>0</v>
      </c>
      <c r="W790" s="36"/>
      <c r="X790" s="6">
        <v>15489</v>
      </c>
      <c r="AH790" s="3">
        <v>0</v>
      </c>
      <c r="AJ790" s="3">
        <v>0</v>
      </c>
    </row>
    <row r="791" spans="1:36" x14ac:dyDescent="0.25">
      <c r="A791">
        <v>783</v>
      </c>
      <c r="B791" s="29" t="s">
        <v>45</v>
      </c>
      <c r="C791" s="29" t="s">
        <v>46</v>
      </c>
      <c r="D791" s="4" t="str">
        <f>"16551"</f>
        <v>16551</v>
      </c>
      <c r="E791" s="4" t="str">
        <f t="shared" si="24"/>
        <v>FE16551</v>
      </c>
      <c r="F791" s="7">
        <v>44364</v>
      </c>
      <c r="G791" s="7">
        <v>44378</v>
      </c>
      <c r="H791" s="34">
        <v>15489</v>
      </c>
      <c r="I791" s="31">
        <v>13940</v>
      </c>
      <c r="J791" s="31">
        <f t="shared" si="25"/>
        <v>1549</v>
      </c>
      <c r="K791" s="2"/>
      <c r="N791" s="32">
        <v>0</v>
      </c>
      <c r="Q791" s="34">
        <v>0</v>
      </c>
      <c r="R791" s="45"/>
      <c r="S791" s="4">
        <f>IFERROR(VLOOKUP(E791,'[2]td factu si'!$A:$B,1,0),0)</f>
        <v>0</v>
      </c>
      <c r="T791" s="2">
        <f>IFERROR(VLOOKUP(E791,'[2]td factu si'!$A:$B,2,0),0)*-1</f>
        <v>0</v>
      </c>
      <c r="W791" s="36"/>
      <c r="X791" s="6">
        <v>13940</v>
      </c>
      <c r="AH791" s="3">
        <v>0</v>
      </c>
      <c r="AJ791" s="3">
        <v>0</v>
      </c>
    </row>
    <row r="792" spans="1:36" x14ac:dyDescent="0.25">
      <c r="A792">
        <v>784</v>
      </c>
      <c r="B792" s="29" t="s">
        <v>45</v>
      </c>
      <c r="C792" s="29" t="s">
        <v>46</v>
      </c>
      <c r="D792" s="4" t="str">
        <f>"16553"</f>
        <v>16553</v>
      </c>
      <c r="E792" s="4" t="str">
        <f t="shared" si="24"/>
        <v>FE16553</v>
      </c>
      <c r="F792" s="7">
        <v>44364</v>
      </c>
      <c r="G792" s="7">
        <v>44378</v>
      </c>
      <c r="H792" s="34">
        <v>15489</v>
      </c>
      <c r="I792" s="31">
        <v>13940</v>
      </c>
      <c r="J792" s="31">
        <f t="shared" si="25"/>
        <v>1549</v>
      </c>
      <c r="K792" s="2"/>
      <c r="N792" s="32">
        <v>0</v>
      </c>
      <c r="Q792" s="34">
        <v>0</v>
      </c>
      <c r="R792" s="45"/>
      <c r="S792" s="4">
        <f>IFERROR(VLOOKUP(E792,'[2]td factu si'!$A:$B,1,0),0)</f>
        <v>0</v>
      </c>
      <c r="T792" s="2">
        <f>IFERROR(VLOOKUP(E792,'[2]td factu si'!$A:$B,2,0),0)*-1</f>
        <v>0</v>
      </c>
      <c r="W792" s="36"/>
      <c r="X792" s="6">
        <v>13940</v>
      </c>
      <c r="AH792" s="3">
        <v>0</v>
      </c>
      <c r="AJ792" s="3">
        <v>0</v>
      </c>
    </row>
    <row r="793" spans="1:36" x14ac:dyDescent="0.25">
      <c r="A793">
        <v>785</v>
      </c>
      <c r="B793" s="29" t="s">
        <v>45</v>
      </c>
      <c r="C793" s="29" t="s">
        <v>46</v>
      </c>
      <c r="D793" s="4" t="str">
        <f>"16554"</f>
        <v>16554</v>
      </c>
      <c r="E793" s="4" t="str">
        <f t="shared" si="24"/>
        <v>FE16554</v>
      </c>
      <c r="F793" s="7">
        <v>44364</v>
      </c>
      <c r="G793" s="7">
        <v>44378</v>
      </c>
      <c r="H793" s="34">
        <v>135855</v>
      </c>
      <c r="I793" s="31">
        <v>120232</v>
      </c>
      <c r="J793" s="31">
        <f t="shared" si="25"/>
        <v>15623</v>
      </c>
      <c r="K793" s="2"/>
      <c r="N793" s="32">
        <v>0</v>
      </c>
      <c r="Q793" s="34">
        <v>0</v>
      </c>
      <c r="R793" s="45"/>
      <c r="S793" s="4">
        <f>IFERROR(VLOOKUP(E793,'[2]td factu si'!$A:$B,1,0),0)</f>
        <v>0</v>
      </c>
      <c r="T793" s="2">
        <f>IFERROR(VLOOKUP(E793,'[2]td factu si'!$A:$B,2,0),0)*-1</f>
        <v>0</v>
      </c>
      <c r="W793" s="36"/>
      <c r="X793" s="6">
        <v>120232</v>
      </c>
      <c r="AH793" s="3">
        <v>0</v>
      </c>
      <c r="AJ793" s="3">
        <v>0</v>
      </c>
    </row>
    <row r="794" spans="1:36" x14ac:dyDescent="0.25">
      <c r="A794">
        <v>786</v>
      </c>
      <c r="B794" s="29" t="s">
        <v>45</v>
      </c>
      <c r="C794" s="29" t="s">
        <v>46</v>
      </c>
      <c r="D794" s="4" t="str">
        <f>"16557"</f>
        <v>16557</v>
      </c>
      <c r="E794" s="4" t="str">
        <f t="shared" si="24"/>
        <v>FE16557</v>
      </c>
      <c r="F794" s="7">
        <v>44365</v>
      </c>
      <c r="G794" s="7">
        <v>44378</v>
      </c>
      <c r="H794" s="34">
        <v>135855</v>
      </c>
      <c r="I794" s="31">
        <v>135855</v>
      </c>
      <c r="J794" s="31">
        <f t="shared" si="25"/>
        <v>0</v>
      </c>
      <c r="K794" s="2"/>
      <c r="N794" s="32">
        <v>0</v>
      </c>
      <c r="Q794" s="34">
        <v>0</v>
      </c>
      <c r="R794" s="45"/>
      <c r="S794" s="4">
        <f>IFERROR(VLOOKUP(E794,'[2]td factu si'!$A:$B,1,0),0)</f>
        <v>0</v>
      </c>
      <c r="T794" s="2">
        <f>IFERROR(VLOOKUP(E794,'[2]td factu si'!$A:$B,2,0),0)*-1</f>
        <v>0</v>
      </c>
      <c r="W794" s="36"/>
      <c r="X794" s="6">
        <v>135855</v>
      </c>
      <c r="AH794" s="3">
        <v>0</v>
      </c>
      <c r="AJ794" s="3">
        <v>0</v>
      </c>
    </row>
    <row r="795" spans="1:36" x14ac:dyDescent="0.25">
      <c r="A795">
        <v>787</v>
      </c>
      <c r="B795" s="29" t="s">
        <v>45</v>
      </c>
      <c r="C795" s="29" t="s">
        <v>46</v>
      </c>
      <c r="D795" s="4" t="str">
        <f>"16558"</f>
        <v>16558</v>
      </c>
      <c r="E795" s="4" t="str">
        <f t="shared" si="24"/>
        <v>FE16558</v>
      </c>
      <c r="F795" s="7">
        <v>44365</v>
      </c>
      <c r="G795" s="7">
        <v>44378</v>
      </c>
      <c r="H795" s="34">
        <v>15489</v>
      </c>
      <c r="I795" s="31">
        <v>11989</v>
      </c>
      <c r="J795" s="31">
        <f t="shared" si="25"/>
        <v>3500</v>
      </c>
      <c r="K795" s="2"/>
      <c r="N795" s="32">
        <v>0</v>
      </c>
      <c r="Q795" s="34">
        <v>0</v>
      </c>
      <c r="R795" s="45"/>
      <c r="S795" s="4">
        <f>IFERROR(VLOOKUP(E795,'[2]td factu si'!$A:$B,1,0),0)</f>
        <v>0</v>
      </c>
      <c r="T795" s="2">
        <f>IFERROR(VLOOKUP(E795,'[2]td factu si'!$A:$B,2,0),0)*-1</f>
        <v>0</v>
      </c>
      <c r="W795" s="36"/>
      <c r="X795" s="6">
        <v>11989</v>
      </c>
      <c r="AH795" s="3">
        <v>0</v>
      </c>
      <c r="AJ795" s="3">
        <v>0</v>
      </c>
    </row>
    <row r="796" spans="1:36" x14ac:dyDescent="0.25">
      <c r="A796">
        <v>788</v>
      </c>
      <c r="B796" s="29" t="s">
        <v>45</v>
      </c>
      <c r="C796" s="29" t="s">
        <v>46</v>
      </c>
      <c r="D796" s="4" t="str">
        <f>"16560"</f>
        <v>16560</v>
      </c>
      <c r="E796" s="4" t="str">
        <f t="shared" si="24"/>
        <v>FE16560</v>
      </c>
      <c r="F796" s="7">
        <v>44365</v>
      </c>
      <c r="G796" s="7">
        <v>44378</v>
      </c>
      <c r="H796" s="34">
        <v>135855</v>
      </c>
      <c r="I796" s="31">
        <v>120232</v>
      </c>
      <c r="J796" s="31">
        <f t="shared" si="25"/>
        <v>15623</v>
      </c>
      <c r="K796" s="2"/>
      <c r="N796" s="32">
        <v>0</v>
      </c>
      <c r="Q796" s="34">
        <v>0</v>
      </c>
      <c r="R796" s="45"/>
      <c r="S796" s="4">
        <f>IFERROR(VLOOKUP(E796,'[2]td factu si'!$A:$B,1,0),0)</f>
        <v>0</v>
      </c>
      <c r="T796" s="2">
        <f>IFERROR(VLOOKUP(E796,'[2]td factu si'!$A:$B,2,0),0)*-1</f>
        <v>0</v>
      </c>
      <c r="W796" s="36"/>
      <c r="X796" s="6">
        <v>120232</v>
      </c>
      <c r="AH796" s="3">
        <v>0</v>
      </c>
      <c r="AJ796" s="3">
        <v>0</v>
      </c>
    </row>
    <row r="797" spans="1:36" x14ac:dyDescent="0.25">
      <c r="A797">
        <v>789</v>
      </c>
      <c r="B797" s="29" t="s">
        <v>45</v>
      </c>
      <c r="C797" s="29" t="s">
        <v>46</v>
      </c>
      <c r="D797" s="4" t="str">
        <f>"16562"</f>
        <v>16562</v>
      </c>
      <c r="E797" s="4" t="str">
        <f t="shared" si="24"/>
        <v>FE16562</v>
      </c>
      <c r="F797" s="7">
        <v>44365</v>
      </c>
      <c r="G797" s="7">
        <v>44378</v>
      </c>
      <c r="H797" s="34">
        <v>135855</v>
      </c>
      <c r="I797" s="31">
        <v>122270</v>
      </c>
      <c r="J797" s="31">
        <f t="shared" si="25"/>
        <v>13585</v>
      </c>
      <c r="K797" s="2"/>
      <c r="N797" s="32">
        <v>0</v>
      </c>
      <c r="Q797" s="34">
        <v>0</v>
      </c>
      <c r="R797" s="45"/>
      <c r="S797" s="4">
        <f>IFERROR(VLOOKUP(E797,'[2]td factu si'!$A:$B,1,0),0)</f>
        <v>0</v>
      </c>
      <c r="T797" s="2">
        <f>IFERROR(VLOOKUP(E797,'[2]td factu si'!$A:$B,2,0),0)*-1</f>
        <v>0</v>
      </c>
      <c r="W797" s="36"/>
      <c r="X797" s="6">
        <v>122270</v>
      </c>
      <c r="AH797" s="3">
        <v>0</v>
      </c>
      <c r="AJ797" s="3">
        <v>0</v>
      </c>
    </row>
    <row r="798" spans="1:36" x14ac:dyDescent="0.25">
      <c r="A798">
        <v>790</v>
      </c>
      <c r="B798" s="29" t="s">
        <v>45</v>
      </c>
      <c r="C798" s="29" t="s">
        <v>46</v>
      </c>
      <c r="D798" s="4" t="str">
        <f>"16564"</f>
        <v>16564</v>
      </c>
      <c r="E798" s="4" t="str">
        <f t="shared" si="24"/>
        <v>FE16564</v>
      </c>
      <c r="F798" s="7">
        <v>44365</v>
      </c>
      <c r="G798" s="7">
        <v>44378</v>
      </c>
      <c r="H798" s="34">
        <v>135855</v>
      </c>
      <c r="I798" s="31">
        <v>135855</v>
      </c>
      <c r="J798" s="31">
        <f t="shared" si="25"/>
        <v>0</v>
      </c>
      <c r="K798" s="2"/>
      <c r="N798" s="32">
        <v>0</v>
      </c>
      <c r="Q798" s="34">
        <v>0</v>
      </c>
      <c r="R798" s="45"/>
      <c r="S798" s="4">
        <f>IFERROR(VLOOKUP(E798,'[2]td factu si'!$A:$B,1,0),0)</f>
        <v>0</v>
      </c>
      <c r="T798" s="2">
        <f>IFERROR(VLOOKUP(E798,'[2]td factu si'!$A:$B,2,0),0)*-1</f>
        <v>0</v>
      </c>
      <c r="W798" s="36"/>
      <c r="X798" s="6">
        <v>135855</v>
      </c>
      <c r="AH798" s="3">
        <v>0</v>
      </c>
      <c r="AJ798" s="3">
        <v>0</v>
      </c>
    </row>
    <row r="799" spans="1:36" x14ac:dyDescent="0.25">
      <c r="A799">
        <v>791</v>
      </c>
      <c r="B799" s="29" t="s">
        <v>45</v>
      </c>
      <c r="C799" s="29" t="s">
        <v>46</v>
      </c>
      <c r="D799" s="4" t="str">
        <f>"16565"</f>
        <v>16565</v>
      </c>
      <c r="E799" s="4" t="str">
        <f t="shared" si="24"/>
        <v>FE16565</v>
      </c>
      <c r="F799" s="7">
        <v>44365</v>
      </c>
      <c r="G799" s="7">
        <v>44378</v>
      </c>
      <c r="H799" s="34">
        <v>15489</v>
      </c>
      <c r="I799" s="31">
        <v>15489</v>
      </c>
      <c r="J799" s="31">
        <f t="shared" si="25"/>
        <v>0</v>
      </c>
      <c r="K799" s="2"/>
      <c r="N799" s="32">
        <v>0</v>
      </c>
      <c r="Q799" s="34">
        <v>0</v>
      </c>
      <c r="R799" s="45"/>
      <c r="S799" s="4">
        <f>IFERROR(VLOOKUP(E799,'[2]td factu si'!$A:$B,1,0),0)</f>
        <v>0</v>
      </c>
      <c r="T799" s="2">
        <f>IFERROR(VLOOKUP(E799,'[2]td factu si'!$A:$B,2,0),0)*-1</f>
        <v>0</v>
      </c>
      <c r="W799" s="36"/>
      <c r="X799" s="6">
        <v>15489</v>
      </c>
      <c r="AH799" s="3">
        <v>0</v>
      </c>
      <c r="AJ799" s="3">
        <v>0</v>
      </c>
    </row>
    <row r="800" spans="1:36" x14ac:dyDescent="0.25">
      <c r="A800">
        <v>792</v>
      </c>
      <c r="B800" s="29" t="s">
        <v>45</v>
      </c>
      <c r="C800" s="29" t="s">
        <v>46</v>
      </c>
      <c r="D800" s="4" t="str">
        <f>"16566"</f>
        <v>16566</v>
      </c>
      <c r="E800" s="4" t="str">
        <f t="shared" si="24"/>
        <v>FE16566</v>
      </c>
      <c r="F800" s="7">
        <v>44365</v>
      </c>
      <c r="G800" s="7">
        <v>44378</v>
      </c>
      <c r="H800" s="34">
        <v>181246</v>
      </c>
      <c r="I800" s="31">
        <v>163121</v>
      </c>
      <c r="J800" s="31">
        <f t="shared" si="25"/>
        <v>18125</v>
      </c>
      <c r="K800" s="2"/>
      <c r="N800" s="32">
        <v>0</v>
      </c>
      <c r="Q800" s="34">
        <v>0</v>
      </c>
      <c r="R800" s="45"/>
      <c r="S800" s="4">
        <f>IFERROR(VLOOKUP(E800,'[2]td factu si'!$A:$B,1,0),0)</f>
        <v>0</v>
      </c>
      <c r="T800" s="2">
        <f>IFERROR(VLOOKUP(E800,'[2]td factu si'!$A:$B,2,0),0)*-1</f>
        <v>0</v>
      </c>
      <c r="W800" s="36"/>
      <c r="X800" s="6">
        <v>163121</v>
      </c>
      <c r="AH800" s="3">
        <v>0</v>
      </c>
      <c r="AJ800" s="3">
        <v>0</v>
      </c>
    </row>
    <row r="801" spans="1:38" x14ac:dyDescent="0.25">
      <c r="A801">
        <v>793</v>
      </c>
      <c r="B801" s="29" t="s">
        <v>45</v>
      </c>
      <c r="C801" s="29" t="s">
        <v>46</v>
      </c>
      <c r="D801" s="4" t="str">
        <f>"16568"</f>
        <v>16568</v>
      </c>
      <c r="E801" s="4" t="str">
        <f t="shared" si="24"/>
        <v>FE16568</v>
      </c>
      <c r="F801" s="7">
        <v>44365</v>
      </c>
      <c r="G801" s="7">
        <v>44378</v>
      </c>
      <c r="H801" s="34">
        <v>181246</v>
      </c>
      <c r="I801" s="31">
        <v>177746</v>
      </c>
      <c r="J801" s="31">
        <f t="shared" si="25"/>
        <v>3500</v>
      </c>
      <c r="K801" s="2"/>
      <c r="N801" s="32">
        <v>0</v>
      </c>
      <c r="Q801" s="34">
        <v>0</v>
      </c>
      <c r="R801" s="45"/>
      <c r="S801" s="4">
        <f>IFERROR(VLOOKUP(E801,'[2]td factu si'!$A:$B,1,0),0)</f>
        <v>0</v>
      </c>
      <c r="T801" s="2">
        <f>IFERROR(VLOOKUP(E801,'[2]td factu si'!$A:$B,2,0),0)*-1</f>
        <v>0</v>
      </c>
      <c r="W801" s="36"/>
      <c r="X801" s="6">
        <v>177746</v>
      </c>
      <c r="AH801" s="3">
        <v>0</v>
      </c>
      <c r="AJ801" s="3">
        <v>0</v>
      </c>
    </row>
    <row r="802" spans="1:38" x14ac:dyDescent="0.25">
      <c r="A802">
        <v>794</v>
      </c>
      <c r="B802" s="29" t="s">
        <v>45</v>
      </c>
      <c r="C802" s="29" t="s">
        <v>46</v>
      </c>
      <c r="D802" s="4" t="str">
        <f>"16570"</f>
        <v>16570</v>
      </c>
      <c r="E802" s="4" t="str">
        <f t="shared" si="24"/>
        <v>FE16570</v>
      </c>
      <c r="F802" s="7">
        <v>44365</v>
      </c>
      <c r="G802" s="7">
        <v>44378</v>
      </c>
      <c r="H802" s="34">
        <v>49114</v>
      </c>
      <c r="I802" s="31">
        <v>49114</v>
      </c>
      <c r="J802" s="31">
        <f t="shared" si="25"/>
        <v>0</v>
      </c>
      <c r="K802" s="2"/>
      <c r="N802" s="32">
        <v>0</v>
      </c>
      <c r="Q802" s="34">
        <v>0</v>
      </c>
      <c r="R802" s="45"/>
      <c r="S802" s="4">
        <f>IFERROR(VLOOKUP(E802,'[2]td factu si'!$A:$B,1,0),0)</f>
        <v>0</v>
      </c>
      <c r="T802" s="2">
        <f>IFERROR(VLOOKUP(E802,'[2]td factu si'!$A:$B,2,0),0)*-1</f>
        <v>0</v>
      </c>
      <c r="W802" s="36"/>
      <c r="X802" s="6">
        <v>49114</v>
      </c>
      <c r="AH802" s="3">
        <v>0</v>
      </c>
      <c r="AJ802" s="3">
        <v>0</v>
      </c>
    </row>
    <row r="803" spans="1:38" x14ac:dyDescent="0.25">
      <c r="A803">
        <v>795</v>
      </c>
      <c r="B803" s="29" t="s">
        <v>45</v>
      </c>
      <c r="C803" s="29" t="s">
        <v>46</v>
      </c>
      <c r="D803" s="4" t="str">
        <f>"16571"</f>
        <v>16571</v>
      </c>
      <c r="E803" s="4" t="str">
        <f t="shared" si="24"/>
        <v>FE16571</v>
      </c>
      <c r="F803" s="7">
        <v>44365</v>
      </c>
      <c r="G803" s="7">
        <v>44378</v>
      </c>
      <c r="H803" s="34">
        <v>271710</v>
      </c>
      <c r="I803" s="31">
        <v>271710</v>
      </c>
      <c r="J803" s="31">
        <f t="shared" si="25"/>
        <v>0</v>
      </c>
      <c r="K803" s="2"/>
      <c r="N803" s="32">
        <v>0</v>
      </c>
      <c r="Q803" s="34">
        <v>0</v>
      </c>
      <c r="R803" s="45"/>
      <c r="S803" s="4">
        <f>IFERROR(VLOOKUP(E803,'[2]td factu si'!$A:$B,1,0),0)</f>
        <v>0</v>
      </c>
      <c r="T803" s="2">
        <f>IFERROR(VLOOKUP(E803,'[2]td factu si'!$A:$B,2,0),0)*-1</f>
        <v>0</v>
      </c>
      <c r="W803" s="36"/>
      <c r="X803" s="6">
        <v>271710</v>
      </c>
      <c r="AH803" s="3">
        <v>0</v>
      </c>
      <c r="AJ803" s="3">
        <v>0</v>
      </c>
    </row>
    <row r="804" spans="1:38" x14ac:dyDescent="0.25">
      <c r="A804">
        <v>796</v>
      </c>
      <c r="B804" s="29" t="s">
        <v>45</v>
      </c>
      <c r="C804" s="29" t="s">
        <v>46</v>
      </c>
      <c r="D804" s="4" t="str">
        <f>"16572"</f>
        <v>16572</v>
      </c>
      <c r="E804" s="4" t="str">
        <f t="shared" si="24"/>
        <v>FE16572</v>
      </c>
      <c r="F804" s="7">
        <v>44365</v>
      </c>
      <c r="G804" s="7">
        <v>44378</v>
      </c>
      <c r="H804" s="34">
        <v>14933</v>
      </c>
      <c r="I804" s="31">
        <v>14933</v>
      </c>
      <c r="J804" s="31">
        <f t="shared" si="25"/>
        <v>0</v>
      </c>
      <c r="K804" s="2"/>
      <c r="N804" s="32">
        <v>0</v>
      </c>
      <c r="Q804" s="34">
        <v>0</v>
      </c>
      <c r="R804" s="45"/>
      <c r="S804" s="4">
        <f>IFERROR(VLOOKUP(E804,'[2]td factu si'!$A:$B,1,0),0)</f>
        <v>0</v>
      </c>
      <c r="T804" s="2">
        <f>IFERROR(VLOOKUP(E804,'[2]td factu si'!$A:$B,2,0),0)*-1</f>
        <v>0</v>
      </c>
      <c r="W804" s="36"/>
      <c r="X804" s="6">
        <v>14933</v>
      </c>
      <c r="AH804" s="3">
        <v>0</v>
      </c>
      <c r="AJ804" s="3">
        <v>0</v>
      </c>
    </row>
    <row r="805" spans="1:38" x14ac:dyDescent="0.25">
      <c r="A805">
        <v>797</v>
      </c>
      <c r="B805" s="29" t="s">
        <v>45</v>
      </c>
      <c r="C805" s="29" t="s">
        <v>46</v>
      </c>
      <c r="D805" s="4" t="str">
        <f>"16573"</f>
        <v>16573</v>
      </c>
      <c r="E805" s="4" t="str">
        <f t="shared" si="24"/>
        <v>FE16573</v>
      </c>
      <c r="F805" s="7">
        <v>44365</v>
      </c>
      <c r="G805" s="7">
        <v>44378</v>
      </c>
      <c r="H805" s="34">
        <v>135855</v>
      </c>
      <c r="I805" s="31">
        <v>135855</v>
      </c>
      <c r="J805" s="31">
        <f t="shared" si="25"/>
        <v>0</v>
      </c>
      <c r="K805" s="2"/>
      <c r="N805" s="32">
        <v>0</v>
      </c>
      <c r="Q805" s="34">
        <v>0</v>
      </c>
      <c r="R805" s="45"/>
      <c r="S805" s="4">
        <f>IFERROR(VLOOKUP(E805,'[2]td factu si'!$A:$B,1,0),0)</f>
        <v>0</v>
      </c>
      <c r="T805" s="2">
        <f>IFERROR(VLOOKUP(E805,'[2]td factu si'!$A:$B,2,0),0)*-1</f>
        <v>0</v>
      </c>
      <c r="W805" s="36"/>
      <c r="X805" s="6">
        <v>135855</v>
      </c>
      <c r="AH805" s="3">
        <v>0</v>
      </c>
      <c r="AJ805" s="3">
        <v>0</v>
      </c>
    </row>
    <row r="806" spans="1:38" x14ac:dyDescent="0.25">
      <c r="A806">
        <v>798</v>
      </c>
      <c r="B806" s="29" t="s">
        <v>45</v>
      </c>
      <c r="C806" s="29" t="s">
        <v>46</v>
      </c>
      <c r="D806" s="4" t="str">
        <f>"16574"</f>
        <v>16574</v>
      </c>
      <c r="E806" s="4" t="str">
        <f t="shared" si="24"/>
        <v>FE16574</v>
      </c>
      <c r="F806" s="7">
        <v>44365</v>
      </c>
      <c r="G806" s="7">
        <v>44378</v>
      </c>
      <c r="H806" s="34">
        <v>135855</v>
      </c>
      <c r="I806" s="31">
        <v>135855</v>
      </c>
      <c r="J806" s="31">
        <f t="shared" si="25"/>
        <v>0</v>
      </c>
      <c r="K806" s="2"/>
      <c r="N806" s="32">
        <v>0</v>
      </c>
      <c r="Q806" s="34">
        <v>0</v>
      </c>
      <c r="R806" s="45"/>
      <c r="S806" s="4">
        <f>IFERROR(VLOOKUP(E806,'[2]td factu si'!$A:$B,1,0),0)</f>
        <v>0</v>
      </c>
      <c r="T806" s="2">
        <f>IFERROR(VLOOKUP(E806,'[2]td factu si'!$A:$B,2,0),0)*-1</f>
        <v>0</v>
      </c>
      <c r="W806" s="36"/>
      <c r="X806" s="6">
        <v>135855</v>
      </c>
      <c r="AH806" s="3">
        <v>0</v>
      </c>
      <c r="AJ806" s="3">
        <v>0</v>
      </c>
    </row>
    <row r="807" spans="1:38" x14ac:dyDescent="0.25">
      <c r="A807">
        <v>799</v>
      </c>
      <c r="B807" s="29" t="s">
        <v>45</v>
      </c>
      <c r="C807" s="29" t="s">
        <v>46</v>
      </c>
      <c r="D807" s="4" t="str">
        <f>"16575"</f>
        <v>16575</v>
      </c>
      <c r="E807" s="4" t="str">
        <f t="shared" si="24"/>
        <v>FE16575</v>
      </c>
      <c r="F807" s="7">
        <v>44365</v>
      </c>
      <c r="G807" s="7">
        <v>44378</v>
      </c>
      <c r="H807" s="34">
        <v>317101</v>
      </c>
      <c r="I807" s="31">
        <v>317101</v>
      </c>
      <c r="J807" s="31">
        <f t="shared" si="25"/>
        <v>0</v>
      </c>
      <c r="K807" s="2"/>
      <c r="N807" s="32">
        <v>0</v>
      </c>
      <c r="Q807" s="34">
        <v>0</v>
      </c>
      <c r="R807" s="45"/>
      <c r="S807" s="4">
        <f>IFERROR(VLOOKUP(E807,'[2]td factu si'!$A:$B,1,0),0)</f>
        <v>0</v>
      </c>
      <c r="T807" s="2">
        <f>IFERROR(VLOOKUP(E807,'[2]td factu si'!$A:$B,2,0),0)*-1</f>
        <v>0</v>
      </c>
      <c r="W807" s="36"/>
      <c r="X807" s="6">
        <v>317101</v>
      </c>
      <c r="AH807" s="3">
        <v>0</v>
      </c>
      <c r="AJ807" s="3">
        <v>0</v>
      </c>
    </row>
    <row r="808" spans="1:38" x14ac:dyDescent="0.25">
      <c r="A808">
        <v>800</v>
      </c>
      <c r="B808" s="29" t="s">
        <v>45</v>
      </c>
      <c r="C808" s="29" t="s">
        <v>46</v>
      </c>
      <c r="D808" s="4" t="str">
        <f>"16576"</f>
        <v>16576</v>
      </c>
      <c r="E808" s="4" t="str">
        <f t="shared" si="24"/>
        <v>FE16576</v>
      </c>
      <c r="F808" s="7">
        <v>44365</v>
      </c>
      <c r="G808" s="7">
        <v>44378</v>
      </c>
      <c r="H808" s="34">
        <v>181246</v>
      </c>
      <c r="I808" s="31">
        <v>181246</v>
      </c>
      <c r="J808" s="31">
        <f t="shared" si="25"/>
        <v>0</v>
      </c>
      <c r="K808" s="2"/>
      <c r="N808" s="32">
        <v>0</v>
      </c>
      <c r="Q808" s="34">
        <v>0</v>
      </c>
      <c r="R808" s="45"/>
      <c r="S808" s="4">
        <f>IFERROR(VLOOKUP(E808,'[2]td factu si'!$A:$B,1,0),0)</f>
        <v>0</v>
      </c>
      <c r="T808" s="2">
        <f>IFERROR(VLOOKUP(E808,'[2]td factu si'!$A:$B,2,0),0)*-1</f>
        <v>0</v>
      </c>
      <c r="W808" s="36"/>
      <c r="AH808" s="3">
        <v>0</v>
      </c>
      <c r="AJ808" s="3">
        <v>0</v>
      </c>
      <c r="AL808" s="39" t="s">
        <v>49</v>
      </c>
    </row>
    <row r="809" spans="1:38" x14ac:dyDescent="0.25">
      <c r="A809">
        <v>801</v>
      </c>
      <c r="B809" s="29" t="s">
        <v>45</v>
      </c>
      <c r="C809" s="29" t="s">
        <v>46</v>
      </c>
      <c r="D809" s="4" t="str">
        <f>"16577"</f>
        <v>16577</v>
      </c>
      <c r="E809" s="4" t="str">
        <f t="shared" si="24"/>
        <v>FE16577</v>
      </c>
      <c r="F809" s="7">
        <v>44365</v>
      </c>
      <c r="G809" s="7">
        <v>44378</v>
      </c>
      <c r="H809" s="34">
        <v>135855</v>
      </c>
      <c r="I809" s="31">
        <v>135855</v>
      </c>
      <c r="J809" s="31">
        <f t="shared" si="25"/>
        <v>0</v>
      </c>
      <c r="K809" s="2"/>
      <c r="N809" s="32">
        <v>0</v>
      </c>
      <c r="Q809" s="34">
        <v>0</v>
      </c>
      <c r="R809" s="45"/>
      <c r="S809" s="4">
        <f>IFERROR(VLOOKUP(E809,'[2]td factu si'!$A:$B,1,0),0)</f>
        <v>0</v>
      </c>
      <c r="T809" s="2">
        <f>IFERROR(VLOOKUP(E809,'[2]td factu si'!$A:$B,2,0),0)*-1</f>
        <v>0</v>
      </c>
      <c r="W809" s="36"/>
      <c r="X809" s="6">
        <v>135855</v>
      </c>
      <c r="AH809" s="3">
        <v>0</v>
      </c>
      <c r="AJ809" s="3">
        <v>0</v>
      </c>
    </row>
    <row r="810" spans="1:38" x14ac:dyDescent="0.25">
      <c r="A810">
        <v>802</v>
      </c>
      <c r="B810" s="29" t="s">
        <v>45</v>
      </c>
      <c r="C810" s="29" t="s">
        <v>46</v>
      </c>
      <c r="D810" s="4" t="str">
        <f>"16579"</f>
        <v>16579</v>
      </c>
      <c r="E810" s="4" t="str">
        <f t="shared" si="24"/>
        <v>FE16579</v>
      </c>
      <c r="F810" s="7">
        <v>44365</v>
      </c>
      <c r="G810" s="7">
        <v>44378</v>
      </c>
      <c r="H810" s="34">
        <v>339170</v>
      </c>
      <c r="I810" s="31">
        <v>339170</v>
      </c>
      <c r="J810" s="31">
        <f t="shared" si="25"/>
        <v>0</v>
      </c>
      <c r="K810" s="2"/>
      <c r="N810" s="32">
        <v>0</v>
      </c>
      <c r="Q810" s="34">
        <v>0</v>
      </c>
      <c r="R810" s="45"/>
      <c r="S810" s="4">
        <f>IFERROR(VLOOKUP(E810,'[2]td factu si'!$A:$B,1,0),0)</f>
        <v>0</v>
      </c>
      <c r="T810" s="2">
        <f>IFERROR(VLOOKUP(E810,'[2]td factu si'!$A:$B,2,0),0)*-1</f>
        <v>0</v>
      </c>
      <c r="W810" s="36"/>
      <c r="AH810" s="3">
        <v>0</v>
      </c>
      <c r="AJ810" s="3">
        <v>0</v>
      </c>
      <c r="AL810" s="39" t="s">
        <v>49</v>
      </c>
    </row>
    <row r="811" spans="1:38" x14ac:dyDescent="0.25">
      <c r="A811">
        <v>803</v>
      </c>
      <c r="B811" s="29" t="s">
        <v>45</v>
      </c>
      <c r="C811" s="29" t="s">
        <v>46</v>
      </c>
      <c r="D811" s="4" t="str">
        <f>"16590"</f>
        <v>16590</v>
      </c>
      <c r="E811" s="4" t="str">
        <f t="shared" si="24"/>
        <v>FE16590</v>
      </c>
      <c r="F811" s="7">
        <v>44365</v>
      </c>
      <c r="G811" s="7">
        <v>44378</v>
      </c>
      <c r="H811" s="34">
        <v>99124</v>
      </c>
      <c r="I811" s="31">
        <v>99124</v>
      </c>
      <c r="J811" s="31">
        <f t="shared" si="25"/>
        <v>0</v>
      </c>
      <c r="K811" s="2"/>
      <c r="N811" s="32">
        <v>0</v>
      </c>
      <c r="Q811" s="34">
        <v>0</v>
      </c>
      <c r="R811" s="45"/>
      <c r="S811" s="4">
        <f>IFERROR(VLOOKUP(E811,'[2]td factu si'!$A:$B,1,0),0)</f>
        <v>0</v>
      </c>
      <c r="T811" s="2">
        <f>IFERROR(VLOOKUP(E811,'[2]td factu si'!$A:$B,2,0),0)*-1</f>
        <v>0</v>
      </c>
      <c r="W811" s="36"/>
      <c r="AH811" s="3">
        <v>0</v>
      </c>
      <c r="AJ811" s="3">
        <v>0</v>
      </c>
      <c r="AL811" s="39" t="s">
        <v>49</v>
      </c>
    </row>
    <row r="812" spans="1:38" x14ac:dyDescent="0.25">
      <c r="A812">
        <v>804</v>
      </c>
      <c r="B812" s="29" t="s">
        <v>45</v>
      </c>
      <c r="C812" s="29" t="s">
        <v>46</v>
      </c>
      <c r="D812" s="4" t="str">
        <f>"16592"</f>
        <v>16592</v>
      </c>
      <c r="E812" s="4" t="str">
        <f t="shared" si="24"/>
        <v>FE16592</v>
      </c>
      <c r="F812" s="7">
        <v>44365</v>
      </c>
      <c r="G812" s="7">
        <v>44378</v>
      </c>
      <c r="H812" s="34">
        <v>99124</v>
      </c>
      <c r="I812" s="31">
        <v>99124</v>
      </c>
      <c r="J812" s="31">
        <f t="shared" si="25"/>
        <v>0</v>
      </c>
      <c r="K812" s="2"/>
      <c r="N812" s="32">
        <v>0</v>
      </c>
      <c r="Q812" s="34">
        <v>0</v>
      </c>
      <c r="R812" s="45"/>
      <c r="S812" s="4">
        <f>IFERROR(VLOOKUP(E812,'[2]td factu si'!$A:$B,1,0),0)</f>
        <v>0</v>
      </c>
      <c r="T812" s="2">
        <f>IFERROR(VLOOKUP(E812,'[2]td factu si'!$A:$B,2,0),0)*-1</f>
        <v>0</v>
      </c>
      <c r="W812" s="36"/>
      <c r="AH812" s="3">
        <v>0</v>
      </c>
      <c r="AJ812" s="3">
        <v>0</v>
      </c>
      <c r="AL812" s="39" t="s">
        <v>49</v>
      </c>
    </row>
    <row r="813" spans="1:38" x14ac:dyDescent="0.25">
      <c r="A813">
        <v>805</v>
      </c>
      <c r="B813" s="29" t="s">
        <v>45</v>
      </c>
      <c r="C813" s="29" t="s">
        <v>46</v>
      </c>
      <c r="D813" s="4" t="str">
        <f>"16593"</f>
        <v>16593</v>
      </c>
      <c r="E813" s="4" t="str">
        <f t="shared" si="24"/>
        <v>FE16593</v>
      </c>
      <c r="F813" s="7">
        <v>44365</v>
      </c>
      <c r="G813" s="7">
        <v>44378</v>
      </c>
      <c r="H813" s="34">
        <v>181246</v>
      </c>
      <c r="I813" s="31">
        <v>181246</v>
      </c>
      <c r="J813" s="31">
        <f t="shared" si="25"/>
        <v>0</v>
      </c>
      <c r="K813" s="2"/>
      <c r="N813" s="32">
        <v>0</v>
      </c>
      <c r="Q813" s="34">
        <v>0</v>
      </c>
      <c r="R813" s="45"/>
      <c r="S813" s="4">
        <f>IFERROR(VLOOKUP(E813,'[2]td factu si'!$A:$B,1,0),0)</f>
        <v>0</v>
      </c>
      <c r="T813" s="2">
        <f>IFERROR(VLOOKUP(E813,'[2]td factu si'!$A:$B,2,0),0)*-1</f>
        <v>0</v>
      </c>
      <c r="W813" s="36"/>
      <c r="AH813" s="3">
        <v>0</v>
      </c>
      <c r="AJ813" s="3">
        <v>0</v>
      </c>
      <c r="AL813" s="39" t="s">
        <v>49</v>
      </c>
    </row>
    <row r="814" spans="1:38" x14ac:dyDescent="0.25">
      <c r="A814">
        <v>806</v>
      </c>
      <c r="B814" s="29" t="s">
        <v>45</v>
      </c>
      <c r="C814" s="29" t="s">
        <v>46</v>
      </c>
      <c r="D814" s="4" t="str">
        <f>"16594"</f>
        <v>16594</v>
      </c>
      <c r="E814" s="4" t="str">
        <f t="shared" si="24"/>
        <v>FE16594</v>
      </c>
      <c r="F814" s="7">
        <v>44365</v>
      </c>
      <c r="G814" s="7">
        <v>44378</v>
      </c>
      <c r="H814" s="34">
        <v>181246</v>
      </c>
      <c r="I814" s="31">
        <v>181246</v>
      </c>
      <c r="J814" s="31">
        <f t="shared" si="25"/>
        <v>0</v>
      </c>
      <c r="K814" s="2"/>
      <c r="N814" s="32">
        <v>0</v>
      </c>
      <c r="Q814" s="34">
        <v>0</v>
      </c>
      <c r="R814" s="45"/>
      <c r="S814" s="4">
        <f>IFERROR(VLOOKUP(E814,'[2]td factu si'!$A:$B,1,0),0)</f>
        <v>0</v>
      </c>
      <c r="T814" s="2">
        <f>IFERROR(VLOOKUP(E814,'[2]td factu si'!$A:$B,2,0),0)*-1</f>
        <v>0</v>
      </c>
      <c r="W814" s="36"/>
      <c r="AH814" s="3">
        <v>0</v>
      </c>
      <c r="AJ814" s="3">
        <v>0</v>
      </c>
      <c r="AL814" s="39" t="s">
        <v>49</v>
      </c>
    </row>
    <row r="815" spans="1:38" x14ac:dyDescent="0.25">
      <c r="A815">
        <v>807</v>
      </c>
      <c r="B815" s="29" t="s">
        <v>45</v>
      </c>
      <c r="C815" s="29" t="s">
        <v>46</v>
      </c>
      <c r="D815" s="4" t="str">
        <f>"16598"</f>
        <v>16598</v>
      </c>
      <c r="E815" s="4" t="str">
        <f t="shared" si="24"/>
        <v>FE16598</v>
      </c>
      <c r="F815" s="7">
        <v>44365</v>
      </c>
      <c r="G815" s="7">
        <v>44378</v>
      </c>
      <c r="H815" s="34">
        <v>135855</v>
      </c>
      <c r="I815" s="31">
        <v>135855</v>
      </c>
      <c r="J815" s="31">
        <f t="shared" si="25"/>
        <v>0</v>
      </c>
      <c r="K815" s="2"/>
      <c r="N815" s="32">
        <v>0</v>
      </c>
      <c r="Q815" s="34">
        <v>0</v>
      </c>
      <c r="R815" s="45"/>
      <c r="S815" s="4">
        <f>IFERROR(VLOOKUP(E815,'[2]td factu si'!$A:$B,1,0),0)</f>
        <v>0</v>
      </c>
      <c r="T815" s="2">
        <f>IFERROR(VLOOKUP(E815,'[2]td factu si'!$A:$B,2,0),0)*-1</f>
        <v>0</v>
      </c>
      <c r="W815" s="36"/>
      <c r="AH815" s="3">
        <v>0</v>
      </c>
      <c r="AJ815" s="3">
        <v>0</v>
      </c>
      <c r="AL815" s="39" t="s">
        <v>49</v>
      </c>
    </row>
    <row r="816" spans="1:38" x14ac:dyDescent="0.25">
      <c r="A816">
        <v>808</v>
      </c>
      <c r="B816" s="29" t="s">
        <v>45</v>
      </c>
      <c r="C816" s="29" t="s">
        <v>46</v>
      </c>
      <c r="D816" s="4" t="str">
        <f>"16599"</f>
        <v>16599</v>
      </c>
      <c r="E816" s="4" t="str">
        <f t="shared" si="24"/>
        <v>FE16599</v>
      </c>
      <c r="F816" s="7">
        <v>44365</v>
      </c>
      <c r="G816" s="7">
        <v>44378</v>
      </c>
      <c r="H816" s="34">
        <v>317101</v>
      </c>
      <c r="I816" s="31">
        <v>317101</v>
      </c>
      <c r="J816" s="31">
        <f t="shared" si="25"/>
        <v>0</v>
      </c>
      <c r="K816" s="2"/>
      <c r="N816" s="32">
        <v>0</v>
      </c>
      <c r="Q816" s="34">
        <v>0</v>
      </c>
      <c r="R816" s="45"/>
      <c r="S816" s="4">
        <f>IFERROR(VLOOKUP(E816,'[2]td factu si'!$A:$B,1,0),0)</f>
        <v>0</v>
      </c>
      <c r="T816" s="2">
        <f>IFERROR(VLOOKUP(E816,'[2]td factu si'!$A:$B,2,0),0)*-1</f>
        <v>0</v>
      </c>
      <c r="W816" s="36"/>
      <c r="AH816" s="3">
        <v>0</v>
      </c>
      <c r="AJ816" s="3">
        <v>0</v>
      </c>
      <c r="AL816" s="39" t="s">
        <v>49</v>
      </c>
    </row>
    <row r="817" spans="1:38" x14ac:dyDescent="0.25">
      <c r="A817">
        <v>809</v>
      </c>
      <c r="B817" s="29" t="s">
        <v>45</v>
      </c>
      <c r="C817" s="29" t="s">
        <v>46</v>
      </c>
      <c r="D817" s="4" t="str">
        <f>"16602"</f>
        <v>16602</v>
      </c>
      <c r="E817" s="4" t="str">
        <f t="shared" si="24"/>
        <v>FE16602</v>
      </c>
      <c r="F817" s="7">
        <v>44366</v>
      </c>
      <c r="G817" s="7">
        <v>44378</v>
      </c>
      <c r="H817" s="34">
        <v>135855</v>
      </c>
      <c r="I817" s="31">
        <v>122270</v>
      </c>
      <c r="J817" s="31">
        <f t="shared" si="25"/>
        <v>13585</v>
      </c>
      <c r="K817" s="2"/>
      <c r="N817" s="32">
        <v>0</v>
      </c>
      <c r="Q817" s="34">
        <v>0</v>
      </c>
      <c r="R817" s="45"/>
      <c r="S817" s="4">
        <f>IFERROR(VLOOKUP(E817,'[2]td factu si'!$A:$B,1,0),0)</f>
        <v>0</v>
      </c>
      <c r="T817" s="2">
        <f>IFERROR(VLOOKUP(E817,'[2]td factu si'!$A:$B,2,0),0)*-1</f>
        <v>0</v>
      </c>
      <c r="W817" s="36"/>
      <c r="X817" s="6">
        <v>122270</v>
      </c>
      <c r="AH817" s="3">
        <v>0</v>
      </c>
      <c r="AJ817" s="3">
        <v>0</v>
      </c>
    </row>
    <row r="818" spans="1:38" x14ac:dyDescent="0.25">
      <c r="A818">
        <v>810</v>
      </c>
      <c r="B818" s="29" t="s">
        <v>45</v>
      </c>
      <c r="C818" s="29" t="s">
        <v>46</v>
      </c>
      <c r="D818" s="4" t="str">
        <f>"16605"</f>
        <v>16605</v>
      </c>
      <c r="E818" s="4" t="str">
        <f t="shared" si="24"/>
        <v>FE16605</v>
      </c>
      <c r="F818" s="7">
        <v>44366</v>
      </c>
      <c r="G818" s="7">
        <v>44378</v>
      </c>
      <c r="H818" s="34">
        <v>15489</v>
      </c>
      <c r="I818" s="31">
        <v>15489</v>
      </c>
      <c r="J818" s="31">
        <f t="shared" si="25"/>
        <v>0</v>
      </c>
      <c r="K818" s="2"/>
      <c r="N818" s="32">
        <v>0</v>
      </c>
      <c r="Q818" s="34">
        <v>0</v>
      </c>
      <c r="R818" s="45"/>
      <c r="S818" s="4">
        <f>IFERROR(VLOOKUP(E818,'[2]td factu si'!$A:$B,1,0),0)</f>
        <v>0</v>
      </c>
      <c r="T818" s="2">
        <f>IFERROR(VLOOKUP(E818,'[2]td factu si'!$A:$B,2,0),0)*-1</f>
        <v>0</v>
      </c>
      <c r="W818" s="36"/>
      <c r="X818" s="6">
        <v>15489</v>
      </c>
      <c r="AH818" s="3">
        <v>0</v>
      </c>
      <c r="AJ818" s="3">
        <v>0</v>
      </c>
    </row>
    <row r="819" spans="1:38" x14ac:dyDescent="0.25">
      <c r="A819">
        <v>811</v>
      </c>
      <c r="B819" s="29" t="s">
        <v>45</v>
      </c>
      <c r="C819" s="29" t="s">
        <v>46</v>
      </c>
      <c r="D819" s="4" t="str">
        <f>"16622"</f>
        <v>16622</v>
      </c>
      <c r="E819" s="4" t="str">
        <f t="shared" si="24"/>
        <v>FE16622</v>
      </c>
      <c r="F819" s="7">
        <v>44366</v>
      </c>
      <c r="G819" s="7">
        <v>44378</v>
      </c>
      <c r="H819" s="34">
        <v>135855</v>
      </c>
      <c r="I819" s="31">
        <v>135855</v>
      </c>
      <c r="J819" s="31">
        <f t="shared" si="25"/>
        <v>0</v>
      </c>
      <c r="K819" s="2"/>
      <c r="N819" s="32">
        <v>0</v>
      </c>
      <c r="Q819" s="34">
        <v>0</v>
      </c>
      <c r="R819" s="45"/>
      <c r="S819" s="4">
        <f>IFERROR(VLOOKUP(E819,'[2]td factu si'!$A:$B,1,0),0)</f>
        <v>0</v>
      </c>
      <c r="T819" s="2">
        <f>IFERROR(VLOOKUP(E819,'[2]td factu si'!$A:$B,2,0),0)*-1</f>
        <v>0</v>
      </c>
      <c r="W819" s="36"/>
      <c r="X819" s="6">
        <v>135855</v>
      </c>
      <c r="AH819" s="3">
        <v>0</v>
      </c>
      <c r="AJ819" s="3">
        <v>0</v>
      </c>
    </row>
    <row r="820" spans="1:38" x14ac:dyDescent="0.25">
      <c r="A820">
        <v>812</v>
      </c>
      <c r="B820" s="29" t="s">
        <v>45</v>
      </c>
      <c r="C820" s="29" t="s">
        <v>46</v>
      </c>
      <c r="D820" s="4" t="str">
        <f>"16623"</f>
        <v>16623</v>
      </c>
      <c r="E820" s="4" t="str">
        <f t="shared" si="24"/>
        <v>FE16623</v>
      </c>
      <c r="F820" s="7">
        <v>44366</v>
      </c>
      <c r="G820" s="7">
        <v>44378</v>
      </c>
      <c r="H820" s="34">
        <v>317101</v>
      </c>
      <c r="I820" s="31">
        <v>317101</v>
      </c>
      <c r="J820" s="31">
        <f t="shared" si="25"/>
        <v>0</v>
      </c>
      <c r="K820" s="2"/>
      <c r="N820" s="32">
        <v>0</v>
      </c>
      <c r="Q820" s="34">
        <v>0</v>
      </c>
      <c r="R820" s="45"/>
      <c r="S820" s="4">
        <f>IFERROR(VLOOKUP(E820,'[2]td factu si'!$A:$B,1,0),0)</f>
        <v>0</v>
      </c>
      <c r="T820" s="2">
        <f>IFERROR(VLOOKUP(E820,'[2]td factu si'!$A:$B,2,0),0)*-1</f>
        <v>0</v>
      </c>
      <c r="W820" s="36"/>
      <c r="AH820" s="3">
        <v>0</v>
      </c>
      <c r="AJ820" s="3">
        <v>0</v>
      </c>
      <c r="AL820" s="39" t="s">
        <v>49</v>
      </c>
    </row>
    <row r="821" spans="1:38" x14ac:dyDescent="0.25">
      <c r="A821">
        <v>813</v>
      </c>
      <c r="B821" s="29" t="s">
        <v>45</v>
      </c>
      <c r="C821" s="29" t="s">
        <v>46</v>
      </c>
      <c r="D821" s="4" t="str">
        <f>"16624"</f>
        <v>16624</v>
      </c>
      <c r="E821" s="4" t="str">
        <f t="shared" si="24"/>
        <v>FE16624</v>
      </c>
      <c r="F821" s="7">
        <v>44366</v>
      </c>
      <c r="G821" s="7">
        <v>44378</v>
      </c>
      <c r="H821" s="34">
        <v>317101</v>
      </c>
      <c r="I821" s="31">
        <v>285391</v>
      </c>
      <c r="J821" s="31">
        <f t="shared" si="25"/>
        <v>31710</v>
      </c>
      <c r="K821" s="2"/>
      <c r="N821" s="32">
        <v>0</v>
      </c>
      <c r="Q821" s="34">
        <v>0</v>
      </c>
      <c r="R821" s="45"/>
      <c r="S821" s="4">
        <f>IFERROR(VLOOKUP(E821,'[2]td factu si'!$A:$B,1,0),0)</f>
        <v>0</v>
      </c>
      <c r="T821" s="2">
        <f>IFERROR(VLOOKUP(E821,'[2]td factu si'!$A:$B,2,0),0)*-1</f>
        <v>0</v>
      </c>
      <c r="W821" s="36"/>
      <c r="X821" s="6">
        <v>285391</v>
      </c>
      <c r="AH821" s="3">
        <v>0</v>
      </c>
      <c r="AJ821" s="3">
        <v>0</v>
      </c>
    </row>
    <row r="822" spans="1:38" x14ac:dyDescent="0.25">
      <c r="A822">
        <v>814</v>
      </c>
      <c r="B822" s="29" t="s">
        <v>45</v>
      </c>
      <c r="C822" s="29" t="s">
        <v>46</v>
      </c>
      <c r="D822" s="4" t="str">
        <f>"16625"</f>
        <v>16625</v>
      </c>
      <c r="E822" s="4" t="str">
        <f t="shared" si="24"/>
        <v>FE16625</v>
      </c>
      <c r="F822" s="7">
        <v>44366</v>
      </c>
      <c r="G822" s="7">
        <v>44378</v>
      </c>
      <c r="H822" s="34">
        <v>181246</v>
      </c>
      <c r="I822" s="31">
        <v>181246</v>
      </c>
      <c r="J822" s="31">
        <f t="shared" si="25"/>
        <v>0</v>
      </c>
      <c r="K822" s="2"/>
      <c r="N822" s="32">
        <v>0</v>
      </c>
      <c r="Q822" s="34">
        <v>0</v>
      </c>
      <c r="R822" s="45"/>
      <c r="S822" s="4">
        <f>IFERROR(VLOOKUP(E822,'[2]td factu si'!$A:$B,1,0),0)</f>
        <v>0</v>
      </c>
      <c r="T822" s="2">
        <f>IFERROR(VLOOKUP(E822,'[2]td factu si'!$A:$B,2,0),0)*-1</f>
        <v>0</v>
      </c>
      <c r="W822" s="36"/>
      <c r="X822" s="6">
        <v>181246</v>
      </c>
      <c r="AH822" s="3">
        <v>0</v>
      </c>
      <c r="AJ822" s="3">
        <v>0</v>
      </c>
    </row>
    <row r="823" spans="1:38" x14ac:dyDescent="0.25">
      <c r="A823">
        <v>815</v>
      </c>
      <c r="B823" s="29" t="s">
        <v>45</v>
      </c>
      <c r="C823" s="29" t="s">
        <v>46</v>
      </c>
      <c r="D823" s="4" t="str">
        <f>"16630"</f>
        <v>16630</v>
      </c>
      <c r="E823" s="4" t="str">
        <f t="shared" si="24"/>
        <v>FE16630</v>
      </c>
      <c r="F823" s="7">
        <v>44366</v>
      </c>
      <c r="G823" s="7">
        <v>44378</v>
      </c>
      <c r="H823" s="34">
        <v>317101</v>
      </c>
      <c r="I823" s="31">
        <v>317101</v>
      </c>
      <c r="J823" s="31">
        <f t="shared" si="25"/>
        <v>0</v>
      </c>
      <c r="K823" s="2"/>
      <c r="N823" s="32">
        <v>0</v>
      </c>
      <c r="Q823" s="34">
        <v>0</v>
      </c>
      <c r="R823" s="45"/>
      <c r="S823" s="4">
        <f>IFERROR(VLOOKUP(E823,'[2]td factu si'!$A:$B,1,0),0)</f>
        <v>0</v>
      </c>
      <c r="T823" s="2">
        <f>IFERROR(VLOOKUP(E823,'[2]td factu si'!$A:$B,2,0),0)*-1</f>
        <v>0</v>
      </c>
      <c r="W823" s="36"/>
      <c r="X823" s="6">
        <v>317101</v>
      </c>
      <c r="AH823" s="3">
        <v>0</v>
      </c>
      <c r="AJ823" s="3">
        <v>0</v>
      </c>
    </row>
    <row r="824" spans="1:38" x14ac:dyDescent="0.25">
      <c r="A824">
        <v>816</v>
      </c>
      <c r="B824" s="29" t="s">
        <v>45</v>
      </c>
      <c r="C824" s="29" t="s">
        <v>46</v>
      </c>
      <c r="D824" s="4" t="str">
        <f>"16631"</f>
        <v>16631</v>
      </c>
      <c r="E824" s="4" t="str">
        <f t="shared" si="24"/>
        <v>FE16631</v>
      </c>
      <c r="F824" s="7">
        <v>44366</v>
      </c>
      <c r="G824" s="7">
        <v>44378</v>
      </c>
      <c r="H824" s="34">
        <v>317101</v>
      </c>
      <c r="I824" s="31">
        <v>317101</v>
      </c>
      <c r="J824" s="31">
        <f t="shared" si="25"/>
        <v>0</v>
      </c>
      <c r="K824" s="2"/>
      <c r="N824" s="32">
        <v>0</v>
      </c>
      <c r="Q824" s="34">
        <v>0</v>
      </c>
      <c r="R824" s="45"/>
      <c r="S824" s="4">
        <f>IFERROR(VLOOKUP(E824,'[2]td factu si'!$A:$B,1,0),0)</f>
        <v>0</v>
      </c>
      <c r="T824" s="2">
        <f>IFERROR(VLOOKUP(E824,'[2]td factu si'!$A:$B,2,0),0)*-1</f>
        <v>0</v>
      </c>
      <c r="W824" s="36"/>
      <c r="X824" s="6">
        <v>317101</v>
      </c>
      <c r="AH824" s="3">
        <v>0</v>
      </c>
      <c r="AJ824" s="3">
        <v>0</v>
      </c>
    </row>
    <row r="825" spans="1:38" x14ac:dyDescent="0.25">
      <c r="A825">
        <v>817</v>
      </c>
      <c r="B825" s="29" t="s">
        <v>45</v>
      </c>
      <c r="C825" s="29" t="s">
        <v>46</v>
      </c>
      <c r="D825" s="4" t="str">
        <f>"16634"</f>
        <v>16634</v>
      </c>
      <c r="E825" s="4" t="str">
        <f t="shared" si="24"/>
        <v>FE16634</v>
      </c>
      <c r="F825" s="7">
        <v>44366</v>
      </c>
      <c r="G825" s="7">
        <v>44378</v>
      </c>
      <c r="H825" s="34">
        <v>339170</v>
      </c>
      <c r="I825" s="31">
        <v>339170</v>
      </c>
      <c r="J825" s="31">
        <f t="shared" si="25"/>
        <v>0</v>
      </c>
      <c r="K825" s="2"/>
      <c r="N825" s="32">
        <v>0</v>
      </c>
      <c r="Q825" s="34">
        <v>0</v>
      </c>
      <c r="R825" s="45"/>
      <c r="S825" s="4">
        <f>IFERROR(VLOOKUP(E825,'[2]td factu si'!$A:$B,1,0),0)</f>
        <v>0</v>
      </c>
      <c r="T825" s="2">
        <f>IFERROR(VLOOKUP(E825,'[2]td factu si'!$A:$B,2,0),0)*-1</f>
        <v>0</v>
      </c>
      <c r="W825" s="36"/>
      <c r="X825" s="6">
        <v>339170</v>
      </c>
      <c r="AH825" s="3">
        <v>0</v>
      </c>
      <c r="AJ825" s="3">
        <v>0</v>
      </c>
    </row>
    <row r="826" spans="1:38" x14ac:dyDescent="0.25">
      <c r="A826">
        <v>818</v>
      </c>
      <c r="B826" s="29" t="s">
        <v>45</v>
      </c>
      <c r="C826" s="29" t="s">
        <v>46</v>
      </c>
      <c r="D826" s="4" t="str">
        <f>"16635"</f>
        <v>16635</v>
      </c>
      <c r="E826" s="4" t="str">
        <f t="shared" si="24"/>
        <v>FE16635</v>
      </c>
      <c r="F826" s="7">
        <v>44366</v>
      </c>
      <c r="G826" s="7">
        <v>44378</v>
      </c>
      <c r="H826" s="34">
        <v>181246</v>
      </c>
      <c r="I826" s="31">
        <v>181246</v>
      </c>
      <c r="J826" s="31">
        <f t="shared" si="25"/>
        <v>0</v>
      </c>
      <c r="K826" s="2"/>
      <c r="N826" s="32">
        <v>0</v>
      </c>
      <c r="Q826" s="34">
        <v>0</v>
      </c>
      <c r="R826" s="45"/>
      <c r="S826" s="4">
        <f>IFERROR(VLOOKUP(E826,'[2]td factu si'!$A:$B,1,0),0)</f>
        <v>0</v>
      </c>
      <c r="T826" s="2">
        <f>IFERROR(VLOOKUP(E826,'[2]td factu si'!$A:$B,2,0),0)*-1</f>
        <v>0</v>
      </c>
      <c r="W826" s="36"/>
      <c r="X826" s="6">
        <v>181246</v>
      </c>
      <c r="AH826" s="3">
        <v>0</v>
      </c>
      <c r="AJ826" s="3">
        <v>0</v>
      </c>
    </row>
    <row r="827" spans="1:38" x14ac:dyDescent="0.25">
      <c r="A827">
        <v>819</v>
      </c>
      <c r="B827" s="29" t="s">
        <v>45</v>
      </c>
      <c r="C827" s="29" t="s">
        <v>46</v>
      </c>
      <c r="D827" s="4" t="str">
        <f>"16643"</f>
        <v>16643</v>
      </c>
      <c r="E827" s="4" t="str">
        <f t="shared" si="24"/>
        <v>FE16643</v>
      </c>
      <c r="F827" s="7">
        <v>44366</v>
      </c>
      <c r="G827" s="7">
        <v>44378</v>
      </c>
      <c r="H827" s="34">
        <v>15489</v>
      </c>
      <c r="I827" s="31">
        <v>15489</v>
      </c>
      <c r="J827" s="31">
        <f t="shared" si="25"/>
        <v>0</v>
      </c>
      <c r="K827" s="2"/>
      <c r="N827" s="32">
        <v>0</v>
      </c>
      <c r="Q827" s="34">
        <v>0</v>
      </c>
      <c r="R827" s="45"/>
      <c r="S827" s="4">
        <f>IFERROR(VLOOKUP(E827,'[2]td factu si'!$A:$B,1,0),0)</f>
        <v>0</v>
      </c>
      <c r="T827" s="2">
        <f>IFERROR(VLOOKUP(E827,'[2]td factu si'!$A:$B,2,0),0)*-1</f>
        <v>0</v>
      </c>
      <c r="W827" s="36"/>
      <c r="X827" s="6">
        <v>15489</v>
      </c>
      <c r="AH827" s="3">
        <v>0</v>
      </c>
      <c r="AJ827" s="3">
        <v>0</v>
      </c>
    </row>
    <row r="828" spans="1:38" x14ac:dyDescent="0.25">
      <c r="A828">
        <v>820</v>
      </c>
      <c r="B828" s="29" t="s">
        <v>45</v>
      </c>
      <c r="C828" s="29" t="s">
        <v>46</v>
      </c>
      <c r="D828" s="4" t="str">
        <f>"16657"</f>
        <v>16657</v>
      </c>
      <c r="E828" s="4" t="str">
        <f t="shared" si="24"/>
        <v>FE16657</v>
      </c>
      <c r="F828" s="7">
        <v>44366</v>
      </c>
      <c r="G828" s="7">
        <v>44378</v>
      </c>
      <c r="H828" s="34">
        <v>181246</v>
      </c>
      <c r="I828" s="31">
        <v>181246</v>
      </c>
      <c r="J828" s="31">
        <f t="shared" si="25"/>
        <v>0</v>
      </c>
      <c r="K828" s="2"/>
      <c r="N828" s="32">
        <v>0</v>
      </c>
      <c r="Q828" s="34">
        <v>0</v>
      </c>
      <c r="R828" s="45"/>
      <c r="S828" s="4">
        <f>IFERROR(VLOOKUP(E828,'[2]td factu si'!$A:$B,1,0),0)</f>
        <v>0</v>
      </c>
      <c r="T828" s="2">
        <f>IFERROR(VLOOKUP(E828,'[2]td factu si'!$A:$B,2,0),0)*-1</f>
        <v>0</v>
      </c>
      <c r="W828" s="36"/>
      <c r="X828" s="6">
        <v>181246</v>
      </c>
      <c r="AH828" s="3">
        <v>0</v>
      </c>
      <c r="AJ828" s="3">
        <v>0</v>
      </c>
    </row>
    <row r="829" spans="1:38" x14ac:dyDescent="0.25">
      <c r="A829">
        <v>821</v>
      </c>
      <c r="B829" s="29" t="s">
        <v>45</v>
      </c>
      <c r="C829" s="29" t="s">
        <v>46</v>
      </c>
      <c r="D829" s="4" t="str">
        <f>"16659"</f>
        <v>16659</v>
      </c>
      <c r="E829" s="4" t="str">
        <f t="shared" si="24"/>
        <v>FE16659</v>
      </c>
      <c r="F829" s="7">
        <v>44366</v>
      </c>
      <c r="G829" s="7">
        <v>44378</v>
      </c>
      <c r="H829" s="34">
        <v>196735</v>
      </c>
      <c r="I829" s="31">
        <v>196735</v>
      </c>
      <c r="J829" s="31">
        <f t="shared" si="25"/>
        <v>0</v>
      </c>
      <c r="K829" s="2"/>
      <c r="N829" s="32">
        <v>0</v>
      </c>
      <c r="Q829" s="34">
        <v>0</v>
      </c>
      <c r="R829" s="45"/>
      <c r="S829" s="4">
        <f>IFERROR(VLOOKUP(E829,'[2]td factu si'!$A:$B,1,0),0)</f>
        <v>0</v>
      </c>
      <c r="T829" s="2">
        <f>IFERROR(VLOOKUP(E829,'[2]td factu si'!$A:$B,2,0),0)*-1</f>
        <v>0</v>
      </c>
      <c r="W829" s="36"/>
      <c r="X829" s="6">
        <v>196735</v>
      </c>
      <c r="AH829" s="3">
        <v>0</v>
      </c>
      <c r="AJ829" s="3">
        <v>0</v>
      </c>
    </row>
    <row r="830" spans="1:38" x14ac:dyDescent="0.25">
      <c r="A830">
        <v>822</v>
      </c>
      <c r="B830" s="29" t="s">
        <v>45</v>
      </c>
      <c r="C830" s="29" t="s">
        <v>46</v>
      </c>
      <c r="D830" s="4" t="str">
        <f>"16660"</f>
        <v>16660</v>
      </c>
      <c r="E830" s="4" t="str">
        <f t="shared" si="24"/>
        <v>FE16660</v>
      </c>
      <c r="F830" s="7">
        <v>44366</v>
      </c>
      <c r="G830" s="7">
        <v>44378</v>
      </c>
      <c r="H830" s="34">
        <v>181246</v>
      </c>
      <c r="I830" s="31">
        <v>181246</v>
      </c>
      <c r="J830" s="31">
        <f t="shared" si="25"/>
        <v>0</v>
      </c>
      <c r="K830" s="2"/>
      <c r="N830" s="32">
        <v>0</v>
      </c>
      <c r="Q830" s="34">
        <v>0</v>
      </c>
      <c r="R830" s="45"/>
      <c r="S830" s="4">
        <f>IFERROR(VLOOKUP(E830,'[2]td factu si'!$A:$B,1,0),0)</f>
        <v>0</v>
      </c>
      <c r="T830" s="2">
        <f>IFERROR(VLOOKUP(E830,'[2]td factu si'!$A:$B,2,0),0)*-1</f>
        <v>0</v>
      </c>
      <c r="W830" s="36"/>
      <c r="X830" s="6">
        <v>181246</v>
      </c>
      <c r="AH830" s="3">
        <v>0</v>
      </c>
      <c r="AJ830" s="3">
        <v>0</v>
      </c>
    </row>
    <row r="831" spans="1:38" x14ac:dyDescent="0.25">
      <c r="A831">
        <v>823</v>
      </c>
      <c r="B831" s="29" t="s">
        <v>45</v>
      </c>
      <c r="C831" s="29" t="s">
        <v>46</v>
      </c>
      <c r="D831" s="4" t="str">
        <f>"16662"</f>
        <v>16662</v>
      </c>
      <c r="E831" s="4" t="str">
        <f t="shared" si="24"/>
        <v>FE16662</v>
      </c>
      <c r="F831" s="7">
        <v>44366</v>
      </c>
      <c r="G831" s="7">
        <v>44378</v>
      </c>
      <c r="H831" s="34">
        <v>196735</v>
      </c>
      <c r="I831" s="31">
        <v>196735</v>
      </c>
      <c r="J831" s="31">
        <f t="shared" si="25"/>
        <v>0</v>
      </c>
      <c r="K831" s="2"/>
      <c r="N831" s="32">
        <v>0</v>
      </c>
      <c r="Q831" s="34">
        <v>0</v>
      </c>
      <c r="R831" s="45"/>
      <c r="S831" s="4">
        <f>IFERROR(VLOOKUP(E831,'[2]td factu si'!$A:$B,1,0),0)</f>
        <v>0</v>
      </c>
      <c r="T831" s="2">
        <f>IFERROR(VLOOKUP(E831,'[2]td factu si'!$A:$B,2,0),0)*-1</f>
        <v>0</v>
      </c>
      <c r="W831" s="36"/>
      <c r="X831" s="6">
        <v>196735</v>
      </c>
      <c r="AH831" s="3">
        <v>0</v>
      </c>
      <c r="AJ831" s="3">
        <v>0</v>
      </c>
    </row>
    <row r="832" spans="1:38" x14ac:dyDescent="0.25">
      <c r="A832">
        <v>824</v>
      </c>
      <c r="B832" s="29" t="s">
        <v>45</v>
      </c>
      <c r="C832" s="29" t="s">
        <v>46</v>
      </c>
      <c r="D832" s="4" t="str">
        <f>"16664"</f>
        <v>16664</v>
      </c>
      <c r="E832" s="4" t="str">
        <f t="shared" si="24"/>
        <v>FE16664</v>
      </c>
      <c r="F832" s="7">
        <v>44366</v>
      </c>
      <c r="G832" s="7">
        <v>44378</v>
      </c>
      <c r="H832" s="34">
        <v>181246</v>
      </c>
      <c r="I832" s="31">
        <v>181246</v>
      </c>
      <c r="J832" s="31">
        <f t="shared" si="25"/>
        <v>0</v>
      </c>
      <c r="K832" s="2"/>
      <c r="N832" s="32">
        <v>0</v>
      </c>
      <c r="Q832" s="34">
        <v>0</v>
      </c>
      <c r="R832" s="45"/>
      <c r="S832" s="4">
        <f>IFERROR(VLOOKUP(E832,'[2]td factu si'!$A:$B,1,0),0)</f>
        <v>0</v>
      </c>
      <c r="T832" s="2">
        <f>IFERROR(VLOOKUP(E832,'[2]td factu si'!$A:$B,2,0),0)*-1</f>
        <v>0</v>
      </c>
      <c r="W832" s="36"/>
      <c r="X832" s="6">
        <v>181246</v>
      </c>
      <c r="AH832" s="3">
        <v>0</v>
      </c>
      <c r="AJ832" s="3">
        <v>0</v>
      </c>
    </row>
    <row r="833" spans="1:36" x14ac:dyDescent="0.25">
      <c r="A833">
        <v>825</v>
      </c>
      <c r="B833" s="29" t="s">
        <v>45</v>
      </c>
      <c r="C833" s="29" t="s">
        <v>46</v>
      </c>
      <c r="D833" s="4" t="str">
        <f>"16669"</f>
        <v>16669</v>
      </c>
      <c r="E833" s="4" t="str">
        <f t="shared" si="24"/>
        <v>FE16669</v>
      </c>
      <c r="F833" s="7">
        <v>44366</v>
      </c>
      <c r="G833" s="7">
        <v>44378</v>
      </c>
      <c r="H833" s="34">
        <v>181246</v>
      </c>
      <c r="I833" s="31">
        <v>181246</v>
      </c>
      <c r="J833" s="31">
        <f t="shared" si="25"/>
        <v>0</v>
      </c>
      <c r="K833" s="2"/>
      <c r="N833" s="32">
        <v>0</v>
      </c>
      <c r="Q833" s="34">
        <v>0</v>
      </c>
      <c r="R833" s="45"/>
      <c r="S833" s="4">
        <f>IFERROR(VLOOKUP(E833,'[2]td factu si'!$A:$B,1,0),0)</f>
        <v>0</v>
      </c>
      <c r="T833" s="2">
        <f>IFERROR(VLOOKUP(E833,'[2]td factu si'!$A:$B,2,0),0)*-1</f>
        <v>0</v>
      </c>
      <c r="W833" s="36"/>
      <c r="X833" s="6">
        <v>181246</v>
      </c>
      <c r="AH833" s="3">
        <v>0</v>
      </c>
      <c r="AJ833" s="3">
        <v>0</v>
      </c>
    </row>
    <row r="834" spans="1:36" x14ac:dyDescent="0.25">
      <c r="A834">
        <v>826</v>
      </c>
      <c r="B834" s="29" t="s">
        <v>45</v>
      </c>
      <c r="C834" s="29" t="s">
        <v>46</v>
      </c>
      <c r="D834" s="4" t="str">
        <f>"16671"</f>
        <v>16671</v>
      </c>
      <c r="E834" s="4" t="str">
        <f t="shared" si="24"/>
        <v>FE16671</v>
      </c>
      <c r="F834" s="7">
        <v>44366</v>
      </c>
      <c r="G834" s="7">
        <v>44378</v>
      </c>
      <c r="H834" s="34">
        <v>181246</v>
      </c>
      <c r="I834" s="31">
        <v>181246</v>
      </c>
      <c r="J834" s="31">
        <f t="shared" si="25"/>
        <v>0</v>
      </c>
      <c r="K834" s="2"/>
      <c r="N834" s="32">
        <v>0</v>
      </c>
      <c r="Q834" s="34">
        <v>0</v>
      </c>
      <c r="R834" s="45"/>
      <c r="S834" s="4">
        <f>IFERROR(VLOOKUP(E834,'[2]td factu si'!$A:$B,1,0),0)</f>
        <v>0</v>
      </c>
      <c r="T834" s="2">
        <f>IFERROR(VLOOKUP(E834,'[2]td factu si'!$A:$B,2,0),0)*-1</f>
        <v>0</v>
      </c>
      <c r="W834" s="36"/>
      <c r="X834" s="6">
        <v>181246</v>
      </c>
      <c r="AH834" s="3">
        <v>0</v>
      </c>
      <c r="AJ834" s="3">
        <v>0</v>
      </c>
    </row>
    <row r="835" spans="1:36" x14ac:dyDescent="0.25">
      <c r="A835">
        <v>827</v>
      </c>
      <c r="B835" s="29" t="s">
        <v>45</v>
      </c>
      <c r="C835" s="29" t="s">
        <v>46</v>
      </c>
      <c r="D835" s="4" t="str">
        <f>"16672"</f>
        <v>16672</v>
      </c>
      <c r="E835" s="4" t="str">
        <f t="shared" si="24"/>
        <v>FE16672</v>
      </c>
      <c r="F835" s="7">
        <v>44366</v>
      </c>
      <c r="G835" s="7">
        <v>44378</v>
      </c>
      <c r="H835" s="34">
        <v>181246</v>
      </c>
      <c r="I835" s="31">
        <v>181246</v>
      </c>
      <c r="J835" s="31">
        <f t="shared" si="25"/>
        <v>0</v>
      </c>
      <c r="K835" s="2"/>
      <c r="N835" s="32">
        <v>0</v>
      </c>
      <c r="Q835" s="34">
        <v>0</v>
      </c>
      <c r="R835" s="45"/>
      <c r="S835" s="4">
        <f>IFERROR(VLOOKUP(E835,'[2]td factu si'!$A:$B,1,0),0)</f>
        <v>0</v>
      </c>
      <c r="T835" s="2">
        <f>IFERROR(VLOOKUP(E835,'[2]td factu si'!$A:$B,2,0),0)*-1</f>
        <v>0</v>
      </c>
      <c r="W835" s="36"/>
      <c r="X835" s="6">
        <v>181246</v>
      </c>
      <c r="AH835" s="3">
        <v>0</v>
      </c>
      <c r="AJ835" s="3">
        <v>0</v>
      </c>
    </row>
    <row r="836" spans="1:36" x14ac:dyDescent="0.25">
      <c r="A836">
        <v>828</v>
      </c>
      <c r="B836" s="29" t="s">
        <v>45</v>
      </c>
      <c r="C836" s="29" t="s">
        <v>46</v>
      </c>
      <c r="D836" s="4" t="str">
        <f>"16673"</f>
        <v>16673</v>
      </c>
      <c r="E836" s="4" t="str">
        <f t="shared" si="24"/>
        <v>FE16673</v>
      </c>
      <c r="F836" s="7">
        <v>44366</v>
      </c>
      <c r="G836" s="7">
        <v>44378</v>
      </c>
      <c r="H836" s="34">
        <v>15489</v>
      </c>
      <c r="I836" s="31">
        <v>15489</v>
      </c>
      <c r="J836" s="31">
        <f t="shared" si="25"/>
        <v>0</v>
      </c>
      <c r="K836" s="2"/>
      <c r="N836" s="32">
        <v>0</v>
      </c>
      <c r="Q836" s="34">
        <v>0</v>
      </c>
      <c r="R836" s="45"/>
      <c r="S836" s="4">
        <f>IFERROR(VLOOKUP(E836,'[2]td factu si'!$A:$B,1,0),0)</f>
        <v>0</v>
      </c>
      <c r="T836" s="2">
        <f>IFERROR(VLOOKUP(E836,'[2]td factu si'!$A:$B,2,0),0)*-1</f>
        <v>0</v>
      </c>
      <c r="W836" s="36"/>
      <c r="X836" s="6">
        <v>15489</v>
      </c>
      <c r="AH836" s="3">
        <v>0</v>
      </c>
      <c r="AJ836" s="3">
        <v>0</v>
      </c>
    </row>
    <row r="837" spans="1:36" x14ac:dyDescent="0.25">
      <c r="A837">
        <v>829</v>
      </c>
      <c r="B837" s="29" t="s">
        <v>45</v>
      </c>
      <c r="C837" s="29" t="s">
        <v>46</v>
      </c>
      <c r="D837" s="4" t="str">
        <f>"16675"</f>
        <v>16675</v>
      </c>
      <c r="E837" s="4" t="str">
        <f t="shared" si="24"/>
        <v>FE16675</v>
      </c>
      <c r="F837" s="7">
        <v>44366</v>
      </c>
      <c r="G837" s="7">
        <v>44378</v>
      </c>
      <c r="H837" s="34">
        <v>15489</v>
      </c>
      <c r="I837" s="31">
        <v>15489</v>
      </c>
      <c r="J837" s="31">
        <f t="shared" si="25"/>
        <v>0</v>
      </c>
      <c r="K837" s="2"/>
      <c r="N837" s="32">
        <v>0</v>
      </c>
      <c r="Q837" s="34">
        <v>0</v>
      </c>
      <c r="R837" s="45"/>
      <c r="S837" s="4">
        <f>IFERROR(VLOOKUP(E837,'[2]td factu si'!$A:$B,1,0),0)</f>
        <v>0</v>
      </c>
      <c r="T837" s="2">
        <f>IFERROR(VLOOKUP(E837,'[2]td factu si'!$A:$B,2,0),0)*-1</f>
        <v>0</v>
      </c>
      <c r="W837" s="36"/>
      <c r="X837" s="6">
        <v>15489</v>
      </c>
      <c r="AH837" s="3">
        <v>0</v>
      </c>
      <c r="AJ837" s="3">
        <v>0</v>
      </c>
    </row>
    <row r="838" spans="1:36" x14ac:dyDescent="0.25">
      <c r="A838">
        <v>830</v>
      </c>
      <c r="B838" s="29" t="s">
        <v>45</v>
      </c>
      <c r="C838" s="29" t="s">
        <v>46</v>
      </c>
      <c r="D838" s="4" t="str">
        <f>"16676"</f>
        <v>16676</v>
      </c>
      <c r="E838" s="4" t="str">
        <f t="shared" si="24"/>
        <v>FE16676</v>
      </c>
      <c r="F838" s="7">
        <v>44366</v>
      </c>
      <c r="G838" s="7">
        <v>44378</v>
      </c>
      <c r="H838" s="34">
        <v>15489</v>
      </c>
      <c r="I838" s="31">
        <v>11989</v>
      </c>
      <c r="J838" s="31">
        <f t="shared" si="25"/>
        <v>3500</v>
      </c>
      <c r="K838" s="2"/>
      <c r="N838" s="32">
        <v>0</v>
      </c>
      <c r="Q838" s="34">
        <v>0</v>
      </c>
      <c r="R838" s="45"/>
      <c r="S838" s="4">
        <f>IFERROR(VLOOKUP(E838,'[2]td factu si'!$A:$B,1,0),0)</f>
        <v>0</v>
      </c>
      <c r="T838" s="2">
        <f>IFERROR(VLOOKUP(E838,'[2]td factu si'!$A:$B,2,0),0)*-1</f>
        <v>0</v>
      </c>
      <c r="W838" s="36"/>
      <c r="X838" s="6">
        <v>11989</v>
      </c>
      <c r="AH838" s="3">
        <v>0</v>
      </c>
      <c r="AJ838" s="3">
        <v>0</v>
      </c>
    </row>
    <row r="839" spans="1:36" x14ac:dyDescent="0.25">
      <c r="A839">
        <v>831</v>
      </c>
      <c r="B839" s="29" t="s">
        <v>45</v>
      </c>
      <c r="C839" s="29" t="s">
        <v>46</v>
      </c>
      <c r="D839" s="4" t="str">
        <f>"16677"</f>
        <v>16677</v>
      </c>
      <c r="E839" s="4" t="str">
        <f t="shared" si="24"/>
        <v>FE16677</v>
      </c>
      <c r="F839" s="7">
        <v>44366</v>
      </c>
      <c r="G839" s="7">
        <v>44378</v>
      </c>
      <c r="H839" s="34">
        <v>15489</v>
      </c>
      <c r="I839" s="31">
        <v>15489</v>
      </c>
      <c r="J839" s="31">
        <f t="shared" si="25"/>
        <v>0</v>
      </c>
      <c r="K839" s="2"/>
      <c r="N839" s="32">
        <v>0</v>
      </c>
      <c r="Q839" s="34">
        <v>0</v>
      </c>
      <c r="R839" s="45"/>
      <c r="S839" s="4">
        <f>IFERROR(VLOOKUP(E839,'[2]td factu si'!$A:$B,1,0),0)</f>
        <v>0</v>
      </c>
      <c r="T839" s="2">
        <f>IFERROR(VLOOKUP(E839,'[2]td factu si'!$A:$B,2,0),0)*-1</f>
        <v>0</v>
      </c>
      <c r="W839" s="36"/>
      <c r="X839" s="6">
        <v>15489</v>
      </c>
      <c r="AH839" s="3">
        <v>0</v>
      </c>
      <c r="AJ839" s="3">
        <v>0</v>
      </c>
    </row>
    <row r="840" spans="1:36" x14ac:dyDescent="0.25">
      <c r="A840">
        <v>832</v>
      </c>
      <c r="B840" s="29" t="s">
        <v>45</v>
      </c>
      <c r="C840" s="29" t="s">
        <v>46</v>
      </c>
      <c r="D840" s="4" t="str">
        <f>"16680"</f>
        <v>16680</v>
      </c>
      <c r="E840" s="4" t="str">
        <f t="shared" si="24"/>
        <v>FE16680</v>
      </c>
      <c r="F840" s="7">
        <v>44366</v>
      </c>
      <c r="G840" s="7">
        <v>44378</v>
      </c>
      <c r="H840" s="34">
        <v>15489</v>
      </c>
      <c r="I840" s="31">
        <v>15489</v>
      </c>
      <c r="J840" s="31">
        <f t="shared" si="25"/>
        <v>0</v>
      </c>
      <c r="K840" s="2"/>
      <c r="N840" s="32">
        <v>0</v>
      </c>
      <c r="Q840" s="34">
        <v>0</v>
      </c>
      <c r="R840" s="45"/>
      <c r="S840" s="4">
        <f>IFERROR(VLOOKUP(E840,'[2]td factu si'!$A:$B,1,0),0)</f>
        <v>0</v>
      </c>
      <c r="T840" s="2">
        <f>IFERROR(VLOOKUP(E840,'[2]td factu si'!$A:$B,2,0),0)*-1</f>
        <v>0</v>
      </c>
      <c r="W840" s="36"/>
      <c r="X840" s="6">
        <v>15489</v>
      </c>
      <c r="AH840" s="3">
        <v>0</v>
      </c>
      <c r="AJ840" s="3">
        <v>0</v>
      </c>
    </row>
    <row r="841" spans="1:36" x14ac:dyDescent="0.25">
      <c r="A841">
        <v>833</v>
      </c>
      <c r="B841" s="29" t="s">
        <v>45</v>
      </c>
      <c r="C841" s="29" t="s">
        <v>46</v>
      </c>
      <c r="D841" s="4" t="str">
        <f>"16681"</f>
        <v>16681</v>
      </c>
      <c r="E841" s="4" t="str">
        <f t="shared" si="24"/>
        <v>FE16681</v>
      </c>
      <c r="F841" s="7">
        <v>44366</v>
      </c>
      <c r="G841" s="7">
        <v>44378</v>
      </c>
      <c r="H841" s="34">
        <v>15489</v>
      </c>
      <c r="I841" s="31">
        <v>11989</v>
      </c>
      <c r="J841" s="31">
        <f t="shared" si="25"/>
        <v>3500</v>
      </c>
      <c r="K841" s="2"/>
      <c r="N841" s="32">
        <v>0</v>
      </c>
      <c r="Q841" s="34">
        <v>0</v>
      </c>
      <c r="R841" s="45"/>
      <c r="S841" s="4">
        <f>IFERROR(VLOOKUP(E841,'[2]td factu si'!$A:$B,1,0),0)</f>
        <v>0</v>
      </c>
      <c r="T841" s="2">
        <f>IFERROR(VLOOKUP(E841,'[2]td factu si'!$A:$B,2,0),0)*-1</f>
        <v>0</v>
      </c>
      <c r="W841" s="36"/>
      <c r="X841" s="6">
        <v>11989</v>
      </c>
      <c r="AH841" s="3">
        <v>0</v>
      </c>
      <c r="AJ841" s="3">
        <v>0</v>
      </c>
    </row>
    <row r="842" spans="1:36" x14ac:dyDescent="0.25">
      <c r="A842">
        <v>834</v>
      </c>
      <c r="B842" s="29" t="s">
        <v>45</v>
      </c>
      <c r="C842" s="29" t="s">
        <v>46</v>
      </c>
      <c r="D842" s="4" t="str">
        <f>"16683"</f>
        <v>16683</v>
      </c>
      <c r="E842" s="4" t="str">
        <f t="shared" ref="E842:E905" si="26">_xlfn.CONCAT(C842,D842)</f>
        <v>FE16683</v>
      </c>
      <c r="F842" s="7">
        <v>44366</v>
      </c>
      <c r="G842" s="7">
        <v>44378</v>
      </c>
      <c r="H842" s="34">
        <v>15489</v>
      </c>
      <c r="I842" s="31">
        <v>13940</v>
      </c>
      <c r="J842" s="31">
        <f t="shared" ref="J842:J905" si="27">+H842-I842</f>
        <v>1549</v>
      </c>
      <c r="K842" s="2"/>
      <c r="N842" s="32">
        <v>0</v>
      </c>
      <c r="Q842" s="34">
        <v>0</v>
      </c>
      <c r="R842" s="45"/>
      <c r="S842" s="4">
        <f>IFERROR(VLOOKUP(E842,'[2]td factu si'!$A:$B,1,0),0)</f>
        <v>0</v>
      </c>
      <c r="T842" s="2">
        <f>IFERROR(VLOOKUP(E842,'[2]td factu si'!$A:$B,2,0),0)*-1</f>
        <v>0</v>
      </c>
      <c r="W842" s="36"/>
      <c r="X842" s="6">
        <v>13940</v>
      </c>
      <c r="AH842" s="3">
        <v>0</v>
      </c>
      <c r="AJ842" s="3">
        <v>0</v>
      </c>
    </row>
    <row r="843" spans="1:36" x14ac:dyDescent="0.25">
      <c r="A843">
        <v>835</v>
      </c>
      <c r="B843" s="29" t="s">
        <v>45</v>
      </c>
      <c r="C843" s="29" t="s">
        <v>46</v>
      </c>
      <c r="D843" s="4" t="str">
        <f>"16689"</f>
        <v>16689</v>
      </c>
      <c r="E843" s="4" t="str">
        <f t="shared" si="26"/>
        <v>FE16689</v>
      </c>
      <c r="F843" s="7">
        <v>44366</v>
      </c>
      <c r="G843" s="7">
        <v>44378</v>
      </c>
      <c r="H843" s="34">
        <v>15489</v>
      </c>
      <c r="I843" s="31">
        <v>15489</v>
      </c>
      <c r="J843" s="31">
        <f t="shared" si="27"/>
        <v>0</v>
      </c>
      <c r="K843" s="2"/>
      <c r="N843" s="32">
        <v>0</v>
      </c>
      <c r="Q843" s="34">
        <v>0</v>
      </c>
      <c r="R843" s="45"/>
      <c r="S843" s="4">
        <f>IFERROR(VLOOKUP(E843,'[2]td factu si'!$A:$B,1,0),0)</f>
        <v>0</v>
      </c>
      <c r="T843" s="2">
        <f>IFERROR(VLOOKUP(E843,'[2]td factu si'!$A:$B,2,0),0)*-1</f>
        <v>0</v>
      </c>
      <c r="W843" s="36"/>
      <c r="X843" s="6">
        <v>15489</v>
      </c>
      <c r="AH843" s="3">
        <v>0</v>
      </c>
      <c r="AJ843" s="3">
        <v>0</v>
      </c>
    </row>
    <row r="844" spans="1:36" x14ac:dyDescent="0.25">
      <c r="A844">
        <v>836</v>
      </c>
      <c r="B844" s="29" t="s">
        <v>45</v>
      </c>
      <c r="C844" s="29" t="s">
        <v>46</v>
      </c>
      <c r="D844" s="4" t="str">
        <f>"16693"</f>
        <v>16693</v>
      </c>
      <c r="E844" s="4" t="str">
        <f t="shared" si="26"/>
        <v>FE16693</v>
      </c>
      <c r="F844" s="7">
        <v>44366</v>
      </c>
      <c r="G844" s="7">
        <v>44378</v>
      </c>
      <c r="H844" s="34">
        <v>15489</v>
      </c>
      <c r="I844" s="31">
        <v>15489</v>
      </c>
      <c r="J844" s="31">
        <f t="shared" si="27"/>
        <v>0</v>
      </c>
      <c r="K844" s="2"/>
      <c r="N844" s="32">
        <v>0</v>
      </c>
      <c r="Q844" s="34">
        <v>0</v>
      </c>
      <c r="R844" s="45"/>
      <c r="S844" s="4">
        <f>IFERROR(VLOOKUP(E844,'[2]td factu si'!$A:$B,1,0),0)</f>
        <v>0</v>
      </c>
      <c r="T844" s="2">
        <f>IFERROR(VLOOKUP(E844,'[2]td factu si'!$A:$B,2,0),0)*-1</f>
        <v>0</v>
      </c>
      <c r="W844" s="36"/>
      <c r="X844" s="6">
        <v>15489</v>
      </c>
      <c r="AH844" s="3">
        <v>0</v>
      </c>
      <c r="AJ844" s="3">
        <v>0</v>
      </c>
    </row>
    <row r="845" spans="1:36" x14ac:dyDescent="0.25">
      <c r="A845">
        <v>837</v>
      </c>
      <c r="B845" s="29" t="s">
        <v>45</v>
      </c>
      <c r="C845" s="29" t="s">
        <v>46</v>
      </c>
      <c r="D845" s="4" t="str">
        <f>"16715"</f>
        <v>16715</v>
      </c>
      <c r="E845" s="4" t="str">
        <f t="shared" si="26"/>
        <v>FE16715</v>
      </c>
      <c r="F845" s="7">
        <v>44368</v>
      </c>
      <c r="G845" s="7">
        <v>44378</v>
      </c>
      <c r="H845" s="34">
        <v>7940185</v>
      </c>
      <c r="I845" s="31">
        <v>7940185</v>
      </c>
      <c r="J845" s="31">
        <f t="shared" si="27"/>
        <v>0</v>
      </c>
      <c r="K845" s="2"/>
      <c r="N845" s="32">
        <v>0</v>
      </c>
      <c r="Q845" s="34">
        <v>0</v>
      </c>
      <c r="R845" s="45"/>
      <c r="S845" s="4">
        <f>IFERROR(VLOOKUP(E845,'[2]td factu si'!$A:$B,1,0),0)</f>
        <v>0</v>
      </c>
      <c r="T845" s="2">
        <f>IFERROR(VLOOKUP(E845,'[2]td factu si'!$A:$B,2,0),0)*-1</f>
        <v>0</v>
      </c>
      <c r="W845" s="36"/>
      <c r="X845" s="6">
        <v>7940185</v>
      </c>
      <c r="AH845" s="3">
        <v>0</v>
      </c>
      <c r="AJ845" s="3">
        <v>0</v>
      </c>
    </row>
    <row r="846" spans="1:36" x14ac:dyDescent="0.25">
      <c r="A846">
        <v>838</v>
      </c>
      <c r="B846" s="29" t="s">
        <v>45</v>
      </c>
      <c r="C846" s="29" t="s">
        <v>46</v>
      </c>
      <c r="D846" s="4" t="str">
        <f>"16723"</f>
        <v>16723</v>
      </c>
      <c r="E846" s="4" t="str">
        <f t="shared" si="26"/>
        <v>FE16723</v>
      </c>
      <c r="F846" s="7">
        <v>44368</v>
      </c>
      <c r="G846" s="7">
        <v>44378</v>
      </c>
      <c r="H846" s="34">
        <v>15489</v>
      </c>
      <c r="I846" s="31">
        <v>15489</v>
      </c>
      <c r="J846" s="31">
        <f t="shared" si="27"/>
        <v>0</v>
      </c>
      <c r="K846" s="2"/>
      <c r="N846" s="32">
        <v>0</v>
      </c>
      <c r="Q846" s="34">
        <v>0</v>
      </c>
      <c r="R846" s="45"/>
      <c r="S846" s="4">
        <f>IFERROR(VLOOKUP(E846,'[2]td factu si'!$A:$B,1,0),0)</f>
        <v>0</v>
      </c>
      <c r="T846" s="2">
        <f>IFERROR(VLOOKUP(E846,'[2]td factu si'!$A:$B,2,0),0)*-1</f>
        <v>0</v>
      </c>
      <c r="W846" s="36"/>
      <c r="X846" s="6">
        <v>15489</v>
      </c>
      <c r="AH846" s="3">
        <v>0</v>
      </c>
      <c r="AJ846" s="3">
        <v>0</v>
      </c>
    </row>
    <row r="847" spans="1:36" x14ac:dyDescent="0.25">
      <c r="A847">
        <v>839</v>
      </c>
      <c r="B847" s="29" t="s">
        <v>45</v>
      </c>
      <c r="C847" s="29" t="s">
        <v>46</v>
      </c>
      <c r="D847" s="4" t="str">
        <f>"16727"</f>
        <v>16727</v>
      </c>
      <c r="E847" s="4" t="str">
        <f t="shared" si="26"/>
        <v>FE16727</v>
      </c>
      <c r="F847" s="7">
        <v>44368</v>
      </c>
      <c r="G847" s="7">
        <v>44378</v>
      </c>
      <c r="H847" s="34">
        <v>14102729</v>
      </c>
      <c r="I847" s="31">
        <v>14102729</v>
      </c>
      <c r="J847" s="31">
        <f t="shared" si="27"/>
        <v>0</v>
      </c>
      <c r="K847" s="2"/>
      <c r="N847" s="32">
        <v>0</v>
      </c>
      <c r="Q847" s="34">
        <v>0</v>
      </c>
      <c r="R847" s="45"/>
      <c r="S847" s="4">
        <f>IFERROR(VLOOKUP(E847,'[2]td factu si'!$A:$B,1,0),0)</f>
        <v>0</v>
      </c>
      <c r="T847" s="2">
        <f>IFERROR(VLOOKUP(E847,'[2]td factu si'!$A:$B,2,0),0)*-1</f>
        <v>0</v>
      </c>
      <c r="W847" s="36"/>
      <c r="X847" s="6">
        <v>14102729</v>
      </c>
      <c r="AH847" s="3">
        <v>0</v>
      </c>
      <c r="AJ847" s="3">
        <v>0</v>
      </c>
    </row>
    <row r="848" spans="1:36" x14ac:dyDescent="0.25">
      <c r="A848">
        <v>840</v>
      </c>
      <c r="B848" s="29" t="s">
        <v>45</v>
      </c>
      <c r="C848" s="29" t="s">
        <v>46</v>
      </c>
      <c r="D848" s="4" t="str">
        <f>"16729"</f>
        <v>16729</v>
      </c>
      <c r="E848" s="4" t="str">
        <f t="shared" si="26"/>
        <v>FE16729</v>
      </c>
      <c r="F848" s="7">
        <v>44368</v>
      </c>
      <c r="G848" s="7">
        <v>44378</v>
      </c>
      <c r="H848" s="34">
        <v>15489</v>
      </c>
      <c r="I848" s="31">
        <v>15489</v>
      </c>
      <c r="J848" s="31">
        <f t="shared" si="27"/>
        <v>0</v>
      </c>
      <c r="K848" s="2"/>
      <c r="N848" s="32">
        <v>0</v>
      </c>
      <c r="Q848" s="34">
        <v>0</v>
      </c>
      <c r="R848" s="45"/>
      <c r="S848" s="4">
        <f>IFERROR(VLOOKUP(E848,'[2]td factu si'!$A:$B,1,0),0)</f>
        <v>0</v>
      </c>
      <c r="T848" s="2">
        <f>IFERROR(VLOOKUP(E848,'[2]td factu si'!$A:$B,2,0),0)*-1</f>
        <v>0</v>
      </c>
      <c r="W848" s="36"/>
      <c r="X848" s="6">
        <v>15489</v>
      </c>
      <c r="AH848" s="3">
        <v>0</v>
      </c>
      <c r="AJ848" s="3">
        <v>0</v>
      </c>
    </row>
    <row r="849" spans="1:36" x14ac:dyDescent="0.25">
      <c r="A849">
        <v>841</v>
      </c>
      <c r="B849" s="29" t="s">
        <v>45</v>
      </c>
      <c r="C849" s="29" t="s">
        <v>46</v>
      </c>
      <c r="D849" s="4" t="str">
        <f>"16730"</f>
        <v>16730</v>
      </c>
      <c r="E849" s="4" t="str">
        <f t="shared" si="26"/>
        <v>FE16730</v>
      </c>
      <c r="F849" s="7">
        <v>44368</v>
      </c>
      <c r="G849" s="7">
        <v>44378</v>
      </c>
      <c r="H849" s="34">
        <v>3919059</v>
      </c>
      <c r="I849" s="31">
        <v>3919059</v>
      </c>
      <c r="J849" s="31">
        <f t="shared" si="27"/>
        <v>0</v>
      </c>
      <c r="K849" s="2"/>
      <c r="N849" s="32">
        <v>0</v>
      </c>
      <c r="Q849" s="34">
        <v>0</v>
      </c>
      <c r="R849" s="45"/>
      <c r="S849" s="4">
        <f>IFERROR(VLOOKUP(E849,'[2]td factu si'!$A:$B,1,0),0)</f>
        <v>0</v>
      </c>
      <c r="T849" s="2">
        <f>IFERROR(VLOOKUP(E849,'[2]td factu si'!$A:$B,2,0),0)*-1</f>
        <v>0</v>
      </c>
      <c r="W849" s="36"/>
      <c r="X849" s="6">
        <v>3919059</v>
      </c>
      <c r="AH849" s="3">
        <v>363623</v>
      </c>
      <c r="AJ849" s="3">
        <v>487689</v>
      </c>
    </row>
    <row r="850" spans="1:36" x14ac:dyDescent="0.25">
      <c r="A850">
        <v>842</v>
      </c>
      <c r="B850" s="29" t="s">
        <v>45</v>
      </c>
      <c r="C850" s="29" t="s">
        <v>46</v>
      </c>
      <c r="D850" s="4" t="str">
        <f>"16735"</f>
        <v>16735</v>
      </c>
      <c r="E850" s="4" t="str">
        <f t="shared" si="26"/>
        <v>FE16735</v>
      </c>
      <c r="F850" s="7">
        <v>44368</v>
      </c>
      <c r="G850" s="7">
        <v>44378</v>
      </c>
      <c r="H850" s="34">
        <v>14933</v>
      </c>
      <c r="I850" s="31">
        <v>14933</v>
      </c>
      <c r="J850" s="31">
        <f t="shared" si="27"/>
        <v>0</v>
      </c>
      <c r="K850" s="2"/>
      <c r="N850" s="32">
        <v>0</v>
      </c>
      <c r="Q850" s="34">
        <v>0</v>
      </c>
      <c r="R850" s="45"/>
      <c r="S850" s="4">
        <f>IFERROR(VLOOKUP(E850,'[2]td factu si'!$A:$B,1,0),0)</f>
        <v>0</v>
      </c>
      <c r="T850" s="2">
        <f>IFERROR(VLOOKUP(E850,'[2]td factu si'!$A:$B,2,0),0)*-1</f>
        <v>0</v>
      </c>
      <c r="W850" s="36"/>
      <c r="X850" s="6">
        <v>14933</v>
      </c>
      <c r="AH850" s="3">
        <v>0</v>
      </c>
      <c r="AJ850" s="3">
        <v>0</v>
      </c>
    </row>
    <row r="851" spans="1:36" x14ac:dyDescent="0.25">
      <c r="A851">
        <v>843</v>
      </c>
      <c r="B851" s="29" t="s">
        <v>45</v>
      </c>
      <c r="C851" s="29" t="s">
        <v>46</v>
      </c>
      <c r="D851" s="4" t="str">
        <f>"16736"</f>
        <v>16736</v>
      </c>
      <c r="E851" s="4" t="str">
        <f t="shared" si="26"/>
        <v>FE16736</v>
      </c>
      <c r="F851" s="7">
        <v>44368</v>
      </c>
      <c r="G851" s="7">
        <v>44386</v>
      </c>
      <c r="H851" s="34">
        <v>14933</v>
      </c>
      <c r="I851" s="31">
        <v>14933</v>
      </c>
      <c r="J851" s="31">
        <f t="shared" si="27"/>
        <v>0</v>
      </c>
      <c r="K851" s="2"/>
      <c r="N851" s="32">
        <v>0</v>
      </c>
      <c r="Q851" s="34">
        <v>0</v>
      </c>
      <c r="R851" s="45"/>
      <c r="S851" s="4">
        <f>IFERROR(VLOOKUP(E851,'[2]td factu si'!$A:$B,1,0),0)</f>
        <v>0</v>
      </c>
      <c r="T851" s="2">
        <f>IFERROR(VLOOKUP(E851,'[2]td factu si'!$A:$B,2,0),0)*-1</f>
        <v>0</v>
      </c>
      <c r="W851" s="36"/>
      <c r="X851" s="6">
        <v>14933</v>
      </c>
      <c r="AH851" s="3">
        <v>0</v>
      </c>
      <c r="AJ851" s="3">
        <v>0</v>
      </c>
    </row>
    <row r="852" spans="1:36" x14ac:dyDescent="0.25">
      <c r="A852">
        <v>844</v>
      </c>
      <c r="B852" s="29" t="s">
        <v>45</v>
      </c>
      <c r="C852" s="29" t="s">
        <v>46</v>
      </c>
      <c r="D852" s="4" t="str">
        <f>"16737"</f>
        <v>16737</v>
      </c>
      <c r="E852" s="4" t="str">
        <f t="shared" si="26"/>
        <v>FE16737</v>
      </c>
      <c r="F852" s="7">
        <v>44368</v>
      </c>
      <c r="G852" s="7">
        <v>44378</v>
      </c>
      <c r="H852" s="34">
        <v>196735</v>
      </c>
      <c r="I852" s="31">
        <v>196735</v>
      </c>
      <c r="J852" s="31">
        <f t="shared" si="27"/>
        <v>0</v>
      </c>
      <c r="K852" s="2"/>
      <c r="N852" s="32">
        <v>0</v>
      </c>
      <c r="Q852" s="34">
        <v>0</v>
      </c>
      <c r="R852" s="45"/>
      <c r="S852" s="4">
        <f>IFERROR(VLOOKUP(E852,'[2]td factu si'!$A:$B,1,0),0)</f>
        <v>0</v>
      </c>
      <c r="T852" s="2">
        <f>IFERROR(VLOOKUP(E852,'[2]td factu si'!$A:$B,2,0),0)*-1</f>
        <v>0</v>
      </c>
      <c r="W852" s="36"/>
      <c r="X852" s="6">
        <v>196735</v>
      </c>
      <c r="AH852" s="3">
        <v>0</v>
      </c>
      <c r="AJ852" s="3">
        <v>0</v>
      </c>
    </row>
    <row r="853" spans="1:36" x14ac:dyDescent="0.25">
      <c r="A853">
        <v>845</v>
      </c>
      <c r="B853" s="29" t="s">
        <v>45</v>
      </c>
      <c r="C853" s="29" t="s">
        <v>46</v>
      </c>
      <c r="D853" s="4" t="str">
        <f>"16740"</f>
        <v>16740</v>
      </c>
      <c r="E853" s="4" t="str">
        <f t="shared" si="26"/>
        <v>FE16740</v>
      </c>
      <c r="F853" s="7">
        <v>44368</v>
      </c>
      <c r="G853" s="7">
        <v>44378</v>
      </c>
      <c r="H853" s="34">
        <v>181246</v>
      </c>
      <c r="I853" s="31">
        <v>181246</v>
      </c>
      <c r="J853" s="31">
        <f t="shared" si="27"/>
        <v>0</v>
      </c>
      <c r="K853" s="2"/>
      <c r="N853" s="32">
        <v>0</v>
      </c>
      <c r="Q853" s="34">
        <v>0</v>
      </c>
      <c r="R853" s="45"/>
      <c r="S853" s="4">
        <f>IFERROR(VLOOKUP(E853,'[2]td factu si'!$A:$B,1,0),0)</f>
        <v>0</v>
      </c>
      <c r="T853" s="2">
        <f>IFERROR(VLOOKUP(E853,'[2]td factu si'!$A:$B,2,0),0)*-1</f>
        <v>0</v>
      </c>
      <c r="W853" s="36"/>
      <c r="X853" s="6">
        <v>181246</v>
      </c>
      <c r="AH853" s="3">
        <v>0</v>
      </c>
      <c r="AJ853" s="3">
        <v>0</v>
      </c>
    </row>
    <row r="854" spans="1:36" x14ac:dyDescent="0.25">
      <c r="A854">
        <v>846</v>
      </c>
      <c r="B854" s="29" t="s">
        <v>45</v>
      </c>
      <c r="C854" s="29" t="s">
        <v>46</v>
      </c>
      <c r="D854" s="4" t="str">
        <f>"16741"</f>
        <v>16741</v>
      </c>
      <c r="E854" s="4" t="str">
        <f t="shared" si="26"/>
        <v>FE16741</v>
      </c>
      <c r="F854" s="7">
        <v>44368</v>
      </c>
      <c r="G854" s="7">
        <v>44378</v>
      </c>
      <c r="H854" s="34">
        <v>181246</v>
      </c>
      <c r="I854" s="31">
        <v>181246</v>
      </c>
      <c r="J854" s="31">
        <f t="shared" si="27"/>
        <v>0</v>
      </c>
      <c r="K854" s="2"/>
      <c r="N854" s="32">
        <v>0</v>
      </c>
      <c r="Q854" s="34">
        <v>0</v>
      </c>
      <c r="R854" s="45"/>
      <c r="S854" s="4">
        <f>IFERROR(VLOOKUP(E854,'[2]td factu si'!$A:$B,1,0),0)</f>
        <v>0</v>
      </c>
      <c r="T854" s="2">
        <f>IFERROR(VLOOKUP(E854,'[2]td factu si'!$A:$B,2,0),0)*-1</f>
        <v>0</v>
      </c>
      <c r="W854" s="36"/>
      <c r="X854" s="6">
        <v>181246</v>
      </c>
      <c r="AH854" s="3">
        <v>0</v>
      </c>
      <c r="AJ854" s="3">
        <v>0</v>
      </c>
    </row>
    <row r="855" spans="1:36" x14ac:dyDescent="0.25">
      <c r="A855">
        <v>847</v>
      </c>
      <c r="B855" s="29" t="s">
        <v>45</v>
      </c>
      <c r="C855" s="29" t="s">
        <v>46</v>
      </c>
      <c r="D855" s="4" t="str">
        <f>"16742"</f>
        <v>16742</v>
      </c>
      <c r="E855" s="4" t="str">
        <f t="shared" si="26"/>
        <v>FE16742</v>
      </c>
      <c r="F855" s="7">
        <v>44368</v>
      </c>
      <c r="G855" s="7">
        <v>44378</v>
      </c>
      <c r="H855" s="34">
        <v>181246</v>
      </c>
      <c r="I855" s="31">
        <v>181246</v>
      </c>
      <c r="J855" s="31">
        <f t="shared" si="27"/>
        <v>0</v>
      </c>
      <c r="K855" s="2"/>
      <c r="N855" s="32">
        <v>0</v>
      </c>
      <c r="Q855" s="34">
        <v>0</v>
      </c>
      <c r="R855" s="45"/>
      <c r="S855" s="4">
        <f>IFERROR(VLOOKUP(E855,'[2]td factu si'!$A:$B,1,0),0)</f>
        <v>0</v>
      </c>
      <c r="T855" s="2">
        <f>IFERROR(VLOOKUP(E855,'[2]td factu si'!$A:$B,2,0),0)*-1</f>
        <v>0</v>
      </c>
      <c r="W855" s="36"/>
      <c r="X855" s="6">
        <v>181246</v>
      </c>
      <c r="AH855" s="3">
        <v>0</v>
      </c>
      <c r="AJ855" s="3">
        <v>0</v>
      </c>
    </row>
    <row r="856" spans="1:36" x14ac:dyDescent="0.25">
      <c r="A856">
        <v>848</v>
      </c>
      <c r="B856" s="29" t="s">
        <v>45</v>
      </c>
      <c r="C856" s="29" t="s">
        <v>46</v>
      </c>
      <c r="D856" s="4" t="str">
        <f>"16743"</f>
        <v>16743</v>
      </c>
      <c r="E856" s="4" t="str">
        <f t="shared" si="26"/>
        <v>FE16743</v>
      </c>
      <c r="F856" s="7">
        <v>44368</v>
      </c>
      <c r="G856" s="7">
        <v>44378</v>
      </c>
      <c r="H856" s="34">
        <v>181246</v>
      </c>
      <c r="I856" s="31">
        <v>160403</v>
      </c>
      <c r="J856" s="31">
        <f t="shared" si="27"/>
        <v>20843</v>
      </c>
      <c r="K856" s="2"/>
      <c r="N856" s="32">
        <v>0</v>
      </c>
      <c r="Q856" s="34">
        <v>0</v>
      </c>
      <c r="R856" s="45"/>
      <c r="S856" s="4">
        <f>IFERROR(VLOOKUP(E856,'[2]td factu si'!$A:$B,1,0),0)</f>
        <v>0</v>
      </c>
      <c r="T856" s="2">
        <f>IFERROR(VLOOKUP(E856,'[2]td factu si'!$A:$B,2,0),0)*-1</f>
        <v>0</v>
      </c>
      <c r="W856" s="36"/>
      <c r="X856" s="6">
        <v>160403</v>
      </c>
      <c r="AH856" s="3">
        <v>0</v>
      </c>
      <c r="AJ856" s="3">
        <v>0</v>
      </c>
    </row>
    <row r="857" spans="1:36" x14ac:dyDescent="0.25">
      <c r="A857">
        <v>849</v>
      </c>
      <c r="B857" s="29" t="s">
        <v>45</v>
      </c>
      <c r="C857" s="29" t="s">
        <v>46</v>
      </c>
      <c r="D857" s="4" t="str">
        <f>"16744"</f>
        <v>16744</v>
      </c>
      <c r="E857" s="4" t="str">
        <f t="shared" si="26"/>
        <v>FE16744</v>
      </c>
      <c r="F857" s="7">
        <v>44368</v>
      </c>
      <c r="G857" s="7">
        <v>44378</v>
      </c>
      <c r="H857" s="34">
        <v>181246</v>
      </c>
      <c r="I857" s="31">
        <v>181246</v>
      </c>
      <c r="J857" s="31">
        <f t="shared" si="27"/>
        <v>0</v>
      </c>
      <c r="K857" s="2"/>
      <c r="N857" s="32">
        <v>0</v>
      </c>
      <c r="Q857" s="34">
        <v>0</v>
      </c>
      <c r="R857" s="45"/>
      <c r="S857" s="4">
        <f>IFERROR(VLOOKUP(E857,'[2]td factu si'!$A:$B,1,0),0)</f>
        <v>0</v>
      </c>
      <c r="T857" s="2">
        <f>IFERROR(VLOOKUP(E857,'[2]td factu si'!$A:$B,2,0),0)*-1</f>
        <v>0</v>
      </c>
      <c r="W857" s="36"/>
      <c r="X857" s="6">
        <v>181246</v>
      </c>
      <c r="AH857" s="3">
        <v>0</v>
      </c>
      <c r="AJ857" s="3">
        <v>0</v>
      </c>
    </row>
    <row r="858" spans="1:36" x14ac:dyDescent="0.25">
      <c r="A858">
        <v>850</v>
      </c>
      <c r="B858" s="29" t="s">
        <v>45</v>
      </c>
      <c r="C858" s="29" t="s">
        <v>46</v>
      </c>
      <c r="D858" s="4" t="str">
        <f>"16745"</f>
        <v>16745</v>
      </c>
      <c r="E858" s="4" t="str">
        <f t="shared" si="26"/>
        <v>FE16745</v>
      </c>
      <c r="F858" s="7">
        <v>44368</v>
      </c>
      <c r="G858" s="7">
        <v>44378</v>
      </c>
      <c r="H858" s="34">
        <v>181246</v>
      </c>
      <c r="I858" s="31">
        <v>181246</v>
      </c>
      <c r="J858" s="31">
        <f t="shared" si="27"/>
        <v>0</v>
      </c>
      <c r="K858" s="2"/>
      <c r="N858" s="32">
        <v>0</v>
      </c>
      <c r="Q858" s="34">
        <v>0</v>
      </c>
      <c r="R858" s="45"/>
      <c r="S858" s="4">
        <f>IFERROR(VLOOKUP(E858,'[2]td factu si'!$A:$B,1,0),0)</f>
        <v>0</v>
      </c>
      <c r="T858" s="2">
        <f>IFERROR(VLOOKUP(E858,'[2]td factu si'!$A:$B,2,0),0)*-1</f>
        <v>0</v>
      </c>
      <c r="W858" s="36"/>
      <c r="X858" s="6">
        <v>181246</v>
      </c>
      <c r="AH858" s="3">
        <v>0</v>
      </c>
      <c r="AJ858" s="3">
        <v>0</v>
      </c>
    </row>
    <row r="859" spans="1:36" x14ac:dyDescent="0.25">
      <c r="A859">
        <v>851</v>
      </c>
      <c r="B859" s="29" t="s">
        <v>45</v>
      </c>
      <c r="C859" s="29" t="s">
        <v>46</v>
      </c>
      <c r="D859" s="4" t="str">
        <f>"16746"</f>
        <v>16746</v>
      </c>
      <c r="E859" s="4" t="str">
        <f t="shared" si="26"/>
        <v>FE16746</v>
      </c>
      <c r="F859" s="7">
        <v>44368</v>
      </c>
      <c r="G859" s="7">
        <v>44378</v>
      </c>
      <c r="H859" s="34">
        <v>181246</v>
      </c>
      <c r="I859" s="31">
        <v>181246</v>
      </c>
      <c r="J859" s="31">
        <f t="shared" si="27"/>
        <v>0</v>
      </c>
      <c r="K859" s="2"/>
      <c r="N859" s="32">
        <v>0</v>
      </c>
      <c r="Q859" s="34">
        <v>0</v>
      </c>
      <c r="R859" s="45"/>
      <c r="S859" s="4">
        <f>IFERROR(VLOOKUP(E859,'[2]td factu si'!$A:$B,1,0),0)</f>
        <v>0</v>
      </c>
      <c r="T859" s="2">
        <f>IFERROR(VLOOKUP(E859,'[2]td factu si'!$A:$B,2,0),0)*-1</f>
        <v>0</v>
      </c>
      <c r="W859" s="36"/>
      <c r="X859" s="6">
        <v>181246</v>
      </c>
      <c r="AH859" s="3">
        <v>0</v>
      </c>
      <c r="AJ859" s="3">
        <v>0</v>
      </c>
    </row>
    <row r="860" spans="1:36" x14ac:dyDescent="0.25">
      <c r="A860">
        <v>852</v>
      </c>
      <c r="B860" s="29" t="s">
        <v>45</v>
      </c>
      <c r="C860" s="29" t="s">
        <v>46</v>
      </c>
      <c r="D860" s="4" t="str">
        <f>"16749"</f>
        <v>16749</v>
      </c>
      <c r="E860" s="4" t="str">
        <f t="shared" si="26"/>
        <v>FE16749</v>
      </c>
      <c r="F860" s="7">
        <v>44368</v>
      </c>
      <c r="G860" s="7">
        <v>44386</v>
      </c>
      <c r="H860" s="34">
        <v>13855932</v>
      </c>
      <c r="I860" s="31">
        <v>13855932</v>
      </c>
      <c r="J860" s="31">
        <f t="shared" si="27"/>
        <v>0</v>
      </c>
      <c r="K860" s="2"/>
      <c r="N860" s="32">
        <v>0</v>
      </c>
      <c r="Q860" s="34">
        <v>0</v>
      </c>
      <c r="R860" s="45"/>
      <c r="S860" s="4">
        <f>IFERROR(VLOOKUP(E860,'[2]td factu si'!$A:$B,1,0),0)</f>
        <v>0</v>
      </c>
      <c r="T860" s="2">
        <f>IFERROR(VLOOKUP(E860,'[2]td factu si'!$A:$B,2,0),0)*-1</f>
        <v>0</v>
      </c>
      <c r="W860" s="36"/>
      <c r="X860" s="6">
        <v>13855932</v>
      </c>
      <c r="AH860" s="3">
        <v>0</v>
      </c>
      <c r="AJ860" s="3">
        <v>11243352</v>
      </c>
    </row>
    <row r="861" spans="1:36" x14ac:dyDescent="0.25">
      <c r="A861">
        <v>853</v>
      </c>
      <c r="B861" s="29" t="s">
        <v>45</v>
      </c>
      <c r="C861" s="29" t="s">
        <v>46</v>
      </c>
      <c r="D861" s="4" t="str">
        <f>"16750"</f>
        <v>16750</v>
      </c>
      <c r="E861" s="4" t="str">
        <f t="shared" si="26"/>
        <v>FE16750</v>
      </c>
      <c r="F861" s="7">
        <v>44368</v>
      </c>
      <c r="G861" s="7">
        <v>44378</v>
      </c>
      <c r="H861" s="34">
        <v>135855</v>
      </c>
      <c r="I861" s="31">
        <v>135855</v>
      </c>
      <c r="J861" s="31">
        <f t="shared" si="27"/>
        <v>0</v>
      </c>
      <c r="K861" s="2"/>
      <c r="N861" s="32">
        <v>0</v>
      </c>
      <c r="Q861" s="34">
        <v>0</v>
      </c>
      <c r="R861" s="45"/>
      <c r="S861" s="4">
        <f>IFERROR(VLOOKUP(E861,'[2]td factu si'!$A:$B,1,0),0)</f>
        <v>0</v>
      </c>
      <c r="T861" s="2">
        <f>IFERROR(VLOOKUP(E861,'[2]td factu si'!$A:$B,2,0),0)*-1</f>
        <v>0</v>
      </c>
      <c r="W861" s="36"/>
      <c r="X861" s="6">
        <v>135855</v>
      </c>
      <c r="AH861" s="3">
        <v>0</v>
      </c>
      <c r="AJ861" s="3">
        <v>0</v>
      </c>
    </row>
    <row r="862" spans="1:36" x14ac:dyDescent="0.25">
      <c r="A862">
        <v>854</v>
      </c>
      <c r="B862" s="29" t="s">
        <v>45</v>
      </c>
      <c r="C862" s="29" t="s">
        <v>46</v>
      </c>
      <c r="D862" s="4" t="str">
        <f>"16755"</f>
        <v>16755</v>
      </c>
      <c r="E862" s="4" t="str">
        <f t="shared" si="26"/>
        <v>FE16755</v>
      </c>
      <c r="F862" s="7">
        <v>44368</v>
      </c>
      <c r="G862" s="7">
        <v>44378</v>
      </c>
      <c r="H862" s="34">
        <v>15489</v>
      </c>
      <c r="I862" s="31">
        <v>11989</v>
      </c>
      <c r="J862" s="31">
        <f t="shared" si="27"/>
        <v>3500</v>
      </c>
      <c r="K862" s="2"/>
      <c r="N862" s="32">
        <v>0</v>
      </c>
      <c r="Q862" s="34">
        <v>0</v>
      </c>
      <c r="R862" s="45"/>
      <c r="S862" s="4">
        <f>IFERROR(VLOOKUP(E862,'[2]td factu si'!$A:$B,1,0),0)</f>
        <v>0</v>
      </c>
      <c r="T862" s="2">
        <f>IFERROR(VLOOKUP(E862,'[2]td factu si'!$A:$B,2,0),0)*-1</f>
        <v>0</v>
      </c>
      <c r="W862" s="36"/>
      <c r="X862" s="6">
        <v>11989</v>
      </c>
      <c r="AH862" s="3">
        <v>0</v>
      </c>
      <c r="AJ862" s="3">
        <v>0</v>
      </c>
    </row>
    <row r="863" spans="1:36" x14ac:dyDescent="0.25">
      <c r="A863">
        <v>855</v>
      </c>
      <c r="B863" s="29" t="s">
        <v>45</v>
      </c>
      <c r="C863" s="29" t="s">
        <v>46</v>
      </c>
      <c r="D863" s="4" t="str">
        <f>"16758"</f>
        <v>16758</v>
      </c>
      <c r="E863" s="4" t="str">
        <f t="shared" si="26"/>
        <v>FE16758</v>
      </c>
      <c r="F863" s="7">
        <v>44368</v>
      </c>
      <c r="G863" s="7">
        <v>44378</v>
      </c>
      <c r="H863" s="34">
        <v>135855</v>
      </c>
      <c r="I863" s="31">
        <v>132355</v>
      </c>
      <c r="J863" s="31">
        <f t="shared" si="27"/>
        <v>3500</v>
      </c>
      <c r="K863" s="2"/>
      <c r="N863" s="32">
        <v>0</v>
      </c>
      <c r="Q863" s="34">
        <v>0</v>
      </c>
      <c r="R863" s="45"/>
      <c r="S863" s="4">
        <f>IFERROR(VLOOKUP(E863,'[2]td factu si'!$A:$B,1,0),0)</f>
        <v>0</v>
      </c>
      <c r="T863" s="2">
        <f>IFERROR(VLOOKUP(E863,'[2]td factu si'!$A:$B,2,0),0)*-1</f>
        <v>0</v>
      </c>
      <c r="W863" s="36"/>
      <c r="X863" s="6">
        <v>132355</v>
      </c>
      <c r="AH863" s="3">
        <v>0</v>
      </c>
      <c r="AJ863" s="3">
        <v>0</v>
      </c>
    </row>
    <row r="864" spans="1:36" x14ac:dyDescent="0.25">
      <c r="A864">
        <v>856</v>
      </c>
      <c r="B864" s="29" t="s">
        <v>45</v>
      </c>
      <c r="C864" s="29" t="s">
        <v>46</v>
      </c>
      <c r="D864" s="4" t="str">
        <f>"16759"</f>
        <v>16759</v>
      </c>
      <c r="E864" s="4" t="str">
        <f t="shared" si="26"/>
        <v>FE16759</v>
      </c>
      <c r="F864" s="7">
        <v>44368</v>
      </c>
      <c r="G864" s="7">
        <v>44378</v>
      </c>
      <c r="H864" s="34">
        <v>15489</v>
      </c>
      <c r="I864" s="31">
        <v>11989</v>
      </c>
      <c r="J864" s="31">
        <f t="shared" si="27"/>
        <v>3500</v>
      </c>
      <c r="K864" s="2"/>
      <c r="N864" s="32">
        <v>0</v>
      </c>
      <c r="Q864" s="34">
        <v>0</v>
      </c>
      <c r="R864" s="45"/>
      <c r="S864" s="4">
        <f>IFERROR(VLOOKUP(E864,'[2]td factu si'!$A:$B,1,0),0)</f>
        <v>0</v>
      </c>
      <c r="T864" s="2">
        <f>IFERROR(VLOOKUP(E864,'[2]td factu si'!$A:$B,2,0),0)*-1</f>
        <v>0</v>
      </c>
      <c r="W864" s="36"/>
      <c r="X864" s="6">
        <v>11989</v>
      </c>
      <c r="AH864" s="3">
        <v>0</v>
      </c>
      <c r="AJ864" s="3">
        <v>0</v>
      </c>
    </row>
    <row r="865" spans="1:36" x14ac:dyDescent="0.25">
      <c r="A865">
        <v>857</v>
      </c>
      <c r="B865" s="29" t="s">
        <v>45</v>
      </c>
      <c r="C865" s="29" t="s">
        <v>46</v>
      </c>
      <c r="D865" s="4" t="str">
        <f>"16760"</f>
        <v>16760</v>
      </c>
      <c r="E865" s="4" t="str">
        <f t="shared" si="26"/>
        <v>FE16760</v>
      </c>
      <c r="F865" s="7">
        <v>44368</v>
      </c>
      <c r="G865" s="7">
        <v>44378</v>
      </c>
      <c r="H865" s="34">
        <v>135855</v>
      </c>
      <c r="I865" s="31">
        <v>135855</v>
      </c>
      <c r="J865" s="31">
        <f t="shared" si="27"/>
        <v>0</v>
      </c>
      <c r="K865" s="2"/>
      <c r="N865" s="32">
        <v>0</v>
      </c>
      <c r="Q865" s="34">
        <v>0</v>
      </c>
      <c r="R865" s="45"/>
      <c r="S865" s="4">
        <f>IFERROR(VLOOKUP(E865,'[2]td factu si'!$A:$B,1,0),0)</f>
        <v>0</v>
      </c>
      <c r="T865" s="2">
        <f>IFERROR(VLOOKUP(E865,'[2]td factu si'!$A:$B,2,0),0)*-1</f>
        <v>0</v>
      </c>
      <c r="W865" s="36"/>
      <c r="X865" s="6">
        <v>135855</v>
      </c>
      <c r="AH865" s="3">
        <v>0</v>
      </c>
      <c r="AJ865" s="3">
        <v>0</v>
      </c>
    </row>
    <row r="866" spans="1:36" x14ac:dyDescent="0.25">
      <c r="A866">
        <v>858</v>
      </c>
      <c r="B866" s="29" t="s">
        <v>45</v>
      </c>
      <c r="C866" s="29" t="s">
        <v>46</v>
      </c>
      <c r="D866" s="4" t="str">
        <f>"16761"</f>
        <v>16761</v>
      </c>
      <c r="E866" s="4" t="str">
        <f t="shared" si="26"/>
        <v>FE16761</v>
      </c>
      <c r="F866" s="7">
        <v>44368</v>
      </c>
      <c r="G866" s="7">
        <v>44378</v>
      </c>
      <c r="H866" s="34">
        <v>135855</v>
      </c>
      <c r="I866" s="31">
        <v>132355</v>
      </c>
      <c r="J866" s="31">
        <f t="shared" si="27"/>
        <v>3500</v>
      </c>
      <c r="K866" s="2"/>
      <c r="N866" s="32">
        <v>0</v>
      </c>
      <c r="Q866" s="34">
        <v>0</v>
      </c>
      <c r="R866" s="45"/>
      <c r="S866" s="4">
        <f>IFERROR(VLOOKUP(E866,'[2]td factu si'!$A:$B,1,0),0)</f>
        <v>0</v>
      </c>
      <c r="T866" s="2">
        <f>IFERROR(VLOOKUP(E866,'[2]td factu si'!$A:$B,2,0),0)*-1</f>
        <v>0</v>
      </c>
      <c r="W866" s="36"/>
      <c r="X866" s="6">
        <v>132355</v>
      </c>
      <c r="AH866" s="3">
        <v>0</v>
      </c>
      <c r="AJ866" s="3">
        <v>0</v>
      </c>
    </row>
    <row r="867" spans="1:36" x14ac:dyDescent="0.25">
      <c r="A867">
        <v>859</v>
      </c>
      <c r="B867" s="29" t="s">
        <v>45</v>
      </c>
      <c r="C867" s="29" t="s">
        <v>46</v>
      </c>
      <c r="D867" s="4" t="str">
        <f>"16765"</f>
        <v>16765</v>
      </c>
      <c r="E867" s="4" t="str">
        <f t="shared" si="26"/>
        <v>FE16765</v>
      </c>
      <c r="F867" s="7">
        <v>44368</v>
      </c>
      <c r="G867" s="7">
        <v>44378</v>
      </c>
      <c r="H867" s="34">
        <v>15489</v>
      </c>
      <c r="I867" s="31">
        <v>15489</v>
      </c>
      <c r="J867" s="31">
        <f t="shared" si="27"/>
        <v>0</v>
      </c>
      <c r="K867" s="2"/>
      <c r="N867" s="32">
        <v>0</v>
      </c>
      <c r="Q867" s="34">
        <v>0</v>
      </c>
      <c r="R867" s="45"/>
      <c r="S867" s="4">
        <f>IFERROR(VLOOKUP(E867,'[2]td factu si'!$A:$B,1,0),0)</f>
        <v>0</v>
      </c>
      <c r="T867" s="2">
        <f>IFERROR(VLOOKUP(E867,'[2]td factu si'!$A:$B,2,0),0)*-1</f>
        <v>0</v>
      </c>
      <c r="W867" s="36"/>
      <c r="X867" s="6">
        <v>15489</v>
      </c>
      <c r="AH867" s="3">
        <v>0</v>
      </c>
      <c r="AJ867" s="3">
        <v>0</v>
      </c>
    </row>
    <row r="868" spans="1:36" x14ac:dyDescent="0.25">
      <c r="A868">
        <v>860</v>
      </c>
      <c r="B868" s="29" t="s">
        <v>45</v>
      </c>
      <c r="C868" s="29" t="s">
        <v>46</v>
      </c>
      <c r="D868" s="4" t="str">
        <f>"16766"</f>
        <v>16766</v>
      </c>
      <c r="E868" s="4" t="str">
        <f t="shared" si="26"/>
        <v>FE16766</v>
      </c>
      <c r="F868" s="7">
        <v>44368</v>
      </c>
      <c r="G868" s="7">
        <v>44378</v>
      </c>
      <c r="H868" s="34">
        <v>317101</v>
      </c>
      <c r="I868" s="31">
        <v>310101</v>
      </c>
      <c r="J868" s="31">
        <f t="shared" si="27"/>
        <v>7000</v>
      </c>
      <c r="K868" s="2"/>
      <c r="N868" s="32">
        <v>0</v>
      </c>
      <c r="Q868" s="34">
        <v>0</v>
      </c>
      <c r="R868" s="45"/>
      <c r="S868" s="4">
        <f>IFERROR(VLOOKUP(E868,'[2]td factu si'!$A:$B,1,0),0)</f>
        <v>0</v>
      </c>
      <c r="T868" s="2">
        <f>IFERROR(VLOOKUP(E868,'[2]td factu si'!$A:$B,2,0),0)*-1</f>
        <v>0</v>
      </c>
      <c r="W868" s="36"/>
      <c r="X868" s="6">
        <v>310101</v>
      </c>
      <c r="AH868" s="3">
        <v>0</v>
      </c>
      <c r="AJ868" s="3">
        <v>0</v>
      </c>
    </row>
    <row r="869" spans="1:36" x14ac:dyDescent="0.25">
      <c r="A869">
        <v>861</v>
      </c>
      <c r="B869" s="29" t="s">
        <v>45</v>
      </c>
      <c r="C869" s="29" t="s">
        <v>46</v>
      </c>
      <c r="D869" s="4" t="str">
        <f>"16768"</f>
        <v>16768</v>
      </c>
      <c r="E869" s="4" t="str">
        <f t="shared" si="26"/>
        <v>FE16768</v>
      </c>
      <c r="F869" s="7">
        <v>44368</v>
      </c>
      <c r="G869" s="7">
        <v>44378</v>
      </c>
      <c r="H869" s="34">
        <v>15489</v>
      </c>
      <c r="I869" s="31">
        <v>15489</v>
      </c>
      <c r="J869" s="31">
        <f t="shared" si="27"/>
        <v>0</v>
      </c>
      <c r="K869" s="2"/>
      <c r="N869" s="32">
        <v>0</v>
      </c>
      <c r="Q869" s="34">
        <v>0</v>
      </c>
      <c r="R869" s="45"/>
      <c r="S869" s="4">
        <f>IFERROR(VLOOKUP(E869,'[2]td factu si'!$A:$B,1,0),0)</f>
        <v>0</v>
      </c>
      <c r="T869" s="2">
        <f>IFERROR(VLOOKUP(E869,'[2]td factu si'!$A:$B,2,0),0)*-1</f>
        <v>0</v>
      </c>
      <c r="W869" s="36"/>
      <c r="X869" s="6">
        <v>15489</v>
      </c>
      <c r="AH869" s="3">
        <v>0</v>
      </c>
      <c r="AJ869" s="3">
        <v>0</v>
      </c>
    </row>
    <row r="870" spans="1:36" x14ac:dyDescent="0.25">
      <c r="A870">
        <v>862</v>
      </c>
      <c r="B870" s="29" t="s">
        <v>45</v>
      </c>
      <c r="C870" s="29" t="s">
        <v>46</v>
      </c>
      <c r="D870" s="4" t="str">
        <f>"16770"</f>
        <v>16770</v>
      </c>
      <c r="E870" s="4" t="str">
        <f t="shared" si="26"/>
        <v>FE16770</v>
      </c>
      <c r="F870" s="7">
        <v>44369</v>
      </c>
      <c r="G870" s="7">
        <v>44378</v>
      </c>
      <c r="H870" s="34">
        <v>3537550</v>
      </c>
      <c r="I870" s="31">
        <v>3527050</v>
      </c>
      <c r="J870" s="31">
        <f t="shared" si="27"/>
        <v>10500</v>
      </c>
      <c r="K870" s="2"/>
      <c r="N870" s="32">
        <v>0</v>
      </c>
      <c r="Q870" s="34">
        <v>0</v>
      </c>
      <c r="R870" s="45"/>
      <c r="S870" s="4">
        <f>IFERROR(VLOOKUP(E870,'[2]td factu si'!$A:$B,1,0),0)</f>
        <v>0</v>
      </c>
      <c r="T870" s="2">
        <f>IFERROR(VLOOKUP(E870,'[2]td factu si'!$A:$B,2,0),0)*-1</f>
        <v>0</v>
      </c>
      <c r="W870" s="36"/>
      <c r="X870" s="6">
        <v>3527050</v>
      </c>
      <c r="AH870" s="3">
        <v>0</v>
      </c>
      <c r="AJ870" s="3">
        <v>0</v>
      </c>
    </row>
    <row r="871" spans="1:36" x14ac:dyDescent="0.25">
      <c r="A871">
        <v>863</v>
      </c>
      <c r="B871" s="29" t="s">
        <v>45</v>
      </c>
      <c r="C871" s="29" t="s">
        <v>46</v>
      </c>
      <c r="D871" s="4" t="str">
        <f>"16771"</f>
        <v>16771</v>
      </c>
      <c r="E871" s="4" t="str">
        <f t="shared" si="26"/>
        <v>FE16771</v>
      </c>
      <c r="F871" s="7">
        <v>44369</v>
      </c>
      <c r="G871" s="7">
        <v>44378</v>
      </c>
      <c r="H871" s="34">
        <v>2171762</v>
      </c>
      <c r="I871" s="31">
        <v>2171762</v>
      </c>
      <c r="J871" s="31">
        <f t="shared" si="27"/>
        <v>0</v>
      </c>
      <c r="K871" s="2"/>
      <c r="N871" s="32">
        <v>0</v>
      </c>
      <c r="Q871" s="34">
        <v>0</v>
      </c>
      <c r="R871" s="45"/>
      <c r="S871" s="4">
        <f>IFERROR(VLOOKUP(E871,'[2]td factu si'!$A:$B,1,0),0)</f>
        <v>0</v>
      </c>
      <c r="T871" s="2">
        <f>IFERROR(VLOOKUP(E871,'[2]td factu si'!$A:$B,2,0),0)*-1</f>
        <v>0</v>
      </c>
      <c r="W871" s="36"/>
      <c r="X871" s="6">
        <v>2171762</v>
      </c>
      <c r="AH871" s="3">
        <v>298292</v>
      </c>
      <c r="AJ871" s="3">
        <v>0</v>
      </c>
    </row>
    <row r="872" spans="1:36" x14ac:dyDescent="0.25">
      <c r="A872">
        <v>864</v>
      </c>
      <c r="B872" s="29" t="s">
        <v>45</v>
      </c>
      <c r="C872" s="29" t="s">
        <v>46</v>
      </c>
      <c r="D872" s="4" t="str">
        <f>"16773"</f>
        <v>16773</v>
      </c>
      <c r="E872" s="4" t="str">
        <f t="shared" si="26"/>
        <v>FE16773</v>
      </c>
      <c r="F872" s="7">
        <v>44369</v>
      </c>
      <c r="G872" s="7">
        <v>44386</v>
      </c>
      <c r="H872" s="34">
        <v>8281222</v>
      </c>
      <c r="I872" s="31">
        <v>8281222</v>
      </c>
      <c r="J872" s="31">
        <f t="shared" si="27"/>
        <v>0</v>
      </c>
      <c r="K872" s="2"/>
      <c r="N872" s="32">
        <v>0</v>
      </c>
      <c r="Q872" s="34">
        <v>0</v>
      </c>
      <c r="R872" s="45"/>
      <c r="S872" s="4">
        <f>IFERROR(VLOOKUP(E872,'[2]td factu si'!$A:$B,1,0),0)</f>
        <v>0</v>
      </c>
      <c r="T872" s="2">
        <f>IFERROR(VLOOKUP(E872,'[2]td factu si'!$A:$B,2,0),0)*-1</f>
        <v>0</v>
      </c>
      <c r="W872" s="36"/>
      <c r="X872" s="6">
        <v>8281222</v>
      </c>
      <c r="AH872" s="3">
        <v>0</v>
      </c>
      <c r="AJ872" s="3">
        <v>8281222</v>
      </c>
    </row>
    <row r="873" spans="1:36" x14ac:dyDescent="0.25">
      <c r="A873">
        <v>865</v>
      </c>
      <c r="B873" s="29" t="s">
        <v>45</v>
      </c>
      <c r="C873" s="29" t="s">
        <v>46</v>
      </c>
      <c r="D873" s="4" t="str">
        <f>"16775"</f>
        <v>16775</v>
      </c>
      <c r="E873" s="4" t="str">
        <f t="shared" si="26"/>
        <v>FE16775</v>
      </c>
      <c r="F873" s="7">
        <v>44369</v>
      </c>
      <c r="G873" s="7">
        <v>44378</v>
      </c>
      <c r="H873" s="34">
        <v>13178975</v>
      </c>
      <c r="I873" s="31">
        <v>13178975</v>
      </c>
      <c r="J873" s="31">
        <f t="shared" si="27"/>
        <v>0</v>
      </c>
      <c r="K873" s="2"/>
      <c r="N873" s="32">
        <v>0</v>
      </c>
      <c r="Q873" s="34">
        <v>0</v>
      </c>
      <c r="R873" s="45"/>
      <c r="S873" s="4">
        <f>IFERROR(VLOOKUP(E873,'[2]td factu si'!$A:$B,1,0),0)</f>
        <v>0</v>
      </c>
      <c r="T873" s="2">
        <f>IFERROR(VLOOKUP(E873,'[2]td factu si'!$A:$B,2,0),0)*-1</f>
        <v>0</v>
      </c>
      <c r="W873" s="36"/>
      <c r="X873" s="6">
        <v>13178975</v>
      </c>
      <c r="AH873" s="3">
        <v>0</v>
      </c>
      <c r="AJ873" s="3">
        <v>0</v>
      </c>
    </row>
    <row r="874" spans="1:36" x14ac:dyDescent="0.25">
      <c r="A874">
        <v>866</v>
      </c>
      <c r="B874" s="29" t="s">
        <v>45</v>
      </c>
      <c r="C874" s="29" t="s">
        <v>46</v>
      </c>
      <c r="D874" s="4" t="str">
        <f>"16776"</f>
        <v>16776</v>
      </c>
      <c r="E874" s="4" t="str">
        <f t="shared" si="26"/>
        <v>FE16776</v>
      </c>
      <c r="F874" s="7">
        <v>44369</v>
      </c>
      <c r="G874" s="7">
        <v>44378</v>
      </c>
      <c r="H874" s="34">
        <v>15489</v>
      </c>
      <c r="I874" s="31">
        <v>15489</v>
      </c>
      <c r="J874" s="31">
        <f t="shared" si="27"/>
        <v>0</v>
      </c>
      <c r="K874" s="2"/>
      <c r="N874" s="32">
        <v>0</v>
      </c>
      <c r="Q874" s="34">
        <v>0</v>
      </c>
      <c r="R874" s="45"/>
      <c r="S874" s="4">
        <f>IFERROR(VLOOKUP(E874,'[2]td factu si'!$A:$B,1,0),0)</f>
        <v>0</v>
      </c>
      <c r="T874" s="2">
        <f>IFERROR(VLOOKUP(E874,'[2]td factu si'!$A:$B,2,0),0)*-1</f>
        <v>0</v>
      </c>
      <c r="W874" s="36"/>
      <c r="X874" s="6">
        <v>15489</v>
      </c>
      <c r="AH874" s="3">
        <v>0</v>
      </c>
      <c r="AJ874" s="3">
        <v>0</v>
      </c>
    </row>
    <row r="875" spans="1:36" x14ac:dyDescent="0.25">
      <c r="A875">
        <v>867</v>
      </c>
      <c r="B875" s="29" t="s">
        <v>45</v>
      </c>
      <c r="C875" s="29" t="s">
        <v>46</v>
      </c>
      <c r="D875" s="4" t="str">
        <f>"16777"</f>
        <v>16777</v>
      </c>
      <c r="E875" s="4" t="str">
        <f t="shared" si="26"/>
        <v>FE16777</v>
      </c>
      <c r="F875" s="7">
        <v>44369</v>
      </c>
      <c r="G875" s="7">
        <v>44378</v>
      </c>
      <c r="H875" s="34">
        <v>15489</v>
      </c>
      <c r="I875" s="31">
        <v>13940</v>
      </c>
      <c r="J875" s="31">
        <f t="shared" si="27"/>
        <v>1549</v>
      </c>
      <c r="K875" s="2"/>
      <c r="N875" s="32">
        <v>0</v>
      </c>
      <c r="Q875" s="34">
        <v>0</v>
      </c>
      <c r="R875" s="45"/>
      <c r="S875" s="4">
        <f>IFERROR(VLOOKUP(E875,'[2]td factu si'!$A:$B,1,0),0)</f>
        <v>0</v>
      </c>
      <c r="T875" s="2">
        <f>IFERROR(VLOOKUP(E875,'[2]td factu si'!$A:$B,2,0),0)*-1</f>
        <v>0</v>
      </c>
      <c r="W875" s="36"/>
      <c r="X875" s="6">
        <v>13940</v>
      </c>
      <c r="AH875" s="3">
        <v>0</v>
      </c>
      <c r="AJ875" s="3">
        <v>0</v>
      </c>
    </row>
    <row r="876" spans="1:36" x14ac:dyDescent="0.25">
      <c r="A876">
        <v>868</v>
      </c>
      <c r="B876" s="29" t="s">
        <v>45</v>
      </c>
      <c r="C876" s="29" t="s">
        <v>46</v>
      </c>
      <c r="D876" s="4" t="str">
        <f>"16778"</f>
        <v>16778</v>
      </c>
      <c r="E876" s="4" t="str">
        <f t="shared" si="26"/>
        <v>FE16778</v>
      </c>
      <c r="F876" s="7">
        <v>44369</v>
      </c>
      <c r="G876" s="7">
        <v>44378</v>
      </c>
      <c r="H876" s="34">
        <v>15489</v>
      </c>
      <c r="I876" s="31">
        <v>15489</v>
      </c>
      <c r="J876" s="31">
        <f t="shared" si="27"/>
        <v>0</v>
      </c>
      <c r="K876" s="2"/>
      <c r="N876" s="32">
        <v>0</v>
      </c>
      <c r="Q876" s="34">
        <v>0</v>
      </c>
      <c r="R876" s="45"/>
      <c r="S876" s="4">
        <f>IFERROR(VLOOKUP(E876,'[2]td factu si'!$A:$B,1,0),0)</f>
        <v>0</v>
      </c>
      <c r="T876" s="2">
        <f>IFERROR(VLOOKUP(E876,'[2]td factu si'!$A:$B,2,0),0)*-1</f>
        <v>0</v>
      </c>
      <c r="W876" s="36"/>
      <c r="X876" s="6">
        <v>15489</v>
      </c>
      <c r="AH876" s="3">
        <v>0</v>
      </c>
      <c r="AJ876" s="3">
        <v>0</v>
      </c>
    </row>
    <row r="877" spans="1:36" x14ac:dyDescent="0.25">
      <c r="A877">
        <v>869</v>
      </c>
      <c r="B877" s="29" t="s">
        <v>45</v>
      </c>
      <c r="C877" s="29" t="s">
        <v>46</v>
      </c>
      <c r="D877" s="4" t="str">
        <f>"16780"</f>
        <v>16780</v>
      </c>
      <c r="E877" s="4" t="str">
        <f t="shared" si="26"/>
        <v>FE16780</v>
      </c>
      <c r="F877" s="7">
        <v>44369</v>
      </c>
      <c r="G877" s="7">
        <v>44378</v>
      </c>
      <c r="H877" s="34">
        <v>181246</v>
      </c>
      <c r="I877" s="31">
        <v>163121</v>
      </c>
      <c r="J877" s="31">
        <f t="shared" si="27"/>
        <v>18125</v>
      </c>
      <c r="K877" s="2"/>
      <c r="N877" s="32">
        <v>0</v>
      </c>
      <c r="Q877" s="34">
        <v>0</v>
      </c>
      <c r="R877" s="45"/>
      <c r="S877" s="4">
        <f>IFERROR(VLOOKUP(E877,'[2]td factu si'!$A:$B,1,0),0)</f>
        <v>0</v>
      </c>
      <c r="T877" s="2">
        <f>IFERROR(VLOOKUP(E877,'[2]td factu si'!$A:$B,2,0),0)*-1</f>
        <v>0</v>
      </c>
      <c r="W877" s="36"/>
      <c r="X877" s="6">
        <v>163121</v>
      </c>
      <c r="AH877" s="3">
        <v>0</v>
      </c>
      <c r="AJ877" s="3">
        <v>0</v>
      </c>
    </row>
    <row r="878" spans="1:36" x14ac:dyDescent="0.25">
      <c r="A878">
        <v>870</v>
      </c>
      <c r="B878" s="29" t="s">
        <v>45</v>
      </c>
      <c r="C878" s="29" t="s">
        <v>46</v>
      </c>
      <c r="D878" s="4" t="str">
        <f>"16782"</f>
        <v>16782</v>
      </c>
      <c r="E878" s="4" t="str">
        <f t="shared" si="26"/>
        <v>FE16782</v>
      </c>
      <c r="F878" s="7">
        <v>44369</v>
      </c>
      <c r="G878" s="7">
        <v>44378</v>
      </c>
      <c r="H878" s="34">
        <v>339170</v>
      </c>
      <c r="I878" s="31">
        <v>339170</v>
      </c>
      <c r="J878" s="31">
        <f t="shared" si="27"/>
        <v>0</v>
      </c>
      <c r="K878" s="2"/>
      <c r="N878" s="32">
        <v>0</v>
      </c>
      <c r="Q878" s="34">
        <v>0</v>
      </c>
      <c r="R878" s="45"/>
      <c r="S878" s="4">
        <f>IFERROR(VLOOKUP(E878,'[2]td factu si'!$A:$B,1,0),0)</f>
        <v>0</v>
      </c>
      <c r="T878" s="2">
        <f>IFERROR(VLOOKUP(E878,'[2]td factu si'!$A:$B,2,0),0)*-1</f>
        <v>0</v>
      </c>
      <c r="W878" s="36"/>
      <c r="X878" s="6">
        <v>339170</v>
      </c>
      <c r="AH878" s="3">
        <v>0</v>
      </c>
      <c r="AJ878" s="3">
        <v>0</v>
      </c>
    </row>
    <row r="879" spans="1:36" x14ac:dyDescent="0.25">
      <c r="A879">
        <v>871</v>
      </c>
      <c r="B879" s="29" t="s">
        <v>45</v>
      </c>
      <c r="C879" s="29" t="s">
        <v>46</v>
      </c>
      <c r="D879" s="4" t="str">
        <f>"16783"</f>
        <v>16783</v>
      </c>
      <c r="E879" s="4" t="str">
        <f t="shared" si="26"/>
        <v>FE16783</v>
      </c>
      <c r="F879" s="7">
        <v>44369</v>
      </c>
      <c r="G879" s="7">
        <v>44378</v>
      </c>
      <c r="H879" s="34">
        <v>99124</v>
      </c>
      <c r="I879" s="31">
        <v>99124</v>
      </c>
      <c r="J879" s="31">
        <f t="shared" si="27"/>
        <v>0</v>
      </c>
      <c r="K879" s="2"/>
      <c r="N879" s="32">
        <v>0</v>
      </c>
      <c r="Q879" s="34">
        <v>0</v>
      </c>
      <c r="R879" s="45"/>
      <c r="S879" s="4">
        <f>IFERROR(VLOOKUP(E879,'[2]td factu si'!$A:$B,1,0),0)</f>
        <v>0</v>
      </c>
      <c r="T879" s="2">
        <f>IFERROR(VLOOKUP(E879,'[2]td factu si'!$A:$B,2,0),0)*-1</f>
        <v>0</v>
      </c>
      <c r="W879" s="36"/>
      <c r="X879" s="6">
        <v>99124</v>
      </c>
      <c r="AH879" s="3">
        <v>0</v>
      </c>
      <c r="AJ879" s="3">
        <v>0</v>
      </c>
    </row>
    <row r="880" spans="1:36" x14ac:dyDescent="0.25">
      <c r="A880">
        <v>872</v>
      </c>
      <c r="B880" s="29" t="s">
        <v>45</v>
      </c>
      <c r="C880" s="29" t="s">
        <v>46</v>
      </c>
      <c r="D880" s="4" t="str">
        <f>"16785"</f>
        <v>16785</v>
      </c>
      <c r="E880" s="4" t="str">
        <f t="shared" si="26"/>
        <v>FE16785</v>
      </c>
      <c r="F880" s="7">
        <v>44369</v>
      </c>
      <c r="G880" s="7">
        <v>44378</v>
      </c>
      <c r="H880" s="34">
        <v>181246</v>
      </c>
      <c r="I880" s="31">
        <v>181246</v>
      </c>
      <c r="J880" s="31">
        <f t="shared" si="27"/>
        <v>0</v>
      </c>
      <c r="K880" s="2"/>
      <c r="N880" s="32">
        <v>0</v>
      </c>
      <c r="Q880" s="34">
        <v>0</v>
      </c>
      <c r="R880" s="45"/>
      <c r="S880" s="4">
        <f>IFERROR(VLOOKUP(E880,'[2]td factu si'!$A:$B,1,0),0)</f>
        <v>0</v>
      </c>
      <c r="T880" s="2">
        <f>IFERROR(VLOOKUP(E880,'[2]td factu si'!$A:$B,2,0),0)*-1</f>
        <v>0</v>
      </c>
      <c r="W880" s="36"/>
      <c r="X880" s="6">
        <v>181246</v>
      </c>
      <c r="AH880" s="3">
        <v>0</v>
      </c>
      <c r="AJ880" s="3">
        <v>0</v>
      </c>
    </row>
    <row r="881" spans="1:38" x14ac:dyDescent="0.25">
      <c r="A881">
        <v>873</v>
      </c>
      <c r="B881" s="29" t="s">
        <v>45</v>
      </c>
      <c r="C881" s="29" t="s">
        <v>46</v>
      </c>
      <c r="D881" s="4" t="str">
        <f>"16786"</f>
        <v>16786</v>
      </c>
      <c r="E881" s="4" t="str">
        <f t="shared" si="26"/>
        <v>FE16786</v>
      </c>
      <c r="F881" s="7">
        <v>44369</v>
      </c>
      <c r="G881" s="7">
        <v>44378</v>
      </c>
      <c r="H881" s="34">
        <v>181246</v>
      </c>
      <c r="I881" s="31">
        <v>181246</v>
      </c>
      <c r="J881" s="31">
        <f t="shared" si="27"/>
        <v>0</v>
      </c>
      <c r="K881" s="2"/>
      <c r="N881" s="32">
        <v>0</v>
      </c>
      <c r="Q881" s="34">
        <v>0</v>
      </c>
      <c r="R881" s="45"/>
      <c r="S881" s="4">
        <f>IFERROR(VLOOKUP(E881,'[2]td factu si'!$A:$B,1,0),0)</f>
        <v>0</v>
      </c>
      <c r="T881" s="2">
        <f>IFERROR(VLOOKUP(E881,'[2]td factu si'!$A:$B,2,0),0)*-1</f>
        <v>0</v>
      </c>
      <c r="W881" s="36"/>
      <c r="X881" s="6">
        <v>181246</v>
      </c>
      <c r="AH881" s="3">
        <v>0</v>
      </c>
      <c r="AJ881" s="3">
        <v>0</v>
      </c>
    </row>
    <row r="882" spans="1:38" x14ac:dyDescent="0.25">
      <c r="A882">
        <v>874</v>
      </c>
      <c r="B882" s="29" t="s">
        <v>45</v>
      </c>
      <c r="C882" s="29" t="s">
        <v>46</v>
      </c>
      <c r="D882" s="4" t="str">
        <f>"16787"</f>
        <v>16787</v>
      </c>
      <c r="E882" s="4" t="str">
        <f t="shared" si="26"/>
        <v>FE16787</v>
      </c>
      <c r="F882" s="7">
        <v>44369</v>
      </c>
      <c r="G882" s="7">
        <v>44378</v>
      </c>
      <c r="H882" s="34">
        <v>181246</v>
      </c>
      <c r="I882" s="31">
        <v>181246</v>
      </c>
      <c r="J882" s="31">
        <f t="shared" si="27"/>
        <v>0</v>
      </c>
      <c r="K882" s="2"/>
      <c r="N882" s="32">
        <v>0</v>
      </c>
      <c r="Q882" s="34">
        <v>0</v>
      </c>
      <c r="R882" s="45"/>
      <c r="S882" s="4">
        <f>IFERROR(VLOOKUP(E882,'[2]td factu si'!$A:$B,1,0),0)</f>
        <v>0</v>
      </c>
      <c r="T882" s="2">
        <f>IFERROR(VLOOKUP(E882,'[2]td factu si'!$A:$B,2,0),0)*-1</f>
        <v>0</v>
      </c>
      <c r="W882" s="36"/>
      <c r="X882" s="6">
        <v>181246</v>
      </c>
      <c r="AH882" s="3">
        <v>0</v>
      </c>
      <c r="AJ882" s="3">
        <v>0</v>
      </c>
    </row>
    <row r="883" spans="1:38" x14ac:dyDescent="0.25">
      <c r="A883">
        <v>875</v>
      </c>
      <c r="B883" s="29" t="s">
        <v>45</v>
      </c>
      <c r="C883" s="29" t="s">
        <v>46</v>
      </c>
      <c r="D883" s="4" t="str">
        <f>"16788"</f>
        <v>16788</v>
      </c>
      <c r="E883" s="4" t="str">
        <f t="shared" si="26"/>
        <v>FE16788</v>
      </c>
      <c r="F883" s="7">
        <v>44369</v>
      </c>
      <c r="G883" s="7">
        <v>44378</v>
      </c>
      <c r="H883" s="34">
        <v>181246</v>
      </c>
      <c r="I883" s="31">
        <v>181246</v>
      </c>
      <c r="J883" s="31">
        <f t="shared" si="27"/>
        <v>0</v>
      </c>
      <c r="K883" s="2"/>
      <c r="N883" s="32">
        <v>0</v>
      </c>
      <c r="Q883" s="34">
        <v>0</v>
      </c>
      <c r="R883" s="45"/>
      <c r="S883" s="4">
        <f>IFERROR(VLOOKUP(E883,'[2]td factu si'!$A:$B,1,0),0)</f>
        <v>0</v>
      </c>
      <c r="T883" s="2">
        <f>IFERROR(VLOOKUP(E883,'[2]td factu si'!$A:$B,2,0),0)*-1</f>
        <v>0</v>
      </c>
      <c r="W883" s="36"/>
      <c r="X883" s="6">
        <v>181246</v>
      </c>
      <c r="AH883" s="3">
        <v>0</v>
      </c>
      <c r="AJ883" s="3">
        <v>0</v>
      </c>
    </row>
    <row r="884" spans="1:38" x14ac:dyDescent="0.25">
      <c r="A884">
        <v>876</v>
      </c>
      <c r="B884" s="29" t="s">
        <v>45</v>
      </c>
      <c r="C884" s="29" t="s">
        <v>46</v>
      </c>
      <c r="D884" s="4" t="str">
        <f>"16789"</f>
        <v>16789</v>
      </c>
      <c r="E884" s="4" t="str">
        <f t="shared" si="26"/>
        <v>FE16789</v>
      </c>
      <c r="F884" s="7">
        <v>44369</v>
      </c>
      <c r="G884" s="7">
        <v>44378</v>
      </c>
      <c r="H884" s="34">
        <v>181246</v>
      </c>
      <c r="I884" s="31">
        <v>181246</v>
      </c>
      <c r="J884" s="31">
        <f t="shared" si="27"/>
        <v>0</v>
      </c>
      <c r="K884" s="2"/>
      <c r="N884" s="32">
        <v>0</v>
      </c>
      <c r="Q884" s="34">
        <v>0</v>
      </c>
      <c r="R884" s="45"/>
      <c r="S884" s="4">
        <f>IFERROR(VLOOKUP(E884,'[2]td factu si'!$A:$B,1,0),0)</f>
        <v>0</v>
      </c>
      <c r="T884" s="2">
        <f>IFERROR(VLOOKUP(E884,'[2]td factu si'!$A:$B,2,0),0)*-1</f>
        <v>0</v>
      </c>
      <c r="W884" s="36"/>
      <c r="X884" s="6">
        <v>181246</v>
      </c>
      <c r="AH884" s="3">
        <v>0</v>
      </c>
      <c r="AJ884" s="3">
        <v>0</v>
      </c>
    </row>
    <row r="885" spans="1:38" x14ac:dyDescent="0.25">
      <c r="A885">
        <v>877</v>
      </c>
      <c r="B885" s="29" t="s">
        <v>45</v>
      </c>
      <c r="C885" s="29" t="s">
        <v>46</v>
      </c>
      <c r="D885" s="4" t="str">
        <f>"16795"</f>
        <v>16795</v>
      </c>
      <c r="E885" s="4" t="str">
        <f t="shared" si="26"/>
        <v>FE16795</v>
      </c>
      <c r="F885" s="7">
        <v>44369</v>
      </c>
      <c r="G885" s="7">
        <v>44378</v>
      </c>
      <c r="H885" s="34">
        <v>15489</v>
      </c>
      <c r="I885" s="31">
        <v>15489</v>
      </c>
      <c r="J885" s="31">
        <f t="shared" si="27"/>
        <v>0</v>
      </c>
      <c r="K885" s="2"/>
      <c r="N885" s="32">
        <v>0</v>
      </c>
      <c r="Q885" s="34">
        <v>0</v>
      </c>
      <c r="R885" s="45"/>
      <c r="S885" s="4">
        <f>IFERROR(VLOOKUP(E885,'[2]td factu si'!$A:$B,1,0),0)</f>
        <v>0</v>
      </c>
      <c r="T885" s="2">
        <f>IFERROR(VLOOKUP(E885,'[2]td factu si'!$A:$B,2,0),0)*-1</f>
        <v>0</v>
      </c>
      <c r="W885" s="36"/>
      <c r="X885" s="6">
        <v>15489</v>
      </c>
      <c r="AH885" s="3">
        <v>0</v>
      </c>
      <c r="AJ885" s="3">
        <v>0</v>
      </c>
    </row>
    <row r="886" spans="1:38" x14ac:dyDescent="0.25">
      <c r="A886">
        <v>878</v>
      </c>
      <c r="B886" s="29" t="s">
        <v>45</v>
      </c>
      <c r="C886" s="29" t="s">
        <v>46</v>
      </c>
      <c r="D886" s="4" t="str">
        <f>"16801"</f>
        <v>16801</v>
      </c>
      <c r="E886" s="4" t="str">
        <f t="shared" si="26"/>
        <v>FE16801</v>
      </c>
      <c r="F886" s="7">
        <v>44369</v>
      </c>
      <c r="G886" s="7">
        <v>44378</v>
      </c>
      <c r="H886" s="34">
        <v>181246</v>
      </c>
      <c r="I886" s="31">
        <v>177746</v>
      </c>
      <c r="J886" s="31">
        <f t="shared" si="27"/>
        <v>3500</v>
      </c>
      <c r="K886" s="2"/>
      <c r="N886" s="32">
        <v>0</v>
      </c>
      <c r="Q886" s="34">
        <v>0</v>
      </c>
      <c r="R886" s="45"/>
      <c r="S886" s="4">
        <f>IFERROR(VLOOKUP(E886,'[2]td factu si'!$A:$B,1,0),0)</f>
        <v>0</v>
      </c>
      <c r="T886" s="2">
        <f>IFERROR(VLOOKUP(E886,'[2]td factu si'!$A:$B,2,0),0)*-1</f>
        <v>0</v>
      </c>
      <c r="W886" s="36"/>
      <c r="X886" s="6">
        <v>177746</v>
      </c>
      <c r="AH886" s="3">
        <v>0</v>
      </c>
      <c r="AJ886" s="3">
        <v>0</v>
      </c>
    </row>
    <row r="887" spans="1:38" x14ac:dyDescent="0.25">
      <c r="A887">
        <v>879</v>
      </c>
      <c r="B887" s="29" t="s">
        <v>45</v>
      </c>
      <c r="C887" s="29" t="s">
        <v>46</v>
      </c>
      <c r="D887" s="4" t="str">
        <f>"16802"</f>
        <v>16802</v>
      </c>
      <c r="E887" s="4" t="str">
        <f t="shared" si="26"/>
        <v>FE16802</v>
      </c>
      <c r="F887" s="7">
        <v>44369</v>
      </c>
      <c r="G887" s="7">
        <v>44378</v>
      </c>
      <c r="H887" s="34">
        <v>339170</v>
      </c>
      <c r="I887" s="31">
        <v>339170</v>
      </c>
      <c r="J887" s="31">
        <f t="shared" si="27"/>
        <v>0</v>
      </c>
      <c r="K887" s="2"/>
      <c r="N887" s="32">
        <v>0</v>
      </c>
      <c r="Q887" s="34">
        <v>0</v>
      </c>
      <c r="R887" s="45"/>
      <c r="S887" s="4">
        <f>IFERROR(VLOOKUP(E887,'[2]td factu si'!$A:$B,1,0),0)</f>
        <v>0</v>
      </c>
      <c r="T887" s="2">
        <f>IFERROR(VLOOKUP(E887,'[2]td factu si'!$A:$B,2,0),0)*-1</f>
        <v>0</v>
      </c>
      <c r="W887" s="36"/>
      <c r="AH887" s="3">
        <v>0</v>
      </c>
      <c r="AJ887" s="3">
        <v>0</v>
      </c>
      <c r="AL887" s="39" t="s">
        <v>49</v>
      </c>
    </row>
    <row r="888" spans="1:38" x14ac:dyDescent="0.25">
      <c r="A888">
        <v>880</v>
      </c>
      <c r="B888" s="29" t="s">
        <v>45</v>
      </c>
      <c r="C888" s="29" t="s">
        <v>46</v>
      </c>
      <c r="D888" s="4" t="str">
        <f>"16804"</f>
        <v>16804</v>
      </c>
      <c r="E888" s="4" t="str">
        <f t="shared" si="26"/>
        <v>FE16804</v>
      </c>
      <c r="F888" s="7">
        <v>44369</v>
      </c>
      <c r="G888" s="7">
        <v>44378</v>
      </c>
      <c r="H888" s="34">
        <v>181246</v>
      </c>
      <c r="I888" s="31">
        <v>160403</v>
      </c>
      <c r="J888" s="31">
        <f t="shared" si="27"/>
        <v>20843</v>
      </c>
      <c r="K888" s="2"/>
      <c r="N888" s="32">
        <v>0</v>
      </c>
      <c r="Q888" s="34">
        <v>0</v>
      </c>
      <c r="R888" s="45"/>
      <c r="S888" s="4">
        <f>IFERROR(VLOOKUP(E888,'[2]td factu si'!$A:$B,1,0),0)</f>
        <v>0</v>
      </c>
      <c r="T888" s="2">
        <f>IFERROR(VLOOKUP(E888,'[2]td factu si'!$A:$B,2,0),0)*-1</f>
        <v>0</v>
      </c>
      <c r="W888" s="36"/>
      <c r="X888" s="6">
        <v>160403</v>
      </c>
      <c r="AH888" s="3">
        <v>0</v>
      </c>
      <c r="AJ888" s="3">
        <v>0</v>
      </c>
    </row>
    <row r="889" spans="1:38" x14ac:dyDescent="0.25">
      <c r="A889">
        <v>881</v>
      </c>
      <c r="B889" s="29" t="s">
        <v>45</v>
      </c>
      <c r="C889" s="29" t="s">
        <v>46</v>
      </c>
      <c r="D889" s="4" t="str">
        <f>"16806"</f>
        <v>16806</v>
      </c>
      <c r="E889" s="4" t="str">
        <f t="shared" si="26"/>
        <v>FE16806</v>
      </c>
      <c r="F889" s="7">
        <v>44369</v>
      </c>
      <c r="G889" s="7">
        <v>44378</v>
      </c>
      <c r="H889" s="34">
        <v>15489</v>
      </c>
      <c r="I889" s="31">
        <v>15489</v>
      </c>
      <c r="J889" s="31">
        <f t="shared" si="27"/>
        <v>0</v>
      </c>
      <c r="K889" s="2"/>
      <c r="N889" s="32">
        <v>0</v>
      </c>
      <c r="Q889" s="34">
        <v>0</v>
      </c>
      <c r="R889" s="45"/>
      <c r="S889" s="4">
        <f>IFERROR(VLOOKUP(E889,'[2]td factu si'!$A:$B,1,0),0)</f>
        <v>0</v>
      </c>
      <c r="T889" s="2">
        <f>IFERROR(VLOOKUP(E889,'[2]td factu si'!$A:$B,2,0),0)*-1</f>
        <v>0</v>
      </c>
      <c r="W889" s="36"/>
      <c r="X889" s="6">
        <v>15489</v>
      </c>
      <c r="AH889" s="3">
        <v>0</v>
      </c>
      <c r="AJ889" s="3">
        <v>0</v>
      </c>
    </row>
    <row r="890" spans="1:38" x14ac:dyDescent="0.25">
      <c r="A890">
        <v>882</v>
      </c>
      <c r="B890" s="29" t="s">
        <v>45</v>
      </c>
      <c r="C890" s="29" t="s">
        <v>46</v>
      </c>
      <c r="D890" s="4" t="str">
        <f>"16807"</f>
        <v>16807</v>
      </c>
      <c r="E890" s="4" t="str">
        <f t="shared" si="26"/>
        <v>FE16807</v>
      </c>
      <c r="F890" s="7">
        <v>44369</v>
      </c>
      <c r="G890" s="7">
        <v>44378</v>
      </c>
      <c r="H890" s="34">
        <v>15489</v>
      </c>
      <c r="I890" s="31">
        <v>15489</v>
      </c>
      <c r="J890" s="31">
        <f t="shared" si="27"/>
        <v>0</v>
      </c>
      <c r="K890" s="2"/>
      <c r="N890" s="32">
        <v>0</v>
      </c>
      <c r="Q890" s="34">
        <v>0</v>
      </c>
      <c r="R890" s="45"/>
      <c r="S890" s="4">
        <f>IFERROR(VLOOKUP(E890,'[2]td factu si'!$A:$B,1,0),0)</f>
        <v>0</v>
      </c>
      <c r="T890" s="2">
        <f>IFERROR(VLOOKUP(E890,'[2]td factu si'!$A:$B,2,0),0)*-1</f>
        <v>0</v>
      </c>
      <c r="W890" s="36"/>
      <c r="X890" s="6">
        <v>15489</v>
      </c>
      <c r="AH890" s="3">
        <v>0</v>
      </c>
      <c r="AJ890" s="3">
        <v>0</v>
      </c>
    </row>
    <row r="891" spans="1:38" x14ac:dyDescent="0.25">
      <c r="A891">
        <v>883</v>
      </c>
      <c r="B891" s="29" t="s">
        <v>45</v>
      </c>
      <c r="C891" s="29" t="s">
        <v>46</v>
      </c>
      <c r="D891" s="4" t="str">
        <f>"16809"</f>
        <v>16809</v>
      </c>
      <c r="E891" s="4" t="str">
        <f t="shared" si="26"/>
        <v>FE16809</v>
      </c>
      <c r="F891" s="7">
        <v>44369</v>
      </c>
      <c r="G891" s="7">
        <v>44378</v>
      </c>
      <c r="H891" s="34">
        <v>15489</v>
      </c>
      <c r="I891" s="31">
        <v>15489</v>
      </c>
      <c r="J891" s="31">
        <f t="shared" si="27"/>
        <v>0</v>
      </c>
      <c r="K891" s="2"/>
      <c r="N891" s="32">
        <v>0</v>
      </c>
      <c r="Q891" s="34">
        <v>0</v>
      </c>
      <c r="R891" s="45"/>
      <c r="S891" s="4">
        <f>IFERROR(VLOOKUP(E891,'[2]td factu si'!$A:$B,1,0),0)</f>
        <v>0</v>
      </c>
      <c r="T891" s="2">
        <f>IFERROR(VLOOKUP(E891,'[2]td factu si'!$A:$B,2,0),0)*-1</f>
        <v>0</v>
      </c>
      <c r="W891" s="36"/>
      <c r="X891" s="6">
        <v>15489</v>
      </c>
      <c r="AH891" s="3">
        <v>0</v>
      </c>
      <c r="AJ891" s="3">
        <v>0</v>
      </c>
    </row>
    <row r="892" spans="1:38" x14ac:dyDescent="0.25">
      <c r="A892">
        <v>884</v>
      </c>
      <c r="B892" s="29" t="s">
        <v>45</v>
      </c>
      <c r="C892" s="29" t="s">
        <v>46</v>
      </c>
      <c r="D892" s="4" t="str">
        <f>"16812"</f>
        <v>16812</v>
      </c>
      <c r="E892" s="4" t="str">
        <f t="shared" si="26"/>
        <v>FE16812</v>
      </c>
      <c r="F892" s="7">
        <v>44369</v>
      </c>
      <c r="G892" s="7">
        <v>44378</v>
      </c>
      <c r="H892" s="34">
        <v>116393</v>
      </c>
      <c r="I892" s="31">
        <v>112893</v>
      </c>
      <c r="J892" s="31">
        <f t="shared" si="27"/>
        <v>3500</v>
      </c>
      <c r="K892" s="2"/>
      <c r="N892" s="32">
        <v>0</v>
      </c>
      <c r="Q892" s="34">
        <v>0</v>
      </c>
      <c r="R892" s="45"/>
      <c r="S892" s="4">
        <f>IFERROR(VLOOKUP(E892,'[2]td factu si'!$A:$B,1,0),0)</f>
        <v>0</v>
      </c>
      <c r="T892" s="2">
        <f>IFERROR(VLOOKUP(E892,'[2]td factu si'!$A:$B,2,0),0)*-1</f>
        <v>0</v>
      </c>
      <c r="W892" s="36"/>
      <c r="X892" s="6">
        <v>112893</v>
      </c>
      <c r="AH892" s="3">
        <v>0</v>
      </c>
      <c r="AJ892" s="3">
        <v>0</v>
      </c>
    </row>
    <row r="893" spans="1:38" x14ac:dyDescent="0.25">
      <c r="A893">
        <v>885</v>
      </c>
      <c r="B893" s="29" t="s">
        <v>45</v>
      </c>
      <c r="C893" s="29" t="s">
        <v>46</v>
      </c>
      <c r="D893" s="4" t="str">
        <f>"16814"</f>
        <v>16814</v>
      </c>
      <c r="E893" s="4" t="str">
        <f t="shared" si="26"/>
        <v>FE16814</v>
      </c>
      <c r="F893" s="7">
        <v>44369</v>
      </c>
      <c r="G893" s="7">
        <v>44378</v>
      </c>
      <c r="H893" s="34">
        <v>99388</v>
      </c>
      <c r="I893" s="31">
        <v>95888</v>
      </c>
      <c r="J893" s="31">
        <f t="shared" si="27"/>
        <v>3500</v>
      </c>
      <c r="K893" s="2"/>
      <c r="N893" s="32">
        <v>0</v>
      </c>
      <c r="Q893" s="34">
        <v>0</v>
      </c>
      <c r="R893" s="45"/>
      <c r="S893" s="4">
        <f>IFERROR(VLOOKUP(E893,'[2]td factu si'!$A:$B,1,0),0)</f>
        <v>0</v>
      </c>
      <c r="T893" s="2">
        <f>IFERROR(VLOOKUP(E893,'[2]td factu si'!$A:$B,2,0),0)*-1</f>
        <v>0</v>
      </c>
      <c r="W893" s="36"/>
      <c r="X893" s="6">
        <v>95888</v>
      </c>
      <c r="AH893" s="3">
        <v>0</v>
      </c>
      <c r="AJ893" s="3">
        <v>0</v>
      </c>
    </row>
    <row r="894" spans="1:38" x14ac:dyDescent="0.25">
      <c r="A894">
        <v>886</v>
      </c>
      <c r="B894" s="29" t="s">
        <v>45</v>
      </c>
      <c r="C894" s="29" t="s">
        <v>46</v>
      </c>
      <c r="D894" s="4" t="str">
        <f>"16817"</f>
        <v>16817</v>
      </c>
      <c r="E894" s="4" t="str">
        <f t="shared" si="26"/>
        <v>FE16817</v>
      </c>
      <c r="F894" s="7">
        <v>44369</v>
      </c>
      <c r="G894" s="7">
        <v>44378</v>
      </c>
      <c r="H894" s="34">
        <v>181246</v>
      </c>
      <c r="I894" s="31">
        <v>181246</v>
      </c>
      <c r="J894" s="31">
        <f t="shared" si="27"/>
        <v>0</v>
      </c>
      <c r="K894" s="2"/>
      <c r="N894" s="32">
        <v>0</v>
      </c>
      <c r="Q894" s="34">
        <v>0</v>
      </c>
      <c r="R894" s="45"/>
      <c r="S894" s="4">
        <f>IFERROR(VLOOKUP(E894,'[2]td factu si'!$A:$B,1,0),0)</f>
        <v>0</v>
      </c>
      <c r="T894" s="2">
        <f>IFERROR(VLOOKUP(E894,'[2]td factu si'!$A:$B,2,0),0)*-1</f>
        <v>0</v>
      </c>
      <c r="W894" s="36"/>
      <c r="X894" s="6">
        <v>181246</v>
      </c>
      <c r="AH894" s="3">
        <v>0</v>
      </c>
      <c r="AJ894" s="3">
        <v>0</v>
      </c>
    </row>
    <row r="895" spans="1:38" x14ac:dyDescent="0.25">
      <c r="A895">
        <v>887</v>
      </c>
      <c r="B895" s="29" t="s">
        <v>45</v>
      </c>
      <c r="C895" s="29" t="s">
        <v>46</v>
      </c>
      <c r="D895" s="4" t="str">
        <f>"16822"</f>
        <v>16822</v>
      </c>
      <c r="E895" s="4" t="str">
        <f t="shared" si="26"/>
        <v>FE16822</v>
      </c>
      <c r="F895" s="7">
        <v>44369</v>
      </c>
      <c r="G895" s="7">
        <v>44378</v>
      </c>
      <c r="H895" s="34">
        <v>181246</v>
      </c>
      <c r="I895" s="31">
        <v>177746</v>
      </c>
      <c r="J895" s="31">
        <f t="shared" si="27"/>
        <v>3500</v>
      </c>
      <c r="K895" s="2"/>
      <c r="N895" s="32">
        <v>0</v>
      </c>
      <c r="Q895" s="34">
        <v>0</v>
      </c>
      <c r="R895" s="45"/>
      <c r="S895" s="4">
        <f>IFERROR(VLOOKUP(E895,'[2]td factu si'!$A:$B,1,0),0)</f>
        <v>0</v>
      </c>
      <c r="T895" s="2">
        <f>IFERROR(VLOOKUP(E895,'[2]td factu si'!$A:$B,2,0),0)*-1</f>
        <v>0</v>
      </c>
      <c r="W895" s="36"/>
      <c r="X895" s="6">
        <v>177746</v>
      </c>
      <c r="AH895" s="3">
        <v>0</v>
      </c>
      <c r="AJ895" s="3">
        <v>0</v>
      </c>
    </row>
    <row r="896" spans="1:38" x14ac:dyDescent="0.25">
      <c r="A896">
        <v>888</v>
      </c>
      <c r="B896" s="29" t="s">
        <v>45</v>
      </c>
      <c r="C896" s="29" t="s">
        <v>46</v>
      </c>
      <c r="D896" s="4" t="str">
        <f>"16828"</f>
        <v>16828</v>
      </c>
      <c r="E896" s="4" t="str">
        <f t="shared" si="26"/>
        <v>FE16828</v>
      </c>
      <c r="F896" s="7">
        <v>44369</v>
      </c>
      <c r="G896" s="7">
        <v>44378</v>
      </c>
      <c r="H896" s="34">
        <v>250905</v>
      </c>
      <c r="I896" s="31">
        <v>250905</v>
      </c>
      <c r="J896" s="31">
        <f t="shared" si="27"/>
        <v>0</v>
      </c>
      <c r="K896" s="2"/>
      <c r="N896" s="32">
        <v>0</v>
      </c>
      <c r="Q896" s="34">
        <v>0</v>
      </c>
      <c r="R896" s="45"/>
      <c r="S896" s="4">
        <f>IFERROR(VLOOKUP(E896,'[2]td factu si'!$A:$B,1,0),0)</f>
        <v>0</v>
      </c>
      <c r="T896" s="2">
        <f>IFERROR(VLOOKUP(E896,'[2]td factu si'!$A:$B,2,0),0)*-1</f>
        <v>0</v>
      </c>
      <c r="W896" s="36"/>
      <c r="AH896" s="3">
        <v>0</v>
      </c>
      <c r="AJ896" s="3">
        <v>0</v>
      </c>
      <c r="AL896" s="39" t="s">
        <v>49</v>
      </c>
    </row>
    <row r="897" spans="1:38" x14ac:dyDescent="0.25">
      <c r="A897">
        <v>889</v>
      </c>
      <c r="B897" s="29" t="s">
        <v>45</v>
      </c>
      <c r="C897" s="29" t="s">
        <v>46</v>
      </c>
      <c r="D897" s="4" t="str">
        <f>"16836"</f>
        <v>16836</v>
      </c>
      <c r="E897" s="4" t="str">
        <f t="shared" si="26"/>
        <v>FE16836</v>
      </c>
      <c r="F897" s="7">
        <v>44370</v>
      </c>
      <c r="G897" s="7">
        <v>44378</v>
      </c>
      <c r="H897" s="34">
        <v>15489</v>
      </c>
      <c r="I897" s="31">
        <v>15489</v>
      </c>
      <c r="J897" s="31">
        <f t="shared" si="27"/>
        <v>0</v>
      </c>
      <c r="K897" s="2"/>
      <c r="N897" s="32">
        <v>0</v>
      </c>
      <c r="Q897" s="34">
        <v>0</v>
      </c>
      <c r="R897" s="45"/>
      <c r="S897" s="4">
        <f>IFERROR(VLOOKUP(E897,'[2]td factu si'!$A:$B,1,0),0)</f>
        <v>0</v>
      </c>
      <c r="T897" s="2">
        <f>IFERROR(VLOOKUP(E897,'[2]td factu si'!$A:$B,2,0),0)*-1</f>
        <v>0</v>
      </c>
      <c r="W897" s="36"/>
      <c r="AH897" s="3">
        <v>0</v>
      </c>
      <c r="AJ897" s="3">
        <v>0</v>
      </c>
      <c r="AL897" s="39" t="s">
        <v>49</v>
      </c>
    </row>
    <row r="898" spans="1:38" x14ac:dyDescent="0.25">
      <c r="A898">
        <v>890</v>
      </c>
      <c r="B898" s="29" t="s">
        <v>45</v>
      </c>
      <c r="C898" s="29" t="s">
        <v>46</v>
      </c>
      <c r="D898" s="4" t="str">
        <f>"16848"</f>
        <v>16848</v>
      </c>
      <c r="E898" s="4" t="str">
        <f t="shared" si="26"/>
        <v>FE16848</v>
      </c>
      <c r="F898" s="7">
        <v>44370</v>
      </c>
      <c r="G898" s="7">
        <v>44378</v>
      </c>
      <c r="H898" s="34">
        <v>15489</v>
      </c>
      <c r="I898" s="31">
        <v>15489</v>
      </c>
      <c r="J898" s="31">
        <f t="shared" si="27"/>
        <v>0</v>
      </c>
      <c r="K898" s="2"/>
      <c r="N898" s="32">
        <v>0</v>
      </c>
      <c r="Q898" s="34">
        <v>0</v>
      </c>
      <c r="R898" s="45"/>
      <c r="S898" s="4">
        <f>IFERROR(VLOOKUP(E898,'[2]td factu si'!$A:$B,1,0),0)</f>
        <v>0</v>
      </c>
      <c r="T898" s="2">
        <f>IFERROR(VLOOKUP(E898,'[2]td factu si'!$A:$B,2,0),0)*-1</f>
        <v>0</v>
      </c>
      <c r="W898" s="36"/>
      <c r="X898" s="6">
        <v>15489</v>
      </c>
      <c r="AH898" s="3">
        <v>0</v>
      </c>
      <c r="AJ898" s="3">
        <v>0</v>
      </c>
    </row>
    <row r="899" spans="1:38" x14ac:dyDescent="0.25">
      <c r="A899">
        <v>891</v>
      </c>
      <c r="B899" s="29" t="s">
        <v>45</v>
      </c>
      <c r="C899" s="29" t="s">
        <v>46</v>
      </c>
      <c r="D899" s="4" t="str">
        <f>"16850"</f>
        <v>16850</v>
      </c>
      <c r="E899" s="4" t="str">
        <f t="shared" si="26"/>
        <v>FE16850</v>
      </c>
      <c r="F899" s="7">
        <v>44370</v>
      </c>
      <c r="G899" s="7">
        <v>44378</v>
      </c>
      <c r="H899" s="34">
        <v>196179</v>
      </c>
      <c r="I899" s="31">
        <v>196179</v>
      </c>
      <c r="J899" s="31">
        <f t="shared" si="27"/>
        <v>0</v>
      </c>
      <c r="K899" s="2"/>
      <c r="N899" s="32">
        <v>0</v>
      </c>
      <c r="Q899" s="34">
        <v>0</v>
      </c>
      <c r="R899" s="45"/>
      <c r="S899" s="4">
        <f>IFERROR(VLOOKUP(E899,'[2]td factu si'!$A:$B,1,0),0)</f>
        <v>0</v>
      </c>
      <c r="T899" s="2">
        <f>IFERROR(VLOOKUP(E899,'[2]td factu si'!$A:$B,2,0),0)*-1</f>
        <v>0</v>
      </c>
      <c r="W899" s="36"/>
      <c r="X899" s="6">
        <v>196179</v>
      </c>
      <c r="AH899" s="3">
        <v>0</v>
      </c>
      <c r="AJ899" s="3">
        <v>0</v>
      </c>
    </row>
    <row r="900" spans="1:38" x14ac:dyDescent="0.25">
      <c r="A900">
        <v>892</v>
      </c>
      <c r="B900" s="29" t="s">
        <v>45</v>
      </c>
      <c r="C900" s="29" t="s">
        <v>46</v>
      </c>
      <c r="D900" s="4" t="str">
        <f>"16855"</f>
        <v>16855</v>
      </c>
      <c r="E900" s="4" t="str">
        <f t="shared" si="26"/>
        <v>FE16855</v>
      </c>
      <c r="F900" s="7">
        <v>44370</v>
      </c>
      <c r="G900" s="7">
        <v>44378</v>
      </c>
      <c r="H900" s="34">
        <v>339170</v>
      </c>
      <c r="I900" s="31">
        <v>305253</v>
      </c>
      <c r="J900" s="31">
        <f t="shared" si="27"/>
        <v>33917</v>
      </c>
      <c r="K900" s="2"/>
      <c r="N900" s="32">
        <v>0</v>
      </c>
      <c r="Q900" s="34">
        <v>0</v>
      </c>
      <c r="R900" s="45"/>
      <c r="S900" s="4">
        <f>IFERROR(VLOOKUP(E900,'[2]td factu si'!$A:$B,1,0),0)</f>
        <v>0</v>
      </c>
      <c r="T900" s="2">
        <f>IFERROR(VLOOKUP(E900,'[2]td factu si'!$A:$B,2,0),0)*-1</f>
        <v>0</v>
      </c>
      <c r="W900" s="36"/>
      <c r="X900" s="6">
        <v>305253</v>
      </c>
      <c r="AH900" s="3">
        <v>0</v>
      </c>
      <c r="AJ900" s="3">
        <v>0</v>
      </c>
    </row>
    <row r="901" spans="1:38" x14ac:dyDescent="0.25">
      <c r="A901">
        <v>893</v>
      </c>
      <c r="B901" s="29" t="s">
        <v>45</v>
      </c>
      <c r="C901" s="29" t="s">
        <v>46</v>
      </c>
      <c r="D901" s="4" t="str">
        <f>"16856"</f>
        <v>16856</v>
      </c>
      <c r="E901" s="4" t="str">
        <f t="shared" si="26"/>
        <v>FE16856</v>
      </c>
      <c r="F901" s="7">
        <v>44370</v>
      </c>
      <c r="G901" s="7">
        <v>44378</v>
      </c>
      <c r="H901" s="34">
        <v>181246</v>
      </c>
      <c r="I901" s="31">
        <v>181246</v>
      </c>
      <c r="J901" s="31">
        <f t="shared" si="27"/>
        <v>0</v>
      </c>
      <c r="K901" s="2"/>
      <c r="N901" s="32">
        <v>0</v>
      </c>
      <c r="Q901" s="34">
        <v>0</v>
      </c>
      <c r="R901" s="45"/>
      <c r="S901" s="4">
        <f>IFERROR(VLOOKUP(E901,'[2]td factu si'!$A:$B,1,0),0)</f>
        <v>0</v>
      </c>
      <c r="T901" s="2">
        <f>IFERROR(VLOOKUP(E901,'[2]td factu si'!$A:$B,2,0),0)*-1</f>
        <v>0</v>
      </c>
      <c r="W901" s="36"/>
      <c r="X901" s="6">
        <v>181246</v>
      </c>
      <c r="AH901" s="3">
        <v>0</v>
      </c>
      <c r="AJ901" s="3">
        <v>0</v>
      </c>
    </row>
    <row r="902" spans="1:38" x14ac:dyDescent="0.25">
      <c r="A902">
        <v>894</v>
      </c>
      <c r="B902" s="29" t="s">
        <v>45</v>
      </c>
      <c r="C902" s="29" t="s">
        <v>46</v>
      </c>
      <c r="D902" s="4" t="str">
        <f>"16863"</f>
        <v>16863</v>
      </c>
      <c r="E902" s="4" t="str">
        <f t="shared" si="26"/>
        <v>FE16863</v>
      </c>
      <c r="F902" s="7">
        <v>44370</v>
      </c>
      <c r="G902" s="7">
        <v>44378</v>
      </c>
      <c r="H902" s="34">
        <v>181246</v>
      </c>
      <c r="I902" s="31">
        <v>181246</v>
      </c>
      <c r="J902" s="31">
        <f t="shared" si="27"/>
        <v>0</v>
      </c>
      <c r="K902" s="2"/>
      <c r="N902" s="32">
        <v>0</v>
      </c>
      <c r="Q902" s="34">
        <v>0</v>
      </c>
      <c r="R902" s="45"/>
      <c r="S902" s="4">
        <f>IFERROR(VLOOKUP(E902,'[2]td factu si'!$A:$B,1,0),0)</f>
        <v>0</v>
      </c>
      <c r="T902" s="2">
        <f>IFERROR(VLOOKUP(E902,'[2]td factu si'!$A:$B,2,0),0)*-1</f>
        <v>0</v>
      </c>
      <c r="W902" s="36"/>
      <c r="AH902" s="3">
        <v>0</v>
      </c>
      <c r="AJ902" s="3">
        <v>0</v>
      </c>
      <c r="AL902" s="39" t="s">
        <v>49</v>
      </c>
    </row>
    <row r="903" spans="1:38" x14ac:dyDescent="0.25">
      <c r="A903">
        <v>895</v>
      </c>
      <c r="B903" s="29" t="s">
        <v>45</v>
      </c>
      <c r="C903" s="29" t="s">
        <v>46</v>
      </c>
      <c r="D903" s="4" t="str">
        <f>"16864"</f>
        <v>16864</v>
      </c>
      <c r="E903" s="4" t="str">
        <f t="shared" si="26"/>
        <v>FE16864</v>
      </c>
      <c r="F903" s="7">
        <v>44370</v>
      </c>
      <c r="G903" s="7">
        <v>44378</v>
      </c>
      <c r="H903" s="34">
        <v>280634</v>
      </c>
      <c r="I903" s="31">
        <v>252571</v>
      </c>
      <c r="J903" s="31">
        <f t="shared" si="27"/>
        <v>28063</v>
      </c>
      <c r="K903" s="2"/>
      <c r="N903" s="32">
        <v>0</v>
      </c>
      <c r="Q903" s="34">
        <v>0</v>
      </c>
      <c r="R903" s="45"/>
      <c r="S903" s="4">
        <f>IFERROR(VLOOKUP(E903,'[2]td factu si'!$A:$B,1,0),0)</f>
        <v>0</v>
      </c>
      <c r="T903" s="2">
        <f>IFERROR(VLOOKUP(E903,'[2]td factu si'!$A:$B,2,0),0)*-1</f>
        <v>0</v>
      </c>
      <c r="W903" s="36"/>
      <c r="X903" s="6">
        <v>252571</v>
      </c>
      <c r="AH903" s="3">
        <v>0</v>
      </c>
      <c r="AJ903" s="3">
        <v>0</v>
      </c>
    </row>
    <row r="904" spans="1:38" x14ac:dyDescent="0.25">
      <c r="A904">
        <v>896</v>
      </c>
      <c r="B904" s="29" t="s">
        <v>45</v>
      </c>
      <c r="C904" s="29" t="s">
        <v>46</v>
      </c>
      <c r="D904" s="4" t="str">
        <f>"16865"</f>
        <v>16865</v>
      </c>
      <c r="E904" s="4" t="str">
        <f t="shared" si="26"/>
        <v>FE16865</v>
      </c>
      <c r="F904" s="7">
        <v>44370</v>
      </c>
      <c r="G904" s="7">
        <v>44378</v>
      </c>
      <c r="H904" s="34">
        <v>339170</v>
      </c>
      <c r="I904" s="31">
        <v>339170</v>
      </c>
      <c r="J904" s="31">
        <f t="shared" si="27"/>
        <v>0</v>
      </c>
      <c r="K904" s="2"/>
      <c r="N904" s="32">
        <v>0</v>
      </c>
      <c r="Q904" s="34">
        <v>0</v>
      </c>
      <c r="R904" s="45"/>
      <c r="S904" s="4">
        <f>IFERROR(VLOOKUP(E904,'[2]td factu si'!$A:$B,1,0),0)</f>
        <v>0</v>
      </c>
      <c r="T904" s="2">
        <f>IFERROR(VLOOKUP(E904,'[2]td factu si'!$A:$B,2,0),0)*-1</f>
        <v>0</v>
      </c>
      <c r="W904" s="36"/>
      <c r="AH904" s="3">
        <v>0</v>
      </c>
      <c r="AJ904" s="3">
        <v>0</v>
      </c>
      <c r="AL904" s="39" t="s">
        <v>49</v>
      </c>
    </row>
    <row r="905" spans="1:38" x14ac:dyDescent="0.25">
      <c r="A905">
        <v>897</v>
      </c>
      <c r="B905" s="29" t="s">
        <v>45</v>
      </c>
      <c r="C905" s="29" t="s">
        <v>46</v>
      </c>
      <c r="D905" s="4" t="str">
        <f>"16869"</f>
        <v>16869</v>
      </c>
      <c r="E905" s="4" t="str">
        <f t="shared" si="26"/>
        <v>FE16869</v>
      </c>
      <c r="F905" s="7">
        <v>44370</v>
      </c>
      <c r="G905" s="7">
        <v>44378</v>
      </c>
      <c r="H905" s="34">
        <v>317101</v>
      </c>
      <c r="I905" s="31">
        <v>317101</v>
      </c>
      <c r="J905" s="31">
        <f t="shared" si="27"/>
        <v>0</v>
      </c>
      <c r="K905" s="2"/>
      <c r="N905" s="32">
        <v>0</v>
      </c>
      <c r="Q905" s="34">
        <v>0</v>
      </c>
      <c r="R905" s="45"/>
      <c r="S905" s="4">
        <f>IFERROR(VLOOKUP(E905,'[2]td factu si'!$A:$B,1,0),0)</f>
        <v>0</v>
      </c>
      <c r="T905" s="2">
        <f>IFERROR(VLOOKUP(E905,'[2]td factu si'!$A:$B,2,0),0)*-1</f>
        <v>0</v>
      </c>
      <c r="W905" s="36"/>
      <c r="AH905" s="3">
        <v>0</v>
      </c>
      <c r="AJ905" s="3">
        <v>0</v>
      </c>
      <c r="AL905" s="39" t="s">
        <v>49</v>
      </c>
    </row>
    <row r="906" spans="1:38" x14ac:dyDescent="0.25">
      <c r="A906">
        <v>898</v>
      </c>
      <c r="B906" s="29" t="s">
        <v>45</v>
      </c>
      <c r="C906" s="29" t="s">
        <v>46</v>
      </c>
      <c r="D906" s="4" t="str">
        <f>"16871"</f>
        <v>16871</v>
      </c>
      <c r="E906" s="4" t="str">
        <f t="shared" ref="E906:E969" si="28">_xlfn.CONCAT(C906,D906)</f>
        <v>FE16871</v>
      </c>
      <c r="F906" s="7">
        <v>44370</v>
      </c>
      <c r="G906" s="7">
        <v>44378</v>
      </c>
      <c r="H906" s="34">
        <v>14933</v>
      </c>
      <c r="I906" s="31">
        <v>14933</v>
      </c>
      <c r="J906" s="31">
        <f t="shared" ref="J906:J969" si="29">+H906-I906</f>
        <v>0</v>
      </c>
      <c r="K906" s="2"/>
      <c r="N906" s="32">
        <v>0</v>
      </c>
      <c r="Q906" s="34">
        <v>0</v>
      </c>
      <c r="R906" s="45"/>
      <c r="S906" s="4">
        <f>IFERROR(VLOOKUP(E906,'[2]td factu si'!$A:$B,1,0),0)</f>
        <v>0</v>
      </c>
      <c r="T906" s="2">
        <f>IFERROR(VLOOKUP(E906,'[2]td factu si'!$A:$B,2,0),0)*-1</f>
        <v>0</v>
      </c>
      <c r="W906" s="36"/>
      <c r="X906" s="6">
        <v>14933</v>
      </c>
      <c r="AH906" s="3">
        <v>0</v>
      </c>
      <c r="AJ906" s="3">
        <v>0</v>
      </c>
    </row>
    <row r="907" spans="1:38" x14ac:dyDescent="0.25">
      <c r="A907">
        <v>899</v>
      </c>
      <c r="B907" s="29" t="s">
        <v>45</v>
      </c>
      <c r="C907" s="29" t="s">
        <v>46</v>
      </c>
      <c r="D907" s="4" t="str">
        <f>"16873"</f>
        <v>16873</v>
      </c>
      <c r="E907" s="4" t="str">
        <f t="shared" si="28"/>
        <v>FE16873</v>
      </c>
      <c r="F907" s="7">
        <v>44370</v>
      </c>
      <c r="G907" s="7">
        <v>44378</v>
      </c>
      <c r="H907" s="34">
        <v>14933</v>
      </c>
      <c r="I907" s="31">
        <v>13216</v>
      </c>
      <c r="J907" s="31">
        <f t="shared" si="29"/>
        <v>1717</v>
      </c>
      <c r="K907" s="2"/>
      <c r="N907" s="32">
        <v>0</v>
      </c>
      <c r="Q907" s="34">
        <v>0</v>
      </c>
      <c r="R907" s="45"/>
      <c r="S907" s="4">
        <f>IFERROR(VLOOKUP(E907,'[2]td factu si'!$A:$B,1,0),0)</f>
        <v>0</v>
      </c>
      <c r="T907" s="2">
        <f>IFERROR(VLOOKUP(E907,'[2]td factu si'!$A:$B,2,0),0)*-1</f>
        <v>0</v>
      </c>
      <c r="W907" s="36"/>
      <c r="X907" s="6">
        <v>13216</v>
      </c>
      <c r="AH907" s="3">
        <v>0</v>
      </c>
      <c r="AJ907" s="3">
        <v>0</v>
      </c>
    </row>
    <row r="908" spans="1:38" x14ac:dyDescent="0.25">
      <c r="A908">
        <v>900</v>
      </c>
      <c r="B908" s="29" t="s">
        <v>45</v>
      </c>
      <c r="C908" s="29" t="s">
        <v>46</v>
      </c>
      <c r="D908" s="4" t="str">
        <f>"16874"</f>
        <v>16874</v>
      </c>
      <c r="E908" s="4" t="str">
        <f t="shared" si="28"/>
        <v>FE16874</v>
      </c>
      <c r="F908" s="7">
        <v>44370</v>
      </c>
      <c r="G908" s="7">
        <v>44378</v>
      </c>
      <c r="H908" s="34">
        <v>135855</v>
      </c>
      <c r="I908" s="31">
        <v>135855</v>
      </c>
      <c r="J908" s="31">
        <f t="shared" si="29"/>
        <v>0</v>
      </c>
      <c r="K908" s="2"/>
      <c r="N908" s="32">
        <v>0</v>
      </c>
      <c r="Q908" s="34">
        <v>0</v>
      </c>
      <c r="R908" s="45"/>
      <c r="S908" s="4">
        <f>IFERROR(VLOOKUP(E908,'[2]td factu si'!$A:$B,1,0),0)</f>
        <v>0</v>
      </c>
      <c r="T908" s="2">
        <f>IFERROR(VLOOKUP(E908,'[2]td factu si'!$A:$B,2,0),0)*-1</f>
        <v>0</v>
      </c>
      <c r="W908" s="36"/>
      <c r="AH908" s="3">
        <v>0</v>
      </c>
      <c r="AJ908" s="3">
        <v>0</v>
      </c>
      <c r="AL908" s="39" t="s">
        <v>49</v>
      </c>
    </row>
    <row r="909" spans="1:38" x14ac:dyDescent="0.25">
      <c r="A909">
        <v>901</v>
      </c>
      <c r="B909" s="29" t="s">
        <v>45</v>
      </c>
      <c r="C909" s="29" t="s">
        <v>46</v>
      </c>
      <c r="D909" s="4" t="str">
        <f>"16883"</f>
        <v>16883</v>
      </c>
      <c r="E909" s="4" t="str">
        <f t="shared" si="28"/>
        <v>FE16883</v>
      </c>
      <c r="F909" s="7">
        <v>44370</v>
      </c>
      <c r="G909" s="7">
        <v>44378</v>
      </c>
      <c r="H909" s="34">
        <v>181246</v>
      </c>
      <c r="I909" s="31">
        <v>177746</v>
      </c>
      <c r="J909" s="31">
        <f t="shared" si="29"/>
        <v>3500</v>
      </c>
      <c r="K909" s="2"/>
      <c r="N909" s="32">
        <v>0</v>
      </c>
      <c r="Q909" s="34">
        <v>0</v>
      </c>
      <c r="R909" s="45"/>
      <c r="S909" s="4">
        <f>IFERROR(VLOOKUP(E909,'[2]td factu si'!$A:$B,1,0),0)</f>
        <v>0</v>
      </c>
      <c r="T909" s="2">
        <f>IFERROR(VLOOKUP(E909,'[2]td factu si'!$A:$B,2,0),0)*-1</f>
        <v>0</v>
      </c>
      <c r="W909" s="36"/>
      <c r="X909" s="6">
        <v>177746</v>
      </c>
      <c r="AH909" s="3">
        <v>0</v>
      </c>
      <c r="AJ909" s="3">
        <v>0</v>
      </c>
    </row>
    <row r="910" spans="1:38" x14ac:dyDescent="0.25">
      <c r="A910">
        <v>902</v>
      </c>
      <c r="B910" s="29" t="s">
        <v>45</v>
      </c>
      <c r="C910" s="29" t="s">
        <v>46</v>
      </c>
      <c r="D910" s="4" t="str">
        <f>"16886"</f>
        <v>16886</v>
      </c>
      <c r="E910" s="4" t="str">
        <f t="shared" si="28"/>
        <v>FE16886</v>
      </c>
      <c r="F910" s="7">
        <v>44370</v>
      </c>
      <c r="G910" s="7">
        <v>44378</v>
      </c>
      <c r="H910" s="34">
        <v>181246</v>
      </c>
      <c r="I910" s="31">
        <v>181246</v>
      </c>
      <c r="J910" s="31">
        <f t="shared" si="29"/>
        <v>0</v>
      </c>
      <c r="K910" s="2"/>
      <c r="N910" s="32">
        <v>0</v>
      </c>
      <c r="Q910" s="34">
        <v>0</v>
      </c>
      <c r="R910" s="45"/>
      <c r="S910" s="4">
        <f>IFERROR(VLOOKUP(E910,'[2]td factu si'!$A:$B,1,0),0)</f>
        <v>0</v>
      </c>
      <c r="T910" s="2">
        <f>IFERROR(VLOOKUP(E910,'[2]td factu si'!$A:$B,2,0),0)*-1</f>
        <v>0</v>
      </c>
      <c r="W910" s="36"/>
      <c r="AH910" s="3">
        <v>0</v>
      </c>
      <c r="AJ910" s="3">
        <v>0</v>
      </c>
      <c r="AL910" s="39" t="s">
        <v>49</v>
      </c>
    </row>
    <row r="911" spans="1:38" x14ac:dyDescent="0.25">
      <c r="A911">
        <v>903</v>
      </c>
      <c r="B911" s="29" t="s">
        <v>45</v>
      </c>
      <c r="C911" s="29" t="s">
        <v>46</v>
      </c>
      <c r="D911" s="4" t="str">
        <f>"16893"</f>
        <v>16893</v>
      </c>
      <c r="E911" s="4" t="str">
        <f t="shared" si="28"/>
        <v>FE16893</v>
      </c>
      <c r="F911" s="7">
        <v>44370</v>
      </c>
      <c r="G911" s="7">
        <v>44378</v>
      </c>
      <c r="H911" s="34">
        <v>181246</v>
      </c>
      <c r="I911" s="31">
        <v>181246</v>
      </c>
      <c r="J911" s="31">
        <f t="shared" si="29"/>
        <v>0</v>
      </c>
      <c r="K911" s="2"/>
      <c r="N911" s="32">
        <v>0</v>
      </c>
      <c r="Q911" s="34">
        <v>0</v>
      </c>
      <c r="R911" s="45"/>
      <c r="S911" s="4">
        <f>IFERROR(VLOOKUP(E911,'[2]td factu si'!$A:$B,1,0),0)</f>
        <v>0</v>
      </c>
      <c r="T911" s="2">
        <f>IFERROR(VLOOKUP(E911,'[2]td factu si'!$A:$B,2,0),0)*-1</f>
        <v>0</v>
      </c>
      <c r="W911" s="36"/>
      <c r="X911" s="6">
        <v>181246</v>
      </c>
      <c r="AH911" s="3">
        <v>0</v>
      </c>
      <c r="AJ911" s="3">
        <v>0</v>
      </c>
    </row>
    <row r="912" spans="1:38" x14ac:dyDescent="0.25">
      <c r="A912">
        <v>904</v>
      </c>
      <c r="B912" s="29" t="s">
        <v>45</v>
      </c>
      <c r="C912" s="29" t="s">
        <v>46</v>
      </c>
      <c r="D912" s="4" t="str">
        <f>"16896"</f>
        <v>16896</v>
      </c>
      <c r="E912" s="4" t="str">
        <f t="shared" si="28"/>
        <v>FE16896</v>
      </c>
      <c r="F912" s="7">
        <v>44370</v>
      </c>
      <c r="G912" s="7">
        <v>44378</v>
      </c>
      <c r="H912" s="34">
        <v>15489</v>
      </c>
      <c r="I912" s="31">
        <v>15489</v>
      </c>
      <c r="J912" s="31">
        <f t="shared" si="29"/>
        <v>0</v>
      </c>
      <c r="K912" s="2"/>
      <c r="N912" s="32">
        <v>0</v>
      </c>
      <c r="Q912" s="34">
        <v>0</v>
      </c>
      <c r="R912" s="45"/>
      <c r="S912" s="4">
        <f>IFERROR(VLOOKUP(E912,'[2]td factu si'!$A:$B,1,0),0)</f>
        <v>0</v>
      </c>
      <c r="T912" s="2">
        <f>IFERROR(VLOOKUP(E912,'[2]td factu si'!$A:$B,2,0),0)*-1</f>
        <v>0</v>
      </c>
      <c r="W912" s="36"/>
      <c r="X912" s="6">
        <v>15489</v>
      </c>
      <c r="AH912" s="3">
        <v>0</v>
      </c>
      <c r="AJ912" s="3">
        <v>0</v>
      </c>
    </row>
    <row r="913" spans="1:38" x14ac:dyDescent="0.25">
      <c r="A913">
        <v>905</v>
      </c>
      <c r="B913" s="29" t="s">
        <v>45</v>
      </c>
      <c r="C913" s="29" t="s">
        <v>46</v>
      </c>
      <c r="D913" s="4" t="str">
        <f>"16903"</f>
        <v>16903</v>
      </c>
      <c r="E913" s="4" t="str">
        <f t="shared" si="28"/>
        <v>FE16903</v>
      </c>
      <c r="F913" s="7">
        <v>44370</v>
      </c>
      <c r="G913" s="7">
        <v>44378</v>
      </c>
      <c r="H913" s="34">
        <v>181246</v>
      </c>
      <c r="I913" s="31">
        <v>181246</v>
      </c>
      <c r="J913" s="31">
        <f t="shared" si="29"/>
        <v>0</v>
      </c>
      <c r="K913" s="2"/>
      <c r="N913" s="32">
        <v>0</v>
      </c>
      <c r="Q913" s="34">
        <v>0</v>
      </c>
      <c r="R913" s="45"/>
      <c r="S913" s="4">
        <f>IFERROR(VLOOKUP(E913,'[2]td factu si'!$A:$B,1,0),0)</f>
        <v>0</v>
      </c>
      <c r="T913" s="2">
        <f>IFERROR(VLOOKUP(E913,'[2]td factu si'!$A:$B,2,0),0)*-1</f>
        <v>0</v>
      </c>
      <c r="W913" s="36"/>
      <c r="X913" s="6">
        <v>181246</v>
      </c>
      <c r="AH913" s="3">
        <v>0</v>
      </c>
      <c r="AJ913" s="3">
        <v>0</v>
      </c>
    </row>
    <row r="914" spans="1:38" x14ac:dyDescent="0.25">
      <c r="A914">
        <v>906</v>
      </c>
      <c r="B914" s="29" t="s">
        <v>45</v>
      </c>
      <c r="C914" s="29" t="s">
        <v>46</v>
      </c>
      <c r="D914" s="4" t="str">
        <f>"16912"</f>
        <v>16912</v>
      </c>
      <c r="E914" s="4" t="str">
        <f t="shared" si="28"/>
        <v>FE16912</v>
      </c>
      <c r="F914" s="7">
        <v>44371</v>
      </c>
      <c r="G914" s="7">
        <v>44378</v>
      </c>
      <c r="H914" s="34">
        <v>181246</v>
      </c>
      <c r="I914" s="31">
        <v>181246</v>
      </c>
      <c r="J914" s="31">
        <f t="shared" si="29"/>
        <v>0</v>
      </c>
      <c r="K914" s="2"/>
      <c r="N914" s="32">
        <v>0</v>
      </c>
      <c r="Q914" s="34">
        <v>0</v>
      </c>
      <c r="R914" s="45"/>
      <c r="S914" s="4">
        <f>IFERROR(VLOOKUP(E914,'[2]td factu si'!$A:$B,1,0),0)</f>
        <v>0</v>
      </c>
      <c r="T914" s="2">
        <f>IFERROR(VLOOKUP(E914,'[2]td factu si'!$A:$B,2,0),0)*-1</f>
        <v>0</v>
      </c>
      <c r="W914" s="36"/>
      <c r="AH914" s="3">
        <v>0</v>
      </c>
      <c r="AJ914" s="3">
        <v>0</v>
      </c>
      <c r="AL914" s="39" t="s">
        <v>49</v>
      </c>
    </row>
    <row r="915" spans="1:38" x14ac:dyDescent="0.25">
      <c r="A915">
        <v>907</v>
      </c>
      <c r="B915" s="29" t="s">
        <v>45</v>
      </c>
      <c r="C915" s="29" t="s">
        <v>46</v>
      </c>
      <c r="D915" s="4" t="str">
        <f>"16918"</f>
        <v>16918</v>
      </c>
      <c r="E915" s="4" t="str">
        <f t="shared" si="28"/>
        <v>FE16918</v>
      </c>
      <c r="F915" s="7">
        <v>44371</v>
      </c>
      <c r="G915" s="7">
        <v>44378</v>
      </c>
      <c r="H915" s="34">
        <v>317101</v>
      </c>
      <c r="I915" s="31">
        <v>317101</v>
      </c>
      <c r="J915" s="31">
        <f t="shared" si="29"/>
        <v>0</v>
      </c>
      <c r="K915" s="2"/>
      <c r="N915" s="32">
        <v>0</v>
      </c>
      <c r="Q915" s="34">
        <v>0</v>
      </c>
      <c r="R915" s="45"/>
      <c r="S915" s="4">
        <f>IFERROR(VLOOKUP(E915,'[2]td factu si'!$A:$B,1,0),0)</f>
        <v>0</v>
      </c>
      <c r="T915" s="2">
        <f>IFERROR(VLOOKUP(E915,'[2]td factu si'!$A:$B,2,0),0)*-1</f>
        <v>0</v>
      </c>
      <c r="W915" s="36"/>
      <c r="X915" s="6">
        <v>317101</v>
      </c>
      <c r="AH915" s="3">
        <v>0</v>
      </c>
      <c r="AJ915" s="3">
        <v>0</v>
      </c>
    </row>
    <row r="916" spans="1:38" x14ac:dyDescent="0.25">
      <c r="A916">
        <v>908</v>
      </c>
      <c r="B916" s="29" t="s">
        <v>45</v>
      </c>
      <c r="C916" s="29" t="s">
        <v>46</v>
      </c>
      <c r="D916" s="4" t="str">
        <f>"16919"</f>
        <v>16919</v>
      </c>
      <c r="E916" s="4" t="str">
        <f t="shared" si="28"/>
        <v>FE16919</v>
      </c>
      <c r="F916" s="7">
        <v>44371</v>
      </c>
      <c r="G916" s="7">
        <v>44378</v>
      </c>
      <c r="H916" s="34">
        <v>317101</v>
      </c>
      <c r="I916" s="31">
        <v>310101</v>
      </c>
      <c r="J916" s="31">
        <f t="shared" si="29"/>
        <v>7000</v>
      </c>
      <c r="K916" s="2"/>
      <c r="N916" s="32">
        <v>0</v>
      </c>
      <c r="Q916" s="34">
        <v>0</v>
      </c>
      <c r="R916" s="45"/>
      <c r="S916" s="4">
        <f>IFERROR(VLOOKUP(E916,'[2]td factu si'!$A:$B,1,0),0)</f>
        <v>0</v>
      </c>
      <c r="T916" s="2">
        <f>IFERROR(VLOOKUP(E916,'[2]td factu si'!$A:$B,2,0),0)*-1</f>
        <v>0</v>
      </c>
      <c r="W916" s="36"/>
      <c r="X916" s="6">
        <v>310101</v>
      </c>
      <c r="AH916" s="3">
        <v>0</v>
      </c>
      <c r="AJ916" s="3">
        <v>0</v>
      </c>
    </row>
    <row r="917" spans="1:38" x14ac:dyDescent="0.25">
      <c r="A917">
        <v>909</v>
      </c>
      <c r="B917" s="29" t="s">
        <v>45</v>
      </c>
      <c r="C917" s="29" t="s">
        <v>46</v>
      </c>
      <c r="D917" s="4" t="str">
        <f>"16920"</f>
        <v>16920</v>
      </c>
      <c r="E917" s="4" t="str">
        <f t="shared" si="28"/>
        <v>FE16920</v>
      </c>
      <c r="F917" s="7">
        <v>44371</v>
      </c>
      <c r="G917" s="7">
        <v>44378</v>
      </c>
      <c r="H917" s="34">
        <v>317101</v>
      </c>
      <c r="I917" s="31">
        <v>317101</v>
      </c>
      <c r="J917" s="31">
        <f t="shared" si="29"/>
        <v>0</v>
      </c>
      <c r="K917" s="2"/>
      <c r="N917" s="32">
        <v>0</v>
      </c>
      <c r="Q917" s="34">
        <v>0</v>
      </c>
      <c r="R917" s="45"/>
      <c r="S917" s="4">
        <f>IFERROR(VLOOKUP(E917,'[2]td factu si'!$A:$B,1,0),0)</f>
        <v>0</v>
      </c>
      <c r="T917" s="2">
        <f>IFERROR(VLOOKUP(E917,'[2]td factu si'!$A:$B,2,0),0)*-1</f>
        <v>0</v>
      </c>
      <c r="W917" s="36"/>
      <c r="X917" s="6">
        <v>317101</v>
      </c>
      <c r="AH917" s="3">
        <v>0</v>
      </c>
      <c r="AJ917" s="3">
        <v>0</v>
      </c>
    </row>
    <row r="918" spans="1:38" x14ac:dyDescent="0.25">
      <c r="A918">
        <v>910</v>
      </c>
      <c r="B918" s="29" t="s">
        <v>45</v>
      </c>
      <c r="C918" s="29" t="s">
        <v>46</v>
      </c>
      <c r="D918" s="4" t="str">
        <f>"16921"</f>
        <v>16921</v>
      </c>
      <c r="E918" s="4" t="str">
        <f t="shared" si="28"/>
        <v>FE16921</v>
      </c>
      <c r="F918" s="7">
        <v>44371</v>
      </c>
      <c r="G918" s="7">
        <v>44378</v>
      </c>
      <c r="H918" s="34">
        <v>317101</v>
      </c>
      <c r="I918" s="31">
        <v>317101</v>
      </c>
      <c r="J918" s="31">
        <f t="shared" si="29"/>
        <v>0</v>
      </c>
      <c r="K918" s="2"/>
      <c r="N918" s="32">
        <v>0</v>
      </c>
      <c r="Q918" s="34">
        <v>0</v>
      </c>
      <c r="R918" s="45"/>
      <c r="S918" s="4">
        <f>IFERROR(VLOOKUP(E918,'[2]td factu si'!$A:$B,1,0),0)</f>
        <v>0</v>
      </c>
      <c r="T918" s="2">
        <f>IFERROR(VLOOKUP(E918,'[2]td factu si'!$A:$B,2,0),0)*-1</f>
        <v>0</v>
      </c>
      <c r="W918" s="36"/>
      <c r="X918" s="6">
        <v>317101</v>
      </c>
      <c r="AH918" s="3">
        <v>0</v>
      </c>
      <c r="AJ918" s="3">
        <v>0</v>
      </c>
    </row>
    <row r="919" spans="1:38" x14ac:dyDescent="0.25">
      <c r="A919">
        <v>911</v>
      </c>
      <c r="B919" s="29" t="s">
        <v>45</v>
      </c>
      <c r="C919" s="29" t="s">
        <v>46</v>
      </c>
      <c r="D919" s="4" t="str">
        <f>"16924"</f>
        <v>16924</v>
      </c>
      <c r="E919" s="4" t="str">
        <f t="shared" si="28"/>
        <v>FE16924</v>
      </c>
      <c r="F919" s="7">
        <v>44371</v>
      </c>
      <c r="G919" s="7">
        <v>44378</v>
      </c>
      <c r="H919" s="34">
        <v>135855</v>
      </c>
      <c r="I919" s="31">
        <v>132355</v>
      </c>
      <c r="J919" s="31">
        <f t="shared" si="29"/>
        <v>3500</v>
      </c>
      <c r="K919" s="2"/>
      <c r="N919" s="32">
        <v>0</v>
      </c>
      <c r="Q919" s="34">
        <v>0</v>
      </c>
      <c r="R919" s="45"/>
      <c r="S919" s="4">
        <f>IFERROR(VLOOKUP(E919,'[2]td factu si'!$A:$B,1,0),0)</f>
        <v>0</v>
      </c>
      <c r="T919" s="2">
        <f>IFERROR(VLOOKUP(E919,'[2]td factu si'!$A:$B,2,0),0)*-1</f>
        <v>0</v>
      </c>
      <c r="W919" s="36"/>
      <c r="X919" s="6">
        <v>132355</v>
      </c>
      <c r="AH919" s="3">
        <v>0</v>
      </c>
      <c r="AJ919" s="3">
        <v>0</v>
      </c>
    </row>
    <row r="920" spans="1:38" x14ac:dyDescent="0.25">
      <c r="A920">
        <v>912</v>
      </c>
      <c r="B920" s="29" t="s">
        <v>45</v>
      </c>
      <c r="C920" s="29" t="s">
        <v>46</v>
      </c>
      <c r="D920" s="4" t="str">
        <f>"16929"</f>
        <v>16929</v>
      </c>
      <c r="E920" s="4" t="str">
        <f t="shared" si="28"/>
        <v>FE16929</v>
      </c>
      <c r="F920" s="7">
        <v>44371</v>
      </c>
      <c r="G920" s="7">
        <v>44378</v>
      </c>
      <c r="H920" s="34">
        <v>78702</v>
      </c>
      <c r="I920" s="31">
        <v>78702</v>
      </c>
      <c r="J920" s="31">
        <f t="shared" si="29"/>
        <v>0</v>
      </c>
      <c r="K920" s="2"/>
      <c r="N920" s="32">
        <v>0</v>
      </c>
      <c r="Q920" s="34">
        <v>0</v>
      </c>
      <c r="R920" s="45"/>
      <c r="S920" s="4">
        <f>IFERROR(VLOOKUP(E920,'[2]td factu si'!$A:$B,1,0),0)</f>
        <v>0</v>
      </c>
      <c r="T920" s="2">
        <f>IFERROR(VLOOKUP(E920,'[2]td factu si'!$A:$B,2,0),0)*-1</f>
        <v>0</v>
      </c>
      <c r="W920" s="36"/>
      <c r="X920" s="6">
        <v>78702</v>
      </c>
      <c r="AH920" s="3">
        <v>0</v>
      </c>
      <c r="AJ920" s="3">
        <v>0</v>
      </c>
    </row>
    <row r="921" spans="1:38" x14ac:dyDescent="0.25">
      <c r="A921">
        <v>913</v>
      </c>
      <c r="B921" s="29" t="s">
        <v>45</v>
      </c>
      <c r="C921" s="29" t="s">
        <v>46</v>
      </c>
      <c r="D921" s="4" t="str">
        <f>"16934"</f>
        <v>16934</v>
      </c>
      <c r="E921" s="4" t="str">
        <f t="shared" si="28"/>
        <v>FE16934</v>
      </c>
      <c r="F921" s="7">
        <v>44371</v>
      </c>
      <c r="G921" s="7">
        <v>44378</v>
      </c>
      <c r="H921" s="34">
        <v>181246</v>
      </c>
      <c r="I921" s="31">
        <v>181246</v>
      </c>
      <c r="J921" s="31">
        <f t="shared" si="29"/>
        <v>0</v>
      </c>
      <c r="K921" s="2"/>
      <c r="N921" s="32">
        <v>0</v>
      </c>
      <c r="Q921" s="34">
        <v>0</v>
      </c>
      <c r="R921" s="45"/>
      <c r="S921" s="4">
        <f>IFERROR(VLOOKUP(E921,'[2]td factu si'!$A:$B,1,0),0)</f>
        <v>0</v>
      </c>
      <c r="T921" s="2">
        <f>IFERROR(VLOOKUP(E921,'[2]td factu si'!$A:$B,2,0),0)*-1</f>
        <v>0</v>
      </c>
      <c r="W921" s="36"/>
      <c r="AH921" s="3">
        <v>0</v>
      </c>
      <c r="AJ921" s="3">
        <v>0</v>
      </c>
      <c r="AL921" s="39" t="s">
        <v>49</v>
      </c>
    </row>
    <row r="922" spans="1:38" x14ac:dyDescent="0.25">
      <c r="A922">
        <v>914</v>
      </c>
      <c r="B922" s="29" t="s">
        <v>45</v>
      </c>
      <c r="C922" s="29" t="s">
        <v>46</v>
      </c>
      <c r="D922" s="4" t="str">
        <f>"16938"</f>
        <v>16938</v>
      </c>
      <c r="E922" s="4" t="str">
        <f t="shared" si="28"/>
        <v>FE16938</v>
      </c>
      <c r="F922" s="7">
        <v>44371</v>
      </c>
      <c r="G922" s="7">
        <v>44378</v>
      </c>
      <c r="H922" s="34">
        <v>14933</v>
      </c>
      <c r="I922" s="31">
        <v>14933</v>
      </c>
      <c r="J922" s="31">
        <f t="shared" si="29"/>
        <v>0</v>
      </c>
      <c r="K922" s="2"/>
      <c r="N922" s="32">
        <v>0</v>
      </c>
      <c r="Q922" s="34">
        <v>0</v>
      </c>
      <c r="R922" s="45"/>
      <c r="S922" s="4">
        <f>IFERROR(VLOOKUP(E922,'[2]td factu si'!$A:$B,1,0),0)</f>
        <v>0</v>
      </c>
      <c r="T922" s="2">
        <f>IFERROR(VLOOKUP(E922,'[2]td factu si'!$A:$B,2,0),0)*-1</f>
        <v>0</v>
      </c>
      <c r="W922" s="36"/>
      <c r="X922" s="6">
        <v>14933</v>
      </c>
      <c r="AH922" s="3">
        <v>0</v>
      </c>
      <c r="AJ922" s="3">
        <v>0</v>
      </c>
    </row>
    <row r="923" spans="1:38" x14ac:dyDescent="0.25">
      <c r="A923">
        <v>915</v>
      </c>
      <c r="B923" s="29" t="s">
        <v>45</v>
      </c>
      <c r="C923" s="29" t="s">
        <v>46</v>
      </c>
      <c r="D923" s="4" t="str">
        <f>"16948"</f>
        <v>16948</v>
      </c>
      <c r="E923" s="4" t="str">
        <f t="shared" si="28"/>
        <v>FE16948</v>
      </c>
      <c r="F923" s="7">
        <v>44371</v>
      </c>
      <c r="G923" s="7">
        <v>44378</v>
      </c>
      <c r="H923" s="34">
        <v>181246</v>
      </c>
      <c r="I923" s="31">
        <v>181246</v>
      </c>
      <c r="J923" s="31">
        <f t="shared" si="29"/>
        <v>0</v>
      </c>
      <c r="K923" s="2"/>
      <c r="N923" s="32">
        <v>0</v>
      </c>
      <c r="Q923" s="34">
        <v>0</v>
      </c>
      <c r="R923" s="45"/>
      <c r="S923" s="4">
        <f>IFERROR(VLOOKUP(E923,'[2]td factu si'!$A:$B,1,0),0)</f>
        <v>0</v>
      </c>
      <c r="T923" s="2">
        <f>IFERROR(VLOOKUP(E923,'[2]td factu si'!$A:$B,2,0),0)*-1</f>
        <v>0</v>
      </c>
      <c r="W923" s="36"/>
      <c r="X923" s="6">
        <v>181246</v>
      </c>
      <c r="AH923" s="3">
        <v>0</v>
      </c>
      <c r="AJ923" s="3">
        <v>0</v>
      </c>
    </row>
    <row r="924" spans="1:38" x14ac:dyDescent="0.25">
      <c r="A924">
        <v>916</v>
      </c>
      <c r="B924" s="29" t="s">
        <v>45</v>
      </c>
      <c r="C924" s="29" t="s">
        <v>46</v>
      </c>
      <c r="D924" s="4" t="str">
        <f>"16950"</f>
        <v>16950</v>
      </c>
      <c r="E924" s="4" t="str">
        <f t="shared" si="28"/>
        <v>FE16950</v>
      </c>
      <c r="F924" s="7">
        <v>44371</v>
      </c>
      <c r="G924" s="7">
        <v>44378</v>
      </c>
      <c r="H924" s="34">
        <v>181246</v>
      </c>
      <c r="I924" s="31">
        <v>181246</v>
      </c>
      <c r="J924" s="31">
        <f t="shared" si="29"/>
        <v>0</v>
      </c>
      <c r="K924" s="2"/>
      <c r="N924" s="32">
        <v>0</v>
      </c>
      <c r="Q924" s="34">
        <v>0</v>
      </c>
      <c r="R924" s="45"/>
      <c r="S924" s="4">
        <f>IFERROR(VLOOKUP(E924,'[2]td factu si'!$A:$B,1,0),0)</f>
        <v>0</v>
      </c>
      <c r="T924" s="2">
        <f>IFERROR(VLOOKUP(E924,'[2]td factu si'!$A:$B,2,0),0)*-1</f>
        <v>0</v>
      </c>
      <c r="W924" s="36"/>
      <c r="AH924" s="3">
        <v>0</v>
      </c>
      <c r="AJ924" s="3">
        <v>0</v>
      </c>
      <c r="AL924" s="39" t="s">
        <v>49</v>
      </c>
    </row>
    <row r="925" spans="1:38" x14ac:dyDescent="0.25">
      <c r="A925">
        <v>917</v>
      </c>
      <c r="B925" s="29" t="s">
        <v>45</v>
      </c>
      <c r="C925" s="29" t="s">
        <v>46</v>
      </c>
      <c r="D925" s="4" t="str">
        <f>"16961"</f>
        <v>16961</v>
      </c>
      <c r="E925" s="4" t="str">
        <f t="shared" si="28"/>
        <v>FE16961</v>
      </c>
      <c r="F925" s="7">
        <v>44372</v>
      </c>
      <c r="G925" s="7">
        <v>44378</v>
      </c>
      <c r="H925" s="34">
        <v>15489</v>
      </c>
      <c r="I925" s="31">
        <v>15489</v>
      </c>
      <c r="J925" s="31">
        <f t="shared" si="29"/>
        <v>0</v>
      </c>
      <c r="K925" s="2"/>
      <c r="N925" s="32">
        <v>0</v>
      </c>
      <c r="Q925" s="34">
        <v>0</v>
      </c>
      <c r="R925" s="45"/>
      <c r="S925" s="4">
        <f>IFERROR(VLOOKUP(E925,'[2]td factu si'!$A:$B,1,0),0)</f>
        <v>0</v>
      </c>
      <c r="T925" s="2">
        <f>IFERROR(VLOOKUP(E925,'[2]td factu si'!$A:$B,2,0),0)*-1</f>
        <v>0</v>
      </c>
      <c r="W925" s="36"/>
      <c r="X925" s="6">
        <v>15489</v>
      </c>
      <c r="AH925" s="3">
        <v>0</v>
      </c>
      <c r="AJ925" s="3">
        <v>0</v>
      </c>
    </row>
    <row r="926" spans="1:38" x14ac:dyDescent="0.25">
      <c r="A926">
        <v>918</v>
      </c>
      <c r="B926" s="29" t="s">
        <v>45</v>
      </c>
      <c r="C926" s="29" t="s">
        <v>46</v>
      </c>
      <c r="D926" s="4" t="str">
        <f>"16962"</f>
        <v>16962</v>
      </c>
      <c r="E926" s="4" t="str">
        <f t="shared" si="28"/>
        <v>FE16962</v>
      </c>
      <c r="F926" s="7">
        <v>44372</v>
      </c>
      <c r="G926" s="7">
        <v>44378</v>
      </c>
      <c r="H926" s="34">
        <v>15489</v>
      </c>
      <c r="I926" s="31">
        <v>11989</v>
      </c>
      <c r="J926" s="31">
        <f t="shared" si="29"/>
        <v>3500</v>
      </c>
      <c r="K926" s="2"/>
      <c r="N926" s="32">
        <v>0</v>
      </c>
      <c r="Q926" s="34">
        <v>0</v>
      </c>
      <c r="R926" s="45"/>
      <c r="S926" s="4">
        <f>IFERROR(VLOOKUP(E926,'[2]td factu si'!$A:$B,1,0),0)</f>
        <v>0</v>
      </c>
      <c r="T926" s="2">
        <f>IFERROR(VLOOKUP(E926,'[2]td factu si'!$A:$B,2,0),0)*-1</f>
        <v>0</v>
      </c>
      <c r="W926" s="36"/>
      <c r="X926" s="6">
        <v>11989</v>
      </c>
      <c r="AH926" s="3">
        <v>0</v>
      </c>
      <c r="AJ926" s="3">
        <v>0</v>
      </c>
    </row>
    <row r="927" spans="1:38" x14ac:dyDescent="0.25">
      <c r="A927">
        <v>919</v>
      </c>
      <c r="B927" s="29" t="s">
        <v>45</v>
      </c>
      <c r="C927" s="29" t="s">
        <v>46</v>
      </c>
      <c r="D927" s="4" t="str">
        <f>"16963"</f>
        <v>16963</v>
      </c>
      <c r="E927" s="4" t="str">
        <f t="shared" si="28"/>
        <v>FE16963</v>
      </c>
      <c r="F927" s="7">
        <v>44372</v>
      </c>
      <c r="G927" s="7">
        <v>44378</v>
      </c>
      <c r="H927" s="34">
        <v>317101</v>
      </c>
      <c r="I927" s="31">
        <v>317101</v>
      </c>
      <c r="J927" s="31">
        <f t="shared" si="29"/>
        <v>0</v>
      </c>
      <c r="K927" s="2"/>
      <c r="N927" s="32">
        <v>0</v>
      </c>
      <c r="Q927" s="34">
        <v>0</v>
      </c>
      <c r="R927" s="45"/>
      <c r="S927" s="4">
        <f>IFERROR(VLOOKUP(E927,'[2]td factu si'!$A:$B,1,0),0)</f>
        <v>0</v>
      </c>
      <c r="T927" s="2">
        <f>IFERROR(VLOOKUP(E927,'[2]td factu si'!$A:$B,2,0),0)*-1</f>
        <v>0</v>
      </c>
      <c r="W927" s="36"/>
      <c r="AH927" s="3">
        <v>0</v>
      </c>
      <c r="AJ927" s="3">
        <v>0</v>
      </c>
      <c r="AL927" s="39" t="s">
        <v>49</v>
      </c>
    </row>
    <row r="928" spans="1:38" x14ac:dyDescent="0.25">
      <c r="A928">
        <v>920</v>
      </c>
      <c r="B928" s="29" t="s">
        <v>45</v>
      </c>
      <c r="C928" s="29" t="s">
        <v>46</v>
      </c>
      <c r="D928" s="4" t="str">
        <f>"16964"</f>
        <v>16964</v>
      </c>
      <c r="E928" s="4" t="str">
        <f t="shared" si="28"/>
        <v>FE16964</v>
      </c>
      <c r="F928" s="7">
        <v>44372</v>
      </c>
      <c r="G928" s="7">
        <v>44378</v>
      </c>
      <c r="H928" s="34">
        <v>181246</v>
      </c>
      <c r="I928" s="31">
        <v>181246</v>
      </c>
      <c r="J928" s="31">
        <f t="shared" si="29"/>
        <v>0</v>
      </c>
      <c r="K928" s="2"/>
      <c r="N928" s="32">
        <v>0</v>
      </c>
      <c r="Q928" s="34">
        <v>0</v>
      </c>
      <c r="R928" s="45"/>
      <c r="S928" s="4">
        <f>IFERROR(VLOOKUP(E928,'[2]td factu si'!$A:$B,1,0),0)</f>
        <v>0</v>
      </c>
      <c r="T928" s="2">
        <f>IFERROR(VLOOKUP(E928,'[2]td factu si'!$A:$B,2,0),0)*-1</f>
        <v>0</v>
      </c>
      <c r="W928" s="36"/>
      <c r="AH928" s="3">
        <v>0</v>
      </c>
      <c r="AJ928" s="3">
        <v>0</v>
      </c>
      <c r="AL928" s="39" t="s">
        <v>49</v>
      </c>
    </row>
    <row r="929" spans="1:36" x14ac:dyDescent="0.25">
      <c r="A929">
        <v>921</v>
      </c>
      <c r="B929" s="29" t="s">
        <v>45</v>
      </c>
      <c r="C929" s="29" t="s">
        <v>46</v>
      </c>
      <c r="D929" s="4" t="str">
        <f>"16968"</f>
        <v>16968</v>
      </c>
      <c r="E929" s="4" t="str">
        <f t="shared" si="28"/>
        <v>FE16968</v>
      </c>
      <c r="F929" s="7">
        <v>44372</v>
      </c>
      <c r="G929" s="7">
        <v>44378</v>
      </c>
      <c r="H929" s="34">
        <v>15489</v>
      </c>
      <c r="I929" s="31">
        <v>15489</v>
      </c>
      <c r="J929" s="31">
        <f t="shared" si="29"/>
        <v>0</v>
      </c>
      <c r="K929" s="2"/>
      <c r="N929" s="32">
        <v>0</v>
      </c>
      <c r="Q929" s="34">
        <v>0</v>
      </c>
      <c r="R929" s="45"/>
      <c r="S929" s="4">
        <f>IFERROR(VLOOKUP(E929,'[2]td factu si'!$A:$B,1,0),0)</f>
        <v>0</v>
      </c>
      <c r="T929" s="2">
        <f>IFERROR(VLOOKUP(E929,'[2]td factu si'!$A:$B,2,0),0)*-1</f>
        <v>0</v>
      </c>
      <c r="W929" s="36"/>
      <c r="X929" s="6">
        <v>15489</v>
      </c>
      <c r="AH929" s="3">
        <v>0</v>
      </c>
      <c r="AJ929" s="3">
        <v>0</v>
      </c>
    </row>
    <row r="930" spans="1:36" x14ac:dyDescent="0.25">
      <c r="A930">
        <v>922</v>
      </c>
      <c r="B930" s="29" t="s">
        <v>45</v>
      </c>
      <c r="C930" s="29" t="s">
        <v>46</v>
      </c>
      <c r="D930" s="4" t="str">
        <f>"16971"</f>
        <v>16971</v>
      </c>
      <c r="E930" s="4" t="str">
        <f t="shared" si="28"/>
        <v>FE16971</v>
      </c>
      <c r="F930" s="7">
        <v>44372</v>
      </c>
      <c r="G930" s="7">
        <v>44378</v>
      </c>
      <c r="H930" s="34">
        <v>15489</v>
      </c>
      <c r="I930" s="31">
        <v>15489</v>
      </c>
      <c r="J930" s="31">
        <f t="shared" si="29"/>
        <v>0</v>
      </c>
      <c r="K930" s="2"/>
      <c r="N930" s="32">
        <v>0</v>
      </c>
      <c r="Q930" s="34">
        <v>0</v>
      </c>
      <c r="R930" s="45"/>
      <c r="S930" s="4">
        <f>IFERROR(VLOOKUP(E930,'[2]td factu si'!$A:$B,1,0),0)</f>
        <v>0</v>
      </c>
      <c r="T930" s="2">
        <f>IFERROR(VLOOKUP(E930,'[2]td factu si'!$A:$B,2,0),0)*-1</f>
        <v>0</v>
      </c>
      <c r="W930" s="36"/>
      <c r="X930" s="6">
        <v>15489</v>
      </c>
      <c r="AH930" s="3">
        <v>0</v>
      </c>
      <c r="AJ930" s="3">
        <v>0</v>
      </c>
    </row>
    <row r="931" spans="1:36" x14ac:dyDescent="0.25">
      <c r="A931">
        <v>923</v>
      </c>
      <c r="B931" s="29" t="s">
        <v>45</v>
      </c>
      <c r="C931" s="29" t="s">
        <v>46</v>
      </c>
      <c r="D931" s="4" t="str">
        <f>"16972"</f>
        <v>16972</v>
      </c>
      <c r="E931" s="4" t="str">
        <f t="shared" si="28"/>
        <v>FE16972</v>
      </c>
      <c r="F931" s="7">
        <v>44372</v>
      </c>
      <c r="G931" s="7">
        <v>44378</v>
      </c>
      <c r="H931" s="34">
        <v>15489</v>
      </c>
      <c r="I931" s="31">
        <v>15489</v>
      </c>
      <c r="J931" s="31">
        <f t="shared" si="29"/>
        <v>0</v>
      </c>
      <c r="K931" s="2"/>
      <c r="N931" s="32">
        <v>0</v>
      </c>
      <c r="Q931" s="34">
        <v>0</v>
      </c>
      <c r="R931" s="45"/>
      <c r="S931" s="4">
        <f>IFERROR(VLOOKUP(E931,'[2]td factu si'!$A:$B,1,0),0)</f>
        <v>0</v>
      </c>
      <c r="T931" s="2">
        <f>IFERROR(VLOOKUP(E931,'[2]td factu si'!$A:$B,2,0),0)*-1</f>
        <v>0</v>
      </c>
      <c r="W931" s="36"/>
      <c r="X931" s="6">
        <v>15489</v>
      </c>
      <c r="AH931" s="3">
        <v>0</v>
      </c>
      <c r="AJ931" s="3">
        <v>0</v>
      </c>
    </row>
    <row r="932" spans="1:36" x14ac:dyDescent="0.25">
      <c r="A932">
        <v>924</v>
      </c>
      <c r="B932" s="29" t="s">
        <v>45</v>
      </c>
      <c r="C932" s="29" t="s">
        <v>46</v>
      </c>
      <c r="D932" s="4" t="str">
        <f>"16979"</f>
        <v>16979</v>
      </c>
      <c r="E932" s="4" t="str">
        <f t="shared" si="28"/>
        <v>FE16979</v>
      </c>
      <c r="F932" s="7">
        <v>44372</v>
      </c>
      <c r="G932" s="7">
        <v>44378</v>
      </c>
      <c r="H932" s="34">
        <v>181246</v>
      </c>
      <c r="I932" s="31">
        <v>181246</v>
      </c>
      <c r="J932" s="31">
        <f t="shared" si="29"/>
        <v>0</v>
      </c>
      <c r="K932" s="2"/>
      <c r="N932" s="32">
        <v>0</v>
      </c>
      <c r="Q932" s="34">
        <v>0</v>
      </c>
      <c r="R932" s="45"/>
      <c r="S932" s="4">
        <f>IFERROR(VLOOKUP(E932,'[2]td factu si'!$A:$B,1,0),0)</f>
        <v>0</v>
      </c>
      <c r="T932" s="2">
        <f>IFERROR(VLOOKUP(E932,'[2]td factu si'!$A:$B,2,0),0)*-1</f>
        <v>0</v>
      </c>
      <c r="W932" s="36"/>
      <c r="X932" s="6">
        <v>181246</v>
      </c>
      <c r="AH932" s="3">
        <v>0</v>
      </c>
      <c r="AJ932" s="3">
        <v>0</v>
      </c>
    </row>
    <row r="933" spans="1:36" x14ac:dyDescent="0.25">
      <c r="A933">
        <v>925</v>
      </c>
      <c r="B933" s="29" t="s">
        <v>45</v>
      </c>
      <c r="C933" s="29" t="s">
        <v>46</v>
      </c>
      <c r="D933" s="4" t="str">
        <f>"16982"</f>
        <v>16982</v>
      </c>
      <c r="E933" s="4" t="str">
        <f t="shared" si="28"/>
        <v>FE16982</v>
      </c>
      <c r="F933" s="7">
        <v>44372</v>
      </c>
      <c r="G933" s="7">
        <v>44386</v>
      </c>
      <c r="H933" s="34">
        <v>15489</v>
      </c>
      <c r="I933" s="31">
        <v>15489</v>
      </c>
      <c r="J933" s="31">
        <f t="shared" si="29"/>
        <v>0</v>
      </c>
      <c r="K933" s="2"/>
      <c r="N933" s="32">
        <v>0</v>
      </c>
      <c r="Q933" s="34">
        <v>0</v>
      </c>
      <c r="R933" s="45"/>
      <c r="S933" s="4">
        <f>IFERROR(VLOOKUP(E933,'[2]td factu si'!$A:$B,1,0),0)</f>
        <v>0</v>
      </c>
      <c r="T933" s="2">
        <f>IFERROR(VLOOKUP(E933,'[2]td factu si'!$A:$B,2,0),0)*-1</f>
        <v>0</v>
      </c>
      <c r="W933" s="36"/>
      <c r="X933" s="6">
        <v>15489</v>
      </c>
      <c r="AH933" s="3">
        <v>0</v>
      </c>
      <c r="AJ933" s="3">
        <v>15489</v>
      </c>
    </row>
    <row r="934" spans="1:36" x14ac:dyDescent="0.25">
      <c r="A934">
        <v>926</v>
      </c>
      <c r="B934" s="29" t="s">
        <v>45</v>
      </c>
      <c r="C934" s="29" t="s">
        <v>46</v>
      </c>
      <c r="D934" s="4" t="str">
        <f>"16984"</f>
        <v>16984</v>
      </c>
      <c r="E934" s="4" t="str">
        <f t="shared" si="28"/>
        <v>FE16984</v>
      </c>
      <c r="F934" s="7">
        <v>44372</v>
      </c>
      <c r="G934" s="7">
        <v>44378</v>
      </c>
      <c r="H934" s="34">
        <v>181246</v>
      </c>
      <c r="I934" s="31">
        <v>163121</v>
      </c>
      <c r="J934" s="31">
        <f t="shared" si="29"/>
        <v>18125</v>
      </c>
      <c r="K934" s="2"/>
      <c r="N934" s="32">
        <v>0</v>
      </c>
      <c r="Q934" s="34">
        <v>0</v>
      </c>
      <c r="R934" s="45"/>
      <c r="S934" s="4">
        <f>IFERROR(VLOOKUP(E934,'[2]td factu si'!$A:$B,1,0),0)</f>
        <v>0</v>
      </c>
      <c r="T934" s="2">
        <f>IFERROR(VLOOKUP(E934,'[2]td factu si'!$A:$B,2,0),0)*-1</f>
        <v>0</v>
      </c>
      <c r="W934" s="36"/>
      <c r="X934" s="6">
        <v>163121</v>
      </c>
      <c r="AH934" s="3">
        <v>0</v>
      </c>
      <c r="AJ934" s="3">
        <v>0</v>
      </c>
    </row>
    <row r="935" spans="1:36" x14ac:dyDescent="0.25">
      <c r="A935">
        <v>927</v>
      </c>
      <c r="B935" s="29" t="s">
        <v>45</v>
      </c>
      <c r="C935" s="29" t="s">
        <v>46</v>
      </c>
      <c r="D935" s="4" t="str">
        <f>"16986"</f>
        <v>16986</v>
      </c>
      <c r="E935" s="4" t="str">
        <f t="shared" si="28"/>
        <v>FE16986</v>
      </c>
      <c r="F935" s="7">
        <v>44372</v>
      </c>
      <c r="G935" s="7">
        <v>44378</v>
      </c>
      <c r="H935" s="34">
        <v>339170</v>
      </c>
      <c r="I935" s="31">
        <v>339170</v>
      </c>
      <c r="J935" s="31">
        <f t="shared" si="29"/>
        <v>0</v>
      </c>
      <c r="K935" s="2"/>
      <c r="N935" s="32">
        <v>0</v>
      </c>
      <c r="Q935" s="34">
        <v>0</v>
      </c>
      <c r="R935" s="45"/>
      <c r="S935" s="4">
        <f>IFERROR(VLOOKUP(E935,'[2]td factu si'!$A:$B,1,0),0)</f>
        <v>0</v>
      </c>
      <c r="T935" s="2">
        <f>IFERROR(VLOOKUP(E935,'[2]td factu si'!$A:$B,2,0),0)*-1</f>
        <v>0</v>
      </c>
      <c r="W935" s="36"/>
      <c r="X935" s="6">
        <v>339170</v>
      </c>
      <c r="AH935" s="3">
        <v>0</v>
      </c>
      <c r="AJ935" s="3">
        <v>0</v>
      </c>
    </row>
    <row r="936" spans="1:36" x14ac:dyDescent="0.25">
      <c r="A936">
        <v>928</v>
      </c>
      <c r="B936" s="29" t="s">
        <v>45</v>
      </c>
      <c r="C936" s="29" t="s">
        <v>46</v>
      </c>
      <c r="D936" s="4" t="str">
        <f>"16988"</f>
        <v>16988</v>
      </c>
      <c r="E936" s="4" t="str">
        <f t="shared" si="28"/>
        <v>FE16988</v>
      </c>
      <c r="F936" s="7">
        <v>44372</v>
      </c>
      <c r="G936" s="7">
        <v>44378</v>
      </c>
      <c r="H936" s="34">
        <v>181246</v>
      </c>
      <c r="I936" s="31">
        <v>181246</v>
      </c>
      <c r="J936" s="31">
        <f t="shared" si="29"/>
        <v>0</v>
      </c>
      <c r="K936" s="2"/>
      <c r="N936" s="32">
        <v>0</v>
      </c>
      <c r="Q936" s="34">
        <v>0</v>
      </c>
      <c r="R936" s="45"/>
      <c r="S936" s="4">
        <f>IFERROR(VLOOKUP(E936,'[2]td factu si'!$A:$B,1,0),0)</f>
        <v>0</v>
      </c>
      <c r="T936" s="2">
        <f>IFERROR(VLOOKUP(E936,'[2]td factu si'!$A:$B,2,0),0)*-1</f>
        <v>0</v>
      </c>
      <c r="W936" s="36"/>
      <c r="X936" s="6">
        <v>181246</v>
      </c>
      <c r="AH936" s="3">
        <v>0</v>
      </c>
      <c r="AJ936" s="3">
        <v>0</v>
      </c>
    </row>
    <row r="937" spans="1:36" x14ac:dyDescent="0.25">
      <c r="A937">
        <v>929</v>
      </c>
      <c r="B937" s="29" t="s">
        <v>45</v>
      </c>
      <c r="C937" s="29" t="s">
        <v>46</v>
      </c>
      <c r="D937" s="4" t="str">
        <f>"16990"</f>
        <v>16990</v>
      </c>
      <c r="E937" s="4" t="str">
        <f t="shared" si="28"/>
        <v>FE16990</v>
      </c>
      <c r="F937" s="7">
        <v>44372</v>
      </c>
      <c r="G937" s="7">
        <v>44378</v>
      </c>
      <c r="H937" s="34">
        <v>122952</v>
      </c>
      <c r="I937" s="31">
        <v>122952</v>
      </c>
      <c r="J937" s="31">
        <f t="shared" si="29"/>
        <v>0</v>
      </c>
      <c r="K937" s="2"/>
      <c r="N937" s="32">
        <v>0</v>
      </c>
      <c r="Q937" s="34">
        <v>0</v>
      </c>
      <c r="R937" s="45"/>
      <c r="S937" s="4">
        <f>IFERROR(VLOOKUP(E937,'[2]td factu si'!$A:$B,1,0),0)</f>
        <v>0</v>
      </c>
      <c r="T937" s="2">
        <f>IFERROR(VLOOKUP(E937,'[2]td factu si'!$A:$B,2,0),0)*-1</f>
        <v>0</v>
      </c>
      <c r="W937" s="36"/>
      <c r="X937" s="6">
        <v>122952</v>
      </c>
      <c r="AH937" s="3">
        <v>0</v>
      </c>
      <c r="AJ937" s="3">
        <v>0</v>
      </c>
    </row>
    <row r="938" spans="1:36" x14ac:dyDescent="0.25">
      <c r="A938">
        <v>930</v>
      </c>
      <c r="B938" s="29" t="s">
        <v>45</v>
      </c>
      <c r="C938" s="29" t="s">
        <v>46</v>
      </c>
      <c r="D938" s="4" t="str">
        <f>"16993"</f>
        <v>16993</v>
      </c>
      <c r="E938" s="4" t="str">
        <f t="shared" si="28"/>
        <v>FE16993</v>
      </c>
      <c r="F938" s="7">
        <v>44372</v>
      </c>
      <c r="G938" s="7">
        <v>44378</v>
      </c>
      <c r="H938" s="34">
        <v>181246</v>
      </c>
      <c r="I938" s="31">
        <v>177746</v>
      </c>
      <c r="J938" s="31">
        <f t="shared" si="29"/>
        <v>3500</v>
      </c>
      <c r="K938" s="2"/>
      <c r="N938" s="32">
        <v>0</v>
      </c>
      <c r="Q938" s="34">
        <v>0</v>
      </c>
      <c r="R938" s="45"/>
      <c r="S938" s="4">
        <f>IFERROR(VLOOKUP(E938,'[2]td factu si'!$A:$B,1,0),0)</f>
        <v>0</v>
      </c>
      <c r="T938" s="2">
        <f>IFERROR(VLOOKUP(E938,'[2]td factu si'!$A:$B,2,0),0)*-1</f>
        <v>0</v>
      </c>
      <c r="W938" s="36"/>
      <c r="X938" s="6">
        <v>177746</v>
      </c>
      <c r="AH938" s="3">
        <v>0</v>
      </c>
      <c r="AJ938" s="3">
        <v>0</v>
      </c>
    </row>
    <row r="939" spans="1:36" x14ac:dyDescent="0.25">
      <c r="A939">
        <v>931</v>
      </c>
      <c r="B939" s="29" t="s">
        <v>45</v>
      </c>
      <c r="C939" s="29" t="s">
        <v>46</v>
      </c>
      <c r="D939" s="4" t="str">
        <f>"16995"</f>
        <v>16995</v>
      </c>
      <c r="E939" s="4" t="str">
        <f t="shared" si="28"/>
        <v>FE16995</v>
      </c>
      <c r="F939" s="7">
        <v>44372</v>
      </c>
      <c r="G939" s="7">
        <v>44378</v>
      </c>
      <c r="H939" s="34">
        <v>15489</v>
      </c>
      <c r="I939" s="31">
        <v>11989</v>
      </c>
      <c r="J939" s="31">
        <f t="shared" si="29"/>
        <v>3500</v>
      </c>
      <c r="K939" s="2"/>
      <c r="N939" s="32">
        <v>0</v>
      </c>
      <c r="Q939" s="34">
        <v>0</v>
      </c>
      <c r="R939" s="45"/>
      <c r="S939" s="4">
        <f>IFERROR(VLOOKUP(E939,'[2]td factu si'!$A:$B,1,0),0)</f>
        <v>0</v>
      </c>
      <c r="T939" s="2">
        <f>IFERROR(VLOOKUP(E939,'[2]td factu si'!$A:$B,2,0),0)*-1</f>
        <v>0</v>
      </c>
      <c r="W939" s="36"/>
      <c r="X939" s="6">
        <v>11989</v>
      </c>
      <c r="AH939" s="3">
        <v>0</v>
      </c>
      <c r="AJ939" s="3">
        <v>0</v>
      </c>
    </row>
    <row r="940" spans="1:36" x14ac:dyDescent="0.25">
      <c r="A940">
        <v>932</v>
      </c>
      <c r="B940" s="29" t="s">
        <v>45</v>
      </c>
      <c r="C940" s="29" t="s">
        <v>46</v>
      </c>
      <c r="D940" s="4" t="str">
        <f>"16996"</f>
        <v>16996</v>
      </c>
      <c r="E940" s="4" t="str">
        <f t="shared" si="28"/>
        <v>FE16996</v>
      </c>
      <c r="F940" s="7">
        <v>44372</v>
      </c>
      <c r="G940" s="7">
        <v>44378</v>
      </c>
      <c r="H940" s="34">
        <v>15489</v>
      </c>
      <c r="I940" s="31">
        <v>15489</v>
      </c>
      <c r="J940" s="31">
        <f t="shared" si="29"/>
        <v>0</v>
      </c>
      <c r="K940" s="2"/>
      <c r="N940" s="32">
        <v>0</v>
      </c>
      <c r="Q940" s="34">
        <v>0</v>
      </c>
      <c r="R940" s="45"/>
      <c r="S940" s="4">
        <f>IFERROR(VLOOKUP(E940,'[2]td factu si'!$A:$B,1,0),0)</f>
        <v>0</v>
      </c>
      <c r="T940" s="2">
        <f>IFERROR(VLOOKUP(E940,'[2]td factu si'!$A:$B,2,0),0)*-1</f>
        <v>0</v>
      </c>
      <c r="W940" s="36"/>
      <c r="X940" s="6">
        <v>15489</v>
      </c>
      <c r="AH940" s="3">
        <v>0</v>
      </c>
      <c r="AJ940" s="3">
        <v>0</v>
      </c>
    </row>
    <row r="941" spans="1:36" x14ac:dyDescent="0.25">
      <c r="A941">
        <v>933</v>
      </c>
      <c r="B941" s="29" t="s">
        <v>45</v>
      </c>
      <c r="C941" s="29" t="s">
        <v>46</v>
      </c>
      <c r="D941" s="4" t="str">
        <f>"16999"</f>
        <v>16999</v>
      </c>
      <c r="E941" s="4" t="str">
        <f t="shared" si="28"/>
        <v>FE16999</v>
      </c>
      <c r="F941" s="7">
        <v>44372</v>
      </c>
      <c r="G941" s="7">
        <v>44378</v>
      </c>
      <c r="H941" s="34">
        <v>15489</v>
      </c>
      <c r="I941" s="31">
        <v>15489</v>
      </c>
      <c r="J941" s="31">
        <f t="shared" si="29"/>
        <v>0</v>
      </c>
      <c r="K941" s="2"/>
      <c r="N941" s="32">
        <v>0</v>
      </c>
      <c r="Q941" s="34">
        <v>0</v>
      </c>
      <c r="R941" s="45"/>
      <c r="S941" s="4">
        <f>IFERROR(VLOOKUP(E941,'[2]td factu si'!$A:$B,1,0),0)</f>
        <v>0</v>
      </c>
      <c r="T941" s="2">
        <f>IFERROR(VLOOKUP(E941,'[2]td factu si'!$A:$B,2,0),0)*-1</f>
        <v>0</v>
      </c>
      <c r="W941" s="36"/>
      <c r="X941" s="6">
        <v>15489</v>
      </c>
      <c r="AH941" s="3">
        <v>0</v>
      </c>
      <c r="AJ941" s="3">
        <v>0</v>
      </c>
    </row>
    <row r="942" spans="1:36" x14ac:dyDescent="0.25">
      <c r="A942">
        <v>934</v>
      </c>
      <c r="B942" s="29" t="s">
        <v>45</v>
      </c>
      <c r="C942" s="29" t="s">
        <v>46</v>
      </c>
      <c r="D942" s="4" t="str">
        <f>"17008"</f>
        <v>17008</v>
      </c>
      <c r="E942" s="4" t="str">
        <f t="shared" si="28"/>
        <v>FE17008</v>
      </c>
      <c r="F942" s="7">
        <v>44372</v>
      </c>
      <c r="G942" s="7">
        <v>44378</v>
      </c>
      <c r="H942" s="34">
        <v>14933</v>
      </c>
      <c r="I942" s="31">
        <v>14933</v>
      </c>
      <c r="J942" s="31">
        <f t="shared" si="29"/>
        <v>0</v>
      </c>
      <c r="K942" s="2"/>
      <c r="N942" s="32">
        <v>0</v>
      </c>
      <c r="Q942" s="34">
        <v>0</v>
      </c>
      <c r="R942" s="45"/>
      <c r="S942" s="4">
        <f>IFERROR(VLOOKUP(E942,'[2]td factu si'!$A:$B,1,0),0)</f>
        <v>0</v>
      </c>
      <c r="T942" s="2">
        <f>IFERROR(VLOOKUP(E942,'[2]td factu si'!$A:$B,2,0),0)*-1</f>
        <v>0</v>
      </c>
      <c r="W942" s="36"/>
      <c r="X942" s="6">
        <v>14933</v>
      </c>
      <c r="AH942" s="3">
        <v>0</v>
      </c>
      <c r="AJ942" s="3">
        <v>0</v>
      </c>
    </row>
    <row r="943" spans="1:36" x14ac:dyDescent="0.25">
      <c r="A943">
        <v>935</v>
      </c>
      <c r="B943" s="29" t="s">
        <v>45</v>
      </c>
      <c r="C943" s="29" t="s">
        <v>46</v>
      </c>
      <c r="D943" s="4" t="str">
        <f>"17009"</f>
        <v>17009</v>
      </c>
      <c r="E943" s="4" t="str">
        <f t="shared" si="28"/>
        <v>FE17009</v>
      </c>
      <c r="F943" s="7">
        <v>44372</v>
      </c>
      <c r="G943" s="7">
        <v>44378</v>
      </c>
      <c r="H943" s="34">
        <v>339170</v>
      </c>
      <c r="I943" s="31">
        <v>339170</v>
      </c>
      <c r="J943" s="31">
        <f t="shared" si="29"/>
        <v>0</v>
      </c>
      <c r="K943" s="2"/>
      <c r="N943" s="32">
        <v>0</v>
      </c>
      <c r="Q943" s="34">
        <v>0</v>
      </c>
      <c r="R943" s="45"/>
      <c r="S943" s="4">
        <f>IFERROR(VLOOKUP(E943,'[2]td factu si'!$A:$B,1,0),0)</f>
        <v>0</v>
      </c>
      <c r="T943" s="2">
        <f>IFERROR(VLOOKUP(E943,'[2]td factu si'!$A:$B,2,0),0)*-1</f>
        <v>0</v>
      </c>
      <c r="W943" s="36"/>
      <c r="X943" s="6">
        <v>339170</v>
      </c>
      <c r="AH943" s="3">
        <v>0</v>
      </c>
      <c r="AJ943" s="3">
        <v>0</v>
      </c>
    </row>
    <row r="944" spans="1:36" x14ac:dyDescent="0.25">
      <c r="A944">
        <v>936</v>
      </c>
      <c r="B944" s="29" t="s">
        <v>45</v>
      </c>
      <c r="C944" s="29" t="s">
        <v>46</v>
      </c>
      <c r="D944" s="4" t="str">
        <f>"17013"</f>
        <v>17013</v>
      </c>
      <c r="E944" s="4" t="str">
        <f t="shared" si="28"/>
        <v>FE17013</v>
      </c>
      <c r="F944" s="7">
        <v>44372</v>
      </c>
      <c r="G944" s="7">
        <v>44378</v>
      </c>
      <c r="H944" s="34">
        <v>15489</v>
      </c>
      <c r="I944" s="31">
        <v>15489</v>
      </c>
      <c r="J944" s="31">
        <f t="shared" si="29"/>
        <v>0</v>
      </c>
      <c r="K944" s="2"/>
      <c r="N944" s="32">
        <v>0</v>
      </c>
      <c r="Q944" s="34">
        <v>0</v>
      </c>
      <c r="R944" s="45"/>
      <c r="S944" s="4">
        <f>IFERROR(VLOOKUP(E944,'[2]td factu si'!$A:$B,1,0),0)</f>
        <v>0</v>
      </c>
      <c r="T944" s="2">
        <f>IFERROR(VLOOKUP(E944,'[2]td factu si'!$A:$B,2,0),0)*-1</f>
        <v>0</v>
      </c>
      <c r="W944" s="36"/>
      <c r="X944" s="6">
        <v>15489</v>
      </c>
      <c r="AH944" s="3">
        <v>0</v>
      </c>
      <c r="AJ944" s="3">
        <v>0</v>
      </c>
    </row>
    <row r="945" spans="1:38" x14ac:dyDescent="0.25">
      <c r="A945">
        <v>937</v>
      </c>
      <c r="B945" s="29" t="s">
        <v>45</v>
      </c>
      <c r="C945" s="29" t="s">
        <v>46</v>
      </c>
      <c r="D945" s="4" t="str">
        <f>"17020"</f>
        <v>17020</v>
      </c>
      <c r="E945" s="4" t="str">
        <f t="shared" si="28"/>
        <v>FE17020</v>
      </c>
      <c r="F945" s="7">
        <v>44372</v>
      </c>
      <c r="G945" s="7">
        <v>44378</v>
      </c>
      <c r="H945" s="34">
        <v>15489</v>
      </c>
      <c r="I945" s="31">
        <v>15489</v>
      </c>
      <c r="J945" s="31">
        <f t="shared" si="29"/>
        <v>0</v>
      </c>
      <c r="K945" s="2"/>
      <c r="N945" s="32">
        <v>0</v>
      </c>
      <c r="Q945" s="34">
        <v>0</v>
      </c>
      <c r="R945" s="45"/>
      <c r="S945" s="4">
        <f>IFERROR(VLOOKUP(E945,'[2]td factu si'!$A:$B,1,0),0)</f>
        <v>0</v>
      </c>
      <c r="T945" s="2">
        <f>IFERROR(VLOOKUP(E945,'[2]td factu si'!$A:$B,2,0),0)*-1</f>
        <v>0</v>
      </c>
      <c r="W945" s="36"/>
      <c r="X945" s="6">
        <v>15489</v>
      </c>
      <c r="AH945" s="3">
        <v>0</v>
      </c>
      <c r="AJ945" s="3">
        <v>0</v>
      </c>
    </row>
    <row r="946" spans="1:38" x14ac:dyDescent="0.25">
      <c r="A946">
        <v>938</v>
      </c>
      <c r="B946" s="29" t="s">
        <v>45</v>
      </c>
      <c r="C946" s="29" t="s">
        <v>46</v>
      </c>
      <c r="D946" s="4" t="str">
        <f>"17025"</f>
        <v>17025</v>
      </c>
      <c r="E946" s="4" t="str">
        <f t="shared" si="28"/>
        <v>FE17025</v>
      </c>
      <c r="F946" s="7">
        <v>44372</v>
      </c>
      <c r="G946" s="7">
        <v>44378</v>
      </c>
      <c r="H946" s="34">
        <v>181246</v>
      </c>
      <c r="I946" s="31">
        <v>181246</v>
      </c>
      <c r="J946" s="31">
        <f t="shared" si="29"/>
        <v>0</v>
      </c>
      <c r="K946" s="2"/>
      <c r="N946" s="32">
        <v>0</v>
      </c>
      <c r="Q946" s="34">
        <v>0</v>
      </c>
      <c r="R946" s="45"/>
      <c r="S946" s="4">
        <f>IFERROR(VLOOKUP(E946,'[2]td factu si'!$A:$B,1,0),0)</f>
        <v>0</v>
      </c>
      <c r="T946" s="2">
        <f>IFERROR(VLOOKUP(E946,'[2]td factu si'!$A:$B,2,0),0)*-1</f>
        <v>0</v>
      </c>
      <c r="W946" s="36"/>
      <c r="AH946" s="3">
        <v>0</v>
      </c>
      <c r="AJ946" s="3">
        <v>0</v>
      </c>
      <c r="AL946" s="39" t="s">
        <v>49</v>
      </c>
    </row>
    <row r="947" spans="1:38" x14ac:dyDescent="0.25">
      <c r="A947">
        <v>939</v>
      </c>
      <c r="B947" s="29" t="s">
        <v>45</v>
      </c>
      <c r="C947" s="29" t="s">
        <v>46</v>
      </c>
      <c r="D947" s="4" t="str">
        <f>"17027"</f>
        <v>17027</v>
      </c>
      <c r="E947" s="4" t="str">
        <f t="shared" si="28"/>
        <v>FE17027</v>
      </c>
      <c r="F947" s="7">
        <v>44372</v>
      </c>
      <c r="G947" s="7">
        <v>44378</v>
      </c>
      <c r="H947" s="34">
        <v>339170</v>
      </c>
      <c r="I947" s="31">
        <v>339170</v>
      </c>
      <c r="J947" s="31">
        <f t="shared" si="29"/>
        <v>0</v>
      </c>
      <c r="K947" s="2"/>
      <c r="N947" s="32">
        <v>0</v>
      </c>
      <c r="Q947" s="34">
        <v>0</v>
      </c>
      <c r="R947" s="45"/>
      <c r="S947" s="4">
        <f>IFERROR(VLOOKUP(E947,'[2]td factu si'!$A:$B,1,0),0)</f>
        <v>0</v>
      </c>
      <c r="T947" s="2">
        <f>IFERROR(VLOOKUP(E947,'[2]td factu si'!$A:$B,2,0),0)*-1</f>
        <v>0</v>
      </c>
      <c r="W947" s="36"/>
      <c r="AH947" s="3">
        <v>0</v>
      </c>
      <c r="AJ947" s="3">
        <v>0</v>
      </c>
      <c r="AL947" s="39" t="s">
        <v>49</v>
      </c>
    </row>
    <row r="948" spans="1:38" x14ac:dyDescent="0.25">
      <c r="A948">
        <v>940</v>
      </c>
      <c r="B948" s="29" t="s">
        <v>45</v>
      </c>
      <c r="C948" s="29" t="s">
        <v>46</v>
      </c>
      <c r="D948" s="4" t="str">
        <f>"17030"</f>
        <v>17030</v>
      </c>
      <c r="E948" s="4" t="str">
        <f t="shared" si="28"/>
        <v>FE17030</v>
      </c>
      <c r="F948" s="7">
        <v>44372</v>
      </c>
      <c r="G948" s="7">
        <v>44378</v>
      </c>
      <c r="H948" s="34">
        <v>181246</v>
      </c>
      <c r="I948" s="31">
        <v>181246</v>
      </c>
      <c r="J948" s="31">
        <f t="shared" si="29"/>
        <v>0</v>
      </c>
      <c r="K948" s="2"/>
      <c r="N948" s="32">
        <v>0</v>
      </c>
      <c r="Q948" s="34">
        <v>0</v>
      </c>
      <c r="R948" s="45"/>
      <c r="S948" s="4">
        <f>IFERROR(VLOOKUP(E948,'[2]td factu si'!$A:$B,1,0),0)</f>
        <v>0</v>
      </c>
      <c r="T948" s="2">
        <f>IFERROR(VLOOKUP(E948,'[2]td factu si'!$A:$B,2,0),0)*-1</f>
        <v>0</v>
      </c>
      <c r="W948" s="36"/>
      <c r="X948" s="6">
        <v>181246</v>
      </c>
      <c r="AH948" s="3">
        <v>0</v>
      </c>
      <c r="AJ948" s="3">
        <v>0</v>
      </c>
    </row>
    <row r="949" spans="1:38" x14ac:dyDescent="0.25">
      <c r="A949">
        <v>941</v>
      </c>
      <c r="B949" s="29" t="s">
        <v>45</v>
      </c>
      <c r="C949" s="29" t="s">
        <v>46</v>
      </c>
      <c r="D949" s="4" t="str">
        <f>"17033"</f>
        <v>17033</v>
      </c>
      <c r="E949" s="4" t="str">
        <f t="shared" si="28"/>
        <v>FE17033</v>
      </c>
      <c r="F949" s="7">
        <v>44372</v>
      </c>
      <c r="G949" s="7">
        <v>44378</v>
      </c>
      <c r="H949" s="34">
        <v>181246</v>
      </c>
      <c r="I949" s="31">
        <v>181246</v>
      </c>
      <c r="J949" s="31">
        <f t="shared" si="29"/>
        <v>0</v>
      </c>
      <c r="K949" s="2"/>
      <c r="N949" s="32">
        <v>0</v>
      </c>
      <c r="Q949" s="34">
        <v>0</v>
      </c>
      <c r="R949" s="45"/>
      <c r="S949" s="4">
        <f>IFERROR(VLOOKUP(E949,'[2]td factu si'!$A:$B,1,0),0)</f>
        <v>0</v>
      </c>
      <c r="T949" s="2">
        <f>IFERROR(VLOOKUP(E949,'[2]td factu si'!$A:$B,2,0),0)*-1</f>
        <v>0</v>
      </c>
      <c r="W949" s="36"/>
      <c r="X949" s="6">
        <v>181246</v>
      </c>
      <c r="AH949" s="3">
        <v>0</v>
      </c>
      <c r="AJ949" s="3">
        <v>0</v>
      </c>
    </row>
    <row r="950" spans="1:38" x14ac:dyDescent="0.25">
      <c r="A950">
        <v>942</v>
      </c>
      <c r="B950" s="29" t="s">
        <v>45</v>
      </c>
      <c r="C950" s="29" t="s">
        <v>46</v>
      </c>
      <c r="D950" s="4" t="str">
        <f>"17037"</f>
        <v>17037</v>
      </c>
      <c r="E950" s="4" t="str">
        <f t="shared" si="28"/>
        <v>FE17037</v>
      </c>
      <c r="F950" s="7">
        <v>44372</v>
      </c>
      <c r="G950" s="7">
        <v>44378</v>
      </c>
      <c r="H950" s="34">
        <v>339170</v>
      </c>
      <c r="I950" s="31">
        <v>339170</v>
      </c>
      <c r="J950" s="31">
        <f t="shared" si="29"/>
        <v>0</v>
      </c>
      <c r="K950" s="2"/>
      <c r="N950" s="32">
        <v>0</v>
      </c>
      <c r="Q950" s="34">
        <v>0</v>
      </c>
      <c r="R950" s="45"/>
      <c r="S950" s="4">
        <f>IFERROR(VLOOKUP(E950,'[2]td factu si'!$A:$B,1,0),0)</f>
        <v>0</v>
      </c>
      <c r="T950" s="2">
        <f>IFERROR(VLOOKUP(E950,'[2]td factu si'!$A:$B,2,0),0)*-1</f>
        <v>0</v>
      </c>
      <c r="W950" s="36"/>
      <c r="AH950" s="3">
        <v>0</v>
      </c>
      <c r="AJ950" s="3">
        <v>0</v>
      </c>
      <c r="AL950" s="39" t="s">
        <v>49</v>
      </c>
    </row>
    <row r="951" spans="1:38" x14ac:dyDescent="0.25">
      <c r="A951">
        <v>943</v>
      </c>
      <c r="B951" s="29" t="s">
        <v>45</v>
      </c>
      <c r="C951" s="29" t="s">
        <v>46</v>
      </c>
      <c r="D951" s="4" t="str">
        <f>"17041"</f>
        <v>17041</v>
      </c>
      <c r="E951" s="4" t="str">
        <f t="shared" si="28"/>
        <v>FE17041</v>
      </c>
      <c r="F951" s="7">
        <v>44372</v>
      </c>
      <c r="G951" s="7">
        <v>44378</v>
      </c>
      <c r="H951" s="34">
        <v>181246</v>
      </c>
      <c r="I951" s="31">
        <v>181246</v>
      </c>
      <c r="J951" s="31">
        <f t="shared" si="29"/>
        <v>0</v>
      </c>
      <c r="K951" s="2"/>
      <c r="N951" s="32">
        <v>0</v>
      </c>
      <c r="Q951" s="34">
        <v>0</v>
      </c>
      <c r="R951" s="45"/>
      <c r="S951" s="4">
        <f>IFERROR(VLOOKUP(E951,'[2]td factu si'!$A:$B,1,0),0)</f>
        <v>0</v>
      </c>
      <c r="T951" s="2">
        <f>IFERROR(VLOOKUP(E951,'[2]td factu si'!$A:$B,2,0),0)*-1</f>
        <v>0</v>
      </c>
      <c r="W951" s="36"/>
      <c r="AH951" s="3">
        <v>0</v>
      </c>
      <c r="AJ951" s="3">
        <v>0</v>
      </c>
      <c r="AL951" s="39" t="s">
        <v>49</v>
      </c>
    </row>
    <row r="952" spans="1:38" x14ac:dyDescent="0.25">
      <c r="A952">
        <v>944</v>
      </c>
      <c r="B952" s="29" t="s">
        <v>45</v>
      </c>
      <c r="C952" s="29" t="s">
        <v>46</v>
      </c>
      <c r="D952" s="4" t="str">
        <f>"17043"</f>
        <v>17043</v>
      </c>
      <c r="E952" s="4" t="str">
        <f t="shared" si="28"/>
        <v>FE17043</v>
      </c>
      <c r="F952" s="7">
        <v>44372</v>
      </c>
      <c r="G952" s="7">
        <v>44378</v>
      </c>
      <c r="H952" s="34">
        <v>181246</v>
      </c>
      <c r="I952" s="31">
        <v>181246</v>
      </c>
      <c r="J952" s="31">
        <f t="shared" si="29"/>
        <v>0</v>
      </c>
      <c r="K952" s="2"/>
      <c r="N952" s="32">
        <v>0</v>
      </c>
      <c r="Q952" s="34">
        <v>0</v>
      </c>
      <c r="R952" s="45"/>
      <c r="S952" s="4">
        <f>IFERROR(VLOOKUP(E952,'[2]td factu si'!$A:$B,1,0),0)</f>
        <v>0</v>
      </c>
      <c r="T952" s="2">
        <f>IFERROR(VLOOKUP(E952,'[2]td factu si'!$A:$B,2,0),0)*-1</f>
        <v>0</v>
      </c>
      <c r="W952" s="36"/>
      <c r="AH952" s="3">
        <v>0</v>
      </c>
      <c r="AJ952" s="3">
        <v>0</v>
      </c>
      <c r="AL952" s="39" t="s">
        <v>49</v>
      </c>
    </row>
    <row r="953" spans="1:38" x14ac:dyDescent="0.25">
      <c r="A953">
        <v>945</v>
      </c>
      <c r="B953" s="29" t="s">
        <v>45</v>
      </c>
      <c r="C953" s="29" t="s">
        <v>46</v>
      </c>
      <c r="D953" s="4" t="str">
        <f>"17044"</f>
        <v>17044</v>
      </c>
      <c r="E953" s="4" t="str">
        <f t="shared" si="28"/>
        <v>FE17044</v>
      </c>
      <c r="F953" s="7">
        <v>44372</v>
      </c>
      <c r="G953" s="7">
        <v>44378</v>
      </c>
      <c r="H953" s="34">
        <v>181246</v>
      </c>
      <c r="I953" s="31">
        <v>181246</v>
      </c>
      <c r="J953" s="31">
        <f t="shared" si="29"/>
        <v>0</v>
      </c>
      <c r="K953" s="2"/>
      <c r="N953" s="32">
        <v>0</v>
      </c>
      <c r="Q953" s="34">
        <v>0</v>
      </c>
      <c r="R953" s="45"/>
      <c r="S953" s="4">
        <f>IFERROR(VLOOKUP(E953,'[2]td factu si'!$A:$B,1,0),0)</f>
        <v>0</v>
      </c>
      <c r="T953" s="2">
        <f>IFERROR(VLOOKUP(E953,'[2]td factu si'!$A:$B,2,0),0)*-1</f>
        <v>0</v>
      </c>
      <c r="W953" s="36"/>
      <c r="AH953" s="3">
        <v>0</v>
      </c>
      <c r="AJ953" s="3">
        <v>181246</v>
      </c>
      <c r="AL953" s="39" t="s">
        <v>49</v>
      </c>
    </row>
    <row r="954" spans="1:38" x14ac:dyDescent="0.25">
      <c r="A954">
        <v>946</v>
      </c>
      <c r="B954" s="29" t="s">
        <v>45</v>
      </c>
      <c r="C954" s="29" t="s">
        <v>46</v>
      </c>
      <c r="D954" s="4" t="str">
        <f>"17048"</f>
        <v>17048</v>
      </c>
      <c r="E954" s="4" t="str">
        <f t="shared" si="28"/>
        <v>FE17048</v>
      </c>
      <c r="F954" s="7">
        <v>44372</v>
      </c>
      <c r="G954" s="7">
        <v>44378</v>
      </c>
      <c r="H954" s="34">
        <v>181246</v>
      </c>
      <c r="I954" s="31">
        <v>181246</v>
      </c>
      <c r="J954" s="31">
        <f t="shared" si="29"/>
        <v>0</v>
      </c>
      <c r="K954" s="2"/>
      <c r="N954" s="32">
        <v>0</v>
      </c>
      <c r="Q954" s="34">
        <v>0</v>
      </c>
      <c r="R954" s="45"/>
      <c r="S954" s="4">
        <f>IFERROR(VLOOKUP(E954,'[2]td factu si'!$A:$B,1,0),0)</f>
        <v>0</v>
      </c>
      <c r="T954" s="2">
        <f>IFERROR(VLOOKUP(E954,'[2]td factu si'!$A:$B,2,0),0)*-1</f>
        <v>0</v>
      </c>
      <c r="W954" s="36"/>
      <c r="AH954" s="3">
        <v>0</v>
      </c>
      <c r="AJ954" s="3">
        <v>0</v>
      </c>
      <c r="AL954" s="39" t="s">
        <v>49</v>
      </c>
    </row>
    <row r="955" spans="1:38" x14ac:dyDescent="0.25">
      <c r="A955">
        <v>947</v>
      </c>
      <c r="B955" s="29" t="s">
        <v>45</v>
      </c>
      <c r="C955" s="29" t="s">
        <v>46</v>
      </c>
      <c r="D955" s="4" t="str">
        <f>"17049"</f>
        <v>17049</v>
      </c>
      <c r="E955" s="4" t="str">
        <f t="shared" si="28"/>
        <v>FE17049</v>
      </c>
      <c r="F955" s="7">
        <v>44372</v>
      </c>
      <c r="G955" s="7">
        <v>44378</v>
      </c>
      <c r="H955" s="34">
        <v>280370</v>
      </c>
      <c r="I955" s="31">
        <v>248127</v>
      </c>
      <c r="J955" s="31">
        <f t="shared" si="29"/>
        <v>32243</v>
      </c>
      <c r="K955" s="2"/>
      <c r="N955" s="32">
        <v>0</v>
      </c>
      <c r="Q955" s="34">
        <v>0</v>
      </c>
      <c r="R955" s="45"/>
      <c r="S955" s="4">
        <f>IFERROR(VLOOKUP(E955,'[2]td factu si'!$A:$B,1,0),0)</f>
        <v>0</v>
      </c>
      <c r="T955" s="2">
        <f>IFERROR(VLOOKUP(E955,'[2]td factu si'!$A:$B,2,0),0)*-1</f>
        <v>0</v>
      </c>
      <c r="W955" s="36"/>
      <c r="X955" s="6">
        <v>248127</v>
      </c>
      <c r="AH955" s="3">
        <v>0</v>
      </c>
      <c r="AJ955" s="3">
        <v>0</v>
      </c>
    </row>
    <row r="956" spans="1:38" x14ac:dyDescent="0.25">
      <c r="A956">
        <v>948</v>
      </c>
      <c r="B956" s="29" t="s">
        <v>45</v>
      </c>
      <c r="C956" s="29" t="s">
        <v>46</v>
      </c>
      <c r="D956" s="4" t="str">
        <f>"17053"</f>
        <v>17053</v>
      </c>
      <c r="E956" s="4" t="str">
        <f t="shared" si="28"/>
        <v>FE17053</v>
      </c>
      <c r="F956" s="7">
        <v>44372</v>
      </c>
      <c r="G956" s="7">
        <v>44378</v>
      </c>
      <c r="H956" s="34">
        <v>181246</v>
      </c>
      <c r="I956" s="31">
        <v>163121</v>
      </c>
      <c r="J956" s="31">
        <f t="shared" si="29"/>
        <v>18125</v>
      </c>
      <c r="K956" s="2"/>
      <c r="N956" s="32">
        <v>0</v>
      </c>
      <c r="Q956" s="34">
        <v>0</v>
      </c>
      <c r="R956" s="45"/>
      <c r="S956" s="4">
        <f>IFERROR(VLOOKUP(E956,'[2]td factu si'!$A:$B,1,0),0)</f>
        <v>0</v>
      </c>
      <c r="T956" s="2">
        <f>IFERROR(VLOOKUP(E956,'[2]td factu si'!$A:$B,2,0),0)*-1</f>
        <v>0</v>
      </c>
      <c r="W956" s="36"/>
      <c r="AH956" s="3">
        <v>0</v>
      </c>
      <c r="AJ956" s="3">
        <v>0</v>
      </c>
      <c r="AL956" s="39" t="s">
        <v>49</v>
      </c>
    </row>
    <row r="957" spans="1:38" x14ac:dyDescent="0.25">
      <c r="A957">
        <v>949</v>
      </c>
      <c r="B957" s="29" t="s">
        <v>45</v>
      </c>
      <c r="C957" s="29" t="s">
        <v>46</v>
      </c>
      <c r="D957" s="4" t="str">
        <f>"17054"</f>
        <v>17054</v>
      </c>
      <c r="E957" s="4" t="str">
        <f t="shared" si="28"/>
        <v>FE17054</v>
      </c>
      <c r="F957" s="7">
        <v>44372</v>
      </c>
      <c r="G957" s="7">
        <v>44378</v>
      </c>
      <c r="H957" s="34">
        <v>317101</v>
      </c>
      <c r="I957" s="31">
        <v>317101</v>
      </c>
      <c r="J957" s="31">
        <f t="shared" si="29"/>
        <v>0</v>
      </c>
      <c r="K957" s="2"/>
      <c r="N957" s="32">
        <v>0</v>
      </c>
      <c r="Q957" s="34">
        <v>0</v>
      </c>
      <c r="R957" s="45"/>
      <c r="S957" s="4">
        <f>IFERROR(VLOOKUP(E957,'[2]td factu si'!$A:$B,1,0),0)</f>
        <v>0</v>
      </c>
      <c r="T957" s="2">
        <f>IFERROR(VLOOKUP(E957,'[2]td factu si'!$A:$B,2,0),0)*-1</f>
        <v>0</v>
      </c>
      <c r="W957" s="36"/>
      <c r="X957" s="6">
        <v>317101</v>
      </c>
      <c r="AH957" s="3">
        <v>0</v>
      </c>
      <c r="AJ957" s="3">
        <v>0</v>
      </c>
    </row>
    <row r="958" spans="1:38" x14ac:dyDescent="0.25">
      <c r="A958">
        <v>950</v>
      </c>
      <c r="B958" s="29" t="s">
        <v>45</v>
      </c>
      <c r="C958" s="29" t="s">
        <v>46</v>
      </c>
      <c r="D958" s="4" t="str">
        <f>"17057"</f>
        <v>17057</v>
      </c>
      <c r="E958" s="4" t="str">
        <f t="shared" si="28"/>
        <v>FE17057</v>
      </c>
      <c r="F958" s="7">
        <v>44372</v>
      </c>
      <c r="G958" s="7">
        <v>44378</v>
      </c>
      <c r="H958" s="34">
        <v>135855</v>
      </c>
      <c r="I958" s="31">
        <v>135855</v>
      </c>
      <c r="J958" s="31">
        <f t="shared" si="29"/>
        <v>0</v>
      </c>
      <c r="K958" s="2"/>
      <c r="N958" s="32">
        <v>0</v>
      </c>
      <c r="Q958" s="34">
        <v>0</v>
      </c>
      <c r="R958" s="45"/>
      <c r="S958" s="4">
        <f>IFERROR(VLOOKUP(E958,'[2]td factu si'!$A:$B,1,0),0)</f>
        <v>0</v>
      </c>
      <c r="T958" s="2">
        <f>IFERROR(VLOOKUP(E958,'[2]td factu si'!$A:$B,2,0),0)*-1</f>
        <v>0</v>
      </c>
      <c r="W958" s="36"/>
      <c r="X958" s="6">
        <v>135855</v>
      </c>
      <c r="AH958" s="3">
        <v>0</v>
      </c>
      <c r="AJ958" s="3">
        <v>0</v>
      </c>
    </row>
    <row r="959" spans="1:38" x14ac:dyDescent="0.25">
      <c r="A959">
        <v>951</v>
      </c>
      <c r="B959" s="29" t="s">
        <v>45</v>
      </c>
      <c r="C959" s="29" t="s">
        <v>46</v>
      </c>
      <c r="D959" s="4" t="str">
        <f>"17059"</f>
        <v>17059</v>
      </c>
      <c r="E959" s="4" t="str">
        <f t="shared" si="28"/>
        <v>FE17059</v>
      </c>
      <c r="F959" s="7">
        <v>44372</v>
      </c>
      <c r="G959" s="7">
        <v>44378</v>
      </c>
      <c r="H959" s="34">
        <v>317101</v>
      </c>
      <c r="I959" s="31">
        <v>280634</v>
      </c>
      <c r="J959" s="31">
        <f t="shared" si="29"/>
        <v>36467</v>
      </c>
      <c r="K959" s="2"/>
      <c r="N959" s="32">
        <v>0</v>
      </c>
      <c r="Q959" s="34">
        <v>0</v>
      </c>
      <c r="R959" s="45"/>
      <c r="S959" s="4">
        <f>IFERROR(VLOOKUP(E959,'[2]td factu si'!$A:$B,1,0),0)</f>
        <v>0</v>
      </c>
      <c r="T959" s="2">
        <f>IFERROR(VLOOKUP(E959,'[2]td factu si'!$A:$B,2,0),0)*-1</f>
        <v>0</v>
      </c>
      <c r="W959" s="36"/>
      <c r="X959" s="6">
        <v>280634</v>
      </c>
      <c r="AH959" s="3">
        <v>0</v>
      </c>
      <c r="AJ959" s="3">
        <v>0</v>
      </c>
    </row>
    <row r="960" spans="1:38" x14ac:dyDescent="0.25">
      <c r="A960">
        <v>952</v>
      </c>
      <c r="B960" s="29" t="s">
        <v>45</v>
      </c>
      <c r="C960" s="29" t="s">
        <v>46</v>
      </c>
      <c r="D960" s="4" t="str">
        <f>"17062"</f>
        <v>17062</v>
      </c>
      <c r="E960" s="4" t="str">
        <f t="shared" si="28"/>
        <v>FE17062</v>
      </c>
      <c r="F960" s="7">
        <v>44372</v>
      </c>
      <c r="G960" s="7">
        <v>44378</v>
      </c>
      <c r="H960" s="34">
        <v>135855</v>
      </c>
      <c r="I960" s="31">
        <v>135855</v>
      </c>
      <c r="J960" s="31">
        <f t="shared" si="29"/>
        <v>0</v>
      </c>
      <c r="K960" s="2"/>
      <c r="N960" s="32">
        <v>0</v>
      </c>
      <c r="Q960" s="34">
        <v>0</v>
      </c>
      <c r="R960" s="45"/>
      <c r="S960" s="4">
        <f>IFERROR(VLOOKUP(E960,'[2]td factu si'!$A:$B,1,0),0)</f>
        <v>0</v>
      </c>
      <c r="T960" s="2">
        <f>IFERROR(VLOOKUP(E960,'[2]td factu si'!$A:$B,2,0),0)*-1</f>
        <v>0</v>
      </c>
      <c r="W960" s="36"/>
      <c r="X960" s="6">
        <v>135855</v>
      </c>
      <c r="AH960" s="3">
        <v>0</v>
      </c>
      <c r="AJ960" s="3">
        <v>0</v>
      </c>
    </row>
    <row r="961" spans="1:36" x14ac:dyDescent="0.25">
      <c r="A961">
        <v>953</v>
      </c>
      <c r="B961" s="29" t="s">
        <v>45</v>
      </c>
      <c r="C961" s="29" t="s">
        <v>46</v>
      </c>
      <c r="D961" s="4" t="str">
        <f>"17063"</f>
        <v>17063</v>
      </c>
      <c r="E961" s="4" t="str">
        <f t="shared" si="28"/>
        <v>FE17063</v>
      </c>
      <c r="F961" s="7">
        <v>44372</v>
      </c>
      <c r="G961" s="7">
        <v>44378</v>
      </c>
      <c r="H961" s="34">
        <v>317101</v>
      </c>
      <c r="I961" s="31">
        <v>310101</v>
      </c>
      <c r="J961" s="31">
        <f t="shared" si="29"/>
        <v>7000</v>
      </c>
      <c r="K961" s="2"/>
      <c r="N961" s="32">
        <v>0</v>
      </c>
      <c r="Q961" s="34">
        <v>0</v>
      </c>
      <c r="R961" s="45"/>
      <c r="S961" s="4">
        <f>IFERROR(VLOOKUP(E961,'[2]td factu si'!$A:$B,1,0),0)</f>
        <v>0</v>
      </c>
      <c r="T961" s="2">
        <f>IFERROR(VLOOKUP(E961,'[2]td factu si'!$A:$B,2,0),0)*-1</f>
        <v>0</v>
      </c>
      <c r="W961" s="36"/>
      <c r="X961" s="6">
        <v>310101</v>
      </c>
      <c r="AH961" s="3">
        <v>0</v>
      </c>
      <c r="AJ961" s="3">
        <v>0</v>
      </c>
    </row>
    <row r="962" spans="1:36" x14ac:dyDescent="0.25">
      <c r="A962">
        <v>954</v>
      </c>
      <c r="B962" s="29" t="s">
        <v>45</v>
      </c>
      <c r="C962" s="29" t="s">
        <v>46</v>
      </c>
      <c r="D962" s="4" t="str">
        <f>"17067"</f>
        <v>17067</v>
      </c>
      <c r="E962" s="4" t="str">
        <f t="shared" si="28"/>
        <v>FE17067</v>
      </c>
      <c r="F962" s="7">
        <v>44372</v>
      </c>
      <c r="G962" s="7">
        <v>44378</v>
      </c>
      <c r="H962" s="34">
        <v>135855</v>
      </c>
      <c r="I962" s="31">
        <v>120232</v>
      </c>
      <c r="J962" s="31">
        <f t="shared" si="29"/>
        <v>15623</v>
      </c>
      <c r="K962" s="2"/>
      <c r="N962" s="32">
        <v>0</v>
      </c>
      <c r="Q962" s="34">
        <v>0</v>
      </c>
      <c r="R962" s="45"/>
      <c r="S962" s="4">
        <f>IFERROR(VLOOKUP(E962,'[2]td factu si'!$A:$B,1,0),0)</f>
        <v>0</v>
      </c>
      <c r="T962" s="2">
        <f>IFERROR(VLOOKUP(E962,'[2]td factu si'!$A:$B,2,0),0)*-1</f>
        <v>0</v>
      </c>
      <c r="W962" s="36"/>
      <c r="X962" s="6">
        <v>120232</v>
      </c>
      <c r="AH962" s="3">
        <v>0</v>
      </c>
      <c r="AJ962" s="3">
        <v>0</v>
      </c>
    </row>
    <row r="963" spans="1:36" x14ac:dyDescent="0.25">
      <c r="A963">
        <v>955</v>
      </c>
      <c r="B963" s="29" t="s">
        <v>45</v>
      </c>
      <c r="C963" s="29" t="s">
        <v>46</v>
      </c>
      <c r="D963" s="4" t="str">
        <f>"17069"</f>
        <v>17069</v>
      </c>
      <c r="E963" s="4" t="str">
        <f t="shared" si="28"/>
        <v>FE17069</v>
      </c>
      <c r="F963" s="7">
        <v>44372</v>
      </c>
      <c r="G963" s="7">
        <v>44378</v>
      </c>
      <c r="H963" s="34">
        <v>135855</v>
      </c>
      <c r="I963" s="31">
        <v>135855</v>
      </c>
      <c r="J963" s="31">
        <f t="shared" si="29"/>
        <v>0</v>
      </c>
      <c r="K963" s="2"/>
      <c r="N963" s="32">
        <v>0</v>
      </c>
      <c r="Q963" s="34">
        <v>0</v>
      </c>
      <c r="R963" s="45"/>
      <c r="S963" s="4">
        <f>IFERROR(VLOOKUP(E963,'[2]td factu si'!$A:$B,1,0),0)</f>
        <v>0</v>
      </c>
      <c r="T963" s="2">
        <f>IFERROR(VLOOKUP(E963,'[2]td factu si'!$A:$B,2,0),0)*-1</f>
        <v>0</v>
      </c>
      <c r="W963" s="36"/>
      <c r="X963" s="6">
        <v>135855</v>
      </c>
      <c r="AH963" s="3">
        <v>0</v>
      </c>
      <c r="AJ963" s="3">
        <v>0</v>
      </c>
    </row>
    <row r="964" spans="1:36" x14ac:dyDescent="0.25">
      <c r="A964">
        <v>956</v>
      </c>
      <c r="B964" s="29" t="s">
        <v>45</v>
      </c>
      <c r="C964" s="29" t="s">
        <v>46</v>
      </c>
      <c r="D964" s="4" t="str">
        <f>"17071"</f>
        <v>17071</v>
      </c>
      <c r="E964" s="4" t="str">
        <f t="shared" si="28"/>
        <v>FE17071</v>
      </c>
      <c r="F964" s="7">
        <v>44372</v>
      </c>
      <c r="G964" s="7">
        <v>44378</v>
      </c>
      <c r="H964" s="34">
        <v>317101</v>
      </c>
      <c r="I964" s="31">
        <v>317101</v>
      </c>
      <c r="J964" s="31">
        <f t="shared" si="29"/>
        <v>0</v>
      </c>
      <c r="K964" s="2"/>
      <c r="N964" s="32">
        <v>0</v>
      </c>
      <c r="Q964" s="34">
        <v>0</v>
      </c>
      <c r="R964" s="45"/>
      <c r="S964" s="4">
        <f>IFERROR(VLOOKUP(E964,'[2]td factu si'!$A:$B,1,0),0)</f>
        <v>0</v>
      </c>
      <c r="T964" s="2">
        <f>IFERROR(VLOOKUP(E964,'[2]td factu si'!$A:$B,2,0),0)*-1</f>
        <v>0</v>
      </c>
      <c r="W964" s="36"/>
      <c r="X964" s="6">
        <v>317101</v>
      </c>
      <c r="AH964" s="3">
        <v>0</v>
      </c>
      <c r="AJ964" s="3">
        <v>0</v>
      </c>
    </row>
    <row r="965" spans="1:36" x14ac:dyDescent="0.25">
      <c r="A965">
        <v>957</v>
      </c>
      <c r="B965" s="29" t="s">
        <v>45</v>
      </c>
      <c r="C965" s="29" t="s">
        <v>46</v>
      </c>
      <c r="D965" s="4" t="str">
        <f>"17072"</f>
        <v>17072</v>
      </c>
      <c r="E965" s="4" t="str">
        <f t="shared" si="28"/>
        <v>FE17072</v>
      </c>
      <c r="F965" s="7">
        <v>44372</v>
      </c>
      <c r="G965" s="7">
        <v>44378</v>
      </c>
      <c r="H965" s="34">
        <v>135855</v>
      </c>
      <c r="I965" s="31">
        <v>135855</v>
      </c>
      <c r="J965" s="31">
        <f t="shared" si="29"/>
        <v>0</v>
      </c>
      <c r="K965" s="2"/>
      <c r="N965" s="32">
        <v>0</v>
      </c>
      <c r="Q965" s="34">
        <v>0</v>
      </c>
      <c r="R965" s="45"/>
      <c r="S965" s="4">
        <f>IFERROR(VLOOKUP(E965,'[2]td factu si'!$A:$B,1,0),0)</f>
        <v>0</v>
      </c>
      <c r="T965" s="2">
        <f>IFERROR(VLOOKUP(E965,'[2]td factu si'!$A:$B,2,0),0)*-1</f>
        <v>0</v>
      </c>
      <c r="W965" s="36"/>
      <c r="X965" s="6">
        <v>135855</v>
      </c>
      <c r="AH965" s="3">
        <v>0</v>
      </c>
      <c r="AJ965" s="3">
        <v>0</v>
      </c>
    </row>
    <row r="966" spans="1:36" x14ac:dyDescent="0.25">
      <c r="A966">
        <v>958</v>
      </c>
      <c r="B966" s="29" t="s">
        <v>45</v>
      </c>
      <c r="C966" s="29" t="s">
        <v>46</v>
      </c>
      <c r="D966" s="4" t="str">
        <f>"17073"</f>
        <v>17073</v>
      </c>
      <c r="E966" s="4" t="str">
        <f t="shared" si="28"/>
        <v>FE17073</v>
      </c>
      <c r="F966" s="7">
        <v>44372</v>
      </c>
      <c r="G966" s="7">
        <v>44378</v>
      </c>
      <c r="H966" s="34">
        <v>452956</v>
      </c>
      <c r="I966" s="31">
        <v>452956</v>
      </c>
      <c r="J966" s="31">
        <f t="shared" si="29"/>
        <v>0</v>
      </c>
      <c r="K966" s="2"/>
      <c r="N966" s="32">
        <v>0</v>
      </c>
      <c r="Q966" s="34">
        <v>0</v>
      </c>
      <c r="R966" s="45"/>
      <c r="S966" s="4">
        <f>IFERROR(VLOOKUP(E966,'[2]td factu si'!$A:$B,1,0),0)</f>
        <v>0</v>
      </c>
      <c r="T966" s="2">
        <f>IFERROR(VLOOKUP(E966,'[2]td factu si'!$A:$B,2,0),0)*-1</f>
        <v>0</v>
      </c>
      <c r="W966" s="36"/>
      <c r="X966" s="6">
        <v>452956</v>
      </c>
      <c r="AH966" s="3">
        <v>0</v>
      </c>
      <c r="AJ966" s="3">
        <v>0</v>
      </c>
    </row>
    <row r="967" spans="1:36" x14ac:dyDescent="0.25">
      <c r="A967">
        <v>959</v>
      </c>
      <c r="B967" s="29" t="s">
        <v>45</v>
      </c>
      <c r="C967" s="29" t="s">
        <v>46</v>
      </c>
      <c r="D967" s="4" t="str">
        <f>"17074"</f>
        <v>17074</v>
      </c>
      <c r="E967" s="4" t="str">
        <f t="shared" si="28"/>
        <v>FE17074</v>
      </c>
      <c r="F967" s="7">
        <v>44372</v>
      </c>
      <c r="G967" s="7">
        <v>44378</v>
      </c>
      <c r="H967" s="34">
        <v>135855</v>
      </c>
      <c r="I967" s="31">
        <v>135855</v>
      </c>
      <c r="J967" s="31">
        <f t="shared" si="29"/>
        <v>0</v>
      </c>
      <c r="K967" s="2"/>
      <c r="N967" s="32">
        <v>0</v>
      </c>
      <c r="Q967" s="34">
        <v>0</v>
      </c>
      <c r="R967" s="45"/>
      <c r="S967" s="4">
        <f>IFERROR(VLOOKUP(E967,'[2]td factu si'!$A:$B,1,0),0)</f>
        <v>0</v>
      </c>
      <c r="T967" s="2">
        <f>IFERROR(VLOOKUP(E967,'[2]td factu si'!$A:$B,2,0),0)*-1</f>
        <v>0</v>
      </c>
      <c r="W967" s="36"/>
      <c r="X967" s="6">
        <v>135855</v>
      </c>
      <c r="AH967" s="3">
        <v>0</v>
      </c>
      <c r="AJ967" s="3">
        <v>0</v>
      </c>
    </row>
    <row r="968" spans="1:36" x14ac:dyDescent="0.25">
      <c r="A968">
        <v>960</v>
      </c>
      <c r="B968" s="29" t="s">
        <v>45</v>
      </c>
      <c r="C968" s="29" t="s">
        <v>46</v>
      </c>
      <c r="D968" s="4" t="str">
        <f>"17075"</f>
        <v>17075</v>
      </c>
      <c r="E968" s="4" t="str">
        <f t="shared" si="28"/>
        <v>FE17075</v>
      </c>
      <c r="F968" s="7">
        <v>44372</v>
      </c>
      <c r="G968" s="7">
        <v>44378</v>
      </c>
      <c r="H968" s="34">
        <v>135855</v>
      </c>
      <c r="I968" s="31">
        <v>135855</v>
      </c>
      <c r="J968" s="31">
        <f t="shared" si="29"/>
        <v>0</v>
      </c>
      <c r="K968" s="2"/>
      <c r="N968" s="32">
        <v>0</v>
      </c>
      <c r="Q968" s="34">
        <v>0</v>
      </c>
      <c r="R968" s="45"/>
      <c r="S968" s="4">
        <f>IFERROR(VLOOKUP(E968,'[2]td factu si'!$A:$B,1,0),0)</f>
        <v>0</v>
      </c>
      <c r="T968" s="2">
        <f>IFERROR(VLOOKUP(E968,'[2]td factu si'!$A:$B,2,0),0)*-1</f>
        <v>0</v>
      </c>
      <c r="W968" s="36"/>
      <c r="X968" s="6">
        <v>135855</v>
      </c>
      <c r="AH968" s="3">
        <v>0</v>
      </c>
      <c r="AJ968" s="3">
        <v>0</v>
      </c>
    </row>
    <row r="969" spans="1:36" x14ac:dyDescent="0.25">
      <c r="A969">
        <v>961</v>
      </c>
      <c r="B969" s="29" t="s">
        <v>45</v>
      </c>
      <c r="C969" s="29" t="s">
        <v>46</v>
      </c>
      <c r="D969" s="4" t="str">
        <f>"17076"</f>
        <v>17076</v>
      </c>
      <c r="E969" s="4" t="str">
        <f t="shared" si="28"/>
        <v>FE17076</v>
      </c>
      <c r="F969" s="7">
        <v>44372</v>
      </c>
      <c r="G969" s="7">
        <v>44378</v>
      </c>
      <c r="H969" s="34">
        <v>317101</v>
      </c>
      <c r="I969" s="31">
        <v>317101</v>
      </c>
      <c r="J969" s="31">
        <f t="shared" si="29"/>
        <v>0</v>
      </c>
      <c r="K969" s="2"/>
      <c r="N969" s="32">
        <v>0</v>
      </c>
      <c r="Q969" s="34">
        <v>0</v>
      </c>
      <c r="R969" s="45"/>
      <c r="S969" s="4">
        <f>IFERROR(VLOOKUP(E969,'[2]td factu si'!$A:$B,1,0),0)</f>
        <v>0</v>
      </c>
      <c r="T969" s="2">
        <f>IFERROR(VLOOKUP(E969,'[2]td factu si'!$A:$B,2,0),0)*-1</f>
        <v>0</v>
      </c>
      <c r="W969" s="36"/>
      <c r="X969" s="6">
        <v>317101</v>
      </c>
      <c r="AH969" s="3">
        <v>0</v>
      </c>
      <c r="AJ969" s="3">
        <v>0</v>
      </c>
    </row>
    <row r="970" spans="1:36" x14ac:dyDescent="0.25">
      <c r="A970">
        <v>962</v>
      </c>
      <c r="B970" s="29" t="s">
        <v>45</v>
      </c>
      <c r="C970" s="29" t="s">
        <v>46</v>
      </c>
      <c r="D970" s="4" t="str">
        <f>"17077"</f>
        <v>17077</v>
      </c>
      <c r="E970" s="4" t="str">
        <f t="shared" ref="E970:E1033" si="30">_xlfn.CONCAT(C970,D970)</f>
        <v>FE17077</v>
      </c>
      <c r="F970" s="7">
        <v>44372</v>
      </c>
      <c r="G970" s="7">
        <v>44378</v>
      </c>
      <c r="H970" s="34">
        <v>135855</v>
      </c>
      <c r="I970" s="31">
        <v>132355</v>
      </c>
      <c r="J970" s="31">
        <f t="shared" ref="J970:J1033" si="31">+H970-I970</f>
        <v>3500</v>
      </c>
      <c r="K970" s="2"/>
      <c r="N970" s="32">
        <v>0</v>
      </c>
      <c r="Q970" s="34">
        <v>0</v>
      </c>
      <c r="R970" s="45"/>
      <c r="S970" s="4">
        <f>IFERROR(VLOOKUP(E970,'[2]td factu si'!$A:$B,1,0),0)</f>
        <v>0</v>
      </c>
      <c r="T970" s="2">
        <f>IFERROR(VLOOKUP(E970,'[2]td factu si'!$A:$B,2,0),0)*-1</f>
        <v>0</v>
      </c>
      <c r="W970" s="36"/>
      <c r="X970" s="6">
        <v>132355</v>
      </c>
      <c r="AH970" s="3">
        <v>0</v>
      </c>
      <c r="AJ970" s="3">
        <v>0</v>
      </c>
    </row>
    <row r="971" spans="1:36" x14ac:dyDescent="0.25">
      <c r="A971">
        <v>963</v>
      </c>
      <c r="B971" s="29" t="s">
        <v>45</v>
      </c>
      <c r="C971" s="29" t="s">
        <v>46</v>
      </c>
      <c r="D971" s="4" t="str">
        <f>"17084"</f>
        <v>17084</v>
      </c>
      <c r="E971" s="4" t="str">
        <f t="shared" si="30"/>
        <v>FE17084</v>
      </c>
      <c r="F971" s="7">
        <v>44373</v>
      </c>
      <c r="G971" s="7">
        <v>44378</v>
      </c>
      <c r="H971" s="34">
        <v>15489</v>
      </c>
      <c r="I971" s="31">
        <v>15489</v>
      </c>
      <c r="J971" s="31">
        <f t="shared" si="31"/>
        <v>0</v>
      </c>
      <c r="K971" s="2"/>
      <c r="N971" s="32">
        <v>0</v>
      </c>
      <c r="Q971" s="34">
        <v>0</v>
      </c>
      <c r="R971" s="45"/>
      <c r="S971" s="4">
        <f>IFERROR(VLOOKUP(E971,'[2]td factu si'!$A:$B,1,0),0)</f>
        <v>0</v>
      </c>
      <c r="T971" s="2">
        <f>IFERROR(VLOOKUP(E971,'[2]td factu si'!$A:$B,2,0),0)*-1</f>
        <v>0</v>
      </c>
      <c r="W971" s="36"/>
      <c r="X971" s="6">
        <v>15489</v>
      </c>
      <c r="AH971" s="3">
        <v>0</v>
      </c>
      <c r="AJ971" s="3">
        <v>0</v>
      </c>
    </row>
    <row r="972" spans="1:36" x14ac:dyDescent="0.25">
      <c r="A972">
        <v>964</v>
      </c>
      <c r="B972" s="29" t="s">
        <v>45</v>
      </c>
      <c r="C972" s="29" t="s">
        <v>46</v>
      </c>
      <c r="D972" s="4" t="str">
        <f>"17097"</f>
        <v>17097</v>
      </c>
      <c r="E972" s="4" t="str">
        <f t="shared" si="30"/>
        <v>FE17097</v>
      </c>
      <c r="F972" s="7">
        <v>44373</v>
      </c>
      <c r="G972" s="7">
        <v>44386</v>
      </c>
      <c r="H972" s="34">
        <v>12673138</v>
      </c>
      <c r="I972" s="31">
        <v>12673138</v>
      </c>
      <c r="J972" s="31">
        <f t="shared" si="31"/>
        <v>0</v>
      </c>
      <c r="K972" s="2"/>
      <c r="N972" s="32">
        <v>0</v>
      </c>
      <c r="Q972" s="34">
        <v>0</v>
      </c>
      <c r="R972" s="45"/>
      <c r="S972" s="4">
        <f>IFERROR(VLOOKUP(E972,'[2]td factu si'!$A:$B,1,0),0)</f>
        <v>0</v>
      </c>
      <c r="T972" s="2">
        <f>IFERROR(VLOOKUP(E972,'[2]td factu si'!$A:$B,2,0),0)*-1</f>
        <v>0</v>
      </c>
      <c r="W972" s="36"/>
      <c r="X972" s="6">
        <v>12673138</v>
      </c>
      <c r="AH972" s="3">
        <v>0</v>
      </c>
      <c r="AJ972" s="3">
        <v>12673138</v>
      </c>
    </row>
    <row r="973" spans="1:36" x14ac:dyDescent="0.25">
      <c r="A973">
        <v>965</v>
      </c>
      <c r="B973" s="29" t="s">
        <v>45</v>
      </c>
      <c r="C973" s="29" t="s">
        <v>46</v>
      </c>
      <c r="D973" s="4" t="str">
        <f>"17100"</f>
        <v>17100</v>
      </c>
      <c r="E973" s="4" t="str">
        <f t="shared" si="30"/>
        <v>FE17100</v>
      </c>
      <c r="F973" s="7">
        <v>44373</v>
      </c>
      <c r="G973" s="7">
        <v>44386</v>
      </c>
      <c r="H973" s="34">
        <v>2960735</v>
      </c>
      <c r="I973" s="31">
        <v>2960735</v>
      </c>
      <c r="J973" s="31">
        <f t="shared" si="31"/>
        <v>0</v>
      </c>
      <c r="K973" s="2"/>
      <c r="N973" s="32">
        <v>0</v>
      </c>
      <c r="Q973" s="34">
        <v>0</v>
      </c>
      <c r="R973" s="45"/>
      <c r="S973" s="4">
        <f>IFERROR(VLOOKUP(E973,'[2]td factu si'!$A:$B,1,0),0)</f>
        <v>0</v>
      </c>
      <c r="T973" s="2">
        <f>IFERROR(VLOOKUP(E973,'[2]td factu si'!$A:$B,2,0),0)*-1</f>
        <v>0</v>
      </c>
      <c r="W973" s="36"/>
      <c r="X973" s="6">
        <v>2960735</v>
      </c>
      <c r="AH973" s="3">
        <v>0</v>
      </c>
      <c r="AJ973" s="3">
        <v>2960735</v>
      </c>
    </row>
    <row r="974" spans="1:36" x14ac:dyDescent="0.25">
      <c r="A974">
        <v>966</v>
      </c>
      <c r="B974" s="29" t="s">
        <v>45</v>
      </c>
      <c r="C974" s="29" t="s">
        <v>46</v>
      </c>
      <c r="D974" s="4" t="str">
        <f>"17101"</f>
        <v>17101</v>
      </c>
      <c r="E974" s="4" t="str">
        <f t="shared" si="30"/>
        <v>FE17101</v>
      </c>
      <c r="F974" s="7">
        <v>44373</v>
      </c>
      <c r="G974" s="7">
        <v>44386</v>
      </c>
      <c r="H974" s="34">
        <v>2180316</v>
      </c>
      <c r="I974" s="31">
        <v>2180316</v>
      </c>
      <c r="J974" s="31">
        <f t="shared" si="31"/>
        <v>0</v>
      </c>
      <c r="K974" s="2"/>
      <c r="N974" s="32">
        <v>0</v>
      </c>
      <c r="Q974" s="34">
        <v>0</v>
      </c>
      <c r="R974" s="45"/>
      <c r="S974" s="4">
        <f>IFERROR(VLOOKUP(E974,'[2]td factu si'!$A:$B,1,0),0)</f>
        <v>0</v>
      </c>
      <c r="T974" s="2">
        <f>IFERROR(VLOOKUP(E974,'[2]td factu si'!$A:$B,2,0),0)*-1</f>
        <v>0</v>
      </c>
      <c r="W974" s="36"/>
      <c r="X974" s="6">
        <v>2180316</v>
      </c>
      <c r="AH974" s="3">
        <v>0</v>
      </c>
      <c r="AJ974" s="3">
        <v>2180316</v>
      </c>
    </row>
    <row r="975" spans="1:36" x14ac:dyDescent="0.25">
      <c r="A975">
        <v>967</v>
      </c>
      <c r="B975" s="29" t="s">
        <v>45</v>
      </c>
      <c r="C975" s="29" t="s">
        <v>46</v>
      </c>
      <c r="D975" s="4" t="str">
        <f>"17104"</f>
        <v>17104</v>
      </c>
      <c r="E975" s="4" t="str">
        <f t="shared" si="30"/>
        <v>FE17104</v>
      </c>
      <c r="F975" s="7">
        <v>44373</v>
      </c>
      <c r="G975" s="7">
        <v>44386</v>
      </c>
      <c r="H975" s="34">
        <v>3180204</v>
      </c>
      <c r="I975" s="31">
        <v>3180204</v>
      </c>
      <c r="J975" s="31">
        <f t="shared" si="31"/>
        <v>0</v>
      </c>
      <c r="K975" s="2"/>
      <c r="N975" s="32">
        <v>0</v>
      </c>
      <c r="Q975" s="34">
        <v>0</v>
      </c>
      <c r="R975" s="45"/>
      <c r="S975" s="4">
        <f>IFERROR(VLOOKUP(E975,'[2]td factu si'!$A:$B,1,0),0)</f>
        <v>0</v>
      </c>
      <c r="T975" s="2">
        <f>IFERROR(VLOOKUP(E975,'[2]td factu si'!$A:$B,2,0),0)*-1</f>
        <v>0</v>
      </c>
      <c r="W975" s="36"/>
      <c r="X975" s="6">
        <v>3180204</v>
      </c>
      <c r="AH975" s="3">
        <v>0</v>
      </c>
      <c r="AJ975" s="3">
        <v>3180204</v>
      </c>
    </row>
    <row r="976" spans="1:36" x14ac:dyDescent="0.25">
      <c r="A976">
        <v>968</v>
      </c>
      <c r="B976" s="29" t="s">
        <v>45</v>
      </c>
      <c r="C976" s="29" t="s">
        <v>46</v>
      </c>
      <c r="D976" s="4" t="str">
        <f>"17105"</f>
        <v>17105</v>
      </c>
      <c r="E976" s="4" t="str">
        <f t="shared" si="30"/>
        <v>FE17105</v>
      </c>
      <c r="F976" s="7">
        <v>44373</v>
      </c>
      <c r="G976" s="7">
        <v>44386</v>
      </c>
      <c r="H976" s="34">
        <v>9759727</v>
      </c>
      <c r="I976" s="31">
        <v>9759727</v>
      </c>
      <c r="J976" s="31">
        <f t="shared" si="31"/>
        <v>0</v>
      </c>
      <c r="K976" s="2"/>
      <c r="N976" s="32">
        <v>0</v>
      </c>
      <c r="Q976" s="34">
        <v>0</v>
      </c>
      <c r="R976" s="45"/>
      <c r="S976" s="4">
        <f>IFERROR(VLOOKUP(E976,'[2]td factu si'!$A:$B,1,0),0)</f>
        <v>0</v>
      </c>
      <c r="T976" s="2">
        <f>IFERROR(VLOOKUP(E976,'[2]td factu si'!$A:$B,2,0),0)*-1</f>
        <v>0</v>
      </c>
      <c r="W976" s="36"/>
      <c r="X976" s="6">
        <v>9759727</v>
      </c>
      <c r="AH976" s="3">
        <v>0</v>
      </c>
      <c r="AJ976" s="3">
        <v>9759727</v>
      </c>
    </row>
    <row r="977" spans="1:38" x14ac:dyDescent="0.25">
      <c r="A977">
        <v>969</v>
      </c>
      <c r="B977" s="29" t="s">
        <v>45</v>
      </c>
      <c r="C977" s="29" t="s">
        <v>46</v>
      </c>
      <c r="D977" s="4" t="str">
        <f>"17109"</f>
        <v>17109</v>
      </c>
      <c r="E977" s="4" t="str">
        <f t="shared" si="30"/>
        <v>FE17109</v>
      </c>
      <c r="F977" s="7">
        <v>44373</v>
      </c>
      <c r="G977" s="7">
        <v>44386</v>
      </c>
      <c r="H977" s="34">
        <v>7878430</v>
      </c>
      <c r="I977" s="31">
        <v>7878430</v>
      </c>
      <c r="J977" s="31">
        <f t="shared" si="31"/>
        <v>0</v>
      </c>
      <c r="K977" s="2"/>
      <c r="N977" s="32">
        <v>0</v>
      </c>
      <c r="Q977" s="34">
        <v>0</v>
      </c>
      <c r="R977" s="45"/>
      <c r="S977" s="4">
        <f>IFERROR(VLOOKUP(E977,'[2]td factu si'!$A:$B,1,0),0)</f>
        <v>0</v>
      </c>
      <c r="T977" s="2">
        <f>IFERROR(VLOOKUP(E977,'[2]td factu si'!$A:$B,2,0),0)*-1</f>
        <v>0</v>
      </c>
      <c r="W977" s="36"/>
      <c r="X977" s="6">
        <v>7878430</v>
      </c>
      <c r="AH977" s="3">
        <v>0</v>
      </c>
      <c r="AJ977" s="3">
        <v>7878430</v>
      </c>
    </row>
    <row r="978" spans="1:38" x14ac:dyDescent="0.25">
      <c r="A978">
        <v>970</v>
      </c>
      <c r="B978" s="29" t="s">
        <v>45</v>
      </c>
      <c r="C978" s="29" t="s">
        <v>46</v>
      </c>
      <c r="D978" s="4" t="str">
        <f>"17119"</f>
        <v>17119</v>
      </c>
      <c r="E978" s="4" t="str">
        <f t="shared" si="30"/>
        <v>FE17119</v>
      </c>
      <c r="F978" s="7">
        <v>44373</v>
      </c>
      <c r="G978" s="7">
        <v>44378</v>
      </c>
      <c r="H978" s="34">
        <v>181246</v>
      </c>
      <c r="I978" s="31">
        <v>181246</v>
      </c>
      <c r="J978" s="31">
        <f t="shared" si="31"/>
        <v>0</v>
      </c>
      <c r="K978" s="2"/>
      <c r="N978" s="32">
        <v>0</v>
      </c>
      <c r="Q978" s="34">
        <v>0</v>
      </c>
      <c r="R978" s="45"/>
      <c r="S978" s="4">
        <f>IFERROR(VLOOKUP(E978,'[2]td factu si'!$A:$B,1,0),0)</f>
        <v>0</v>
      </c>
      <c r="T978" s="2">
        <f>IFERROR(VLOOKUP(E978,'[2]td factu si'!$A:$B,2,0),0)*-1</f>
        <v>0</v>
      </c>
      <c r="W978" s="36"/>
      <c r="X978" s="6">
        <v>181246</v>
      </c>
      <c r="AH978" s="3">
        <v>0</v>
      </c>
      <c r="AJ978" s="3">
        <v>0</v>
      </c>
    </row>
    <row r="979" spans="1:38" x14ac:dyDescent="0.25">
      <c r="A979">
        <v>971</v>
      </c>
      <c r="B979" s="29" t="s">
        <v>45</v>
      </c>
      <c r="C979" s="29" t="s">
        <v>46</v>
      </c>
      <c r="D979" s="4" t="str">
        <f>"17134"</f>
        <v>17134</v>
      </c>
      <c r="E979" s="4" t="str">
        <f t="shared" si="30"/>
        <v>FE17134</v>
      </c>
      <c r="F979" s="7">
        <v>44373</v>
      </c>
      <c r="G979" s="7">
        <v>44378</v>
      </c>
      <c r="H979" s="34">
        <v>15489</v>
      </c>
      <c r="I979" s="31">
        <v>13940</v>
      </c>
      <c r="J979" s="31">
        <f t="shared" si="31"/>
        <v>1549</v>
      </c>
      <c r="K979" s="2"/>
      <c r="N979" s="32">
        <v>0</v>
      </c>
      <c r="Q979" s="34">
        <v>0</v>
      </c>
      <c r="R979" s="45"/>
      <c r="S979" s="4">
        <f>IFERROR(VLOOKUP(E979,'[2]td factu si'!$A:$B,1,0),0)</f>
        <v>0</v>
      </c>
      <c r="T979" s="2">
        <f>IFERROR(VLOOKUP(E979,'[2]td factu si'!$A:$B,2,0),0)*-1</f>
        <v>0</v>
      </c>
      <c r="W979" s="36"/>
      <c r="X979" s="6">
        <v>13940</v>
      </c>
      <c r="AH979" s="3">
        <v>0</v>
      </c>
      <c r="AJ979" s="3">
        <v>0</v>
      </c>
    </row>
    <row r="980" spans="1:38" x14ac:dyDescent="0.25">
      <c r="A980">
        <v>972</v>
      </c>
      <c r="B980" s="29" t="s">
        <v>45</v>
      </c>
      <c r="C980" s="29" t="s">
        <v>46</v>
      </c>
      <c r="D980" s="4" t="str">
        <f>"17143"</f>
        <v>17143</v>
      </c>
      <c r="E980" s="4" t="str">
        <f t="shared" si="30"/>
        <v>FE17143</v>
      </c>
      <c r="F980" s="7">
        <v>44375</v>
      </c>
      <c r="G980" s="7">
        <v>44378</v>
      </c>
      <c r="H980" s="34">
        <v>181246</v>
      </c>
      <c r="I980" s="31">
        <v>181246</v>
      </c>
      <c r="J980" s="31">
        <f t="shared" si="31"/>
        <v>0</v>
      </c>
      <c r="K980" s="2"/>
      <c r="N980" s="32">
        <v>0</v>
      </c>
      <c r="Q980" s="34">
        <v>0</v>
      </c>
      <c r="R980" s="45"/>
      <c r="S980" s="4">
        <f>IFERROR(VLOOKUP(E980,'[2]td factu si'!$A:$B,1,0),0)</f>
        <v>0</v>
      </c>
      <c r="T980" s="2">
        <f>IFERROR(VLOOKUP(E980,'[2]td factu si'!$A:$B,2,0),0)*-1</f>
        <v>0</v>
      </c>
      <c r="W980" s="36"/>
      <c r="X980" s="6">
        <v>181246</v>
      </c>
      <c r="AH980" s="3">
        <v>0</v>
      </c>
      <c r="AJ980" s="3">
        <v>0</v>
      </c>
    </row>
    <row r="981" spans="1:38" x14ac:dyDescent="0.25">
      <c r="A981">
        <v>973</v>
      </c>
      <c r="B981" s="29" t="s">
        <v>45</v>
      </c>
      <c r="C981" s="29" t="s">
        <v>46</v>
      </c>
      <c r="D981" s="4" t="str">
        <f>"17144"</f>
        <v>17144</v>
      </c>
      <c r="E981" s="4" t="str">
        <f t="shared" si="30"/>
        <v>FE17144</v>
      </c>
      <c r="F981" s="7">
        <v>44375</v>
      </c>
      <c r="G981" s="7">
        <v>44378</v>
      </c>
      <c r="H981" s="34">
        <v>339170</v>
      </c>
      <c r="I981" s="31">
        <v>300165</v>
      </c>
      <c r="J981" s="31">
        <f t="shared" si="31"/>
        <v>39005</v>
      </c>
      <c r="K981" s="2"/>
      <c r="N981" s="32">
        <v>0</v>
      </c>
      <c r="Q981" s="34">
        <v>0</v>
      </c>
      <c r="R981" s="45"/>
      <c r="S981" s="4">
        <f>IFERROR(VLOOKUP(E981,'[2]td factu si'!$A:$B,1,0),0)</f>
        <v>0</v>
      </c>
      <c r="T981" s="2">
        <f>IFERROR(VLOOKUP(E981,'[2]td factu si'!$A:$B,2,0),0)*-1</f>
        <v>0</v>
      </c>
      <c r="W981" s="36"/>
      <c r="X981" s="6">
        <v>300165</v>
      </c>
      <c r="AH981" s="3">
        <v>0</v>
      </c>
      <c r="AJ981" s="3">
        <v>0</v>
      </c>
    </row>
    <row r="982" spans="1:38" x14ac:dyDescent="0.25">
      <c r="A982">
        <v>974</v>
      </c>
      <c r="B982" s="29" t="s">
        <v>45</v>
      </c>
      <c r="C982" s="29" t="s">
        <v>46</v>
      </c>
      <c r="D982" s="4" t="str">
        <f>"17145"</f>
        <v>17145</v>
      </c>
      <c r="E982" s="4" t="str">
        <f t="shared" si="30"/>
        <v>FE17145</v>
      </c>
      <c r="F982" s="7">
        <v>44375</v>
      </c>
      <c r="G982" s="7">
        <v>44378</v>
      </c>
      <c r="H982" s="34">
        <v>15489</v>
      </c>
      <c r="I982" s="31">
        <v>15489</v>
      </c>
      <c r="J982" s="31">
        <f t="shared" si="31"/>
        <v>0</v>
      </c>
      <c r="K982" s="2"/>
      <c r="N982" s="32">
        <v>0</v>
      </c>
      <c r="Q982" s="34">
        <v>0</v>
      </c>
      <c r="R982" s="45"/>
      <c r="S982" s="4">
        <f>IFERROR(VLOOKUP(E982,'[2]td factu si'!$A:$B,1,0),0)</f>
        <v>0</v>
      </c>
      <c r="T982" s="2">
        <f>IFERROR(VLOOKUP(E982,'[2]td factu si'!$A:$B,2,0),0)*-1</f>
        <v>0</v>
      </c>
      <c r="W982" s="36"/>
      <c r="X982" s="6">
        <v>15489</v>
      </c>
      <c r="AH982" s="3">
        <v>0</v>
      </c>
      <c r="AJ982" s="3">
        <v>0</v>
      </c>
    </row>
    <row r="983" spans="1:38" x14ac:dyDescent="0.25">
      <c r="A983">
        <v>975</v>
      </c>
      <c r="B983" s="29" t="s">
        <v>45</v>
      </c>
      <c r="C983" s="29" t="s">
        <v>46</v>
      </c>
      <c r="D983" s="4" t="str">
        <f>"17146"</f>
        <v>17146</v>
      </c>
      <c r="E983" s="4" t="str">
        <f t="shared" si="30"/>
        <v>FE17146</v>
      </c>
      <c r="F983" s="7">
        <v>44375</v>
      </c>
      <c r="G983" s="7">
        <v>44378</v>
      </c>
      <c r="H983" s="34">
        <v>15489</v>
      </c>
      <c r="I983" s="31">
        <v>15489</v>
      </c>
      <c r="J983" s="31">
        <f t="shared" si="31"/>
        <v>0</v>
      </c>
      <c r="K983" s="2"/>
      <c r="N983" s="32">
        <v>0</v>
      </c>
      <c r="Q983" s="34">
        <v>0</v>
      </c>
      <c r="R983" s="45"/>
      <c r="S983" s="4">
        <f>IFERROR(VLOOKUP(E983,'[2]td factu si'!$A:$B,1,0),0)</f>
        <v>0</v>
      </c>
      <c r="T983" s="2">
        <f>IFERROR(VLOOKUP(E983,'[2]td factu si'!$A:$B,2,0),0)*-1</f>
        <v>0</v>
      </c>
      <c r="W983" s="36"/>
      <c r="X983" s="6">
        <v>15489</v>
      </c>
      <c r="AH983" s="3">
        <v>0</v>
      </c>
      <c r="AJ983" s="3">
        <v>0</v>
      </c>
    </row>
    <row r="984" spans="1:38" x14ac:dyDescent="0.25">
      <c r="A984">
        <v>976</v>
      </c>
      <c r="B984" s="29" t="s">
        <v>45</v>
      </c>
      <c r="C984" s="29" t="s">
        <v>46</v>
      </c>
      <c r="D984" s="4" t="str">
        <f>"17148"</f>
        <v>17148</v>
      </c>
      <c r="E984" s="4" t="str">
        <f t="shared" si="30"/>
        <v>FE17148</v>
      </c>
      <c r="F984" s="7">
        <v>44375</v>
      </c>
      <c r="G984" s="7">
        <v>44378</v>
      </c>
      <c r="H984" s="34">
        <v>15489</v>
      </c>
      <c r="I984" s="31">
        <v>15489</v>
      </c>
      <c r="J984" s="31">
        <f t="shared" si="31"/>
        <v>0</v>
      </c>
      <c r="K984" s="2"/>
      <c r="N984" s="32">
        <v>0</v>
      </c>
      <c r="Q984" s="34">
        <v>0</v>
      </c>
      <c r="R984" s="45"/>
      <c r="S984" s="4">
        <f>IFERROR(VLOOKUP(E984,'[2]td factu si'!$A:$B,1,0),0)</f>
        <v>0</v>
      </c>
      <c r="T984" s="2">
        <f>IFERROR(VLOOKUP(E984,'[2]td factu si'!$A:$B,2,0),0)*-1</f>
        <v>0</v>
      </c>
      <c r="W984" s="36"/>
      <c r="X984" s="6">
        <v>15489</v>
      </c>
      <c r="AH984" s="3">
        <v>0</v>
      </c>
      <c r="AJ984" s="3">
        <v>0</v>
      </c>
    </row>
    <row r="985" spans="1:38" x14ac:dyDescent="0.25">
      <c r="A985">
        <v>977</v>
      </c>
      <c r="B985" s="29" t="s">
        <v>45</v>
      </c>
      <c r="C985" s="29" t="s">
        <v>46</v>
      </c>
      <c r="D985" s="4" t="str">
        <f>"17149"</f>
        <v>17149</v>
      </c>
      <c r="E985" s="4" t="str">
        <f t="shared" si="30"/>
        <v>FE17149</v>
      </c>
      <c r="F985" s="7">
        <v>44375</v>
      </c>
      <c r="G985" s="7">
        <v>44378</v>
      </c>
      <c r="H985" s="34">
        <v>15489</v>
      </c>
      <c r="I985" s="31">
        <v>11989</v>
      </c>
      <c r="J985" s="31">
        <f t="shared" si="31"/>
        <v>3500</v>
      </c>
      <c r="K985" s="2"/>
      <c r="N985" s="32">
        <v>0</v>
      </c>
      <c r="Q985" s="34">
        <v>0</v>
      </c>
      <c r="R985" s="45"/>
      <c r="S985" s="4">
        <f>IFERROR(VLOOKUP(E985,'[2]td factu si'!$A:$B,1,0),0)</f>
        <v>0</v>
      </c>
      <c r="T985" s="2">
        <f>IFERROR(VLOOKUP(E985,'[2]td factu si'!$A:$B,2,0),0)*-1</f>
        <v>0</v>
      </c>
      <c r="W985" s="36"/>
      <c r="X985" s="6">
        <v>11989</v>
      </c>
      <c r="AH985" s="3">
        <v>0</v>
      </c>
      <c r="AJ985" s="3">
        <v>0</v>
      </c>
    </row>
    <row r="986" spans="1:38" x14ac:dyDescent="0.25">
      <c r="A986">
        <v>978</v>
      </c>
      <c r="B986" s="29" t="s">
        <v>45</v>
      </c>
      <c r="C986" s="29" t="s">
        <v>46</v>
      </c>
      <c r="D986" s="4" t="str">
        <f>"17150"</f>
        <v>17150</v>
      </c>
      <c r="E986" s="4" t="str">
        <f t="shared" si="30"/>
        <v>FE17150</v>
      </c>
      <c r="F986" s="7">
        <v>44375</v>
      </c>
      <c r="G986" s="7">
        <v>44378</v>
      </c>
      <c r="H986" s="34">
        <v>181246</v>
      </c>
      <c r="I986" s="31">
        <v>181246</v>
      </c>
      <c r="J986" s="31">
        <f t="shared" si="31"/>
        <v>0</v>
      </c>
      <c r="K986" s="2"/>
      <c r="N986" s="32">
        <v>0</v>
      </c>
      <c r="Q986" s="34">
        <v>0</v>
      </c>
      <c r="R986" s="45"/>
      <c r="S986" s="4">
        <f>IFERROR(VLOOKUP(E986,'[2]td factu si'!$A:$B,1,0),0)</f>
        <v>0</v>
      </c>
      <c r="T986" s="2">
        <f>IFERROR(VLOOKUP(E986,'[2]td factu si'!$A:$B,2,0),0)*-1</f>
        <v>0</v>
      </c>
      <c r="W986" s="36"/>
      <c r="X986" s="6">
        <v>181246</v>
      </c>
      <c r="AH986" s="3">
        <v>0</v>
      </c>
      <c r="AJ986" s="3">
        <v>0</v>
      </c>
    </row>
    <row r="987" spans="1:38" x14ac:dyDescent="0.25">
      <c r="A987">
        <v>979</v>
      </c>
      <c r="B987" s="29" t="s">
        <v>45</v>
      </c>
      <c r="C987" s="29" t="s">
        <v>46</v>
      </c>
      <c r="D987" s="4" t="str">
        <f>"17157"</f>
        <v>17157</v>
      </c>
      <c r="E987" s="4" t="str">
        <f t="shared" si="30"/>
        <v>FE17157</v>
      </c>
      <c r="F987" s="7">
        <v>44375</v>
      </c>
      <c r="G987" s="7">
        <v>44378</v>
      </c>
      <c r="H987" s="34">
        <v>15489</v>
      </c>
      <c r="I987" s="31">
        <v>15489</v>
      </c>
      <c r="J987" s="31">
        <f t="shared" si="31"/>
        <v>0</v>
      </c>
      <c r="K987" s="2"/>
      <c r="N987" s="32">
        <v>0</v>
      </c>
      <c r="Q987" s="34">
        <v>0</v>
      </c>
      <c r="R987" s="45"/>
      <c r="S987" s="4">
        <f>IFERROR(VLOOKUP(E987,'[2]td factu si'!$A:$B,1,0),0)</f>
        <v>0</v>
      </c>
      <c r="T987" s="2">
        <f>IFERROR(VLOOKUP(E987,'[2]td factu si'!$A:$B,2,0),0)*-1</f>
        <v>0</v>
      </c>
      <c r="W987" s="36"/>
      <c r="X987" s="6">
        <v>15489</v>
      </c>
      <c r="AH987" s="3">
        <v>0</v>
      </c>
      <c r="AJ987" s="3">
        <v>0</v>
      </c>
    </row>
    <row r="988" spans="1:38" x14ac:dyDescent="0.25">
      <c r="A988">
        <v>980</v>
      </c>
      <c r="B988" s="29" t="s">
        <v>45</v>
      </c>
      <c r="C988" s="29" t="s">
        <v>46</v>
      </c>
      <c r="D988" s="4" t="str">
        <f>"17162"</f>
        <v>17162</v>
      </c>
      <c r="E988" s="4" t="str">
        <f t="shared" si="30"/>
        <v>FE17162</v>
      </c>
      <c r="F988" s="7">
        <v>44375</v>
      </c>
      <c r="G988" s="7">
        <v>44378</v>
      </c>
      <c r="H988" s="34">
        <v>181246</v>
      </c>
      <c r="I988" s="31">
        <v>181246</v>
      </c>
      <c r="J988" s="31">
        <f t="shared" si="31"/>
        <v>0</v>
      </c>
      <c r="K988" s="2"/>
      <c r="N988" s="32">
        <v>0</v>
      </c>
      <c r="Q988" s="34">
        <v>0</v>
      </c>
      <c r="R988" s="45"/>
      <c r="S988" s="4">
        <f>IFERROR(VLOOKUP(E988,'[2]td factu si'!$A:$B,1,0),0)</f>
        <v>0</v>
      </c>
      <c r="T988" s="2">
        <f>IFERROR(VLOOKUP(E988,'[2]td factu si'!$A:$B,2,0),0)*-1</f>
        <v>0</v>
      </c>
      <c r="W988" s="36"/>
      <c r="X988" s="6">
        <v>181246</v>
      </c>
      <c r="AH988" s="3">
        <v>0</v>
      </c>
      <c r="AJ988" s="3">
        <v>0</v>
      </c>
    </row>
    <row r="989" spans="1:38" x14ac:dyDescent="0.25">
      <c r="A989">
        <v>981</v>
      </c>
      <c r="B989" s="29" t="s">
        <v>45</v>
      </c>
      <c r="C989" s="29" t="s">
        <v>46</v>
      </c>
      <c r="D989" s="4" t="str">
        <f>"17163"</f>
        <v>17163</v>
      </c>
      <c r="E989" s="4" t="str">
        <f t="shared" si="30"/>
        <v>FE17163</v>
      </c>
      <c r="F989" s="7">
        <v>44375</v>
      </c>
      <c r="G989" s="7">
        <v>44378</v>
      </c>
      <c r="H989" s="34">
        <v>181246</v>
      </c>
      <c r="I989" s="31">
        <v>181246</v>
      </c>
      <c r="J989" s="31">
        <f t="shared" si="31"/>
        <v>0</v>
      </c>
      <c r="K989" s="2"/>
      <c r="N989" s="32">
        <v>0</v>
      </c>
      <c r="Q989" s="34">
        <v>0</v>
      </c>
      <c r="R989" s="45"/>
      <c r="S989" s="4">
        <f>IFERROR(VLOOKUP(E989,'[2]td factu si'!$A:$B,1,0),0)</f>
        <v>0</v>
      </c>
      <c r="T989" s="2">
        <f>IFERROR(VLOOKUP(E989,'[2]td factu si'!$A:$B,2,0),0)*-1</f>
        <v>0</v>
      </c>
      <c r="W989" s="36"/>
      <c r="X989" s="6">
        <v>181246</v>
      </c>
      <c r="AH989" s="3">
        <v>0</v>
      </c>
      <c r="AJ989" s="3">
        <v>0</v>
      </c>
    </row>
    <row r="990" spans="1:38" x14ac:dyDescent="0.25">
      <c r="A990">
        <v>982</v>
      </c>
      <c r="B990" s="29" t="s">
        <v>45</v>
      </c>
      <c r="C990" s="29" t="s">
        <v>46</v>
      </c>
      <c r="D990" s="4" t="str">
        <f>"17165"</f>
        <v>17165</v>
      </c>
      <c r="E990" s="4" t="str">
        <f t="shared" si="30"/>
        <v>FE17165</v>
      </c>
      <c r="F990" s="7">
        <v>44375</v>
      </c>
      <c r="G990" s="7">
        <v>44378</v>
      </c>
      <c r="H990" s="34">
        <v>181246</v>
      </c>
      <c r="I990" s="31">
        <v>181246</v>
      </c>
      <c r="J990" s="31">
        <f t="shared" si="31"/>
        <v>0</v>
      </c>
      <c r="K990" s="2"/>
      <c r="N990" s="32">
        <v>0</v>
      </c>
      <c r="Q990" s="34">
        <v>0</v>
      </c>
      <c r="R990" s="45"/>
      <c r="S990" s="4">
        <f>IFERROR(VLOOKUP(E990,'[2]td factu si'!$A:$B,1,0),0)</f>
        <v>0</v>
      </c>
      <c r="T990" s="2">
        <f>IFERROR(VLOOKUP(E990,'[2]td factu si'!$A:$B,2,0),0)*-1</f>
        <v>0</v>
      </c>
      <c r="W990" s="36"/>
      <c r="X990" s="6">
        <v>181246</v>
      </c>
      <c r="AH990" s="3">
        <v>0</v>
      </c>
      <c r="AJ990" s="3">
        <v>0</v>
      </c>
    </row>
    <row r="991" spans="1:38" x14ac:dyDescent="0.25">
      <c r="A991">
        <v>983</v>
      </c>
      <c r="B991" s="29" t="s">
        <v>45</v>
      </c>
      <c r="C991" s="29" t="s">
        <v>46</v>
      </c>
      <c r="D991" s="4" t="str">
        <f>"17175"</f>
        <v>17175</v>
      </c>
      <c r="E991" s="4" t="str">
        <f t="shared" si="30"/>
        <v>FE17175</v>
      </c>
      <c r="F991" s="7">
        <v>44376</v>
      </c>
      <c r="G991" s="7">
        <v>44386</v>
      </c>
      <c r="H991" s="34">
        <v>14933</v>
      </c>
      <c r="I991" s="31">
        <v>14933</v>
      </c>
      <c r="J991" s="31">
        <f t="shared" si="31"/>
        <v>0</v>
      </c>
      <c r="K991" s="2"/>
      <c r="N991" s="32">
        <v>0</v>
      </c>
      <c r="Q991" s="34">
        <v>0</v>
      </c>
      <c r="R991" s="45"/>
      <c r="S991" s="4">
        <f>IFERROR(VLOOKUP(E991,'[2]td factu si'!$A:$B,1,0),0)</f>
        <v>0</v>
      </c>
      <c r="T991" s="2">
        <f>IFERROR(VLOOKUP(E991,'[2]td factu si'!$A:$B,2,0),0)*-1</f>
        <v>0</v>
      </c>
      <c r="W991" s="36"/>
      <c r="X991" s="6">
        <v>14933</v>
      </c>
      <c r="AH991" s="3">
        <v>0</v>
      </c>
      <c r="AJ991" s="3">
        <v>14933</v>
      </c>
    </row>
    <row r="992" spans="1:38" x14ac:dyDescent="0.25">
      <c r="A992">
        <v>984</v>
      </c>
      <c r="B992" s="29" t="s">
        <v>45</v>
      </c>
      <c r="C992" s="29" t="s">
        <v>46</v>
      </c>
      <c r="D992" s="4" t="str">
        <f>"17185"</f>
        <v>17185</v>
      </c>
      <c r="E992" s="4" t="str">
        <f t="shared" si="30"/>
        <v>FE17185</v>
      </c>
      <c r="F992" s="7">
        <v>44376</v>
      </c>
      <c r="G992" s="7">
        <v>44378</v>
      </c>
      <c r="H992" s="34">
        <v>475025</v>
      </c>
      <c r="I992" s="31">
        <v>475025</v>
      </c>
      <c r="J992" s="31">
        <f t="shared" si="31"/>
        <v>0</v>
      </c>
      <c r="K992" s="2"/>
      <c r="N992" s="32">
        <v>0</v>
      </c>
      <c r="Q992" s="34">
        <v>0</v>
      </c>
      <c r="R992" s="45"/>
      <c r="S992" s="4">
        <f>IFERROR(VLOOKUP(E992,'[2]td factu si'!$A:$B,1,0),0)</f>
        <v>0</v>
      </c>
      <c r="T992" s="2">
        <f>IFERROR(VLOOKUP(E992,'[2]td factu si'!$A:$B,2,0),0)*-1</f>
        <v>0</v>
      </c>
      <c r="W992" s="36"/>
      <c r="AH992" s="3">
        <v>0</v>
      </c>
      <c r="AJ992" s="3">
        <v>0</v>
      </c>
      <c r="AL992" s="39" t="s">
        <v>49</v>
      </c>
    </row>
    <row r="993" spans="1:38" x14ac:dyDescent="0.25">
      <c r="A993">
        <v>985</v>
      </c>
      <c r="B993" s="29" t="s">
        <v>45</v>
      </c>
      <c r="C993" s="29" t="s">
        <v>46</v>
      </c>
      <c r="D993" s="4" t="str">
        <f>"17189"</f>
        <v>17189</v>
      </c>
      <c r="E993" s="4" t="str">
        <f t="shared" si="30"/>
        <v>FE17189</v>
      </c>
      <c r="F993" s="7">
        <v>44376</v>
      </c>
      <c r="G993" s="7">
        <v>44378</v>
      </c>
      <c r="H993" s="34">
        <v>317101</v>
      </c>
      <c r="I993" s="31">
        <v>317101</v>
      </c>
      <c r="J993" s="31">
        <f t="shared" si="31"/>
        <v>0</v>
      </c>
      <c r="K993" s="2"/>
      <c r="N993" s="32">
        <v>0</v>
      </c>
      <c r="Q993" s="34">
        <v>0</v>
      </c>
      <c r="R993" s="45"/>
      <c r="S993" s="4">
        <f>IFERROR(VLOOKUP(E993,'[2]td factu si'!$A:$B,1,0),0)</f>
        <v>0</v>
      </c>
      <c r="T993" s="2">
        <f>IFERROR(VLOOKUP(E993,'[2]td factu si'!$A:$B,2,0),0)*-1</f>
        <v>0</v>
      </c>
      <c r="W993" s="36"/>
      <c r="AH993" s="3">
        <v>0</v>
      </c>
      <c r="AJ993" s="3">
        <v>0</v>
      </c>
      <c r="AL993" s="39" t="s">
        <v>49</v>
      </c>
    </row>
    <row r="994" spans="1:38" x14ac:dyDescent="0.25">
      <c r="A994">
        <v>986</v>
      </c>
      <c r="B994" s="29" t="s">
        <v>45</v>
      </c>
      <c r="C994" s="29" t="s">
        <v>46</v>
      </c>
      <c r="D994" s="4" t="str">
        <f>"17194"</f>
        <v>17194</v>
      </c>
      <c r="E994" s="4" t="str">
        <f t="shared" si="30"/>
        <v>FE17194</v>
      </c>
      <c r="F994" s="7">
        <v>44376</v>
      </c>
      <c r="G994" s="7">
        <v>44378</v>
      </c>
      <c r="H994" s="34">
        <v>317101</v>
      </c>
      <c r="I994" s="31">
        <v>285391</v>
      </c>
      <c r="J994" s="31">
        <f t="shared" si="31"/>
        <v>31710</v>
      </c>
      <c r="K994" s="2"/>
      <c r="N994" s="32">
        <v>0</v>
      </c>
      <c r="Q994" s="34">
        <v>0</v>
      </c>
      <c r="R994" s="45"/>
      <c r="S994" s="4">
        <f>IFERROR(VLOOKUP(E994,'[2]td factu si'!$A:$B,1,0),0)</f>
        <v>0</v>
      </c>
      <c r="T994" s="2">
        <f>IFERROR(VLOOKUP(E994,'[2]td factu si'!$A:$B,2,0),0)*-1</f>
        <v>0</v>
      </c>
      <c r="W994" s="36"/>
      <c r="AH994" s="3">
        <v>0</v>
      </c>
      <c r="AJ994" s="3">
        <v>0</v>
      </c>
      <c r="AL994" s="39" t="s">
        <v>49</v>
      </c>
    </row>
    <row r="995" spans="1:38" x14ac:dyDescent="0.25">
      <c r="A995">
        <v>987</v>
      </c>
      <c r="B995" s="29" t="s">
        <v>45</v>
      </c>
      <c r="C995" s="29" t="s">
        <v>46</v>
      </c>
      <c r="D995" s="4" t="str">
        <f>"17202"</f>
        <v>17202</v>
      </c>
      <c r="E995" s="4" t="str">
        <f t="shared" si="30"/>
        <v>FE17202</v>
      </c>
      <c r="F995" s="7">
        <v>44376</v>
      </c>
      <c r="G995" s="7">
        <v>44378</v>
      </c>
      <c r="H995" s="34">
        <v>99388</v>
      </c>
      <c r="I995" s="31">
        <v>99388</v>
      </c>
      <c r="J995" s="31">
        <f t="shared" si="31"/>
        <v>0</v>
      </c>
      <c r="K995" s="2"/>
      <c r="N995" s="32">
        <v>0</v>
      </c>
      <c r="Q995" s="34">
        <v>0</v>
      </c>
      <c r="R995" s="45"/>
      <c r="S995" s="4">
        <f>IFERROR(VLOOKUP(E995,'[2]td factu si'!$A:$B,1,0),0)</f>
        <v>0</v>
      </c>
      <c r="T995" s="2">
        <f>IFERROR(VLOOKUP(E995,'[2]td factu si'!$A:$B,2,0),0)*-1</f>
        <v>0</v>
      </c>
      <c r="W995" s="36"/>
      <c r="X995" s="6">
        <v>99388</v>
      </c>
      <c r="AH995" s="3">
        <v>0</v>
      </c>
      <c r="AJ995" s="3">
        <v>0</v>
      </c>
    </row>
    <row r="996" spans="1:38" x14ac:dyDescent="0.25">
      <c r="A996">
        <v>988</v>
      </c>
      <c r="B996" s="29" t="s">
        <v>45</v>
      </c>
      <c r="C996" s="29" t="s">
        <v>46</v>
      </c>
      <c r="D996" s="4" t="str">
        <f>"17206"</f>
        <v>17206</v>
      </c>
      <c r="E996" s="4" t="str">
        <f t="shared" si="30"/>
        <v>FE17206</v>
      </c>
      <c r="F996" s="7">
        <v>44376</v>
      </c>
      <c r="G996" s="7">
        <v>44386</v>
      </c>
      <c r="H996" s="34">
        <v>116393</v>
      </c>
      <c r="I996" s="31">
        <v>103008</v>
      </c>
      <c r="J996" s="31">
        <f t="shared" si="31"/>
        <v>13385</v>
      </c>
      <c r="K996" s="2"/>
      <c r="N996" s="32">
        <v>0</v>
      </c>
      <c r="Q996" s="34">
        <v>0</v>
      </c>
      <c r="R996" s="45"/>
      <c r="S996" s="4">
        <f>IFERROR(VLOOKUP(E996,'[2]td factu si'!$A:$B,1,0),0)</f>
        <v>0</v>
      </c>
      <c r="T996" s="2">
        <f>IFERROR(VLOOKUP(E996,'[2]td factu si'!$A:$B,2,0),0)*-1</f>
        <v>0</v>
      </c>
      <c r="W996" s="36"/>
      <c r="X996" s="6">
        <v>103008</v>
      </c>
      <c r="AH996" s="3">
        <v>0</v>
      </c>
      <c r="AJ996" s="3">
        <v>103008</v>
      </c>
    </row>
    <row r="997" spans="1:38" x14ac:dyDescent="0.25">
      <c r="A997">
        <v>989</v>
      </c>
      <c r="B997" s="29" t="s">
        <v>45</v>
      </c>
      <c r="C997" s="29" t="s">
        <v>46</v>
      </c>
      <c r="D997" s="4" t="str">
        <f>"17207"</f>
        <v>17207</v>
      </c>
      <c r="E997" s="4" t="str">
        <f t="shared" si="30"/>
        <v>FE17207</v>
      </c>
      <c r="F997" s="7">
        <v>44376</v>
      </c>
      <c r="G997" s="7">
        <v>44386</v>
      </c>
      <c r="H997" s="34">
        <v>181246</v>
      </c>
      <c r="I997" s="31">
        <v>181246</v>
      </c>
      <c r="J997" s="31">
        <f t="shared" si="31"/>
        <v>0</v>
      </c>
      <c r="K997" s="2"/>
      <c r="N997" s="32">
        <v>0</v>
      </c>
      <c r="Q997" s="34">
        <v>0</v>
      </c>
      <c r="R997" s="45"/>
      <c r="S997" s="4">
        <f>IFERROR(VLOOKUP(E997,'[2]td factu si'!$A:$B,1,0),0)</f>
        <v>0</v>
      </c>
      <c r="T997" s="2">
        <f>IFERROR(VLOOKUP(E997,'[2]td factu si'!$A:$B,2,0),0)*-1</f>
        <v>0</v>
      </c>
      <c r="W997" s="36"/>
      <c r="AH997" s="3">
        <v>0</v>
      </c>
      <c r="AJ997" s="3">
        <v>0</v>
      </c>
      <c r="AL997" s="39" t="s">
        <v>49</v>
      </c>
    </row>
    <row r="998" spans="1:38" x14ac:dyDescent="0.25">
      <c r="A998">
        <v>990</v>
      </c>
      <c r="B998" s="29" t="s">
        <v>45</v>
      </c>
      <c r="C998" s="29" t="s">
        <v>46</v>
      </c>
      <c r="D998" s="4" t="str">
        <f>"17209"</f>
        <v>17209</v>
      </c>
      <c r="E998" s="4" t="str">
        <f t="shared" si="30"/>
        <v>FE17209</v>
      </c>
      <c r="F998" s="7">
        <v>44376</v>
      </c>
      <c r="G998" s="7">
        <v>44378</v>
      </c>
      <c r="H998" s="34">
        <v>14933</v>
      </c>
      <c r="I998" s="31">
        <v>14933</v>
      </c>
      <c r="J998" s="31">
        <f t="shared" si="31"/>
        <v>0</v>
      </c>
      <c r="K998" s="2"/>
      <c r="N998" s="32">
        <v>0</v>
      </c>
      <c r="Q998" s="34">
        <v>0</v>
      </c>
      <c r="R998" s="45"/>
      <c r="S998" s="4">
        <f>IFERROR(VLOOKUP(E998,'[2]td factu si'!$A:$B,1,0),0)</f>
        <v>0</v>
      </c>
      <c r="T998" s="2">
        <f>IFERROR(VLOOKUP(E998,'[2]td factu si'!$A:$B,2,0),0)*-1</f>
        <v>0</v>
      </c>
      <c r="W998" s="36"/>
      <c r="X998" s="6">
        <v>14933</v>
      </c>
      <c r="AH998" s="3">
        <v>0</v>
      </c>
      <c r="AJ998" s="3">
        <v>0</v>
      </c>
    </row>
    <row r="999" spans="1:38" x14ac:dyDescent="0.25">
      <c r="A999">
        <v>991</v>
      </c>
      <c r="B999" s="29" t="s">
        <v>45</v>
      </c>
      <c r="C999" s="29" t="s">
        <v>46</v>
      </c>
      <c r="D999" s="4" t="str">
        <f>"17213"</f>
        <v>17213</v>
      </c>
      <c r="E999" s="4" t="str">
        <f t="shared" si="30"/>
        <v>FE17213</v>
      </c>
      <c r="F999" s="7">
        <v>44376</v>
      </c>
      <c r="G999" s="7">
        <v>44386</v>
      </c>
      <c r="H999" s="34">
        <v>116393</v>
      </c>
      <c r="I999" s="31">
        <v>112893</v>
      </c>
      <c r="J999" s="31">
        <f t="shared" si="31"/>
        <v>3500</v>
      </c>
      <c r="K999" s="2"/>
      <c r="N999" s="32">
        <v>0</v>
      </c>
      <c r="Q999" s="34">
        <v>0</v>
      </c>
      <c r="R999" s="45"/>
      <c r="S999" s="4">
        <f>IFERROR(VLOOKUP(E999,'[2]td factu si'!$A:$B,1,0),0)</f>
        <v>0</v>
      </c>
      <c r="T999" s="2">
        <f>IFERROR(VLOOKUP(E999,'[2]td factu si'!$A:$B,2,0),0)*-1</f>
        <v>0</v>
      </c>
      <c r="W999" s="36"/>
      <c r="X999" s="6">
        <v>112893</v>
      </c>
      <c r="AH999" s="3">
        <v>0</v>
      </c>
      <c r="AJ999" s="3">
        <v>112893</v>
      </c>
    </row>
    <row r="1000" spans="1:38" x14ac:dyDescent="0.25">
      <c r="A1000">
        <v>992</v>
      </c>
      <c r="B1000" s="29" t="s">
        <v>45</v>
      </c>
      <c r="C1000" s="29" t="s">
        <v>46</v>
      </c>
      <c r="D1000" s="4" t="str">
        <f>"17219"</f>
        <v>17219</v>
      </c>
      <c r="E1000" s="4" t="str">
        <f t="shared" si="30"/>
        <v>FE17219</v>
      </c>
      <c r="F1000" s="7">
        <v>44376</v>
      </c>
      <c r="G1000" s="7">
        <v>44386</v>
      </c>
      <c r="H1000" s="34">
        <v>250905</v>
      </c>
      <c r="I1000" s="31">
        <v>250905</v>
      </c>
      <c r="J1000" s="31">
        <f t="shared" si="31"/>
        <v>0</v>
      </c>
      <c r="K1000" s="2"/>
      <c r="N1000" s="32">
        <v>0</v>
      </c>
      <c r="Q1000" s="34">
        <v>0</v>
      </c>
      <c r="R1000" s="45"/>
      <c r="S1000" s="4">
        <f>IFERROR(VLOOKUP(E1000,'[2]td factu si'!$A:$B,1,0),0)</f>
        <v>0</v>
      </c>
      <c r="T1000" s="2">
        <f>IFERROR(VLOOKUP(E1000,'[2]td factu si'!$A:$B,2,0),0)*-1</f>
        <v>0</v>
      </c>
      <c r="W1000" s="36"/>
      <c r="AH1000" s="3">
        <v>0</v>
      </c>
      <c r="AJ1000" s="3">
        <v>0</v>
      </c>
      <c r="AL1000" s="39" t="s">
        <v>49</v>
      </c>
    </row>
    <row r="1001" spans="1:38" x14ac:dyDescent="0.25">
      <c r="A1001">
        <v>993</v>
      </c>
      <c r="B1001" s="29" t="s">
        <v>45</v>
      </c>
      <c r="C1001" s="29" t="s">
        <v>46</v>
      </c>
      <c r="D1001" s="4" t="str">
        <f>"17224"</f>
        <v>17224</v>
      </c>
      <c r="E1001" s="4" t="str">
        <f t="shared" si="30"/>
        <v>FE17224</v>
      </c>
      <c r="F1001" s="7">
        <v>44376</v>
      </c>
      <c r="G1001" s="7">
        <v>44386</v>
      </c>
      <c r="H1001" s="34">
        <v>250905</v>
      </c>
      <c r="I1001" s="31">
        <v>250905</v>
      </c>
      <c r="J1001" s="31">
        <f t="shared" si="31"/>
        <v>0</v>
      </c>
      <c r="K1001" s="2"/>
      <c r="N1001" s="32">
        <v>0</v>
      </c>
      <c r="Q1001" s="34">
        <v>0</v>
      </c>
      <c r="R1001" s="45"/>
      <c r="S1001" s="4">
        <f>IFERROR(VLOOKUP(E1001,'[2]td factu si'!$A:$B,1,0),0)</f>
        <v>0</v>
      </c>
      <c r="T1001" s="2">
        <f>IFERROR(VLOOKUP(E1001,'[2]td factu si'!$A:$B,2,0),0)*-1</f>
        <v>0</v>
      </c>
      <c r="W1001" s="36"/>
      <c r="AH1001" s="3">
        <v>0</v>
      </c>
      <c r="AJ1001" s="3">
        <v>0</v>
      </c>
      <c r="AL1001" s="39" t="s">
        <v>49</v>
      </c>
    </row>
    <row r="1002" spans="1:38" x14ac:dyDescent="0.25">
      <c r="A1002">
        <v>994</v>
      </c>
      <c r="B1002" s="29" t="s">
        <v>45</v>
      </c>
      <c r="C1002" s="29" t="s">
        <v>46</v>
      </c>
      <c r="D1002" s="4" t="str">
        <f>"17225"</f>
        <v>17225</v>
      </c>
      <c r="E1002" s="4" t="str">
        <f t="shared" si="30"/>
        <v>FE17225</v>
      </c>
      <c r="F1002" s="7">
        <v>44376</v>
      </c>
      <c r="G1002" s="7">
        <v>44386</v>
      </c>
      <c r="H1002" s="34">
        <v>49114</v>
      </c>
      <c r="I1002" s="31">
        <v>49114</v>
      </c>
      <c r="J1002" s="31">
        <f t="shared" si="31"/>
        <v>0</v>
      </c>
      <c r="K1002" s="2"/>
      <c r="N1002" s="32">
        <v>0</v>
      </c>
      <c r="Q1002" s="34">
        <v>0</v>
      </c>
      <c r="R1002" s="45"/>
      <c r="S1002" s="4">
        <f>IFERROR(VLOOKUP(E1002,'[2]td factu si'!$A:$B,1,0),0)</f>
        <v>0</v>
      </c>
      <c r="T1002" s="2">
        <f>IFERROR(VLOOKUP(E1002,'[2]td factu si'!$A:$B,2,0),0)*-1</f>
        <v>0</v>
      </c>
      <c r="W1002" s="36"/>
      <c r="X1002" s="6">
        <v>49114</v>
      </c>
      <c r="AH1002" s="3">
        <v>0</v>
      </c>
      <c r="AJ1002" s="3">
        <v>49114</v>
      </c>
    </row>
    <row r="1003" spans="1:38" x14ac:dyDescent="0.25">
      <c r="A1003">
        <v>995</v>
      </c>
      <c r="B1003" s="29" t="s">
        <v>45</v>
      </c>
      <c r="C1003" s="29" t="s">
        <v>46</v>
      </c>
      <c r="D1003" s="4" t="str">
        <f>"17230"</f>
        <v>17230</v>
      </c>
      <c r="E1003" s="4" t="str">
        <f t="shared" si="30"/>
        <v>FE17230</v>
      </c>
      <c r="F1003" s="7">
        <v>44376</v>
      </c>
      <c r="G1003" s="7">
        <v>44378</v>
      </c>
      <c r="H1003" s="34">
        <v>317101</v>
      </c>
      <c r="I1003" s="31">
        <v>317101</v>
      </c>
      <c r="J1003" s="31">
        <f t="shared" si="31"/>
        <v>0</v>
      </c>
      <c r="K1003" s="2"/>
      <c r="N1003" s="32">
        <v>0</v>
      </c>
      <c r="Q1003" s="34">
        <v>0</v>
      </c>
      <c r="R1003" s="45"/>
      <c r="S1003" s="4">
        <f>IFERROR(VLOOKUP(E1003,'[2]td factu si'!$A:$B,1,0),0)</f>
        <v>0</v>
      </c>
      <c r="T1003" s="2">
        <f>IFERROR(VLOOKUP(E1003,'[2]td factu si'!$A:$B,2,0),0)*-1</f>
        <v>0</v>
      </c>
      <c r="W1003" s="36"/>
      <c r="X1003" s="6">
        <v>317101</v>
      </c>
      <c r="AH1003" s="3">
        <v>0</v>
      </c>
      <c r="AJ1003" s="3">
        <v>0</v>
      </c>
    </row>
    <row r="1004" spans="1:38" x14ac:dyDescent="0.25">
      <c r="A1004">
        <v>996</v>
      </c>
      <c r="B1004" s="29" t="s">
        <v>45</v>
      </c>
      <c r="C1004" s="29" t="s">
        <v>46</v>
      </c>
      <c r="D1004" s="4" t="str">
        <f>"17231"</f>
        <v>17231</v>
      </c>
      <c r="E1004" s="4" t="str">
        <f t="shared" si="30"/>
        <v>FE17231</v>
      </c>
      <c r="F1004" s="7">
        <v>44376</v>
      </c>
      <c r="G1004" s="7">
        <v>44386</v>
      </c>
      <c r="H1004" s="34">
        <v>181246</v>
      </c>
      <c r="I1004" s="31">
        <v>181246</v>
      </c>
      <c r="J1004" s="31">
        <f t="shared" si="31"/>
        <v>0</v>
      </c>
      <c r="K1004" s="2"/>
      <c r="N1004" s="32">
        <v>0</v>
      </c>
      <c r="Q1004" s="34">
        <v>0</v>
      </c>
      <c r="R1004" s="45"/>
      <c r="S1004" s="4">
        <f>IFERROR(VLOOKUP(E1004,'[2]td factu si'!$A:$B,1,0),0)</f>
        <v>0</v>
      </c>
      <c r="T1004" s="2">
        <f>IFERROR(VLOOKUP(E1004,'[2]td factu si'!$A:$B,2,0),0)*-1</f>
        <v>0</v>
      </c>
      <c r="W1004" s="36"/>
      <c r="AH1004" s="3">
        <v>0</v>
      </c>
      <c r="AJ1004" s="3">
        <v>0</v>
      </c>
      <c r="AL1004" s="39" t="s">
        <v>49</v>
      </c>
    </row>
    <row r="1005" spans="1:38" x14ac:dyDescent="0.25">
      <c r="A1005">
        <v>997</v>
      </c>
      <c r="B1005" s="29" t="s">
        <v>45</v>
      </c>
      <c r="C1005" s="29" t="s">
        <v>46</v>
      </c>
      <c r="D1005" s="4" t="str">
        <f>"17235"</f>
        <v>17235</v>
      </c>
      <c r="E1005" s="4" t="str">
        <f t="shared" si="30"/>
        <v>FE17235</v>
      </c>
      <c r="F1005" s="7">
        <v>44376</v>
      </c>
      <c r="G1005" s="7">
        <v>44386</v>
      </c>
      <c r="H1005" s="34">
        <v>15489</v>
      </c>
      <c r="I1005" s="31">
        <v>15489</v>
      </c>
      <c r="J1005" s="31">
        <f t="shared" si="31"/>
        <v>0</v>
      </c>
      <c r="K1005" s="2"/>
      <c r="N1005" s="32">
        <v>0</v>
      </c>
      <c r="Q1005" s="34">
        <v>0</v>
      </c>
      <c r="R1005" s="45"/>
      <c r="S1005" s="4">
        <f>IFERROR(VLOOKUP(E1005,'[2]td factu si'!$A:$B,1,0),0)</f>
        <v>0</v>
      </c>
      <c r="T1005" s="2">
        <f>IFERROR(VLOOKUP(E1005,'[2]td factu si'!$A:$B,2,0),0)*-1</f>
        <v>0</v>
      </c>
      <c r="W1005" s="36"/>
      <c r="X1005" s="6">
        <v>15489</v>
      </c>
      <c r="AH1005" s="3">
        <v>0</v>
      </c>
      <c r="AJ1005" s="3">
        <v>15489</v>
      </c>
    </row>
    <row r="1006" spans="1:38" x14ac:dyDescent="0.25">
      <c r="A1006">
        <v>998</v>
      </c>
      <c r="B1006" s="29" t="s">
        <v>45</v>
      </c>
      <c r="C1006" s="29" t="s">
        <v>46</v>
      </c>
      <c r="D1006" s="4" t="str">
        <f>"17237"</f>
        <v>17237</v>
      </c>
      <c r="E1006" s="4" t="str">
        <f t="shared" si="30"/>
        <v>FE17237</v>
      </c>
      <c r="F1006" s="7">
        <v>44376</v>
      </c>
      <c r="G1006" s="7">
        <v>44378</v>
      </c>
      <c r="H1006" s="34">
        <v>181246</v>
      </c>
      <c r="I1006" s="31">
        <v>160403</v>
      </c>
      <c r="J1006" s="31">
        <f t="shared" si="31"/>
        <v>20843</v>
      </c>
      <c r="K1006" s="2"/>
      <c r="N1006" s="32">
        <v>0</v>
      </c>
      <c r="Q1006" s="34">
        <v>0</v>
      </c>
      <c r="R1006" s="45"/>
      <c r="S1006" s="4">
        <f>IFERROR(VLOOKUP(E1006,'[2]td factu si'!$A:$B,1,0),0)</f>
        <v>0</v>
      </c>
      <c r="T1006" s="2">
        <f>IFERROR(VLOOKUP(E1006,'[2]td factu si'!$A:$B,2,0),0)*-1</f>
        <v>0</v>
      </c>
      <c r="W1006" s="36"/>
      <c r="X1006" s="6">
        <v>160403</v>
      </c>
      <c r="AH1006" s="3">
        <v>0</v>
      </c>
      <c r="AJ1006" s="3">
        <v>0</v>
      </c>
    </row>
    <row r="1007" spans="1:38" x14ac:dyDescent="0.25">
      <c r="A1007">
        <v>999</v>
      </c>
      <c r="B1007" s="29" t="s">
        <v>45</v>
      </c>
      <c r="C1007" s="29" t="s">
        <v>46</v>
      </c>
      <c r="D1007" s="4" t="str">
        <f>"17241"</f>
        <v>17241</v>
      </c>
      <c r="E1007" s="4" t="str">
        <f t="shared" si="30"/>
        <v>FE17241</v>
      </c>
      <c r="F1007" s="7">
        <v>44376</v>
      </c>
      <c r="G1007" s="7">
        <v>44378</v>
      </c>
      <c r="H1007" s="34">
        <v>181246</v>
      </c>
      <c r="I1007" s="31">
        <v>160403</v>
      </c>
      <c r="J1007" s="31">
        <f t="shared" si="31"/>
        <v>20843</v>
      </c>
      <c r="K1007" s="2"/>
      <c r="N1007" s="32">
        <v>0</v>
      </c>
      <c r="Q1007" s="34">
        <v>0</v>
      </c>
      <c r="R1007" s="45"/>
      <c r="S1007" s="4">
        <f>IFERROR(VLOOKUP(E1007,'[2]td factu si'!$A:$B,1,0),0)</f>
        <v>0</v>
      </c>
      <c r="T1007" s="2">
        <f>IFERROR(VLOOKUP(E1007,'[2]td factu si'!$A:$B,2,0),0)*-1</f>
        <v>0</v>
      </c>
      <c r="W1007" s="36"/>
      <c r="X1007" s="6">
        <v>160403</v>
      </c>
      <c r="AH1007" s="3">
        <v>0</v>
      </c>
      <c r="AJ1007" s="3">
        <v>0</v>
      </c>
    </row>
    <row r="1008" spans="1:38" x14ac:dyDescent="0.25">
      <c r="A1008">
        <v>1000</v>
      </c>
      <c r="B1008" s="29" t="s">
        <v>45</v>
      </c>
      <c r="C1008" s="29" t="s">
        <v>46</v>
      </c>
      <c r="D1008" s="4" t="str">
        <f>"17243"</f>
        <v>17243</v>
      </c>
      <c r="E1008" s="4" t="str">
        <f t="shared" si="30"/>
        <v>FE17243</v>
      </c>
      <c r="F1008" s="7">
        <v>44376</v>
      </c>
      <c r="G1008" s="7">
        <v>44386</v>
      </c>
      <c r="H1008" s="34">
        <v>181246</v>
      </c>
      <c r="I1008" s="31">
        <v>181246</v>
      </c>
      <c r="J1008" s="31">
        <f t="shared" si="31"/>
        <v>0</v>
      </c>
      <c r="K1008" s="2"/>
      <c r="N1008" s="32">
        <v>0</v>
      </c>
      <c r="Q1008" s="34">
        <v>0</v>
      </c>
      <c r="R1008" s="45"/>
      <c r="S1008" s="4">
        <f>IFERROR(VLOOKUP(E1008,'[2]td factu si'!$A:$B,1,0),0)</f>
        <v>0</v>
      </c>
      <c r="T1008" s="2">
        <f>IFERROR(VLOOKUP(E1008,'[2]td factu si'!$A:$B,2,0),0)*-1</f>
        <v>0</v>
      </c>
      <c r="W1008" s="36"/>
      <c r="X1008" s="6">
        <v>181246</v>
      </c>
      <c r="AH1008" s="3">
        <v>0</v>
      </c>
      <c r="AJ1008" s="3">
        <v>181246</v>
      </c>
    </row>
    <row r="1009" spans="1:38" x14ac:dyDescent="0.25">
      <c r="A1009">
        <v>1001</v>
      </c>
      <c r="B1009" s="29" t="s">
        <v>45</v>
      </c>
      <c r="C1009" s="29" t="s">
        <v>46</v>
      </c>
      <c r="D1009" s="4" t="str">
        <f>"17245"</f>
        <v>17245</v>
      </c>
      <c r="E1009" s="4" t="str">
        <f t="shared" si="30"/>
        <v>FE17245</v>
      </c>
      <c r="F1009" s="7">
        <v>44376</v>
      </c>
      <c r="G1009" s="7">
        <v>44386</v>
      </c>
      <c r="H1009" s="34">
        <v>181246</v>
      </c>
      <c r="I1009" s="31">
        <v>181246</v>
      </c>
      <c r="J1009" s="31">
        <f t="shared" si="31"/>
        <v>0</v>
      </c>
      <c r="K1009" s="2"/>
      <c r="N1009" s="32">
        <v>0</v>
      </c>
      <c r="Q1009" s="34">
        <v>0</v>
      </c>
      <c r="R1009" s="45"/>
      <c r="S1009" s="4">
        <f>IFERROR(VLOOKUP(E1009,'[2]td factu si'!$A:$B,1,0),0)</f>
        <v>0</v>
      </c>
      <c r="T1009" s="2">
        <f>IFERROR(VLOOKUP(E1009,'[2]td factu si'!$A:$B,2,0),0)*-1</f>
        <v>0</v>
      </c>
      <c r="W1009" s="36"/>
      <c r="X1009" s="6">
        <v>181246</v>
      </c>
      <c r="AH1009" s="3">
        <v>0</v>
      </c>
      <c r="AJ1009" s="3">
        <v>181246</v>
      </c>
    </row>
    <row r="1010" spans="1:38" x14ac:dyDescent="0.25">
      <c r="A1010">
        <v>1002</v>
      </c>
      <c r="B1010" s="29" t="s">
        <v>45</v>
      </c>
      <c r="C1010" s="29" t="s">
        <v>46</v>
      </c>
      <c r="D1010" s="4" t="str">
        <f>"17246"</f>
        <v>17246</v>
      </c>
      <c r="E1010" s="4" t="str">
        <f t="shared" si="30"/>
        <v>FE17246</v>
      </c>
      <c r="F1010" s="7">
        <v>44376</v>
      </c>
      <c r="G1010" s="7">
        <v>44386</v>
      </c>
      <c r="H1010" s="34">
        <v>116393</v>
      </c>
      <c r="I1010" s="31">
        <v>116393</v>
      </c>
      <c r="J1010" s="31">
        <f t="shared" si="31"/>
        <v>0</v>
      </c>
      <c r="K1010" s="2"/>
      <c r="N1010" s="32">
        <v>0</v>
      </c>
      <c r="Q1010" s="34">
        <v>0</v>
      </c>
      <c r="R1010" s="45"/>
      <c r="S1010" s="4">
        <f>IFERROR(VLOOKUP(E1010,'[2]td factu si'!$A:$B,1,0),0)</f>
        <v>0</v>
      </c>
      <c r="T1010" s="2">
        <f>IFERROR(VLOOKUP(E1010,'[2]td factu si'!$A:$B,2,0),0)*-1</f>
        <v>0</v>
      </c>
      <c r="W1010" s="36"/>
      <c r="AH1010" s="3">
        <v>0</v>
      </c>
      <c r="AJ1010" s="3">
        <v>0</v>
      </c>
      <c r="AL1010" s="39" t="s">
        <v>49</v>
      </c>
    </row>
    <row r="1011" spans="1:38" x14ac:dyDescent="0.25">
      <c r="A1011">
        <v>1003</v>
      </c>
      <c r="B1011" s="29" t="s">
        <v>45</v>
      </c>
      <c r="C1011" s="29" t="s">
        <v>46</v>
      </c>
      <c r="D1011" s="4" t="str">
        <f>"17247"</f>
        <v>17247</v>
      </c>
      <c r="E1011" s="4" t="str">
        <f t="shared" si="30"/>
        <v>FE17247</v>
      </c>
      <c r="F1011" s="7">
        <v>44376</v>
      </c>
      <c r="G1011" s="7">
        <v>44386</v>
      </c>
      <c r="H1011" s="34">
        <v>116393</v>
      </c>
      <c r="I1011" s="31">
        <v>116393</v>
      </c>
      <c r="J1011" s="31">
        <f t="shared" si="31"/>
        <v>0</v>
      </c>
      <c r="K1011" s="2"/>
      <c r="N1011" s="32">
        <v>0</v>
      </c>
      <c r="Q1011" s="34">
        <v>0</v>
      </c>
      <c r="R1011" s="45"/>
      <c r="S1011" s="4">
        <f>IFERROR(VLOOKUP(E1011,'[2]td factu si'!$A:$B,1,0),0)</f>
        <v>0</v>
      </c>
      <c r="T1011" s="2">
        <f>IFERROR(VLOOKUP(E1011,'[2]td factu si'!$A:$B,2,0),0)*-1</f>
        <v>0</v>
      </c>
      <c r="W1011" s="36"/>
      <c r="AH1011" s="3">
        <v>0</v>
      </c>
      <c r="AJ1011" s="3">
        <v>0</v>
      </c>
      <c r="AL1011" s="39" t="s">
        <v>49</v>
      </c>
    </row>
    <row r="1012" spans="1:38" x14ac:dyDescent="0.25">
      <c r="A1012">
        <v>1004</v>
      </c>
      <c r="B1012" s="29" t="s">
        <v>45</v>
      </c>
      <c r="C1012" s="29" t="s">
        <v>46</v>
      </c>
      <c r="D1012" s="4" t="str">
        <f>"17248"</f>
        <v>17248</v>
      </c>
      <c r="E1012" s="4" t="str">
        <f t="shared" si="30"/>
        <v>FE17248</v>
      </c>
      <c r="F1012" s="7">
        <v>44376</v>
      </c>
      <c r="G1012" s="7">
        <v>44386</v>
      </c>
      <c r="H1012" s="34">
        <v>116393</v>
      </c>
      <c r="I1012" s="31">
        <v>116393</v>
      </c>
      <c r="J1012" s="31">
        <f t="shared" si="31"/>
        <v>0</v>
      </c>
      <c r="K1012" s="2"/>
      <c r="N1012" s="32">
        <v>0</v>
      </c>
      <c r="Q1012" s="34">
        <v>0</v>
      </c>
      <c r="R1012" s="45"/>
      <c r="S1012" s="4">
        <f>IFERROR(VLOOKUP(E1012,'[2]td factu si'!$A:$B,1,0),0)</f>
        <v>0</v>
      </c>
      <c r="T1012" s="2">
        <f>IFERROR(VLOOKUP(E1012,'[2]td factu si'!$A:$B,2,0),0)*-1</f>
        <v>0</v>
      </c>
      <c r="W1012" s="36"/>
      <c r="AH1012" s="3">
        <v>0</v>
      </c>
      <c r="AJ1012" s="3">
        <v>0</v>
      </c>
      <c r="AL1012" s="39" t="s">
        <v>49</v>
      </c>
    </row>
    <row r="1013" spans="1:38" x14ac:dyDescent="0.25">
      <c r="A1013">
        <v>1005</v>
      </c>
      <c r="B1013" s="29" t="s">
        <v>45</v>
      </c>
      <c r="C1013" s="29" t="s">
        <v>46</v>
      </c>
      <c r="D1013" s="4" t="str">
        <f>"17249"</f>
        <v>17249</v>
      </c>
      <c r="E1013" s="4" t="str">
        <f t="shared" si="30"/>
        <v>FE17249</v>
      </c>
      <c r="F1013" s="7">
        <v>44376</v>
      </c>
      <c r="G1013" s="7">
        <v>44386</v>
      </c>
      <c r="H1013" s="34">
        <v>116393</v>
      </c>
      <c r="I1013" s="31">
        <v>112893</v>
      </c>
      <c r="J1013" s="31">
        <f t="shared" si="31"/>
        <v>3500</v>
      </c>
      <c r="K1013" s="2"/>
      <c r="N1013" s="32">
        <v>0</v>
      </c>
      <c r="Q1013" s="34">
        <v>0</v>
      </c>
      <c r="R1013" s="45"/>
      <c r="S1013" s="4">
        <f>IFERROR(VLOOKUP(E1013,'[2]td factu si'!$A:$B,1,0),0)</f>
        <v>0</v>
      </c>
      <c r="T1013" s="2">
        <f>IFERROR(VLOOKUP(E1013,'[2]td factu si'!$A:$B,2,0),0)*-1</f>
        <v>0</v>
      </c>
      <c r="W1013" s="36"/>
      <c r="X1013" s="6">
        <v>112893</v>
      </c>
      <c r="AH1013" s="3">
        <v>0</v>
      </c>
      <c r="AJ1013" s="3">
        <v>112893</v>
      </c>
    </row>
    <row r="1014" spans="1:38" x14ac:dyDescent="0.25">
      <c r="A1014">
        <v>1006</v>
      </c>
      <c r="B1014" s="29" t="s">
        <v>45</v>
      </c>
      <c r="C1014" s="29" t="s">
        <v>46</v>
      </c>
      <c r="D1014" s="4" t="str">
        <f>"17252"</f>
        <v>17252</v>
      </c>
      <c r="E1014" s="4" t="str">
        <f t="shared" si="30"/>
        <v>FE17252</v>
      </c>
      <c r="F1014" s="7">
        <v>44376</v>
      </c>
      <c r="G1014" s="7">
        <v>44386</v>
      </c>
      <c r="H1014" s="34">
        <v>116393</v>
      </c>
      <c r="I1014" s="31">
        <v>116393</v>
      </c>
      <c r="J1014" s="31">
        <f t="shared" si="31"/>
        <v>0</v>
      </c>
      <c r="K1014" s="2"/>
      <c r="N1014" s="32">
        <v>0</v>
      </c>
      <c r="Q1014" s="34">
        <v>0</v>
      </c>
      <c r="R1014" s="45"/>
      <c r="S1014" s="4">
        <f>IFERROR(VLOOKUP(E1014,'[2]td factu si'!$A:$B,1,0),0)</f>
        <v>0</v>
      </c>
      <c r="T1014" s="2">
        <f>IFERROR(VLOOKUP(E1014,'[2]td factu si'!$A:$B,2,0),0)*-1</f>
        <v>0</v>
      </c>
      <c r="W1014" s="36"/>
      <c r="AH1014" s="3">
        <v>0</v>
      </c>
      <c r="AJ1014" s="3">
        <v>0</v>
      </c>
      <c r="AL1014" s="39" t="s">
        <v>49</v>
      </c>
    </row>
    <row r="1015" spans="1:38" x14ac:dyDescent="0.25">
      <c r="A1015">
        <v>1007</v>
      </c>
      <c r="B1015" s="29" t="s">
        <v>45</v>
      </c>
      <c r="C1015" s="29" t="s">
        <v>46</v>
      </c>
      <c r="D1015" s="4" t="str">
        <f>"17253"</f>
        <v>17253</v>
      </c>
      <c r="E1015" s="4" t="str">
        <f t="shared" si="30"/>
        <v>FE17253</v>
      </c>
      <c r="F1015" s="7">
        <v>44377</v>
      </c>
      <c r="G1015" s="7">
        <v>44386</v>
      </c>
      <c r="H1015" s="34">
        <v>135855</v>
      </c>
      <c r="I1015" s="31">
        <v>135855</v>
      </c>
      <c r="J1015" s="31">
        <f t="shared" si="31"/>
        <v>0</v>
      </c>
      <c r="K1015" s="2"/>
      <c r="N1015" s="32">
        <v>0</v>
      </c>
      <c r="Q1015" s="34">
        <v>0</v>
      </c>
      <c r="R1015" s="45"/>
      <c r="S1015" s="4">
        <f>IFERROR(VLOOKUP(E1015,'[2]td factu si'!$A:$B,1,0),0)</f>
        <v>0</v>
      </c>
      <c r="T1015" s="2">
        <f>IFERROR(VLOOKUP(E1015,'[2]td factu si'!$A:$B,2,0),0)*-1</f>
        <v>0</v>
      </c>
      <c r="W1015" s="36"/>
      <c r="X1015" s="6">
        <v>135855</v>
      </c>
      <c r="AH1015" s="3">
        <v>0</v>
      </c>
      <c r="AJ1015" s="3">
        <v>135855</v>
      </c>
    </row>
    <row r="1016" spans="1:38" x14ac:dyDescent="0.25">
      <c r="A1016">
        <v>1008</v>
      </c>
      <c r="B1016" s="29" t="s">
        <v>45</v>
      </c>
      <c r="C1016" s="29" t="s">
        <v>46</v>
      </c>
      <c r="D1016" s="4" t="str">
        <f>"17254"</f>
        <v>17254</v>
      </c>
      <c r="E1016" s="4" t="str">
        <f t="shared" si="30"/>
        <v>FE17254</v>
      </c>
      <c r="F1016" s="7">
        <v>44377</v>
      </c>
      <c r="G1016" s="7">
        <v>44386</v>
      </c>
      <c r="H1016" s="34">
        <v>135855</v>
      </c>
      <c r="I1016" s="31">
        <v>120232</v>
      </c>
      <c r="J1016" s="31">
        <f t="shared" si="31"/>
        <v>15623</v>
      </c>
      <c r="K1016" s="2"/>
      <c r="N1016" s="32">
        <v>0</v>
      </c>
      <c r="Q1016" s="34">
        <v>0</v>
      </c>
      <c r="R1016" s="45"/>
      <c r="S1016" s="4">
        <f>IFERROR(VLOOKUP(E1016,'[2]td factu si'!$A:$B,1,0),0)</f>
        <v>0</v>
      </c>
      <c r="T1016" s="2">
        <f>IFERROR(VLOOKUP(E1016,'[2]td factu si'!$A:$B,2,0),0)*-1</f>
        <v>0</v>
      </c>
      <c r="W1016" s="36"/>
      <c r="X1016" s="6">
        <v>120232</v>
      </c>
      <c r="AH1016" s="3">
        <v>0</v>
      </c>
      <c r="AJ1016" s="3">
        <v>120232</v>
      </c>
    </row>
    <row r="1017" spans="1:38" x14ac:dyDescent="0.25">
      <c r="A1017">
        <v>1009</v>
      </c>
      <c r="B1017" s="29" t="s">
        <v>45</v>
      </c>
      <c r="C1017" s="29" t="s">
        <v>46</v>
      </c>
      <c r="D1017" s="4" t="str">
        <f>"17261"</f>
        <v>17261</v>
      </c>
      <c r="E1017" s="4" t="str">
        <f t="shared" si="30"/>
        <v>FE17261</v>
      </c>
      <c r="F1017" s="7">
        <v>44377</v>
      </c>
      <c r="G1017" s="7">
        <v>44386</v>
      </c>
      <c r="H1017" s="34">
        <v>8816599</v>
      </c>
      <c r="I1017" s="31">
        <v>8816599</v>
      </c>
      <c r="J1017" s="31">
        <f t="shared" si="31"/>
        <v>0</v>
      </c>
      <c r="K1017" s="2"/>
      <c r="N1017" s="32">
        <v>0</v>
      </c>
      <c r="Q1017" s="34">
        <v>0</v>
      </c>
      <c r="R1017" s="45"/>
      <c r="S1017" s="4">
        <f>IFERROR(VLOOKUP(E1017,'[2]td factu si'!$A:$B,1,0),0)</f>
        <v>0</v>
      </c>
      <c r="T1017" s="2">
        <f>IFERROR(VLOOKUP(E1017,'[2]td factu si'!$A:$B,2,0),0)*-1</f>
        <v>0</v>
      </c>
      <c r="W1017" s="36"/>
      <c r="X1017" s="6">
        <v>8816599</v>
      </c>
      <c r="AH1017" s="3">
        <v>0</v>
      </c>
      <c r="AJ1017" s="3">
        <v>8816599</v>
      </c>
    </row>
    <row r="1018" spans="1:38" x14ac:dyDescent="0.25">
      <c r="A1018">
        <v>1010</v>
      </c>
      <c r="B1018" s="29" t="s">
        <v>45</v>
      </c>
      <c r="C1018" s="29" t="s">
        <v>46</v>
      </c>
      <c r="D1018" s="4" t="str">
        <f>"17262"</f>
        <v>17262</v>
      </c>
      <c r="E1018" s="4" t="str">
        <f t="shared" si="30"/>
        <v>FE17262</v>
      </c>
      <c r="F1018" s="7">
        <v>44377</v>
      </c>
      <c r="G1018" s="7">
        <v>44386</v>
      </c>
      <c r="H1018" s="34">
        <v>3096389</v>
      </c>
      <c r="I1018" s="31">
        <v>3096389</v>
      </c>
      <c r="J1018" s="31">
        <f t="shared" si="31"/>
        <v>0</v>
      </c>
      <c r="K1018" s="2"/>
      <c r="N1018" s="32">
        <v>0</v>
      </c>
      <c r="Q1018" s="34">
        <v>0</v>
      </c>
      <c r="R1018" s="45"/>
      <c r="S1018" s="4">
        <f>IFERROR(VLOOKUP(E1018,'[2]td factu si'!$A:$B,1,0),0)</f>
        <v>0</v>
      </c>
      <c r="T1018" s="2">
        <f>IFERROR(VLOOKUP(E1018,'[2]td factu si'!$A:$B,2,0),0)*-1</f>
        <v>0</v>
      </c>
      <c r="W1018" s="36"/>
      <c r="X1018" s="6">
        <v>3096389</v>
      </c>
      <c r="AH1018" s="3">
        <v>0</v>
      </c>
      <c r="AJ1018" s="3">
        <v>3096389</v>
      </c>
    </row>
    <row r="1019" spans="1:38" x14ac:dyDescent="0.25">
      <c r="A1019">
        <v>1011</v>
      </c>
      <c r="B1019" s="29" t="s">
        <v>45</v>
      </c>
      <c r="C1019" s="29" t="s">
        <v>46</v>
      </c>
      <c r="D1019" s="4" t="str">
        <f>"17265"</f>
        <v>17265</v>
      </c>
      <c r="E1019" s="4" t="str">
        <f t="shared" si="30"/>
        <v>FE17265</v>
      </c>
      <c r="F1019" s="7">
        <v>44377</v>
      </c>
      <c r="G1019" s="7">
        <v>44386</v>
      </c>
      <c r="H1019" s="34">
        <v>2886668</v>
      </c>
      <c r="I1019" s="31">
        <v>2886668</v>
      </c>
      <c r="J1019" s="31">
        <f t="shared" si="31"/>
        <v>0</v>
      </c>
      <c r="K1019" s="2"/>
      <c r="N1019" s="32">
        <v>0</v>
      </c>
      <c r="Q1019" s="34">
        <v>0</v>
      </c>
      <c r="R1019" s="45"/>
      <c r="S1019" s="4">
        <f>IFERROR(VLOOKUP(E1019,'[2]td factu si'!$A:$B,1,0),0)</f>
        <v>0</v>
      </c>
      <c r="T1019" s="2">
        <f>IFERROR(VLOOKUP(E1019,'[2]td factu si'!$A:$B,2,0),0)*-1</f>
        <v>0</v>
      </c>
      <c r="W1019" s="36"/>
      <c r="X1019" s="6">
        <v>2886668</v>
      </c>
      <c r="AH1019" s="3">
        <v>0</v>
      </c>
      <c r="AJ1019" s="3">
        <v>2886668</v>
      </c>
    </row>
    <row r="1020" spans="1:38" x14ac:dyDescent="0.25">
      <c r="A1020">
        <v>1012</v>
      </c>
      <c r="B1020" s="29" t="s">
        <v>45</v>
      </c>
      <c r="C1020" s="29" t="s">
        <v>46</v>
      </c>
      <c r="D1020" s="4" t="str">
        <f>"17266"</f>
        <v>17266</v>
      </c>
      <c r="E1020" s="4" t="str">
        <f t="shared" si="30"/>
        <v>FE17266</v>
      </c>
      <c r="F1020" s="7">
        <v>44377</v>
      </c>
      <c r="G1020" s="7">
        <v>44386</v>
      </c>
      <c r="H1020" s="34">
        <v>2093384</v>
      </c>
      <c r="I1020" s="31">
        <v>2093384</v>
      </c>
      <c r="J1020" s="31">
        <f t="shared" si="31"/>
        <v>0</v>
      </c>
      <c r="K1020" s="2"/>
      <c r="N1020" s="32">
        <v>0</v>
      </c>
      <c r="Q1020" s="34">
        <v>0</v>
      </c>
      <c r="R1020" s="45"/>
      <c r="S1020" s="4">
        <f>IFERROR(VLOOKUP(E1020,'[2]td factu si'!$A:$B,1,0),0)</f>
        <v>0</v>
      </c>
      <c r="T1020" s="2">
        <f>IFERROR(VLOOKUP(E1020,'[2]td factu si'!$A:$B,2,0),0)*-1</f>
        <v>0</v>
      </c>
      <c r="W1020" s="36"/>
      <c r="X1020" s="6">
        <v>2093384</v>
      </c>
      <c r="AH1020" s="3">
        <v>0</v>
      </c>
      <c r="AJ1020" s="3">
        <v>2093384</v>
      </c>
    </row>
    <row r="1021" spans="1:38" x14ac:dyDescent="0.25">
      <c r="A1021">
        <v>1013</v>
      </c>
      <c r="B1021" s="29" t="s">
        <v>45</v>
      </c>
      <c r="C1021" s="29" t="s">
        <v>46</v>
      </c>
      <c r="D1021" s="4" t="str">
        <f>"17269"</f>
        <v>17269</v>
      </c>
      <c r="E1021" s="4" t="str">
        <f t="shared" si="30"/>
        <v>FE17269</v>
      </c>
      <c r="F1021" s="7">
        <v>44377</v>
      </c>
      <c r="G1021" s="7">
        <v>44386</v>
      </c>
      <c r="H1021" s="34">
        <v>181246</v>
      </c>
      <c r="I1021" s="31">
        <v>163121</v>
      </c>
      <c r="J1021" s="31">
        <f t="shared" si="31"/>
        <v>18125</v>
      </c>
      <c r="K1021" s="2"/>
      <c r="N1021" s="32">
        <v>0</v>
      </c>
      <c r="Q1021" s="34">
        <v>0</v>
      </c>
      <c r="R1021" s="45"/>
      <c r="S1021" s="4">
        <f>IFERROR(VLOOKUP(E1021,'[2]td factu si'!$A:$B,1,0),0)</f>
        <v>0</v>
      </c>
      <c r="T1021" s="2">
        <f>IFERROR(VLOOKUP(E1021,'[2]td factu si'!$A:$B,2,0),0)*-1</f>
        <v>0</v>
      </c>
      <c r="W1021" s="36"/>
      <c r="AH1021" s="3">
        <v>0</v>
      </c>
      <c r="AJ1021" s="3">
        <v>0</v>
      </c>
      <c r="AL1021" s="39" t="s">
        <v>49</v>
      </c>
    </row>
    <row r="1022" spans="1:38" x14ac:dyDescent="0.25">
      <c r="A1022">
        <v>1014</v>
      </c>
      <c r="B1022" s="29" t="s">
        <v>45</v>
      </c>
      <c r="C1022" s="29" t="s">
        <v>46</v>
      </c>
      <c r="D1022" s="4" t="str">
        <f>"17270"</f>
        <v>17270</v>
      </c>
      <c r="E1022" s="4" t="str">
        <f t="shared" si="30"/>
        <v>FE17270</v>
      </c>
      <c r="F1022" s="7">
        <v>44377</v>
      </c>
      <c r="G1022" s="7">
        <v>44386</v>
      </c>
      <c r="H1022" s="34">
        <v>2081604</v>
      </c>
      <c r="I1022" s="31">
        <v>2081604</v>
      </c>
      <c r="J1022" s="31">
        <f t="shared" si="31"/>
        <v>0</v>
      </c>
      <c r="K1022" s="2"/>
      <c r="N1022" s="32">
        <v>0</v>
      </c>
      <c r="Q1022" s="34">
        <v>0</v>
      </c>
      <c r="R1022" s="45"/>
      <c r="S1022" s="4">
        <f>IFERROR(VLOOKUP(E1022,'[2]td factu si'!$A:$B,1,0),0)</f>
        <v>0</v>
      </c>
      <c r="T1022" s="2">
        <f>IFERROR(VLOOKUP(E1022,'[2]td factu si'!$A:$B,2,0),0)*-1</f>
        <v>0</v>
      </c>
      <c r="W1022" s="36"/>
      <c r="X1022" s="6">
        <v>2081604</v>
      </c>
      <c r="AH1022" s="3">
        <v>0</v>
      </c>
      <c r="AJ1022" s="3">
        <v>2081604</v>
      </c>
    </row>
    <row r="1023" spans="1:38" x14ac:dyDescent="0.25">
      <c r="A1023">
        <v>1015</v>
      </c>
      <c r="B1023" s="29" t="s">
        <v>45</v>
      </c>
      <c r="C1023" s="29" t="s">
        <v>46</v>
      </c>
      <c r="D1023" s="4" t="str">
        <f>"17272"</f>
        <v>17272</v>
      </c>
      <c r="E1023" s="4" t="str">
        <f t="shared" si="30"/>
        <v>FE17272</v>
      </c>
      <c r="F1023" s="7">
        <v>44377</v>
      </c>
      <c r="G1023" s="7">
        <v>44386</v>
      </c>
      <c r="H1023" s="34">
        <v>135855</v>
      </c>
      <c r="I1023" s="31">
        <v>135855</v>
      </c>
      <c r="J1023" s="31">
        <f t="shared" si="31"/>
        <v>0</v>
      </c>
      <c r="K1023" s="2"/>
      <c r="N1023" s="32">
        <v>0</v>
      </c>
      <c r="Q1023" s="34">
        <v>0</v>
      </c>
      <c r="R1023" s="45"/>
      <c r="S1023" s="4">
        <f>IFERROR(VLOOKUP(E1023,'[2]td factu si'!$A:$B,1,0),0)</f>
        <v>0</v>
      </c>
      <c r="T1023" s="2">
        <f>IFERROR(VLOOKUP(E1023,'[2]td factu si'!$A:$B,2,0),0)*-1</f>
        <v>0</v>
      </c>
      <c r="W1023" s="36"/>
      <c r="X1023" s="6">
        <v>135855</v>
      </c>
      <c r="AH1023" s="3">
        <v>0</v>
      </c>
      <c r="AJ1023" s="3">
        <v>135855</v>
      </c>
    </row>
    <row r="1024" spans="1:38" x14ac:dyDescent="0.25">
      <c r="A1024">
        <v>1016</v>
      </c>
      <c r="B1024" s="29" t="s">
        <v>45</v>
      </c>
      <c r="C1024" s="29" t="s">
        <v>46</v>
      </c>
      <c r="D1024" s="4" t="str">
        <f>"17275"</f>
        <v>17275</v>
      </c>
      <c r="E1024" s="4" t="str">
        <f t="shared" si="30"/>
        <v>FE17275</v>
      </c>
      <c r="F1024" s="7">
        <v>44377</v>
      </c>
      <c r="G1024" s="7">
        <v>44386</v>
      </c>
      <c r="H1024" s="34">
        <v>135855</v>
      </c>
      <c r="I1024" s="31">
        <v>135855</v>
      </c>
      <c r="J1024" s="31">
        <f t="shared" si="31"/>
        <v>0</v>
      </c>
      <c r="K1024" s="2"/>
      <c r="N1024" s="32">
        <v>0</v>
      </c>
      <c r="Q1024" s="34">
        <v>0</v>
      </c>
      <c r="R1024" s="45"/>
      <c r="S1024" s="4">
        <f>IFERROR(VLOOKUP(E1024,'[2]td factu si'!$A:$B,1,0),0)</f>
        <v>0</v>
      </c>
      <c r="T1024" s="2">
        <f>IFERROR(VLOOKUP(E1024,'[2]td factu si'!$A:$B,2,0),0)*-1</f>
        <v>0</v>
      </c>
      <c r="W1024" s="36"/>
      <c r="X1024" s="6">
        <v>135855</v>
      </c>
      <c r="AH1024" s="3">
        <v>0</v>
      </c>
      <c r="AJ1024" s="3">
        <v>135855</v>
      </c>
    </row>
    <row r="1025" spans="1:38" x14ac:dyDescent="0.25">
      <c r="A1025">
        <v>1017</v>
      </c>
      <c r="B1025" s="29" t="s">
        <v>45</v>
      </c>
      <c r="C1025" s="29" t="s">
        <v>46</v>
      </c>
      <c r="D1025" s="4" t="str">
        <f>"17280"</f>
        <v>17280</v>
      </c>
      <c r="E1025" s="4" t="str">
        <f t="shared" si="30"/>
        <v>FE17280</v>
      </c>
      <c r="F1025" s="7">
        <v>44377</v>
      </c>
      <c r="G1025" s="7">
        <v>44386</v>
      </c>
      <c r="H1025" s="34">
        <v>181246</v>
      </c>
      <c r="I1025" s="31">
        <v>181246</v>
      </c>
      <c r="J1025" s="31">
        <f t="shared" si="31"/>
        <v>0</v>
      </c>
      <c r="K1025" s="2"/>
      <c r="N1025" s="32">
        <v>0</v>
      </c>
      <c r="Q1025" s="34">
        <v>0</v>
      </c>
      <c r="R1025" s="45"/>
      <c r="S1025" s="4">
        <f>IFERROR(VLOOKUP(E1025,'[2]td factu si'!$A:$B,1,0),0)</f>
        <v>0</v>
      </c>
      <c r="T1025" s="2">
        <f>IFERROR(VLOOKUP(E1025,'[2]td factu si'!$A:$B,2,0),0)*-1</f>
        <v>0</v>
      </c>
      <c r="W1025" s="36"/>
      <c r="X1025" s="6">
        <v>181246</v>
      </c>
      <c r="AH1025" s="3">
        <v>0</v>
      </c>
      <c r="AJ1025" s="3">
        <v>181246</v>
      </c>
    </row>
    <row r="1026" spans="1:38" x14ac:dyDescent="0.25">
      <c r="A1026">
        <v>1018</v>
      </c>
      <c r="B1026" s="29" t="s">
        <v>45</v>
      </c>
      <c r="C1026" s="29" t="s">
        <v>46</v>
      </c>
      <c r="D1026" s="4" t="str">
        <f>"17281"</f>
        <v>17281</v>
      </c>
      <c r="E1026" s="4" t="str">
        <f t="shared" si="30"/>
        <v>FE17281</v>
      </c>
      <c r="F1026" s="7">
        <v>44377</v>
      </c>
      <c r="G1026" s="7">
        <v>44386</v>
      </c>
      <c r="H1026" s="34">
        <v>181246</v>
      </c>
      <c r="I1026" s="31">
        <v>181246</v>
      </c>
      <c r="J1026" s="31">
        <f t="shared" si="31"/>
        <v>0</v>
      </c>
      <c r="K1026" s="2"/>
      <c r="N1026" s="32">
        <v>0</v>
      </c>
      <c r="Q1026" s="34">
        <v>0</v>
      </c>
      <c r="R1026" s="45"/>
      <c r="S1026" s="4">
        <f>IFERROR(VLOOKUP(E1026,'[2]td factu si'!$A:$B,1,0),0)</f>
        <v>0</v>
      </c>
      <c r="T1026" s="2">
        <f>IFERROR(VLOOKUP(E1026,'[2]td factu si'!$A:$B,2,0),0)*-1</f>
        <v>0</v>
      </c>
      <c r="W1026" s="36"/>
      <c r="X1026" s="6">
        <v>181246</v>
      </c>
      <c r="AH1026" s="3">
        <v>0</v>
      </c>
      <c r="AJ1026" s="3">
        <v>181246</v>
      </c>
    </row>
    <row r="1027" spans="1:38" x14ac:dyDescent="0.25">
      <c r="A1027">
        <v>1019</v>
      </c>
      <c r="B1027" s="29" t="s">
        <v>45</v>
      </c>
      <c r="C1027" s="29" t="s">
        <v>46</v>
      </c>
      <c r="D1027" s="4" t="str">
        <f>"17283"</f>
        <v>17283</v>
      </c>
      <c r="E1027" s="4" t="str">
        <f t="shared" si="30"/>
        <v>FE17283</v>
      </c>
      <c r="F1027" s="7">
        <v>44377</v>
      </c>
      <c r="G1027" s="7">
        <v>44386</v>
      </c>
      <c r="H1027" s="34">
        <v>181246</v>
      </c>
      <c r="I1027" s="31">
        <v>181246</v>
      </c>
      <c r="J1027" s="31">
        <f t="shared" si="31"/>
        <v>0</v>
      </c>
      <c r="K1027" s="2"/>
      <c r="N1027" s="32">
        <v>0</v>
      </c>
      <c r="Q1027" s="34">
        <v>0</v>
      </c>
      <c r="R1027" s="45"/>
      <c r="S1027" s="4">
        <f>IFERROR(VLOOKUP(E1027,'[2]td factu si'!$A:$B,1,0),0)</f>
        <v>0</v>
      </c>
      <c r="T1027" s="2">
        <f>IFERROR(VLOOKUP(E1027,'[2]td factu si'!$A:$B,2,0),0)*-1</f>
        <v>0</v>
      </c>
      <c r="W1027" s="36"/>
      <c r="X1027" s="6">
        <v>181246</v>
      </c>
      <c r="AH1027" s="3">
        <v>0</v>
      </c>
      <c r="AJ1027" s="3">
        <v>181246</v>
      </c>
    </row>
    <row r="1028" spans="1:38" x14ac:dyDescent="0.25">
      <c r="A1028">
        <v>1020</v>
      </c>
      <c r="B1028" s="29" t="s">
        <v>45</v>
      </c>
      <c r="C1028" s="29" t="s">
        <v>46</v>
      </c>
      <c r="D1028" s="4" t="str">
        <f>"17284"</f>
        <v>17284</v>
      </c>
      <c r="E1028" s="4" t="str">
        <f t="shared" si="30"/>
        <v>FE17284</v>
      </c>
      <c r="F1028" s="7">
        <v>44377</v>
      </c>
      <c r="G1028" s="7">
        <v>44386</v>
      </c>
      <c r="H1028" s="34">
        <v>15489</v>
      </c>
      <c r="I1028" s="31">
        <v>15489</v>
      </c>
      <c r="J1028" s="31">
        <f t="shared" si="31"/>
        <v>0</v>
      </c>
      <c r="K1028" s="2"/>
      <c r="N1028" s="32">
        <v>0</v>
      </c>
      <c r="Q1028" s="34">
        <v>0</v>
      </c>
      <c r="R1028" s="45"/>
      <c r="S1028" s="4">
        <f>IFERROR(VLOOKUP(E1028,'[2]td factu si'!$A:$B,1,0),0)</f>
        <v>0</v>
      </c>
      <c r="T1028" s="2">
        <f>IFERROR(VLOOKUP(E1028,'[2]td factu si'!$A:$B,2,0),0)*-1</f>
        <v>0</v>
      </c>
      <c r="W1028" s="36"/>
      <c r="X1028" s="6">
        <v>15489</v>
      </c>
      <c r="AH1028" s="3">
        <v>0</v>
      </c>
      <c r="AJ1028" s="3">
        <v>15489</v>
      </c>
    </row>
    <row r="1029" spans="1:38" x14ac:dyDescent="0.25">
      <c r="A1029">
        <v>1021</v>
      </c>
      <c r="B1029" s="29" t="s">
        <v>45</v>
      </c>
      <c r="C1029" s="29" t="s">
        <v>46</v>
      </c>
      <c r="D1029" s="4" t="str">
        <f>"17286"</f>
        <v>17286</v>
      </c>
      <c r="E1029" s="4" t="str">
        <f t="shared" si="30"/>
        <v>FE17286</v>
      </c>
      <c r="F1029" s="7">
        <v>44377</v>
      </c>
      <c r="G1029" s="7">
        <v>44386</v>
      </c>
      <c r="H1029" s="34">
        <v>230397</v>
      </c>
      <c r="I1029" s="31">
        <v>230397</v>
      </c>
      <c r="J1029" s="31">
        <f t="shared" si="31"/>
        <v>0</v>
      </c>
      <c r="K1029" s="2"/>
      <c r="N1029" s="32">
        <v>0</v>
      </c>
      <c r="Q1029" s="34">
        <v>0</v>
      </c>
      <c r="R1029" s="45"/>
      <c r="S1029" s="4">
        <f>IFERROR(VLOOKUP(E1029,'[2]td factu si'!$A:$B,1,0),0)</f>
        <v>0</v>
      </c>
      <c r="T1029" s="2">
        <f>IFERROR(VLOOKUP(E1029,'[2]td factu si'!$A:$B,2,0),0)*-1</f>
        <v>0</v>
      </c>
      <c r="W1029" s="36"/>
      <c r="X1029" s="6">
        <v>230397</v>
      </c>
      <c r="AH1029" s="3">
        <v>0</v>
      </c>
      <c r="AJ1029" s="3">
        <v>230397</v>
      </c>
    </row>
    <row r="1030" spans="1:38" x14ac:dyDescent="0.25">
      <c r="A1030">
        <v>1022</v>
      </c>
      <c r="B1030" s="29" t="s">
        <v>45</v>
      </c>
      <c r="C1030" s="29" t="s">
        <v>46</v>
      </c>
      <c r="D1030" s="4" t="str">
        <f>"17288"</f>
        <v>17288</v>
      </c>
      <c r="E1030" s="4" t="str">
        <f t="shared" si="30"/>
        <v>FE17288</v>
      </c>
      <c r="F1030" s="7">
        <v>44377</v>
      </c>
      <c r="G1030" s="7">
        <v>44386</v>
      </c>
      <c r="H1030" s="34">
        <v>181246</v>
      </c>
      <c r="I1030" s="31">
        <v>181246</v>
      </c>
      <c r="J1030" s="31">
        <f t="shared" si="31"/>
        <v>0</v>
      </c>
      <c r="K1030" s="2"/>
      <c r="N1030" s="32">
        <v>0</v>
      </c>
      <c r="Q1030" s="34">
        <v>0</v>
      </c>
      <c r="R1030" s="45"/>
      <c r="S1030" s="4">
        <f>IFERROR(VLOOKUP(E1030,'[2]td factu si'!$A:$B,1,0),0)</f>
        <v>0</v>
      </c>
      <c r="T1030" s="2">
        <f>IFERROR(VLOOKUP(E1030,'[2]td factu si'!$A:$B,2,0),0)*-1</f>
        <v>0</v>
      </c>
      <c r="W1030" s="36"/>
      <c r="X1030" s="6">
        <v>181246</v>
      </c>
      <c r="AH1030" s="3">
        <v>0</v>
      </c>
      <c r="AJ1030" s="3">
        <v>181246</v>
      </c>
    </row>
    <row r="1031" spans="1:38" x14ac:dyDescent="0.25">
      <c r="A1031">
        <v>1023</v>
      </c>
      <c r="B1031" s="29" t="s">
        <v>45</v>
      </c>
      <c r="C1031" s="29" t="s">
        <v>46</v>
      </c>
      <c r="D1031" s="4" t="str">
        <f>"17289"</f>
        <v>17289</v>
      </c>
      <c r="E1031" s="4" t="str">
        <f t="shared" si="30"/>
        <v>FE17289</v>
      </c>
      <c r="F1031" s="7">
        <v>44377</v>
      </c>
      <c r="G1031" s="7">
        <v>44386</v>
      </c>
      <c r="H1031" s="34">
        <v>339170</v>
      </c>
      <c r="I1031" s="31">
        <v>339170</v>
      </c>
      <c r="J1031" s="31">
        <f t="shared" si="31"/>
        <v>0</v>
      </c>
      <c r="K1031" s="2"/>
      <c r="N1031" s="32">
        <v>0</v>
      </c>
      <c r="Q1031" s="34">
        <v>0</v>
      </c>
      <c r="R1031" s="45"/>
      <c r="S1031" s="4">
        <f>IFERROR(VLOOKUP(E1031,'[2]td factu si'!$A:$B,1,0),0)</f>
        <v>0</v>
      </c>
      <c r="T1031" s="2">
        <f>IFERROR(VLOOKUP(E1031,'[2]td factu si'!$A:$B,2,0),0)*-1</f>
        <v>0</v>
      </c>
      <c r="W1031" s="36"/>
      <c r="X1031" s="6">
        <v>339170</v>
      </c>
      <c r="AH1031" s="3">
        <v>0</v>
      </c>
      <c r="AJ1031" s="3">
        <v>339170</v>
      </c>
    </row>
    <row r="1032" spans="1:38" x14ac:dyDescent="0.25">
      <c r="A1032">
        <v>1024</v>
      </c>
      <c r="B1032" s="29" t="s">
        <v>45</v>
      </c>
      <c r="C1032" s="29" t="s">
        <v>46</v>
      </c>
      <c r="D1032" s="4" t="str">
        <f>"17293"</f>
        <v>17293</v>
      </c>
      <c r="E1032" s="4" t="str">
        <f t="shared" si="30"/>
        <v>FE17293</v>
      </c>
      <c r="F1032" s="7">
        <v>44377</v>
      </c>
      <c r="G1032" s="7">
        <v>44386</v>
      </c>
      <c r="H1032" s="34">
        <v>15489</v>
      </c>
      <c r="I1032" s="31">
        <v>11989</v>
      </c>
      <c r="J1032" s="31">
        <f t="shared" si="31"/>
        <v>3500</v>
      </c>
      <c r="K1032" s="2"/>
      <c r="N1032" s="32">
        <v>0</v>
      </c>
      <c r="Q1032" s="34">
        <v>0</v>
      </c>
      <c r="R1032" s="45"/>
      <c r="S1032" s="4">
        <f>IFERROR(VLOOKUP(E1032,'[2]td factu si'!$A:$B,1,0),0)</f>
        <v>0</v>
      </c>
      <c r="T1032" s="2">
        <f>IFERROR(VLOOKUP(E1032,'[2]td factu si'!$A:$B,2,0),0)*-1</f>
        <v>0</v>
      </c>
      <c r="W1032" s="36"/>
      <c r="X1032" s="6">
        <v>11989</v>
      </c>
      <c r="AH1032" s="3">
        <v>0</v>
      </c>
      <c r="AJ1032" s="3">
        <v>11989</v>
      </c>
    </row>
    <row r="1033" spans="1:38" x14ac:dyDescent="0.25">
      <c r="A1033">
        <v>1025</v>
      </c>
      <c r="B1033" s="29" t="s">
        <v>45</v>
      </c>
      <c r="C1033" s="29" t="s">
        <v>46</v>
      </c>
      <c r="D1033" s="4" t="str">
        <f>"17295"</f>
        <v>17295</v>
      </c>
      <c r="E1033" s="4" t="str">
        <f t="shared" si="30"/>
        <v>FE17295</v>
      </c>
      <c r="F1033" s="7">
        <v>44377</v>
      </c>
      <c r="G1033" s="7">
        <v>44386</v>
      </c>
      <c r="H1033" s="34">
        <v>15489</v>
      </c>
      <c r="I1033" s="31">
        <v>11989</v>
      </c>
      <c r="J1033" s="31">
        <f t="shared" si="31"/>
        <v>3500</v>
      </c>
      <c r="K1033" s="2"/>
      <c r="N1033" s="32">
        <v>0</v>
      </c>
      <c r="Q1033" s="34">
        <v>0</v>
      </c>
      <c r="R1033" s="45"/>
      <c r="S1033" s="4">
        <f>IFERROR(VLOOKUP(E1033,'[2]td factu si'!$A:$B,1,0),0)</f>
        <v>0</v>
      </c>
      <c r="T1033" s="2">
        <f>IFERROR(VLOOKUP(E1033,'[2]td factu si'!$A:$B,2,0),0)*-1</f>
        <v>0</v>
      </c>
      <c r="W1033" s="36"/>
      <c r="X1033" s="6">
        <v>11989</v>
      </c>
      <c r="AH1033" s="3">
        <v>0</v>
      </c>
      <c r="AJ1033" s="3">
        <v>11989</v>
      </c>
    </row>
    <row r="1034" spans="1:38" x14ac:dyDescent="0.25">
      <c r="A1034">
        <v>1026</v>
      </c>
      <c r="B1034" s="29" t="s">
        <v>45</v>
      </c>
      <c r="C1034" s="29" t="s">
        <v>46</v>
      </c>
      <c r="D1034" s="4" t="str">
        <f>"17296"</f>
        <v>17296</v>
      </c>
      <c r="E1034" s="4" t="str">
        <f t="shared" ref="E1034:E1097" si="32">_xlfn.CONCAT(C1034,D1034)</f>
        <v>FE17296</v>
      </c>
      <c r="F1034" s="7">
        <v>44377</v>
      </c>
      <c r="G1034" s="7">
        <v>44386</v>
      </c>
      <c r="H1034" s="34">
        <v>15489</v>
      </c>
      <c r="I1034" s="31">
        <v>13940</v>
      </c>
      <c r="J1034" s="31">
        <f t="shared" ref="J1034:J1097" si="33">+H1034-I1034</f>
        <v>1549</v>
      </c>
      <c r="K1034" s="2"/>
      <c r="N1034" s="32">
        <v>0</v>
      </c>
      <c r="Q1034" s="34">
        <v>0</v>
      </c>
      <c r="R1034" s="45"/>
      <c r="S1034" s="4">
        <f>IFERROR(VLOOKUP(E1034,'[2]td factu si'!$A:$B,1,0),0)</f>
        <v>0</v>
      </c>
      <c r="T1034" s="2">
        <f>IFERROR(VLOOKUP(E1034,'[2]td factu si'!$A:$B,2,0),0)*-1</f>
        <v>0</v>
      </c>
      <c r="W1034" s="36"/>
      <c r="X1034" s="6">
        <v>13940</v>
      </c>
      <c r="AH1034" s="3">
        <v>0</v>
      </c>
      <c r="AJ1034" s="3">
        <v>13940</v>
      </c>
    </row>
    <row r="1035" spans="1:38" x14ac:dyDescent="0.25">
      <c r="A1035">
        <v>1027</v>
      </c>
      <c r="B1035" s="29" t="s">
        <v>45</v>
      </c>
      <c r="C1035" s="29" t="s">
        <v>46</v>
      </c>
      <c r="D1035" s="4" t="str">
        <f>"17297"</f>
        <v>17297</v>
      </c>
      <c r="E1035" s="4" t="str">
        <f t="shared" si="32"/>
        <v>FE17297</v>
      </c>
      <c r="F1035" s="7">
        <v>44377</v>
      </c>
      <c r="G1035" s="7">
        <v>44386</v>
      </c>
      <c r="H1035" s="34">
        <v>15489</v>
      </c>
      <c r="I1035" s="31">
        <v>15489</v>
      </c>
      <c r="J1035" s="31">
        <f t="shared" si="33"/>
        <v>0</v>
      </c>
      <c r="K1035" s="2"/>
      <c r="N1035" s="32">
        <v>0</v>
      </c>
      <c r="Q1035" s="34">
        <v>0</v>
      </c>
      <c r="R1035" s="45"/>
      <c r="S1035" s="4">
        <f>IFERROR(VLOOKUP(E1035,'[2]td factu si'!$A:$B,1,0),0)</f>
        <v>0</v>
      </c>
      <c r="T1035" s="2">
        <f>IFERROR(VLOOKUP(E1035,'[2]td factu si'!$A:$B,2,0),0)*-1</f>
        <v>0</v>
      </c>
      <c r="W1035" s="36"/>
      <c r="AH1035" s="3">
        <v>0</v>
      </c>
      <c r="AJ1035" s="3">
        <v>0</v>
      </c>
      <c r="AL1035" s="39" t="s">
        <v>49</v>
      </c>
    </row>
    <row r="1036" spans="1:38" x14ac:dyDescent="0.25">
      <c r="A1036">
        <v>1028</v>
      </c>
      <c r="B1036" s="29" t="s">
        <v>45</v>
      </c>
      <c r="C1036" s="29" t="s">
        <v>46</v>
      </c>
      <c r="D1036" s="4" t="str">
        <f>"17298"</f>
        <v>17298</v>
      </c>
      <c r="E1036" s="4" t="str">
        <f t="shared" si="32"/>
        <v>FE17298</v>
      </c>
      <c r="F1036" s="7">
        <v>44377</v>
      </c>
      <c r="G1036" s="7">
        <v>44386</v>
      </c>
      <c r="H1036" s="34">
        <v>15489</v>
      </c>
      <c r="I1036" s="31">
        <v>15489</v>
      </c>
      <c r="J1036" s="31">
        <f t="shared" si="33"/>
        <v>0</v>
      </c>
      <c r="K1036" s="2"/>
      <c r="N1036" s="32">
        <v>0</v>
      </c>
      <c r="Q1036" s="34">
        <v>0</v>
      </c>
      <c r="R1036" s="45"/>
      <c r="S1036" s="4">
        <f>IFERROR(VLOOKUP(E1036,'[2]td factu si'!$A:$B,1,0),0)</f>
        <v>0</v>
      </c>
      <c r="T1036" s="2">
        <f>IFERROR(VLOOKUP(E1036,'[2]td factu si'!$A:$B,2,0),0)*-1</f>
        <v>0</v>
      </c>
      <c r="W1036" s="36"/>
      <c r="X1036" s="6">
        <v>15489</v>
      </c>
      <c r="AH1036" s="3">
        <v>0</v>
      </c>
      <c r="AJ1036" s="3">
        <v>15489</v>
      </c>
    </row>
    <row r="1037" spans="1:38" x14ac:dyDescent="0.25">
      <c r="A1037">
        <v>1029</v>
      </c>
      <c r="B1037" s="29" t="s">
        <v>45</v>
      </c>
      <c r="C1037" s="29" t="s">
        <v>46</v>
      </c>
      <c r="D1037" s="4" t="str">
        <f>"17302"</f>
        <v>17302</v>
      </c>
      <c r="E1037" s="4" t="str">
        <f t="shared" si="32"/>
        <v>FE17302</v>
      </c>
      <c r="F1037" s="7">
        <v>44377</v>
      </c>
      <c r="G1037" s="7">
        <v>44386</v>
      </c>
      <c r="H1037" s="34">
        <v>15489</v>
      </c>
      <c r="I1037" s="31">
        <v>15489</v>
      </c>
      <c r="J1037" s="31">
        <f t="shared" si="33"/>
        <v>0</v>
      </c>
      <c r="K1037" s="2"/>
      <c r="N1037" s="32">
        <v>0</v>
      </c>
      <c r="Q1037" s="34">
        <v>0</v>
      </c>
      <c r="R1037" s="45"/>
      <c r="S1037" s="4">
        <f>IFERROR(VLOOKUP(E1037,'[2]td factu si'!$A:$B,1,0),0)</f>
        <v>0</v>
      </c>
      <c r="T1037" s="2">
        <f>IFERROR(VLOOKUP(E1037,'[2]td factu si'!$A:$B,2,0),0)*-1</f>
        <v>0</v>
      </c>
      <c r="W1037" s="36"/>
      <c r="X1037" s="6">
        <v>15489</v>
      </c>
      <c r="AH1037" s="3">
        <v>0</v>
      </c>
      <c r="AJ1037" s="3">
        <v>15489</v>
      </c>
    </row>
    <row r="1038" spans="1:38" x14ac:dyDescent="0.25">
      <c r="A1038">
        <v>1030</v>
      </c>
      <c r="B1038" s="29" t="s">
        <v>45</v>
      </c>
      <c r="C1038" s="29" t="s">
        <v>46</v>
      </c>
      <c r="D1038" s="4" t="str">
        <f>"17304"</f>
        <v>17304</v>
      </c>
      <c r="E1038" s="4" t="str">
        <f t="shared" si="32"/>
        <v>FE17304</v>
      </c>
      <c r="F1038" s="7">
        <v>44377</v>
      </c>
      <c r="G1038" s="7">
        <v>44386</v>
      </c>
      <c r="H1038" s="34">
        <v>15489</v>
      </c>
      <c r="I1038" s="31">
        <v>15489</v>
      </c>
      <c r="J1038" s="31">
        <f t="shared" si="33"/>
        <v>0</v>
      </c>
      <c r="K1038" s="2"/>
      <c r="N1038" s="32">
        <v>0</v>
      </c>
      <c r="Q1038" s="34">
        <v>0</v>
      </c>
      <c r="R1038" s="45"/>
      <c r="S1038" s="4">
        <f>IFERROR(VLOOKUP(E1038,'[2]td factu si'!$A:$B,1,0),0)</f>
        <v>0</v>
      </c>
      <c r="T1038" s="2">
        <f>IFERROR(VLOOKUP(E1038,'[2]td factu si'!$A:$B,2,0),0)*-1</f>
        <v>0</v>
      </c>
      <c r="W1038" s="36"/>
      <c r="X1038" s="6">
        <v>15489</v>
      </c>
      <c r="AH1038" s="3">
        <v>0</v>
      </c>
      <c r="AJ1038" s="3">
        <v>15489</v>
      </c>
    </row>
    <row r="1039" spans="1:38" x14ac:dyDescent="0.25">
      <c r="A1039">
        <v>1031</v>
      </c>
      <c r="B1039" s="29" t="s">
        <v>45</v>
      </c>
      <c r="C1039" s="29" t="s">
        <v>46</v>
      </c>
      <c r="D1039" s="4" t="str">
        <f>"17318"</f>
        <v>17318</v>
      </c>
      <c r="E1039" s="4" t="str">
        <f t="shared" si="32"/>
        <v>FE17318</v>
      </c>
      <c r="F1039" s="7">
        <v>44377</v>
      </c>
      <c r="G1039" s="7">
        <v>44386</v>
      </c>
      <c r="H1039" s="34">
        <v>181246</v>
      </c>
      <c r="I1039" s="31">
        <v>181246</v>
      </c>
      <c r="J1039" s="31">
        <f t="shared" si="33"/>
        <v>0</v>
      </c>
      <c r="K1039" s="2"/>
      <c r="N1039" s="32">
        <v>0</v>
      </c>
      <c r="Q1039" s="34">
        <v>0</v>
      </c>
      <c r="R1039" s="45"/>
      <c r="S1039" s="4">
        <f>IFERROR(VLOOKUP(E1039,'[2]td factu si'!$A:$B,1,0),0)</f>
        <v>0</v>
      </c>
      <c r="T1039" s="2">
        <f>IFERROR(VLOOKUP(E1039,'[2]td factu si'!$A:$B,2,0),0)*-1</f>
        <v>0</v>
      </c>
      <c r="W1039" s="36"/>
      <c r="X1039" s="6">
        <v>181246</v>
      </c>
      <c r="AH1039" s="3">
        <v>0</v>
      </c>
      <c r="AJ1039" s="3">
        <v>181246</v>
      </c>
    </row>
    <row r="1040" spans="1:38" x14ac:dyDescent="0.25">
      <c r="A1040">
        <v>1032</v>
      </c>
      <c r="B1040" s="29" t="s">
        <v>45</v>
      </c>
      <c r="C1040" s="29" t="s">
        <v>46</v>
      </c>
      <c r="D1040" s="4" t="str">
        <f>"17319"</f>
        <v>17319</v>
      </c>
      <c r="E1040" s="4" t="str">
        <f t="shared" si="32"/>
        <v>FE17319</v>
      </c>
      <c r="F1040" s="7">
        <v>44377</v>
      </c>
      <c r="G1040" s="7">
        <v>44386</v>
      </c>
      <c r="H1040" s="34">
        <v>135855</v>
      </c>
      <c r="I1040" s="31">
        <v>135855</v>
      </c>
      <c r="J1040" s="31">
        <f t="shared" si="33"/>
        <v>0</v>
      </c>
      <c r="K1040" s="2"/>
      <c r="N1040" s="32">
        <v>0</v>
      </c>
      <c r="Q1040" s="34">
        <v>0</v>
      </c>
      <c r="R1040" s="45"/>
      <c r="S1040" s="4">
        <f>IFERROR(VLOOKUP(E1040,'[2]td factu si'!$A:$B,1,0),0)</f>
        <v>0</v>
      </c>
      <c r="T1040" s="2">
        <f>IFERROR(VLOOKUP(E1040,'[2]td factu si'!$A:$B,2,0),0)*-1</f>
        <v>0</v>
      </c>
      <c r="W1040" s="36"/>
      <c r="X1040" s="6">
        <v>135855</v>
      </c>
      <c r="AH1040" s="3">
        <v>0</v>
      </c>
      <c r="AJ1040" s="3">
        <v>135855</v>
      </c>
    </row>
    <row r="1041" spans="1:38" x14ac:dyDescent="0.25">
      <c r="A1041">
        <v>1033</v>
      </c>
      <c r="B1041" s="29" t="s">
        <v>45</v>
      </c>
      <c r="C1041" s="29" t="s">
        <v>46</v>
      </c>
      <c r="D1041" s="4" t="str">
        <f>"17320"</f>
        <v>17320</v>
      </c>
      <c r="E1041" s="4" t="str">
        <f t="shared" si="32"/>
        <v>FE17320</v>
      </c>
      <c r="F1041" s="7">
        <v>44377</v>
      </c>
      <c r="G1041" s="7">
        <v>44386</v>
      </c>
      <c r="H1041" s="34">
        <v>135855</v>
      </c>
      <c r="I1041" s="31">
        <v>122270</v>
      </c>
      <c r="J1041" s="31">
        <f t="shared" si="33"/>
        <v>13585</v>
      </c>
      <c r="K1041" s="2"/>
      <c r="N1041" s="32">
        <v>0</v>
      </c>
      <c r="Q1041" s="34">
        <v>0</v>
      </c>
      <c r="R1041" s="45"/>
      <c r="S1041" s="4">
        <f>IFERROR(VLOOKUP(E1041,'[2]td factu si'!$A:$B,1,0),0)</f>
        <v>0</v>
      </c>
      <c r="T1041" s="2">
        <f>IFERROR(VLOOKUP(E1041,'[2]td factu si'!$A:$B,2,0),0)*-1</f>
        <v>0</v>
      </c>
      <c r="W1041" s="36"/>
      <c r="X1041" s="6">
        <v>122270</v>
      </c>
      <c r="AH1041" s="3">
        <v>0</v>
      </c>
      <c r="AJ1041" s="3">
        <v>122270</v>
      </c>
    </row>
    <row r="1042" spans="1:38" x14ac:dyDescent="0.25">
      <c r="A1042">
        <v>1034</v>
      </c>
      <c r="B1042" s="29" t="s">
        <v>45</v>
      </c>
      <c r="C1042" s="29" t="s">
        <v>46</v>
      </c>
      <c r="D1042" s="4" t="str">
        <f>"17321"</f>
        <v>17321</v>
      </c>
      <c r="E1042" s="4" t="str">
        <f t="shared" si="32"/>
        <v>FE17321</v>
      </c>
      <c r="F1042" s="7">
        <v>44377</v>
      </c>
      <c r="G1042" s="7">
        <v>44386</v>
      </c>
      <c r="H1042" s="34">
        <v>317101</v>
      </c>
      <c r="I1042" s="31">
        <v>310101</v>
      </c>
      <c r="J1042" s="31">
        <f t="shared" si="33"/>
        <v>7000</v>
      </c>
      <c r="K1042" s="2"/>
      <c r="N1042" s="32">
        <v>0</v>
      </c>
      <c r="Q1042" s="34">
        <v>0</v>
      </c>
      <c r="R1042" s="45"/>
      <c r="S1042" s="4">
        <f>IFERROR(VLOOKUP(E1042,'[2]td factu si'!$A:$B,1,0),0)</f>
        <v>0</v>
      </c>
      <c r="T1042" s="2">
        <f>IFERROR(VLOOKUP(E1042,'[2]td factu si'!$A:$B,2,0),0)*-1</f>
        <v>0</v>
      </c>
      <c r="W1042" s="36"/>
      <c r="X1042" s="6">
        <v>310101</v>
      </c>
      <c r="AH1042" s="3">
        <v>0</v>
      </c>
      <c r="AJ1042" s="3">
        <v>310101</v>
      </c>
    </row>
    <row r="1043" spans="1:38" x14ac:dyDescent="0.25">
      <c r="A1043">
        <v>1035</v>
      </c>
      <c r="B1043" s="29" t="s">
        <v>45</v>
      </c>
      <c r="C1043" s="29" t="s">
        <v>46</v>
      </c>
      <c r="D1043" s="4" t="str">
        <f>"17322"</f>
        <v>17322</v>
      </c>
      <c r="E1043" s="4" t="str">
        <f t="shared" si="32"/>
        <v>FE17322</v>
      </c>
      <c r="F1043" s="7">
        <v>44377</v>
      </c>
      <c r="G1043" s="7">
        <v>44386</v>
      </c>
      <c r="H1043" s="34">
        <v>135855</v>
      </c>
      <c r="I1043" s="31">
        <v>132355</v>
      </c>
      <c r="J1043" s="31">
        <f t="shared" si="33"/>
        <v>3500</v>
      </c>
      <c r="K1043" s="2"/>
      <c r="N1043" s="32">
        <v>0</v>
      </c>
      <c r="Q1043" s="34">
        <v>0</v>
      </c>
      <c r="R1043" s="45"/>
      <c r="S1043" s="4">
        <f>IFERROR(VLOOKUP(E1043,'[2]td factu si'!$A:$B,1,0),0)</f>
        <v>0</v>
      </c>
      <c r="T1043" s="2">
        <f>IFERROR(VLOOKUP(E1043,'[2]td factu si'!$A:$B,2,0),0)*-1</f>
        <v>0</v>
      </c>
      <c r="W1043" s="36"/>
      <c r="X1043" s="6">
        <v>132355</v>
      </c>
      <c r="AH1043" s="3">
        <v>0</v>
      </c>
      <c r="AJ1043" s="3">
        <v>132355</v>
      </c>
    </row>
    <row r="1044" spans="1:38" x14ac:dyDescent="0.25">
      <c r="A1044">
        <v>1036</v>
      </c>
      <c r="B1044" s="29" t="s">
        <v>45</v>
      </c>
      <c r="C1044" s="29" t="s">
        <v>46</v>
      </c>
      <c r="D1044" s="4" t="str">
        <f>"17323"</f>
        <v>17323</v>
      </c>
      <c r="E1044" s="4" t="str">
        <f t="shared" si="32"/>
        <v>FE17323</v>
      </c>
      <c r="F1044" s="7">
        <v>44377</v>
      </c>
      <c r="G1044" s="7">
        <v>44386</v>
      </c>
      <c r="H1044" s="34">
        <v>135855</v>
      </c>
      <c r="I1044" s="31">
        <v>135855</v>
      </c>
      <c r="J1044" s="31">
        <f t="shared" si="33"/>
        <v>0</v>
      </c>
      <c r="K1044" s="2"/>
      <c r="N1044" s="32">
        <v>0</v>
      </c>
      <c r="Q1044" s="34">
        <v>0</v>
      </c>
      <c r="R1044" s="45"/>
      <c r="S1044" s="4">
        <f>IFERROR(VLOOKUP(E1044,'[2]td factu si'!$A:$B,1,0),0)</f>
        <v>0</v>
      </c>
      <c r="T1044" s="2">
        <f>IFERROR(VLOOKUP(E1044,'[2]td factu si'!$A:$B,2,0),0)*-1</f>
        <v>0</v>
      </c>
      <c r="W1044" s="36"/>
      <c r="X1044" s="6">
        <v>135855</v>
      </c>
      <c r="AH1044" s="3">
        <v>0</v>
      </c>
      <c r="AJ1044" s="3">
        <v>135855</v>
      </c>
    </row>
    <row r="1045" spans="1:38" x14ac:dyDescent="0.25">
      <c r="A1045">
        <v>1037</v>
      </c>
      <c r="B1045" s="29" t="s">
        <v>45</v>
      </c>
      <c r="C1045" s="29" t="s">
        <v>46</v>
      </c>
      <c r="D1045" s="4" t="str">
        <f>"17324"</f>
        <v>17324</v>
      </c>
      <c r="E1045" s="4" t="str">
        <f t="shared" si="32"/>
        <v>FE17324</v>
      </c>
      <c r="F1045" s="7">
        <v>44377</v>
      </c>
      <c r="G1045" s="7">
        <v>44386</v>
      </c>
      <c r="H1045" s="34">
        <v>135855</v>
      </c>
      <c r="I1045" s="31">
        <v>135855</v>
      </c>
      <c r="J1045" s="31">
        <f t="shared" si="33"/>
        <v>0</v>
      </c>
      <c r="K1045" s="2"/>
      <c r="N1045" s="32">
        <v>0</v>
      </c>
      <c r="Q1045" s="34">
        <v>0</v>
      </c>
      <c r="R1045" s="45"/>
      <c r="S1045" s="4">
        <f>IFERROR(VLOOKUP(E1045,'[2]td factu si'!$A:$B,1,0),0)</f>
        <v>0</v>
      </c>
      <c r="T1045" s="2">
        <f>IFERROR(VLOOKUP(E1045,'[2]td factu si'!$A:$B,2,0),0)*-1</f>
        <v>0</v>
      </c>
      <c r="W1045" s="36"/>
      <c r="X1045" s="6">
        <v>135855</v>
      </c>
      <c r="AH1045" s="3">
        <v>0</v>
      </c>
      <c r="AJ1045" s="3">
        <v>135855</v>
      </c>
    </row>
    <row r="1046" spans="1:38" x14ac:dyDescent="0.25">
      <c r="A1046">
        <v>1038</v>
      </c>
      <c r="B1046" s="29" t="s">
        <v>45</v>
      </c>
      <c r="C1046" s="29" t="s">
        <v>46</v>
      </c>
      <c r="D1046" s="4" t="str">
        <f>"17326"</f>
        <v>17326</v>
      </c>
      <c r="E1046" s="4" t="str">
        <f t="shared" si="32"/>
        <v>FE17326</v>
      </c>
      <c r="F1046" s="7">
        <v>44377</v>
      </c>
      <c r="G1046" s="7">
        <v>44386</v>
      </c>
      <c r="H1046" s="34">
        <v>317101</v>
      </c>
      <c r="I1046" s="31">
        <v>317101</v>
      </c>
      <c r="J1046" s="31">
        <f t="shared" si="33"/>
        <v>0</v>
      </c>
      <c r="K1046" s="2"/>
      <c r="N1046" s="32">
        <v>0</v>
      </c>
      <c r="Q1046" s="34">
        <v>0</v>
      </c>
      <c r="R1046" s="45"/>
      <c r="S1046" s="4">
        <f>IFERROR(VLOOKUP(E1046,'[2]td factu si'!$A:$B,1,0),0)</f>
        <v>0</v>
      </c>
      <c r="T1046" s="2">
        <f>IFERROR(VLOOKUP(E1046,'[2]td factu si'!$A:$B,2,0),0)*-1</f>
        <v>0</v>
      </c>
      <c r="W1046" s="36"/>
      <c r="X1046" s="6">
        <v>317101</v>
      </c>
      <c r="AH1046" s="3">
        <v>0</v>
      </c>
      <c r="AJ1046" s="3">
        <v>317101</v>
      </c>
    </row>
    <row r="1047" spans="1:38" x14ac:dyDescent="0.25">
      <c r="A1047">
        <v>1039</v>
      </c>
      <c r="B1047" s="29" t="s">
        <v>45</v>
      </c>
      <c r="C1047" s="29" t="s">
        <v>46</v>
      </c>
      <c r="D1047" s="4" t="str">
        <f>"17327"</f>
        <v>17327</v>
      </c>
      <c r="E1047" s="4" t="str">
        <f t="shared" si="32"/>
        <v>FE17327</v>
      </c>
      <c r="F1047" s="7">
        <v>44377</v>
      </c>
      <c r="G1047" s="7">
        <v>44386</v>
      </c>
      <c r="H1047" s="34">
        <v>135855</v>
      </c>
      <c r="I1047" s="31">
        <v>135855</v>
      </c>
      <c r="J1047" s="31">
        <f t="shared" si="33"/>
        <v>0</v>
      </c>
      <c r="K1047" s="2"/>
      <c r="N1047" s="32">
        <v>0</v>
      </c>
      <c r="Q1047" s="34">
        <v>0</v>
      </c>
      <c r="R1047" s="45"/>
      <c r="S1047" s="4">
        <f>IFERROR(VLOOKUP(E1047,'[2]td factu si'!$A:$B,1,0),0)</f>
        <v>0</v>
      </c>
      <c r="T1047" s="2">
        <f>IFERROR(VLOOKUP(E1047,'[2]td factu si'!$A:$B,2,0),0)*-1</f>
        <v>0</v>
      </c>
      <c r="W1047" s="36"/>
      <c r="X1047" s="6">
        <v>135855</v>
      </c>
      <c r="AH1047" s="3">
        <v>0</v>
      </c>
      <c r="AJ1047" s="3">
        <v>135855</v>
      </c>
    </row>
    <row r="1048" spans="1:38" x14ac:dyDescent="0.25">
      <c r="A1048">
        <v>1040</v>
      </c>
      <c r="B1048" s="29" t="s">
        <v>45</v>
      </c>
      <c r="C1048" s="29" t="s">
        <v>46</v>
      </c>
      <c r="D1048" s="4" t="str">
        <f>"17328"</f>
        <v>17328</v>
      </c>
      <c r="E1048" s="4" t="str">
        <f t="shared" si="32"/>
        <v>FE17328</v>
      </c>
      <c r="F1048" s="7">
        <v>44377</v>
      </c>
      <c r="G1048" s="7">
        <v>44386</v>
      </c>
      <c r="H1048" s="34">
        <v>135855</v>
      </c>
      <c r="I1048" s="31">
        <v>135855</v>
      </c>
      <c r="J1048" s="31">
        <f t="shared" si="33"/>
        <v>0</v>
      </c>
      <c r="K1048" s="2"/>
      <c r="N1048" s="32">
        <v>0</v>
      </c>
      <c r="Q1048" s="34">
        <v>0</v>
      </c>
      <c r="R1048" s="45"/>
      <c r="S1048" s="4">
        <f>IFERROR(VLOOKUP(E1048,'[2]td factu si'!$A:$B,1,0),0)</f>
        <v>0</v>
      </c>
      <c r="T1048" s="2">
        <f>IFERROR(VLOOKUP(E1048,'[2]td factu si'!$A:$B,2,0),0)*-1</f>
        <v>0</v>
      </c>
      <c r="W1048" s="36"/>
      <c r="X1048" s="6">
        <v>135855</v>
      </c>
      <c r="AH1048" s="3">
        <v>0</v>
      </c>
      <c r="AJ1048" s="3">
        <v>135855</v>
      </c>
    </row>
    <row r="1049" spans="1:38" x14ac:dyDescent="0.25">
      <c r="A1049">
        <v>1041</v>
      </c>
      <c r="B1049" s="29" t="s">
        <v>45</v>
      </c>
      <c r="C1049" s="29" t="s">
        <v>46</v>
      </c>
      <c r="D1049" s="4" t="str">
        <f>"17329"</f>
        <v>17329</v>
      </c>
      <c r="E1049" s="4" t="str">
        <f t="shared" si="32"/>
        <v>FE17329</v>
      </c>
      <c r="F1049" s="7">
        <v>44377</v>
      </c>
      <c r="G1049" s="7">
        <v>44386</v>
      </c>
      <c r="H1049" s="34">
        <v>339170</v>
      </c>
      <c r="I1049" s="31">
        <v>339170</v>
      </c>
      <c r="J1049" s="31">
        <f t="shared" si="33"/>
        <v>0</v>
      </c>
      <c r="K1049" s="2"/>
      <c r="N1049" s="32">
        <v>0</v>
      </c>
      <c r="Q1049" s="34">
        <v>0</v>
      </c>
      <c r="R1049" s="45"/>
      <c r="S1049" s="4">
        <f>IFERROR(VLOOKUP(E1049,'[2]td factu si'!$A:$B,1,0),0)</f>
        <v>0</v>
      </c>
      <c r="T1049" s="2">
        <f>IFERROR(VLOOKUP(E1049,'[2]td factu si'!$A:$B,2,0),0)*-1</f>
        <v>0</v>
      </c>
      <c r="W1049" s="36"/>
      <c r="AH1049" s="3">
        <v>0</v>
      </c>
      <c r="AJ1049" s="3">
        <v>0</v>
      </c>
      <c r="AL1049" s="39" t="s">
        <v>49</v>
      </c>
    </row>
    <row r="1050" spans="1:38" x14ac:dyDescent="0.25">
      <c r="A1050">
        <v>1042</v>
      </c>
      <c r="B1050" s="29" t="s">
        <v>45</v>
      </c>
      <c r="C1050" s="29" t="s">
        <v>46</v>
      </c>
      <c r="D1050" s="4" t="str">
        <f>"17333"</f>
        <v>17333</v>
      </c>
      <c r="E1050" s="4" t="str">
        <f t="shared" si="32"/>
        <v>FE17333</v>
      </c>
      <c r="F1050" s="7">
        <v>44377</v>
      </c>
      <c r="G1050" s="7">
        <v>44386</v>
      </c>
      <c r="H1050" s="34">
        <v>181246</v>
      </c>
      <c r="I1050" s="31">
        <v>181246</v>
      </c>
      <c r="J1050" s="31">
        <f t="shared" si="33"/>
        <v>0</v>
      </c>
      <c r="K1050" s="2"/>
      <c r="N1050" s="32">
        <v>0</v>
      </c>
      <c r="Q1050" s="34">
        <v>0</v>
      </c>
      <c r="R1050" s="45"/>
      <c r="S1050" s="4">
        <f>IFERROR(VLOOKUP(E1050,'[2]td factu si'!$A:$B,1,0),0)</f>
        <v>0</v>
      </c>
      <c r="T1050" s="2">
        <f>IFERROR(VLOOKUP(E1050,'[2]td factu si'!$A:$B,2,0),0)*-1</f>
        <v>0</v>
      </c>
      <c r="W1050" s="36"/>
      <c r="AH1050" s="3">
        <v>0</v>
      </c>
      <c r="AJ1050" s="3">
        <v>0</v>
      </c>
      <c r="AL1050" s="39" t="s">
        <v>49</v>
      </c>
    </row>
    <row r="1051" spans="1:38" x14ac:dyDescent="0.25">
      <c r="A1051">
        <v>1043</v>
      </c>
      <c r="B1051" s="29" t="s">
        <v>45</v>
      </c>
      <c r="C1051" s="29" t="s">
        <v>46</v>
      </c>
      <c r="D1051" s="4" t="str">
        <f>"17334"</f>
        <v>17334</v>
      </c>
      <c r="E1051" s="4" t="str">
        <f t="shared" si="32"/>
        <v>FE17334</v>
      </c>
      <c r="F1051" s="7">
        <v>44377</v>
      </c>
      <c r="G1051" s="7">
        <v>44386</v>
      </c>
      <c r="H1051" s="34">
        <v>181246</v>
      </c>
      <c r="I1051" s="31">
        <v>181246</v>
      </c>
      <c r="J1051" s="31">
        <f t="shared" si="33"/>
        <v>0</v>
      </c>
      <c r="K1051" s="2"/>
      <c r="N1051" s="32">
        <v>0</v>
      </c>
      <c r="Q1051" s="34">
        <v>0</v>
      </c>
      <c r="R1051" s="45"/>
      <c r="S1051" s="4">
        <f>IFERROR(VLOOKUP(E1051,'[2]td factu si'!$A:$B,1,0),0)</f>
        <v>0</v>
      </c>
      <c r="T1051" s="2">
        <f>IFERROR(VLOOKUP(E1051,'[2]td factu si'!$A:$B,2,0),0)*-1</f>
        <v>0</v>
      </c>
      <c r="W1051" s="36"/>
      <c r="AH1051" s="3">
        <v>0</v>
      </c>
      <c r="AJ1051" s="3">
        <v>0</v>
      </c>
      <c r="AL1051" s="39" t="s">
        <v>49</v>
      </c>
    </row>
    <row r="1052" spans="1:38" x14ac:dyDescent="0.25">
      <c r="A1052">
        <v>1044</v>
      </c>
      <c r="B1052" s="29" t="s">
        <v>45</v>
      </c>
      <c r="C1052" s="29" t="s">
        <v>46</v>
      </c>
      <c r="D1052" s="4" t="str">
        <f>"17337"</f>
        <v>17337</v>
      </c>
      <c r="E1052" s="4" t="str">
        <f t="shared" si="32"/>
        <v>FE17337</v>
      </c>
      <c r="F1052" s="7">
        <v>44377</v>
      </c>
      <c r="G1052" s="7">
        <v>44386</v>
      </c>
      <c r="H1052" s="34">
        <v>135855</v>
      </c>
      <c r="I1052" s="31">
        <v>132355</v>
      </c>
      <c r="J1052" s="31">
        <f t="shared" si="33"/>
        <v>3500</v>
      </c>
      <c r="K1052" s="2"/>
      <c r="N1052" s="32">
        <v>0</v>
      </c>
      <c r="Q1052" s="34">
        <v>0</v>
      </c>
      <c r="R1052" s="45"/>
      <c r="S1052" s="4">
        <f>IFERROR(VLOOKUP(E1052,'[2]td factu si'!$A:$B,1,0),0)</f>
        <v>0</v>
      </c>
      <c r="T1052" s="2">
        <f>IFERROR(VLOOKUP(E1052,'[2]td factu si'!$A:$B,2,0),0)*-1</f>
        <v>0</v>
      </c>
      <c r="W1052" s="36"/>
      <c r="X1052" s="6">
        <v>132355</v>
      </c>
      <c r="AH1052" s="3">
        <v>0</v>
      </c>
      <c r="AJ1052" s="3">
        <v>132355</v>
      </c>
    </row>
    <row r="1053" spans="1:38" x14ac:dyDescent="0.25">
      <c r="A1053">
        <v>1045</v>
      </c>
      <c r="B1053" s="29" t="s">
        <v>45</v>
      </c>
      <c r="C1053" s="29" t="s">
        <v>46</v>
      </c>
      <c r="D1053" s="4" t="str">
        <f>"17340"</f>
        <v>17340</v>
      </c>
      <c r="E1053" s="4" t="str">
        <f t="shared" si="32"/>
        <v>FE17340</v>
      </c>
      <c r="F1053" s="7">
        <v>44377</v>
      </c>
      <c r="G1053" s="7">
        <v>44386</v>
      </c>
      <c r="H1053" s="34">
        <v>135855</v>
      </c>
      <c r="I1053" s="31">
        <v>135855</v>
      </c>
      <c r="J1053" s="31">
        <f t="shared" si="33"/>
        <v>0</v>
      </c>
      <c r="K1053" s="2"/>
      <c r="N1053" s="32">
        <v>0</v>
      </c>
      <c r="Q1053" s="34">
        <v>0</v>
      </c>
      <c r="R1053" s="45"/>
      <c r="S1053" s="4">
        <f>IFERROR(VLOOKUP(E1053,'[2]td factu si'!$A:$B,1,0),0)</f>
        <v>0</v>
      </c>
      <c r="T1053" s="2">
        <f>IFERROR(VLOOKUP(E1053,'[2]td factu si'!$A:$B,2,0),0)*-1</f>
        <v>0</v>
      </c>
      <c r="W1053" s="36"/>
      <c r="X1053" s="6">
        <v>135855</v>
      </c>
      <c r="AH1053" s="3">
        <v>0</v>
      </c>
      <c r="AJ1053" s="3">
        <v>135855</v>
      </c>
    </row>
    <row r="1054" spans="1:38" x14ac:dyDescent="0.25">
      <c r="A1054">
        <v>1046</v>
      </c>
      <c r="B1054" s="29" t="s">
        <v>45</v>
      </c>
      <c r="C1054" s="29" t="s">
        <v>46</v>
      </c>
      <c r="D1054" s="4" t="str">
        <f>"17341"</f>
        <v>17341</v>
      </c>
      <c r="E1054" s="4" t="str">
        <f t="shared" si="32"/>
        <v>FE17341</v>
      </c>
      <c r="F1054" s="7">
        <v>44377</v>
      </c>
      <c r="G1054" s="7">
        <v>44386</v>
      </c>
      <c r="H1054" s="34">
        <v>135855</v>
      </c>
      <c r="I1054" s="31">
        <v>132355</v>
      </c>
      <c r="J1054" s="31">
        <f t="shared" si="33"/>
        <v>3500</v>
      </c>
      <c r="K1054" s="2"/>
      <c r="N1054" s="32">
        <v>0</v>
      </c>
      <c r="Q1054" s="34">
        <v>0</v>
      </c>
      <c r="R1054" s="45"/>
      <c r="S1054" s="4">
        <f>IFERROR(VLOOKUP(E1054,'[2]td factu si'!$A:$B,1,0),0)</f>
        <v>0</v>
      </c>
      <c r="T1054" s="2">
        <f>IFERROR(VLOOKUP(E1054,'[2]td factu si'!$A:$B,2,0),0)*-1</f>
        <v>0</v>
      </c>
      <c r="W1054" s="36"/>
      <c r="X1054" s="6">
        <v>132355</v>
      </c>
      <c r="AH1054" s="3">
        <v>0</v>
      </c>
      <c r="AJ1054" s="3">
        <v>132355</v>
      </c>
    </row>
    <row r="1055" spans="1:38" x14ac:dyDescent="0.25">
      <c r="A1055">
        <v>1047</v>
      </c>
      <c r="B1055" s="29" t="s">
        <v>45</v>
      </c>
      <c r="C1055" s="29" t="s">
        <v>46</v>
      </c>
      <c r="D1055" s="4" t="str">
        <f>"17344"</f>
        <v>17344</v>
      </c>
      <c r="E1055" s="4" t="str">
        <f t="shared" si="32"/>
        <v>FE17344</v>
      </c>
      <c r="F1055" s="7">
        <v>44377</v>
      </c>
      <c r="G1055" s="7">
        <v>44386</v>
      </c>
      <c r="H1055" s="34">
        <v>317101</v>
      </c>
      <c r="I1055" s="31">
        <v>317101</v>
      </c>
      <c r="J1055" s="31">
        <f t="shared" si="33"/>
        <v>0</v>
      </c>
      <c r="K1055" s="2"/>
      <c r="N1055" s="32">
        <v>0</v>
      </c>
      <c r="Q1055" s="34">
        <v>0</v>
      </c>
      <c r="R1055" s="45"/>
      <c r="S1055" s="4">
        <f>IFERROR(VLOOKUP(E1055,'[2]td factu si'!$A:$B,1,0),0)</f>
        <v>0</v>
      </c>
      <c r="T1055" s="2">
        <f>IFERROR(VLOOKUP(E1055,'[2]td factu si'!$A:$B,2,0),0)*-1</f>
        <v>0</v>
      </c>
      <c r="W1055" s="36"/>
      <c r="X1055" s="6">
        <v>317101</v>
      </c>
      <c r="AH1055" s="3">
        <v>0</v>
      </c>
      <c r="AJ1055" s="3">
        <v>317101</v>
      </c>
    </row>
    <row r="1056" spans="1:38" x14ac:dyDescent="0.25">
      <c r="A1056">
        <v>1048</v>
      </c>
      <c r="B1056" s="29" t="s">
        <v>45</v>
      </c>
      <c r="C1056" s="29" t="s">
        <v>46</v>
      </c>
      <c r="D1056" s="4" t="str">
        <f>"17346"</f>
        <v>17346</v>
      </c>
      <c r="E1056" s="4" t="str">
        <f t="shared" si="32"/>
        <v>FE17346</v>
      </c>
      <c r="F1056" s="7">
        <v>44377</v>
      </c>
      <c r="G1056" s="7">
        <v>44386</v>
      </c>
      <c r="H1056" s="34">
        <v>135855</v>
      </c>
      <c r="I1056" s="31">
        <v>135855</v>
      </c>
      <c r="J1056" s="31">
        <f t="shared" si="33"/>
        <v>0</v>
      </c>
      <c r="K1056" s="2"/>
      <c r="N1056" s="32">
        <v>0</v>
      </c>
      <c r="Q1056" s="34">
        <v>0</v>
      </c>
      <c r="R1056" s="45"/>
      <c r="S1056" s="4">
        <f>IFERROR(VLOOKUP(E1056,'[2]td factu si'!$A:$B,1,0),0)</f>
        <v>0</v>
      </c>
      <c r="T1056" s="2">
        <f>IFERROR(VLOOKUP(E1056,'[2]td factu si'!$A:$B,2,0),0)*-1</f>
        <v>0</v>
      </c>
      <c r="W1056" s="36"/>
      <c r="X1056" s="6">
        <v>135855</v>
      </c>
      <c r="AH1056" s="3">
        <v>0</v>
      </c>
      <c r="AJ1056" s="3">
        <v>135855</v>
      </c>
    </row>
    <row r="1057" spans="1:38" x14ac:dyDescent="0.25">
      <c r="A1057">
        <v>1049</v>
      </c>
      <c r="B1057" s="29" t="s">
        <v>45</v>
      </c>
      <c r="C1057" s="29" t="s">
        <v>46</v>
      </c>
      <c r="D1057" s="4" t="str">
        <f>"17349"</f>
        <v>17349</v>
      </c>
      <c r="E1057" s="4" t="str">
        <f t="shared" si="32"/>
        <v>FE17349</v>
      </c>
      <c r="F1057" s="7">
        <v>44377</v>
      </c>
      <c r="G1057" s="7">
        <v>44386</v>
      </c>
      <c r="H1057" s="34">
        <v>14933</v>
      </c>
      <c r="I1057" s="31">
        <v>14933</v>
      </c>
      <c r="J1057" s="31">
        <f t="shared" si="33"/>
        <v>0</v>
      </c>
      <c r="K1057" s="2"/>
      <c r="N1057" s="32">
        <v>0</v>
      </c>
      <c r="Q1057" s="34">
        <v>0</v>
      </c>
      <c r="R1057" s="45"/>
      <c r="S1057" s="4">
        <f>IFERROR(VLOOKUP(E1057,'[2]td factu si'!$A:$B,1,0),0)</f>
        <v>0</v>
      </c>
      <c r="T1057" s="2">
        <f>IFERROR(VLOOKUP(E1057,'[2]td factu si'!$A:$B,2,0),0)*-1</f>
        <v>0</v>
      </c>
      <c r="W1057" s="36"/>
      <c r="X1057" s="6">
        <v>14933</v>
      </c>
      <c r="AH1057" s="3">
        <v>0</v>
      </c>
      <c r="AJ1057" s="3">
        <v>14933</v>
      </c>
    </row>
    <row r="1058" spans="1:38" x14ac:dyDescent="0.25">
      <c r="A1058">
        <v>1050</v>
      </c>
      <c r="B1058" s="29" t="s">
        <v>45</v>
      </c>
      <c r="C1058" s="29" t="s">
        <v>46</v>
      </c>
      <c r="D1058" s="4" t="str">
        <f>"17351"</f>
        <v>17351</v>
      </c>
      <c r="E1058" s="4" t="str">
        <f t="shared" si="32"/>
        <v>FE17351</v>
      </c>
      <c r="F1058" s="7">
        <v>44377</v>
      </c>
      <c r="G1058" s="7">
        <v>44386</v>
      </c>
      <c r="H1058" s="34">
        <v>317101</v>
      </c>
      <c r="I1058" s="31">
        <v>317101</v>
      </c>
      <c r="J1058" s="31">
        <f t="shared" si="33"/>
        <v>0</v>
      </c>
      <c r="K1058" s="2"/>
      <c r="N1058" s="32">
        <v>0</v>
      </c>
      <c r="Q1058" s="34">
        <v>0</v>
      </c>
      <c r="R1058" s="45"/>
      <c r="S1058" s="4">
        <f>IFERROR(VLOOKUP(E1058,'[2]td factu si'!$A:$B,1,0),0)</f>
        <v>0</v>
      </c>
      <c r="T1058" s="2">
        <f>IFERROR(VLOOKUP(E1058,'[2]td factu si'!$A:$B,2,0),0)*-1</f>
        <v>0</v>
      </c>
      <c r="W1058" s="36"/>
      <c r="AH1058" s="3">
        <v>0</v>
      </c>
      <c r="AJ1058" s="3">
        <v>0</v>
      </c>
      <c r="AL1058" s="39" t="s">
        <v>49</v>
      </c>
    </row>
    <row r="1059" spans="1:38" x14ac:dyDescent="0.25">
      <c r="A1059">
        <v>1051</v>
      </c>
      <c r="B1059" s="29" t="s">
        <v>45</v>
      </c>
      <c r="C1059" s="29" t="s">
        <v>46</v>
      </c>
      <c r="D1059" s="4" t="str">
        <f>"17352"</f>
        <v>17352</v>
      </c>
      <c r="E1059" s="4" t="str">
        <f t="shared" si="32"/>
        <v>FE17352</v>
      </c>
      <c r="F1059" s="7">
        <v>44377</v>
      </c>
      <c r="G1059" s="7">
        <v>44386</v>
      </c>
      <c r="H1059" s="34">
        <v>135855</v>
      </c>
      <c r="I1059" s="31">
        <v>135855</v>
      </c>
      <c r="J1059" s="31">
        <f t="shared" si="33"/>
        <v>0</v>
      </c>
      <c r="K1059" s="2"/>
      <c r="N1059" s="32">
        <v>0</v>
      </c>
      <c r="Q1059" s="34">
        <v>0</v>
      </c>
      <c r="R1059" s="45"/>
      <c r="S1059" s="4">
        <f>IFERROR(VLOOKUP(E1059,'[2]td factu si'!$A:$B,1,0),0)</f>
        <v>0</v>
      </c>
      <c r="T1059" s="2">
        <f>IFERROR(VLOOKUP(E1059,'[2]td factu si'!$A:$B,2,0),0)*-1</f>
        <v>0</v>
      </c>
      <c r="W1059" s="36"/>
      <c r="X1059" s="6">
        <v>135855</v>
      </c>
      <c r="AH1059" s="3">
        <v>0</v>
      </c>
      <c r="AJ1059" s="3">
        <v>135855</v>
      </c>
    </row>
    <row r="1060" spans="1:38" x14ac:dyDescent="0.25">
      <c r="A1060">
        <v>1052</v>
      </c>
      <c r="B1060" s="29" t="s">
        <v>45</v>
      </c>
      <c r="C1060" s="29" t="s">
        <v>46</v>
      </c>
      <c r="D1060" s="4" t="str">
        <f>"17356"</f>
        <v>17356</v>
      </c>
      <c r="E1060" s="4" t="str">
        <f t="shared" si="32"/>
        <v>FE17356</v>
      </c>
      <c r="F1060" s="7">
        <v>44377</v>
      </c>
      <c r="G1060" s="7">
        <v>44386</v>
      </c>
      <c r="H1060" s="34">
        <v>9799567</v>
      </c>
      <c r="I1060" s="31">
        <v>9345304</v>
      </c>
      <c r="J1060" s="31">
        <f t="shared" si="33"/>
        <v>454263</v>
      </c>
      <c r="K1060" s="2"/>
      <c r="N1060" s="32">
        <v>0</v>
      </c>
      <c r="Q1060" s="34">
        <v>0</v>
      </c>
      <c r="R1060" s="45"/>
      <c r="S1060" s="4">
        <f>IFERROR(VLOOKUP(E1060,'[2]td factu si'!$A:$B,1,0),0)</f>
        <v>0</v>
      </c>
      <c r="T1060" s="2">
        <f>IFERROR(VLOOKUP(E1060,'[2]td factu si'!$A:$B,2,0),0)*-1</f>
        <v>0</v>
      </c>
      <c r="W1060" s="36"/>
      <c r="X1060" s="6">
        <v>9345304</v>
      </c>
      <c r="AH1060" s="3">
        <v>0</v>
      </c>
      <c r="AJ1060" s="3">
        <v>9345304</v>
      </c>
    </row>
    <row r="1061" spans="1:38" x14ac:dyDescent="0.25">
      <c r="A1061">
        <v>1053</v>
      </c>
      <c r="B1061" s="29" t="s">
        <v>45</v>
      </c>
      <c r="C1061" s="29" t="s">
        <v>46</v>
      </c>
      <c r="D1061" s="4" t="str">
        <f>"17358"</f>
        <v>17358</v>
      </c>
      <c r="E1061" s="4" t="str">
        <f t="shared" si="32"/>
        <v>FE17358</v>
      </c>
      <c r="F1061" s="7">
        <v>44377</v>
      </c>
      <c r="G1061" s="7">
        <v>44386</v>
      </c>
      <c r="H1061" s="34">
        <v>135855</v>
      </c>
      <c r="I1061" s="31">
        <v>120232</v>
      </c>
      <c r="J1061" s="31">
        <f t="shared" si="33"/>
        <v>15623</v>
      </c>
      <c r="K1061" s="2"/>
      <c r="N1061" s="32">
        <v>0</v>
      </c>
      <c r="Q1061" s="34">
        <v>0</v>
      </c>
      <c r="R1061" s="45"/>
      <c r="S1061" s="4">
        <f>IFERROR(VLOOKUP(E1061,'[2]td factu si'!$A:$B,1,0),0)</f>
        <v>0</v>
      </c>
      <c r="T1061" s="2">
        <f>IFERROR(VLOOKUP(E1061,'[2]td factu si'!$A:$B,2,0),0)*-1</f>
        <v>0</v>
      </c>
      <c r="W1061" s="36"/>
      <c r="X1061" s="6">
        <v>120232</v>
      </c>
      <c r="AH1061" s="3">
        <v>0</v>
      </c>
      <c r="AJ1061" s="3">
        <v>120232</v>
      </c>
    </row>
    <row r="1062" spans="1:38" x14ac:dyDescent="0.25">
      <c r="A1062">
        <v>1054</v>
      </c>
      <c r="B1062" s="29" t="s">
        <v>45</v>
      </c>
      <c r="C1062" s="29" t="s">
        <v>46</v>
      </c>
      <c r="D1062" s="4" t="str">
        <f>"17362"</f>
        <v>17362</v>
      </c>
      <c r="E1062" s="4" t="str">
        <f t="shared" si="32"/>
        <v>FE17362</v>
      </c>
      <c r="F1062" s="7">
        <v>44377</v>
      </c>
      <c r="G1062" s="7">
        <v>44386</v>
      </c>
      <c r="H1062" s="34">
        <v>317101</v>
      </c>
      <c r="I1062" s="31">
        <v>310101</v>
      </c>
      <c r="J1062" s="31">
        <f t="shared" si="33"/>
        <v>7000</v>
      </c>
      <c r="K1062" s="2"/>
      <c r="N1062" s="32">
        <v>0</v>
      </c>
      <c r="Q1062" s="34">
        <v>0</v>
      </c>
      <c r="R1062" s="45"/>
      <c r="S1062" s="4">
        <f>IFERROR(VLOOKUP(E1062,'[2]td factu si'!$A:$B,1,0),0)</f>
        <v>0</v>
      </c>
      <c r="T1062" s="2">
        <f>IFERROR(VLOOKUP(E1062,'[2]td factu si'!$A:$B,2,0),0)*-1</f>
        <v>0</v>
      </c>
      <c r="W1062" s="36"/>
      <c r="X1062" s="6">
        <v>310101</v>
      </c>
      <c r="AH1062" s="3">
        <v>0</v>
      </c>
      <c r="AJ1062" s="3">
        <v>310101</v>
      </c>
    </row>
    <row r="1063" spans="1:38" x14ac:dyDescent="0.25">
      <c r="A1063">
        <v>1055</v>
      </c>
      <c r="B1063" s="29" t="s">
        <v>45</v>
      </c>
      <c r="C1063" s="29" t="s">
        <v>46</v>
      </c>
      <c r="D1063" s="4" t="str">
        <f>"17363"</f>
        <v>17363</v>
      </c>
      <c r="E1063" s="4" t="str">
        <f t="shared" si="32"/>
        <v>FE17363</v>
      </c>
      <c r="F1063" s="7">
        <v>44377</v>
      </c>
      <c r="G1063" s="7">
        <v>44386</v>
      </c>
      <c r="H1063" s="34">
        <v>252248</v>
      </c>
      <c r="I1063" s="31">
        <v>252248</v>
      </c>
      <c r="J1063" s="31">
        <f t="shared" si="33"/>
        <v>0</v>
      </c>
      <c r="K1063" s="2"/>
      <c r="N1063" s="32">
        <v>0</v>
      </c>
      <c r="Q1063" s="34">
        <v>0</v>
      </c>
      <c r="R1063" s="45"/>
      <c r="S1063" s="4">
        <f>IFERROR(VLOOKUP(E1063,'[2]td factu si'!$A:$B,1,0),0)</f>
        <v>0</v>
      </c>
      <c r="T1063" s="2">
        <f>IFERROR(VLOOKUP(E1063,'[2]td factu si'!$A:$B,2,0),0)*-1</f>
        <v>0</v>
      </c>
      <c r="W1063" s="36"/>
      <c r="AH1063" s="3">
        <v>0</v>
      </c>
      <c r="AJ1063" s="3">
        <v>0</v>
      </c>
      <c r="AL1063" s="39" t="s">
        <v>49</v>
      </c>
    </row>
    <row r="1064" spans="1:38" x14ac:dyDescent="0.25">
      <c r="A1064">
        <v>1056</v>
      </c>
      <c r="B1064" s="29" t="s">
        <v>45</v>
      </c>
      <c r="C1064" s="29" t="s">
        <v>46</v>
      </c>
      <c r="D1064" s="4" t="str">
        <f>"17364"</f>
        <v>17364</v>
      </c>
      <c r="E1064" s="4" t="str">
        <f t="shared" si="32"/>
        <v>FE17364</v>
      </c>
      <c r="F1064" s="7">
        <v>44377</v>
      </c>
      <c r="G1064" s="7">
        <v>44386</v>
      </c>
      <c r="H1064" s="34">
        <v>135855</v>
      </c>
      <c r="I1064" s="31">
        <v>132355</v>
      </c>
      <c r="J1064" s="31">
        <f t="shared" si="33"/>
        <v>3500</v>
      </c>
      <c r="K1064" s="2"/>
      <c r="N1064" s="32">
        <v>0</v>
      </c>
      <c r="Q1064" s="34">
        <v>0</v>
      </c>
      <c r="R1064" s="45"/>
      <c r="S1064" s="4">
        <f>IFERROR(VLOOKUP(E1064,'[2]td factu si'!$A:$B,1,0),0)</f>
        <v>0</v>
      </c>
      <c r="T1064" s="2">
        <f>IFERROR(VLOOKUP(E1064,'[2]td factu si'!$A:$B,2,0),0)*-1</f>
        <v>0</v>
      </c>
      <c r="W1064" s="36"/>
      <c r="X1064" s="6">
        <v>132355</v>
      </c>
      <c r="AH1064" s="3">
        <v>0</v>
      </c>
      <c r="AJ1064" s="3">
        <v>132355</v>
      </c>
    </row>
    <row r="1065" spans="1:38" x14ac:dyDescent="0.25">
      <c r="A1065">
        <v>1057</v>
      </c>
      <c r="B1065" s="29" t="s">
        <v>45</v>
      </c>
      <c r="C1065" s="29" t="s">
        <v>46</v>
      </c>
      <c r="D1065" s="4" t="str">
        <f>"17365"</f>
        <v>17365</v>
      </c>
      <c r="E1065" s="4" t="str">
        <f t="shared" si="32"/>
        <v>FE17365</v>
      </c>
      <c r="F1065" s="7">
        <v>44377</v>
      </c>
      <c r="G1065" s="7">
        <v>44386</v>
      </c>
      <c r="H1065" s="34">
        <v>99124</v>
      </c>
      <c r="I1065" s="31">
        <v>99124</v>
      </c>
      <c r="J1065" s="31">
        <f t="shared" si="33"/>
        <v>0</v>
      </c>
      <c r="K1065" s="2"/>
      <c r="N1065" s="32">
        <v>0</v>
      </c>
      <c r="Q1065" s="34">
        <v>0</v>
      </c>
      <c r="R1065" s="45"/>
      <c r="S1065" s="4">
        <f>IFERROR(VLOOKUP(E1065,'[2]td factu si'!$A:$B,1,0),0)</f>
        <v>0</v>
      </c>
      <c r="T1065" s="2">
        <f>IFERROR(VLOOKUP(E1065,'[2]td factu si'!$A:$B,2,0),0)*-1</f>
        <v>0</v>
      </c>
      <c r="W1065" s="36"/>
      <c r="AH1065" s="3">
        <v>0</v>
      </c>
      <c r="AJ1065" s="3">
        <v>0</v>
      </c>
      <c r="AL1065" s="39" t="s">
        <v>49</v>
      </c>
    </row>
    <row r="1066" spans="1:38" x14ac:dyDescent="0.25">
      <c r="A1066">
        <v>1058</v>
      </c>
      <c r="B1066" s="29" t="s">
        <v>45</v>
      </c>
      <c r="C1066" s="29" t="s">
        <v>46</v>
      </c>
      <c r="D1066" s="4" t="str">
        <f>"17367"</f>
        <v>17367</v>
      </c>
      <c r="E1066" s="4" t="str">
        <f t="shared" si="32"/>
        <v>FE17367</v>
      </c>
      <c r="F1066" s="7">
        <v>44377</v>
      </c>
      <c r="G1066" s="7">
        <v>44386</v>
      </c>
      <c r="H1066" s="34">
        <v>15489</v>
      </c>
      <c r="I1066" s="31">
        <v>15489</v>
      </c>
      <c r="J1066" s="31">
        <f t="shared" si="33"/>
        <v>0</v>
      </c>
      <c r="K1066" s="2"/>
      <c r="N1066" s="32">
        <v>0</v>
      </c>
      <c r="Q1066" s="34">
        <v>0</v>
      </c>
      <c r="R1066" s="45"/>
      <c r="S1066" s="4">
        <f>IFERROR(VLOOKUP(E1066,'[2]td factu si'!$A:$B,1,0),0)</f>
        <v>0</v>
      </c>
      <c r="T1066" s="2">
        <f>IFERROR(VLOOKUP(E1066,'[2]td factu si'!$A:$B,2,0),0)*-1</f>
        <v>0</v>
      </c>
      <c r="W1066" s="36"/>
      <c r="X1066" s="6">
        <v>15489</v>
      </c>
      <c r="AH1066" s="3">
        <v>0</v>
      </c>
      <c r="AJ1066" s="3">
        <v>15489</v>
      </c>
    </row>
    <row r="1067" spans="1:38" x14ac:dyDescent="0.25">
      <c r="A1067">
        <v>1059</v>
      </c>
      <c r="B1067" s="29" t="s">
        <v>45</v>
      </c>
      <c r="C1067" s="29" t="s">
        <v>46</v>
      </c>
      <c r="D1067" s="4" t="str">
        <f>"17368"</f>
        <v>17368</v>
      </c>
      <c r="E1067" s="4" t="str">
        <f t="shared" si="32"/>
        <v>FE17368</v>
      </c>
      <c r="F1067" s="7">
        <v>44377</v>
      </c>
      <c r="G1067" s="7">
        <v>44386</v>
      </c>
      <c r="H1067" s="34">
        <v>4625404</v>
      </c>
      <c r="I1067" s="31">
        <v>4625404</v>
      </c>
      <c r="J1067" s="31">
        <f t="shared" si="33"/>
        <v>0</v>
      </c>
      <c r="K1067" s="2"/>
      <c r="N1067" s="32">
        <v>0</v>
      </c>
      <c r="Q1067" s="34">
        <v>0</v>
      </c>
      <c r="R1067" s="45"/>
      <c r="S1067" s="4">
        <f>IFERROR(VLOOKUP(E1067,'[2]td factu si'!$A:$B,1,0),0)</f>
        <v>0</v>
      </c>
      <c r="T1067" s="2">
        <f>IFERROR(VLOOKUP(E1067,'[2]td factu si'!$A:$B,2,0),0)*-1</f>
        <v>0</v>
      </c>
      <c r="W1067" s="36"/>
      <c r="X1067" s="6">
        <v>4625404</v>
      </c>
      <c r="AH1067" s="3">
        <v>0</v>
      </c>
      <c r="AJ1067" s="3">
        <v>4625404</v>
      </c>
    </row>
    <row r="1068" spans="1:38" x14ac:dyDescent="0.25">
      <c r="A1068">
        <v>1060</v>
      </c>
      <c r="B1068" s="29" t="s">
        <v>45</v>
      </c>
      <c r="C1068" s="29" t="s">
        <v>46</v>
      </c>
      <c r="D1068" s="4" t="str">
        <f>"17376"</f>
        <v>17376</v>
      </c>
      <c r="E1068" s="4" t="str">
        <f t="shared" si="32"/>
        <v>FE17376</v>
      </c>
      <c r="F1068" s="7">
        <v>44377</v>
      </c>
      <c r="G1068" s="7">
        <v>44386</v>
      </c>
      <c r="H1068" s="34">
        <v>181246</v>
      </c>
      <c r="I1068" s="31">
        <v>160403</v>
      </c>
      <c r="J1068" s="31">
        <f t="shared" si="33"/>
        <v>20843</v>
      </c>
      <c r="K1068" s="2"/>
      <c r="N1068" s="32">
        <v>0</v>
      </c>
      <c r="Q1068" s="34">
        <v>0</v>
      </c>
      <c r="R1068" s="45"/>
      <c r="S1068" s="4">
        <f>IFERROR(VLOOKUP(E1068,'[2]td factu si'!$A:$B,1,0),0)</f>
        <v>0</v>
      </c>
      <c r="T1068" s="2">
        <f>IFERROR(VLOOKUP(E1068,'[2]td factu si'!$A:$B,2,0),0)*-1</f>
        <v>0</v>
      </c>
      <c r="W1068" s="36"/>
      <c r="X1068" s="6">
        <v>160403</v>
      </c>
      <c r="AH1068" s="3">
        <v>0</v>
      </c>
      <c r="AJ1068" s="3">
        <v>160403</v>
      </c>
    </row>
    <row r="1069" spans="1:38" x14ac:dyDescent="0.25">
      <c r="A1069">
        <v>1061</v>
      </c>
      <c r="B1069" s="29" t="s">
        <v>45</v>
      </c>
      <c r="C1069" s="29" t="s">
        <v>46</v>
      </c>
      <c r="D1069" s="4" t="str">
        <f>"17378"</f>
        <v>17378</v>
      </c>
      <c r="E1069" s="4" t="str">
        <f t="shared" si="32"/>
        <v>FE17378</v>
      </c>
      <c r="F1069" s="7">
        <v>44377</v>
      </c>
      <c r="G1069" s="7">
        <v>44386</v>
      </c>
      <c r="H1069" s="34">
        <v>181246</v>
      </c>
      <c r="I1069" s="31">
        <v>181246</v>
      </c>
      <c r="J1069" s="31">
        <f t="shared" si="33"/>
        <v>0</v>
      </c>
      <c r="K1069" s="2"/>
      <c r="N1069" s="32">
        <v>0</v>
      </c>
      <c r="Q1069" s="34">
        <v>0</v>
      </c>
      <c r="R1069" s="45"/>
      <c r="S1069" s="4">
        <f>IFERROR(VLOOKUP(E1069,'[2]td factu si'!$A:$B,1,0),0)</f>
        <v>0</v>
      </c>
      <c r="T1069" s="2">
        <f>IFERROR(VLOOKUP(E1069,'[2]td factu si'!$A:$B,2,0),0)*-1</f>
        <v>0</v>
      </c>
      <c r="W1069" s="36"/>
      <c r="X1069" s="6">
        <v>181246</v>
      </c>
      <c r="AH1069" s="3">
        <v>0</v>
      </c>
      <c r="AJ1069" s="3">
        <v>181246</v>
      </c>
    </row>
    <row r="1070" spans="1:38" x14ac:dyDescent="0.25">
      <c r="A1070">
        <v>1062</v>
      </c>
      <c r="B1070" s="29" t="s">
        <v>45</v>
      </c>
      <c r="C1070" s="29" t="s">
        <v>46</v>
      </c>
      <c r="D1070" s="4" t="str">
        <f>"17381"</f>
        <v>17381</v>
      </c>
      <c r="E1070" s="4" t="str">
        <f t="shared" si="32"/>
        <v>FE17381</v>
      </c>
      <c r="F1070" s="7">
        <v>44377</v>
      </c>
      <c r="G1070" s="7">
        <v>44386</v>
      </c>
      <c r="H1070" s="34">
        <v>181246</v>
      </c>
      <c r="I1070" s="31">
        <v>181246</v>
      </c>
      <c r="J1070" s="31">
        <f t="shared" si="33"/>
        <v>0</v>
      </c>
      <c r="K1070" s="2"/>
      <c r="N1070" s="32">
        <v>0</v>
      </c>
      <c r="Q1070" s="34">
        <v>0</v>
      </c>
      <c r="R1070" s="45"/>
      <c r="S1070" s="4">
        <f>IFERROR(VLOOKUP(E1070,'[2]td factu si'!$A:$B,1,0),0)</f>
        <v>0</v>
      </c>
      <c r="T1070" s="2">
        <f>IFERROR(VLOOKUP(E1070,'[2]td factu si'!$A:$B,2,0),0)*-1</f>
        <v>0</v>
      </c>
      <c r="W1070" s="36"/>
      <c r="X1070" s="6">
        <v>181246</v>
      </c>
      <c r="AH1070" s="3">
        <v>0</v>
      </c>
      <c r="AJ1070" s="3">
        <v>181246</v>
      </c>
    </row>
    <row r="1071" spans="1:38" x14ac:dyDescent="0.25">
      <c r="A1071">
        <v>1063</v>
      </c>
      <c r="B1071" s="29" t="s">
        <v>45</v>
      </c>
      <c r="C1071" s="29" t="s">
        <v>46</v>
      </c>
      <c r="D1071" s="4" t="str">
        <f>"17382"</f>
        <v>17382</v>
      </c>
      <c r="E1071" s="4" t="str">
        <f t="shared" si="32"/>
        <v>FE17382</v>
      </c>
      <c r="F1071" s="7">
        <v>44377</v>
      </c>
      <c r="G1071" s="7">
        <v>44386</v>
      </c>
      <c r="H1071" s="34">
        <v>135855</v>
      </c>
      <c r="I1071" s="31">
        <v>132355</v>
      </c>
      <c r="J1071" s="31">
        <f t="shared" si="33"/>
        <v>3500</v>
      </c>
      <c r="K1071" s="2"/>
      <c r="N1071" s="32">
        <v>0</v>
      </c>
      <c r="Q1071" s="34">
        <v>0</v>
      </c>
      <c r="R1071" s="45"/>
      <c r="S1071" s="4">
        <f>IFERROR(VLOOKUP(E1071,'[2]td factu si'!$A:$B,1,0),0)</f>
        <v>0</v>
      </c>
      <c r="T1071" s="2">
        <f>IFERROR(VLOOKUP(E1071,'[2]td factu si'!$A:$B,2,0),0)*-1</f>
        <v>0</v>
      </c>
      <c r="W1071" s="36"/>
      <c r="X1071" s="6">
        <v>132355</v>
      </c>
      <c r="AH1071" s="3">
        <v>0</v>
      </c>
      <c r="AJ1071" s="3">
        <v>132355</v>
      </c>
    </row>
    <row r="1072" spans="1:38" x14ac:dyDescent="0.25">
      <c r="A1072">
        <v>1064</v>
      </c>
      <c r="B1072" s="29" t="s">
        <v>45</v>
      </c>
      <c r="C1072" s="29" t="s">
        <v>46</v>
      </c>
      <c r="D1072" s="4" t="str">
        <f>"17383"</f>
        <v>17383</v>
      </c>
      <c r="E1072" s="4" t="str">
        <f t="shared" si="32"/>
        <v>FE17383</v>
      </c>
      <c r="F1072" s="7">
        <v>44377</v>
      </c>
      <c r="G1072" s="7">
        <v>44386</v>
      </c>
      <c r="H1072" s="34">
        <v>181246</v>
      </c>
      <c r="I1072" s="31">
        <v>177746</v>
      </c>
      <c r="J1072" s="31">
        <f t="shared" si="33"/>
        <v>3500</v>
      </c>
      <c r="K1072" s="2"/>
      <c r="N1072" s="32">
        <v>0</v>
      </c>
      <c r="Q1072" s="34">
        <v>0</v>
      </c>
      <c r="R1072" s="45"/>
      <c r="S1072" s="4">
        <f>IFERROR(VLOOKUP(E1072,'[2]td factu si'!$A:$B,1,0),0)</f>
        <v>0</v>
      </c>
      <c r="T1072" s="2">
        <f>IFERROR(VLOOKUP(E1072,'[2]td factu si'!$A:$B,2,0),0)*-1</f>
        <v>0</v>
      </c>
      <c r="W1072" s="36"/>
      <c r="X1072" s="6">
        <v>177746</v>
      </c>
      <c r="AH1072" s="3">
        <v>0</v>
      </c>
      <c r="AJ1072" s="3">
        <v>177746</v>
      </c>
    </row>
    <row r="1073" spans="1:38" x14ac:dyDescent="0.25">
      <c r="A1073">
        <v>1065</v>
      </c>
      <c r="B1073" s="29" t="s">
        <v>45</v>
      </c>
      <c r="C1073" s="29" t="s">
        <v>46</v>
      </c>
      <c r="D1073" s="4" t="str">
        <f>"17385"</f>
        <v>17385</v>
      </c>
      <c r="E1073" s="4" t="str">
        <f t="shared" si="32"/>
        <v>FE17385</v>
      </c>
      <c r="F1073" s="7">
        <v>44377</v>
      </c>
      <c r="G1073" s="7">
        <v>44386</v>
      </c>
      <c r="H1073" s="34">
        <v>135855</v>
      </c>
      <c r="I1073" s="31">
        <v>135855</v>
      </c>
      <c r="J1073" s="31">
        <f t="shared" si="33"/>
        <v>0</v>
      </c>
      <c r="K1073" s="2"/>
      <c r="N1073" s="32">
        <v>0</v>
      </c>
      <c r="Q1073" s="34">
        <v>0</v>
      </c>
      <c r="R1073" s="45"/>
      <c r="S1073" s="4">
        <f>IFERROR(VLOOKUP(E1073,'[2]td factu si'!$A:$B,1,0),0)</f>
        <v>0</v>
      </c>
      <c r="T1073" s="2">
        <f>IFERROR(VLOOKUP(E1073,'[2]td factu si'!$A:$B,2,0),0)*-1</f>
        <v>0</v>
      </c>
      <c r="W1073" s="36"/>
      <c r="X1073" s="6">
        <v>135855</v>
      </c>
      <c r="AH1073" s="3">
        <v>0</v>
      </c>
      <c r="AJ1073" s="3">
        <v>135855</v>
      </c>
    </row>
    <row r="1074" spans="1:38" x14ac:dyDescent="0.25">
      <c r="A1074">
        <v>1066</v>
      </c>
      <c r="B1074" s="29" t="s">
        <v>45</v>
      </c>
      <c r="C1074" s="29" t="s">
        <v>46</v>
      </c>
      <c r="D1074" s="4" t="str">
        <f>"17386"</f>
        <v>17386</v>
      </c>
      <c r="E1074" s="4" t="str">
        <f t="shared" si="32"/>
        <v>FE17386</v>
      </c>
      <c r="F1074" s="7">
        <v>44377</v>
      </c>
      <c r="G1074" s="7">
        <v>44386</v>
      </c>
      <c r="H1074" s="34">
        <v>15489</v>
      </c>
      <c r="I1074" s="31">
        <v>13940</v>
      </c>
      <c r="J1074" s="31">
        <f t="shared" si="33"/>
        <v>1549</v>
      </c>
      <c r="K1074" s="2"/>
      <c r="N1074" s="32">
        <v>0</v>
      </c>
      <c r="Q1074" s="34">
        <v>0</v>
      </c>
      <c r="R1074" s="45"/>
      <c r="S1074" s="4">
        <f>IFERROR(VLOOKUP(E1074,'[2]td factu si'!$A:$B,1,0),0)</f>
        <v>0</v>
      </c>
      <c r="T1074" s="2">
        <f>IFERROR(VLOOKUP(E1074,'[2]td factu si'!$A:$B,2,0),0)*-1</f>
        <v>0</v>
      </c>
      <c r="W1074" s="36"/>
      <c r="X1074" s="6">
        <v>13940</v>
      </c>
      <c r="AH1074" s="3">
        <v>0</v>
      </c>
      <c r="AJ1074" s="3">
        <v>13940</v>
      </c>
    </row>
    <row r="1075" spans="1:38" x14ac:dyDescent="0.25">
      <c r="A1075">
        <v>1067</v>
      </c>
      <c r="B1075" s="29" t="s">
        <v>45</v>
      </c>
      <c r="C1075" s="29" t="s">
        <v>46</v>
      </c>
      <c r="D1075" s="4" t="str">
        <f>"17389"</f>
        <v>17389</v>
      </c>
      <c r="E1075" s="4" t="str">
        <f t="shared" si="32"/>
        <v>FE17389</v>
      </c>
      <c r="F1075" s="7">
        <v>44377</v>
      </c>
      <c r="G1075" s="7">
        <v>44386</v>
      </c>
      <c r="H1075" s="34">
        <v>15489</v>
      </c>
      <c r="I1075" s="31">
        <v>15489</v>
      </c>
      <c r="J1075" s="31">
        <f t="shared" si="33"/>
        <v>0</v>
      </c>
      <c r="K1075" s="2"/>
      <c r="N1075" s="32">
        <v>0</v>
      </c>
      <c r="Q1075" s="34">
        <v>0</v>
      </c>
      <c r="R1075" s="45"/>
      <c r="S1075" s="4">
        <f>IFERROR(VLOOKUP(E1075,'[2]td factu si'!$A:$B,1,0),0)</f>
        <v>0</v>
      </c>
      <c r="T1075" s="2">
        <f>IFERROR(VLOOKUP(E1075,'[2]td factu si'!$A:$B,2,0),0)*-1</f>
        <v>0</v>
      </c>
      <c r="W1075" s="36"/>
      <c r="X1075" s="6">
        <v>15489</v>
      </c>
      <c r="AH1075" s="3">
        <v>0</v>
      </c>
      <c r="AJ1075" s="3">
        <v>15489</v>
      </c>
    </row>
    <row r="1076" spans="1:38" x14ac:dyDescent="0.25">
      <c r="A1076">
        <v>1068</v>
      </c>
      <c r="B1076" s="29" t="s">
        <v>45</v>
      </c>
      <c r="C1076" s="29" t="s">
        <v>46</v>
      </c>
      <c r="D1076" s="4" t="str">
        <f>"17391"</f>
        <v>17391</v>
      </c>
      <c r="E1076" s="4" t="str">
        <f t="shared" si="32"/>
        <v>FE17391</v>
      </c>
      <c r="F1076" s="7">
        <v>44377</v>
      </c>
      <c r="G1076" s="7">
        <v>44386</v>
      </c>
      <c r="H1076" s="34">
        <v>317101</v>
      </c>
      <c r="I1076" s="31">
        <v>317101</v>
      </c>
      <c r="J1076" s="31">
        <f t="shared" si="33"/>
        <v>0</v>
      </c>
      <c r="K1076" s="2"/>
      <c r="N1076" s="32">
        <v>0</v>
      </c>
      <c r="Q1076" s="34">
        <v>0</v>
      </c>
      <c r="R1076" s="45"/>
      <c r="S1076" s="4">
        <f>IFERROR(VLOOKUP(E1076,'[2]td factu si'!$A:$B,1,0),0)</f>
        <v>0</v>
      </c>
      <c r="T1076" s="2">
        <f>IFERROR(VLOOKUP(E1076,'[2]td factu si'!$A:$B,2,0),0)*-1</f>
        <v>0</v>
      </c>
      <c r="W1076" s="36"/>
      <c r="X1076" s="6">
        <v>317101</v>
      </c>
      <c r="AH1076" s="3">
        <v>0</v>
      </c>
      <c r="AJ1076" s="3">
        <v>317101</v>
      </c>
    </row>
    <row r="1077" spans="1:38" x14ac:dyDescent="0.25">
      <c r="A1077">
        <v>1069</v>
      </c>
      <c r="B1077" s="29" t="s">
        <v>45</v>
      </c>
      <c r="C1077" s="29" t="s">
        <v>46</v>
      </c>
      <c r="D1077" s="4" t="str">
        <f>"17396"</f>
        <v>17396</v>
      </c>
      <c r="E1077" s="4" t="str">
        <f t="shared" si="32"/>
        <v>FE17396</v>
      </c>
      <c r="F1077" s="7">
        <v>44377</v>
      </c>
      <c r="G1077" s="7">
        <v>44386</v>
      </c>
      <c r="H1077" s="34">
        <v>15489</v>
      </c>
      <c r="I1077" s="31">
        <v>15489</v>
      </c>
      <c r="J1077" s="31">
        <f t="shared" si="33"/>
        <v>0</v>
      </c>
      <c r="K1077" s="2"/>
      <c r="N1077" s="32">
        <v>0</v>
      </c>
      <c r="Q1077" s="34">
        <v>0</v>
      </c>
      <c r="R1077" s="45"/>
      <c r="S1077" s="4">
        <f>IFERROR(VLOOKUP(E1077,'[2]td factu si'!$A:$B,1,0),0)</f>
        <v>0</v>
      </c>
      <c r="T1077" s="2">
        <f>IFERROR(VLOOKUP(E1077,'[2]td factu si'!$A:$B,2,0),0)*-1</f>
        <v>0</v>
      </c>
      <c r="W1077" s="36"/>
      <c r="X1077" s="6">
        <v>15489</v>
      </c>
      <c r="AH1077" s="3">
        <v>0</v>
      </c>
      <c r="AJ1077" s="3">
        <v>15489</v>
      </c>
    </row>
    <row r="1078" spans="1:38" x14ac:dyDescent="0.25">
      <c r="A1078">
        <v>1070</v>
      </c>
      <c r="B1078" s="29" t="s">
        <v>45</v>
      </c>
      <c r="C1078" s="29" t="s">
        <v>46</v>
      </c>
      <c r="D1078" s="4" t="str">
        <f>"17397"</f>
        <v>17397</v>
      </c>
      <c r="E1078" s="4" t="str">
        <f t="shared" si="32"/>
        <v>FE17397</v>
      </c>
      <c r="F1078" s="7">
        <v>44377</v>
      </c>
      <c r="G1078" s="7">
        <v>44386</v>
      </c>
      <c r="H1078" s="34">
        <v>15489</v>
      </c>
      <c r="I1078" s="31">
        <v>15489</v>
      </c>
      <c r="J1078" s="31">
        <f t="shared" si="33"/>
        <v>0</v>
      </c>
      <c r="K1078" s="2"/>
      <c r="N1078" s="32">
        <v>0</v>
      </c>
      <c r="Q1078" s="34">
        <v>0</v>
      </c>
      <c r="R1078" s="45"/>
      <c r="S1078" s="4">
        <f>IFERROR(VLOOKUP(E1078,'[2]td factu si'!$A:$B,1,0),0)</f>
        <v>0</v>
      </c>
      <c r="T1078" s="2">
        <f>IFERROR(VLOOKUP(E1078,'[2]td factu si'!$A:$B,2,0),0)*-1</f>
        <v>0</v>
      </c>
      <c r="W1078" s="36"/>
      <c r="X1078" s="6">
        <v>15489</v>
      </c>
      <c r="AH1078" s="3">
        <v>0</v>
      </c>
      <c r="AJ1078" s="3">
        <v>15489</v>
      </c>
    </row>
    <row r="1079" spans="1:38" x14ac:dyDescent="0.25">
      <c r="A1079">
        <v>1071</v>
      </c>
      <c r="B1079" s="29" t="s">
        <v>45</v>
      </c>
      <c r="C1079" s="29" t="s">
        <v>46</v>
      </c>
      <c r="D1079" s="4" t="str">
        <f>"17398"</f>
        <v>17398</v>
      </c>
      <c r="E1079" s="4" t="str">
        <f t="shared" si="32"/>
        <v>FE17398</v>
      </c>
      <c r="F1079" s="7">
        <v>44377</v>
      </c>
      <c r="G1079" s="7">
        <v>44386</v>
      </c>
      <c r="H1079" s="34">
        <v>15489</v>
      </c>
      <c r="I1079" s="31">
        <v>15489</v>
      </c>
      <c r="J1079" s="31">
        <f t="shared" si="33"/>
        <v>0</v>
      </c>
      <c r="K1079" s="2"/>
      <c r="N1079" s="32">
        <v>0</v>
      </c>
      <c r="Q1079" s="34">
        <v>0</v>
      </c>
      <c r="R1079" s="45"/>
      <c r="S1079" s="4">
        <f>IFERROR(VLOOKUP(E1079,'[2]td factu si'!$A:$B,1,0),0)</f>
        <v>0</v>
      </c>
      <c r="T1079" s="2">
        <f>IFERROR(VLOOKUP(E1079,'[2]td factu si'!$A:$B,2,0),0)*-1</f>
        <v>0</v>
      </c>
      <c r="W1079" s="36"/>
      <c r="X1079" s="6">
        <v>15489</v>
      </c>
      <c r="AH1079" s="3">
        <v>0</v>
      </c>
      <c r="AJ1079" s="3">
        <v>15489</v>
      </c>
    </row>
    <row r="1080" spans="1:38" x14ac:dyDescent="0.25">
      <c r="A1080">
        <v>1072</v>
      </c>
      <c r="B1080" s="29" t="s">
        <v>45</v>
      </c>
      <c r="C1080" s="29" t="s">
        <v>46</v>
      </c>
      <c r="D1080" s="4" t="str">
        <f>"17401"</f>
        <v>17401</v>
      </c>
      <c r="E1080" s="4" t="str">
        <f t="shared" si="32"/>
        <v>FE17401</v>
      </c>
      <c r="F1080" s="7">
        <v>44377</v>
      </c>
      <c r="G1080" s="7">
        <v>44386</v>
      </c>
      <c r="H1080" s="34">
        <v>15489</v>
      </c>
      <c r="I1080" s="31">
        <v>15489</v>
      </c>
      <c r="J1080" s="31">
        <f t="shared" si="33"/>
        <v>0</v>
      </c>
      <c r="K1080" s="2"/>
      <c r="N1080" s="32">
        <v>0</v>
      </c>
      <c r="Q1080" s="34">
        <v>0</v>
      </c>
      <c r="R1080" s="45"/>
      <c r="S1080" s="4">
        <f>IFERROR(VLOOKUP(E1080,'[2]td factu si'!$A:$B,1,0),0)</f>
        <v>0</v>
      </c>
      <c r="T1080" s="2">
        <f>IFERROR(VLOOKUP(E1080,'[2]td factu si'!$A:$B,2,0),0)*-1</f>
        <v>0</v>
      </c>
      <c r="W1080" s="36"/>
      <c r="X1080" s="6">
        <v>15489</v>
      </c>
      <c r="AH1080" s="3">
        <v>0</v>
      </c>
      <c r="AJ1080" s="3">
        <v>15489</v>
      </c>
    </row>
    <row r="1081" spans="1:38" x14ac:dyDescent="0.25">
      <c r="A1081">
        <v>1073</v>
      </c>
      <c r="B1081" s="29" t="s">
        <v>45</v>
      </c>
      <c r="C1081" s="29" t="s">
        <v>46</v>
      </c>
      <c r="D1081" s="4" t="str">
        <f>"17406"</f>
        <v>17406</v>
      </c>
      <c r="E1081" s="4" t="str">
        <f t="shared" si="32"/>
        <v>FE17406</v>
      </c>
      <c r="F1081" s="7">
        <v>44377</v>
      </c>
      <c r="G1081" s="7">
        <v>44386</v>
      </c>
      <c r="H1081" s="34">
        <v>181246</v>
      </c>
      <c r="I1081" s="31">
        <v>181246</v>
      </c>
      <c r="J1081" s="31">
        <f t="shared" si="33"/>
        <v>0</v>
      </c>
      <c r="K1081" s="2"/>
      <c r="N1081" s="32">
        <v>0</v>
      </c>
      <c r="Q1081" s="34">
        <v>0</v>
      </c>
      <c r="R1081" s="45"/>
      <c r="S1081" s="4">
        <f>IFERROR(VLOOKUP(E1081,'[2]td factu si'!$A:$B,1,0),0)</f>
        <v>0</v>
      </c>
      <c r="T1081" s="2">
        <f>IFERROR(VLOOKUP(E1081,'[2]td factu si'!$A:$B,2,0),0)*-1</f>
        <v>0</v>
      </c>
      <c r="W1081" s="36"/>
      <c r="X1081" s="6">
        <v>181246</v>
      </c>
      <c r="AH1081" s="3">
        <v>0</v>
      </c>
      <c r="AJ1081" s="3">
        <v>181246</v>
      </c>
    </row>
    <row r="1082" spans="1:38" x14ac:dyDescent="0.25">
      <c r="A1082">
        <v>1074</v>
      </c>
      <c r="B1082" s="29" t="s">
        <v>45</v>
      </c>
      <c r="C1082" s="29" t="s">
        <v>46</v>
      </c>
      <c r="D1082" s="4" t="str">
        <f>"17407"</f>
        <v>17407</v>
      </c>
      <c r="E1082" s="4" t="str">
        <f t="shared" si="32"/>
        <v>FE17407</v>
      </c>
      <c r="F1082" s="7">
        <v>44377</v>
      </c>
      <c r="G1082" s="7">
        <v>44386</v>
      </c>
      <c r="H1082" s="34">
        <v>135855</v>
      </c>
      <c r="I1082" s="31">
        <v>135855</v>
      </c>
      <c r="J1082" s="31">
        <f t="shared" si="33"/>
        <v>0</v>
      </c>
      <c r="K1082" s="2"/>
      <c r="N1082" s="32">
        <v>0</v>
      </c>
      <c r="Q1082" s="34">
        <v>0</v>
      </c>
      <c r="R1082" s="45"/>
      <c r="S1082" s="4">
        <f>IFERROR(VLOOKUP(E1082,'[2]td factu si'!$A:$B,1,0),0)</f>
        <v>0</v>
      </c>
      <c r="T1082" s="2">
        <f>IFERROR(VLOOKUP(E1082,'[2]td factu si'!$A:$B,2,0),0)*-1</f>
        <v>0</v>
      </c>
      <c r="W1082" s="36"/>
      <c r="X1082" s="6">
        <v>135855</v>
      </c>
      <c r="AH1082" s="3">
        <v>0</v>
      </c>
      <c r="AJ1082" s="3">
        <v>135855</v>
      </c>
    </row>
    <row r="1083" spans="1:38" x14ac:dyDescent="0.25">
      <c r="A1083">
        <v>1075</v>
      </c>
      <c r="B1083" s="29" t="s">
        <v>45</v>
      </c>
      <c r="C1083" s="29" t="s">
        <v>46</v>
      </c>
      <c r="D1083" s="4" t="str">
        <f>"17408"</f>
        <v>17408</v>
      </c>
      <c r="E1083" s="4" t="str">
        <f t="shared" si="32"/>
        <v>FE17408</v>
      </c>
      <c r="F1083" s="7">
        <v>44377</v>
      </c>
      <c r="G1083" s="7">
        <v>44386</v>
      </c>
      <c r="H1083" s="34">
        <v>135855</v>
      </c>
      <c r="I1083" s="31">
        <v>135855</v>
      </c>
      <c r="J1083" s="31">
        <f t="shared" si="33"/>
        <v>0</v>
      </c>
      <c r="K1083" s="2"/>
      <c r="N1083" s="32">
        <v>0</v>
      </c>
      <c r="Q1083" s="34">
        <v>0</v>
      </c>
      <c r="R1083" s="45"/>
      <c r="S1083" s="4">
        <f>IFERROR(VLOOKUP(E1083,'[2]td factu si'!$A:$B,1,0),0)</f>
        <v>0</v>
      </c>
      <c r="T1083" s="2">
        <f>IFERROR(VLOOKUP(E1083,'[2]td factu si'!$A:$B,2,0),0)*-1</f>
        <v>0</v>
      </c>
      <c r="W1083" s="36"/>
      <c r="X1083" s="6">
        <v>135855</v>
      </c>
      <c r="AH1083" s="3">
        <v>0</v>
      </c>
      <c r="AJ1083" s="3">
        <v>135855</v>
      </c>
    </row>
    <row r="1084" spans="1:38" x14ac:dyDescent="0.25">
      <c r="A1084">
        <v>1076</v>
      </c>
      <c r="B1084" s="29" t="s">
        <v>45</v>
      </c>
      <c r="C1084" s="29" t="s">
        <v>46</v>
      </c>
      <c r="D1084" s="4" t="str">
        <f>"17409"</f>
        <v>17409</v>
      </c>
      <c r="E1084" s="4" t="str">
        <f t="shared" si="32"/>
        <v>FE17409</v>
      </c>
      <c r="F1084" s="7">
        <v>44377</v>
      </c>
      <c r="G1084" s="7">
        <v>44386</v>
      </c>
      <c r="H1084" s="34">
        <v>78702</v>
      </c>
      <c r="I1084" s="31">
        <v>78702</v>
      </c>
      <c r="J1084" s="31">
        <f t="shared" si="33"/>
        <v>0</v>
      </c>
      <c r="K1084" s="2"/>
      <c r="N1084" s="32">
        <v>0</v>
      </c>
      <c r="Q1084" s="34">
        <v>0</v>
      </c>
      <c r="R1084" s="45"/>
      <c r="S1084" s="4">
        <f>IFERROR(VLOOKUP(E1084,'[2]td factu si'!$A:$B,1,0),0)</f>
        <v>0</v>
      </c>
      <c r="T1084" s="2">
        <f>IFERROR(VLOOKUP(E1084,'[2]td factu si'!$A:$B,2,0),0)*-1</f>
        <v>0</v>
      </c>
      <c r="W1084" s="36"/>
      <c r="X1084" s="6">
        <v>78702</v>
      </c>
      <c r="AH1084" s="3">
        <v>0</v>
      </c>
      <c r="AJ1084" s="3">
        <v>78702</v>
      </c>
    </row>
    <row r="1085" spans="1:38" x14ac:dyDescent="0.25">
      <c r="A1085">
        <v>1077</v>
      </c>
      <c r="B1085" s="29" t="s">
        <v>45</v>
      </c>
      <c r="C1085" s="29" t="s">
        <v>46</v>
      </c>
      <c r="D1085" s="4" t="str">
        <f>"17412"</f>
        <v>17412</v>
      </c>
      <c r="E1085" s="4" t="str">
        <f t="shared" si="32"/>
        <v>FE17412</v>
      </c>
      <c r="F1085" s="7">
        <v>44377</v>
      </c>
      <c r="G1085" s="7">
        <v>44386</v>
      </c>
      <c r="H1085" s="34">
        <v>49114</v>
      </c>
      <c r="I1085" s="31">
        <v>49114</v>
      </c>
      <c r="J1085" s="31">
        <f t="shared" si="33"/>
        <v>0</v>
      </c>
      <c r="K1085" s="2"/>
      <c r="N1085" s="32">
        <v>0</v>
      </c>
      <c r="Q1085" s="34">
        <v>0</v>
      </c>
      <c r="R1085" s="45"/>
      <c r="S1085" s="4">
        <f>IFERROR(VLOOKUP(E1085,'[2]td factu si'!$A:$B,1,0),0)</f>
        <v>0</v>
      </c>
      <c r="T1085" s="2">
        <f>IFERROR(VLOOKUP(E1085,'[2]td factu si'!$A:$B,2,0),0)*-1</f>
        <v>0</v>
      </c>
      <c r="W1085" s="36"/>
      <c r="X1085" s="6">
        <v>49114</v>
      </c>
      <c r="AH1085" s="3">
        <v>0</v>
      </c>
      <c r="AJ1085" s="3">
        <v>49114</v>
      </c>
    </row>
    <row r="1086" spans="1:38" x14ac:dyDescent="0.25">
      <c r="A1086">
        <v>1078</v>
      </c>
      <c r="B1086" s="29" t="s">
        <v>45</v>
      </c>
      <c r="C1086" s="29" t="s">
        <v>46</v>
      </c>
      <c r="D1086" s="4" t="str">
        <f>"17420"</f>
        <v>17420</v>
      </c>
      <c r="E1086" s="4" t="str">
        <f t="shared" si="32"/>
        <v>FE17420</v>
      </c>
      <c r="F1086" s="7">
        <v>44377</v>
      </c>
      <c r="G1086" s="7">
        <v>44386</v>
      </c>
      <c r="H1086" s="34">
        <v>181246</v>
      </c>
      <c r="I1086" s="31">
        <v>181246</v>
      </c>
      <c r="J1086" s="31">
        <f t="shared" si="33"/>
        <v>0</v>
      </c>
      <c r="K1086" s="2"/>
      <c r="N1086" s="32">
        <v>0</v>
      </c>
      <c r="Q1086" s="34">
        <v>0</v>
      </c>
      <c r="R1086" s="45"/>
      <c r="S1086" s="4">
        <f>IFERROR(VLOOKUP(E1086,'[2]td factu si'!$A:$B,1,0),0)</f>
        <v>0</v>
      </c>
      <c r="T1086" s="2">
        <f>IFERROR(VLOOKUP(E1086,'[2]td factu si'!$A:$B,2,0),0)*-1</f>
        <v>0</v>
      </c>
      <c r="W1086" s="36"/>
      <c r="X1086" s="6">
        <v>181246</v>
      </c>
      <c r="AH1086" s="3">
        <v>0</v>
      </c>
      <c r="AJ1086" s="3">
        <v>181246</v>
      </c>
    </row>
    <row r="1087" spans="1:38" x14ac:dyDescent="0.25">
      <c r="A1087">
        <v>1079</v>
      </c>
      <c r="B1087" s="29" t="s">
        <v>45</v>
      </c>
      <c r="C1087" s="29" t="s">
        <v>46</v>
      </c>
      <c r="D1087" s="4" t="str">
        <f>"17421"</f>
        <v>17421</v>
      </c>
      <c r="E1087" s="4" t="str">
        <f t="shared" si="32"/>
        <v>FE17421</v>
      </c>
      <c r="F1087" s="7">
        <v>44377</v>
      </c>
      <c r="G1087" s="7">
        <v>44386</v>
      </c>
      <c r="H1087" s="34">
        <v>135855</v>
      </c>
      <c r="I1087" s="31">
        <v>135855</v>
      </c>
      <c r="J1087" s="31">
        <f t="shared" si="33"/>
        <v>0</v>
      </c>
      <c r="K1087" s="2"/>
      <c r="N1087" s="32">
        <v>0</v>
      </c>
      <c r="Q1087" s="34">
        <v>0</v>
      </c>
      <c r="R1087" s="45"/>
      <c r="S1087" s="4">
        <f>IFERROR(VLOOKUP(E1087,'[2]td factu si'!$A:$B,1,0),0)</f>
        <v>0</v>
      </c>
      <c r="T1087" s="2">
        <f>IFERROR(VLOOKUP(E1087,'[2]td factu si'!$A:$B,2,0),0)*-1</f>
        <v>0</v>
      </c>
      <c r="W1087" s="36"/>
      <c r="X1087" s="6">
        <v>135855</v>
      </c>
      <c r="AH1087" s="3">
        <v>0</v>
      </c>
      <c r="AJ1087" s="3">
        <v>135855</v>
      </c>
    </row>
    <row r="1088" spans="1:38" x14ac:dyDescent="0.25">
      <c r="A1088">
        <v>1080</v>
      </c>
      <c r="B1088" s="29" t="s">
        <v>45</v>
      </c>
      <c r="C1088" s="29" t="s">
        <v>46</v>
      </c>
      <c r="D1088" s="4" t="str">
        <f>"17424"</f>
        <v>17424</v>
      </c>
      <c r="E1088" s="4" t="str">
        <f t="shared" si="32"/>
        <v>FE17424</v>
      </c>
      <c r="F1088" s="7">
        <v>44378</v>
      </c>
      <c r="G1088" s="7">
        <v>44386</v>
      </c>
      <c r="H1088" s="34">
        <v>181246</v>
      </c>
      <c r="I1088" s="31">
        <v>163121</v>
      </c>
      <c r="J1088" s="31">
        <f t="shared" si="33"/>
        <v>18125</v>
      </c>
      <c r="K1088" s="2"/>
      <c r="N1088" s="32">
        <v>0</v>
      </c>
      <c r="Q1088" s="34">
        <v>0</v>
      </c>
      <c r="R1088" s="45"/>
      <c r="S1088" s="4">
        <f>IFERROR(VLOOKUP(E1088,'[2]td factu si'!$A:$B,1,0),0)</f>
        <v>0</v>
      </c>
      <c r="T1088" s="2">
        <f>IFERROR(VLOOKUP(E1088,'[2]td factu si'!$A:$B,2,0),0)*-1</f>
        <v>0</v>
      </c>
      <c r="W1088" s="36"/>
      <c r="AH1088" s="3">
        <v>0</v>
      </c>
      <c r="AJ1088" s="3">
        <v>0</v>
      </c>
      <c r="AL1088" s="39" t="s">
        <v>49</v>
      </c>
    </row>
    <row r="1089" spans="1:36" x14ac:dyDescent="0.25">
      <c r="A1089">
        <v>1081</v>
      </c>
      <c r="B1089" s="29" t="s">
        <v>45</v>
      </c>
      <c r="C1089" s="29" t="s">
        <v>46</v>
      </c>
      <c r="D1089" s="4" t="str">
        <f>"17426"</f>
        <v>17426</v>
      </c>
      <c r="E1089" s="4" t="str">
        <f t="shared" si="32"/>
        <v>FE17426</v>
      </c>
      <c r="F1089" s="7">
        <v>44378</v>
      </c>
      <c r="G1089" s="7">
        <v>44386</v>
      </c>
      <c r="H1089" s="34">
        <v>181246</v>
      </c>
      <c r="I1089" s="31">
        <v>177746</v>
      </c>
      <c r="J1089" s="31">
        <f t="shared" si="33"/>
        <v>3500</v>
      </c>
      <c r="K1089" s="2"/>
      <c r="N1089" s="32">
        <v>0</v>
      </c>
      <c r="Q1089" s="34">
        <v>0</v>
      </c>
      <c r="R1089" s="45"/>
      <c r="S1089" s="4">
        <f>IFERROR(VLOOKUP(E1089,'[2]td factu si'!$A:$B,1,0),0)</f>
        <v>0</v>
      </c>
      <c r="T1089" s="2">
        <f>IFERROR(VLOOKUP(E1089,'[2]td factu si'!$A:$B,2,0),0)*-1</f>
        <v>0</v>
      </c>
      <c r="W1089" s="36"/>
      <c r="X1089" s="6">
        <v>177746</v>
      </c>
      <c r="AH1089" s="3">
        <v>0</v>
      </c>
      <c r="AJ1089" s="3">
        <v>177746</v>
      </c>
    </row>
    <row r="1090" spans="1:36" x14ac:dyDescent="0.25">
      <c r="A1090">
        <v>1082</v>
      </c>
      <c r="B1090" s="29" t="s">
        <v>45</v>
      </c>
      <c r="C1090" s="29" t="s">
        <v>46</v>
      </c>
      <c r="D1090" s="4" t="str">
        <f>"17427"</f>
        <v>17427</v>
      </c>
      <c r="E1090" s="4" t="str">
        <f t="shared" si="32"/>
        <v>FE17427</v>
      </c>
      <c r="F1090" s="7">
        <v>44378</v>
      </c>
      <c r="G1090" s="7">
        <v>44386</v>
      </c>
      <c r="H1090" s="34">
        <v>181246</v>
      </c>
      <c r="I1090" s="31">
        <v>160403</v>
      </c>
      <c r="J1090" s="31">
        <f t="shared" si="33"/>
        <v>20843</v>
      </c>
      <c r="K1090" s="2"/>
      <c r="N1090" s="32">
        <v>0</v>
      </c>
      <c r="Q1090" s="34">
        <v>0</v>
      </c>
      <c r="R1090" s="45"/>
      <c r="S1090" s="4">
        <f>IFERROR(VLOOKUP(E1090,'[2]td factu si'!$A:$B,1,0),0)</f>
        <v>0</v>
      </c>
      <c r="T1090" s="2">
        <f>IFERROR(VLOOKUP(E1090,'[2]td factu si'!$A:$B,2,0),0)*-1</f>
        <v>0</v>
      </c>
      <c r="W1090" s="36"/>
      <c r="X1090" s="6">
        <v>160403</v>
      </c>
      <c r="AH1090" s="3">
        <v>0</v>
      </c>
      <c r="AJ1090" s="3">
        <v>160403</v>
      </c>
    </row>
    <row r="1091" spans="1:36" x14ac:dyDescent="0.25">
      <c r="A1091">
        <v>1083</v>
      </c>
      <c r="B1091" s="29" t="s">
        <v>45</v>
      </c>
      <c r="C1091" s="29" t="s">
        <v>46</v>
      </c>
      <c r="D1091" s="4" t="str">
        <f>"17428"</f>
        <v>17428</v>
      </c>
      <c r="E1091" s="4" t="str">
        <f t="shared" si="32"/>
        <v>FE17428</v>
      </c>
      <c r="F1091" s="7">
        <v>44378</v>
      </c>
      <c r="G1091" s="7">
        <v>44386</v>
      </c>
      <c r="H1091" s="34">
        <v>15489</v>
      </c>
      <c r="I1091" s="31">
        <v>15489</v>
      </c>
      <c r="J1091" s="31">
        <f t="shared" si="33"/>
        <v>0</v>
      </c>
      <c r="K1091" s="2"/>
      <c r="N1091" s="32">
        <v>0</v>
      </c>
      <c r="Q1091" s="34">
        <v>0</v>
      </c>
      <c r="R1091" s="45"/>
      <c r="S1091" s="4">
        <f>IFERROR(VLOOKUP(E1091,'[2]td factu si'!$A:$B,1,0),0)</f>
        <v>0</v>
      </c>
      <c r="T1091" s="2">
        <f>IFERROR(VLOOKUP(E1091,'[2]td factu si'!$A:$B,2,0),0)*-1</f>
        <v>0</v>
      </c>
      <c r="W1091" s="36"/>
      <c r="X1091" s="6">
        <v>15489</v>
      </c>
      <c r="AH1091" s="3">
        <v>0</v>
      </c>
      <c r="AJ1091" s="3">
        <v>15489</v>
      </c>
    </row>
    <row r="1092" spans="1:36" x14ac:dyDescent="0.25">
      <c r="A1092">
        <v>1084</v>
      </c>
      <c r="B1092" s="29" t="s">
        <v>45</v>
      </c>
      <c r="C1092" s="29" t="s">
        <v>46</v>
      </c>
      <c r="D1092" s="4" t="str">
        <f>"17429"</f>
        <v>17429</v>
      </c>
      <c r="E1092" s="4" t="str">
        <f t="shared" si="32"/>
        <v>FE17429</v>
      </c>
      <c r="F1092" s="7">
        <v>44378</v>
      </c>
      <c r="G1092" s="7">
        <v>44386</v>
      </c>
      <c r="H1092" s="34">
        <v>15489</v>
      </c>
      <c r="I1092" s="31">
        <v>15489</v>
      </c>
      <c r="J1092" s="31">
        <f t="shared" si="33"/>
        <v>0</v>
      </c>
      <c r="K1092" s="2"/>
      <c r="N1092" s="32">
        <v>0</v>
      </c>
      <c r="Q1092" s="34">
        <v>0</v>
      </c>
      <c r="R1092" s="45"/>
      <c r="S1092" s="4">
        <f>IFERROR(VLOOKUP(E1092,'[2]td factu si'!$A:$B,1,0),0)</f>
        <v>0</v>
      </c>
      <c r="T1092" s="2">
        <f>IFERROR(VLOOKUP(E1092,'[2]td factu si'!$A:$B,2,0),0)*-1</f>
        <v>0</v>
      </c>
      <c r="W1092" s="36"/>
      <c r="X1092" s="6">
        <v>15489</v>
      </c>
      <c r="AH1092" s="3">
        <v>0</v>
      </c>
      <c r="AJ1092" s="3">
        <v>15489</v>
      </c>
    </row>
    <row r="1093" spans="1:36" x14ac:dyDescent="0.25">
      <c r="A1093">
        <v>1085</v>
      </c>
      <c r="B1093" s="29" t="s">
        <v>45</v>
      </c>
      <c r="C1093" s="29" t="s">
        <v>46</v>
      </c>
      <c r="D1093" s="4" t="str">
        <f>"17430"</f>
        <v>17430</v>
      </c>
      <c r="E1093" s="4" t="str">
        <f t="shared" si="32"/>
        <v>FE17430</v>
      </c>
      <c r="F1093" s="7">
        <v>44378</v>
      </c>
      <c r="G1093" s="7">
        <v>44386</v>
      </c>
      <c r="H1093" s="34">
        <v>15489</v>
      </c>
      <c r="I1093" s="31">
        <v>13940</v>
      </c>
      <c r="J1093" s="31">
        <f t="shared" si="33"/>
        <v>1549</v>
      </c>
      <c r="K1093" s="2"/>
      <c r="N1093" s="32">
        <v>0</v>
      </c>
      <c r="Q1093" s="34">
        <v>0</v>
      </c>
      <c r="R1093" s="45"/>
      <c r="S1093" s="4">
        <f>IFERROR(VLOOKUP(E1093,'[2]td factu si'!$A:$B,1,0),0)</f>
        <v>0</v>
      </c>
      <c r="T1093" s="2">
        <f>IFERROR(VLOOKUP(E1093,'[2]td factu si'!$A:$B,2,0),0)*-1</f>
        <v>0</v>
      </c>
      <c r="W1093" s="36"/>
      <c r="X1093" s="6">
        <v>13940</v>
      </c>
      <c r="AH1093" s="3">
        <v>0</v>
      </c>
      <c r="AJ1093" s="3">
        <v>13940</v>
      </c>
    </row>
    <row r="1094" spans="1:36" x14ac:dyDescent="0.25">
      <c r="A1094">
        <v>1086</v>
      </c>
      <c r="B1094" s="29" t="s">
        <v>45</v>
      </c>
      <c r="C1094" s="29" t="s">
        <v>46</v>
      </c>
      <c r="D1094" s="4" t="str">
        <f>"17431"</f>
        <v>17431</v>
      </c>
      <c r="E1094" s="4" t="str">
        <f t="shared" si="32"/>
        <v>FE17431</v>
      </c>
      <c r="F1094" s="7">
        <v>44378</v>
      </c>
      <c r="G1094" s="7">
        <v>44386</v>
      </c>
      <c r="H1094" s="34">
        <v>15489</v>
      </c>
      <c r="I1094" s="31">
        <v>15489</v>
      </c>
      <c r="J1094" s="31">
        <f t="shared" si="33"/>
        <v>0</v>
      </c>
      <c r="K1094" s="2"/>
      <c r="N1094" s="32">
        <v>0</v>
      </c>
      <c r="Q1094" s="34">
        <v>0</v>
      </c>
      <c r="R1094" s="45"/>
      <c r="S1094" s="4">
        <f>IFERROR(VLOOKUP(E1094,'[2]td factu si'!$A:$B,1,0),0)</f>
        <v>0</v>
      </c>
      <c r="T1094" s="2">
        <f>IFERROR(VLOOKUP(E1094,'[2]td factu si'!$A:$B,2,0),0)*-1</f>
        <v>0</v>
      </c>
      <c r="W1094" s="36"/>
      <c r="X1094" s="6">
        <v>15489</v>
      </c>
      <c r="AH1094" s="3">
        <v>0</v>
      </c>
      <c r="AJ1094" s="3">
        <v>15489</v>
      </c>
    </row>
    <row r="1095" spans="1:36" x14ac:dyDescent="0.25">
      <c r="A1095">
        <v>1087</v>
      </c>
      <c r="B1095" s="29" t="s">
        <v>45</v>
      </c>
      <c r="C1095" s="29" t="s">
        <v>46</v>
      </c>
      <c r="D1095" s="4" t="str">
        <f>"17432"</f>
        <v>17432</v>
      </c>
      <c r="E1095" s="4" t="str">
        <f t="shared" si="32"/>
        <v>FE17432</v>
      </c>
      <c r="F1095" s="7">
        <v>44378</v>
      </c>
      <c r="G1095" s="7">
        <v>44386</v>
      </c>
      <c r="H1095" s="34">
        <v>15489</v>
      </c>
      <c r="I1095" s="31">
        <v>15489</v>
      </c>
      <c r="J1095" s="31">
        <f t="shared" si="33"/>
        <v>0</v>
      </c>
      <c r="K1095" s="2"/>
      <c r="N1095" s="32">
        <v>0</v>
      </c>
      <c r="Q1095" s="34">
        <v>0</v>
      </c>
      <c r="R1095" s="45"/>
      <c r="S1095" s="4">
        <f>IFERROR(VLOOKUP(E1095,'[2]td factu si'!$A:$B,1,0),0)</f>
        <v>0</v>
      </c>
      <c r="T1095" s="2">
        <f>IFERROR(VLOOKUP(E1095,'[2]td factu si'!$A:$B,2,0),0)*-1</f>
        <v>0</v>
      </c>
      <c r="W1095" s="36"/>
      <c r="X1095" s="6">
        <v>15489</v>
      </c>
      <c r="AH1095" s="3">
        <v>0</v>
      </c>
      <c r="AJ1095" s="3">
        <v>15489</v>
      </c>
    </row>
    <row r="1096" spans="1:36" x14ac:dyDescent="0.25">
      <c r="A1096">
        <v>1088</v>
      </c>
      <c r="B1096" s="29" t="s">
        <v>45</v>
      </c>
      <c r="C1096" s="29" t="s">
        <v>46</v>
      </c>
      <c r="D1096" s="4" t="str">
        <f>"17435"</f>
        <v>17435</v>
      </c>
      <c r="E1096" s="4" t="str">
        <f t="shared" si="32"/>
        <v>FE17435</v>
      </c>
      <c r="F1096" s="7">
        <v>44378</v>
      </c>
      <c r="G1096" s="7">
        <v>44386</v>
      </c>
      <c r="H1096" s="34">
        <v>15489</v>
      </c>
      <c r="I1096" s="31">
        <v>15489</v>
      </c>
      <c r="J1096" s="31">
        <f t="shared" si="33"/>
        <v>0</v>
      </c>
      <c r="K1096" s="2"/>
      <c r="N1096" s="32">
        <v>0</v>
      </c>
      <c r="Q1096" s="34">
        <v>0</v>
      </c>
      <c r="R1096" s="45"/>
      <c r="S1096" s="4">
        <f>IFERROR(VLOOKUP(E1096,'[2]td factu si'!$A:$B,1,0),0)</f>
        <v>0</v>
      </c>
      <c r="T1096" s="2">
        <f>IFERROR(VLOOKUP(E1096,'[2]td factu si'!$A:$B,2,0),0)*-1</f>
        <v>0</v>
      </c>
      <c r="W1096" s="36"/>
      <c r="X1096" s="6">
        <v>15489</v>
      </c>
      <c r="AH1096" s="3">
        <v>0</v>
      </c>
      <c r="AJ1096" s="3">
        <v>15489</v>
      </c>
    </row>
    <row r="1097" spans="1:36" x14ac:dyDescent="0.25">
      <c r="A1097">
        <v>1089</v>
      </c>
      <c r="B1097" s="29" t="s">
        <v>45</v>
      </c>
      <c r="C1097" s="29" t="s">
        <v>46</v>
      </c>
      <c r="D1097" s="4" t="str">
        <f>"17437"</f>
        <v>17437</v>
      </c>
      <c r="E1097" s="4" t="str">
        <f t="shared" si="32"/>
        <v>FE17437</v>
      </c>
      <c r="F1097" s="7">
        <v>44379</v>
      </c>
      <c r="G1097" s="7">
        <v>44386</v>
      </c>
      <c r="H1097" s="34">
        <v>15489</v>
      </c>
      <c r="I1097" s="31">
        <v>15489</v>
      </c>
      <c r="J1097" s="31">
        <f t="shared" si="33"/>
        <v>0</v>
      </c>
      <c r="K1097" s="2"/>
      <c r="N1097" s="32">
        <v>0</v>
      </c>
      <c r="Q1097" s="34">
        <v>0</v>
      </c>
      <c r="R1097" s="45"/>
      <c r="S1097" s="4">
        <f>IFERROR(VLOOKUP(E1097,'[2]td factu si'!$A:$B,1,0),0)</f>
        <v>0</v>
      </c>
      <c r="T1097" s="2">
        <f>IFERROR(VLOOKUP(E1097,'[2]td factu si'!$A:$B,2,0),0)*-1</f>
        <v>0</v>
      </c>
      <c r="W1097" s="36"/>
      <c r="X1097" s="6">
        <v>15489</v>
      </c>
      <c r="AH1097" s="3">
        <v>0</v>
      </c>
      <c r="AJ1097" s="3">
        <v>15489</v>
      </c>
    </row>
    <row r="1098" spans="1:36" x14ac:dyDescent="0.25">
      <c r="A1098">
        <v>1090</v>
      </c>
      <c r="B1098" s="29" t="s">
        <v>45</v>
      </c>
      <c r="C1098" s="29" t="s">
        <v>46</v>
      </c>
      <c r="D1098" s="4" t="str">
        <f>"17445"</f>
        <v>17445</v>
      </c>
      <c r="E1098" s="4" t="str">
        <f t="shared" ref="E1098:E1156" si="34">_xlfn.CONCAT(C1098,D1098)</f>
        <v>FE17445</v>
      </c>
      <c r="F1098" s="7">
        <v>44379</v>
      </c>
      <c r="G1098" s="7">
        <v>44386</v>
      </c>
      <c r="H1098" s="34">
        <v>181246</v>
      </c>
      <c r="I1098" s="31">
        <v>167246</v>
      </c>
      <c r="J1098" s="31">
        <f t="shared" ref="J1098:J1156" si="35">+H1098-I1098</f>
        <v>14000</v>
      </c>
      <c r="K1098" s="2"/>
      <c r="N1098" s="32">
        <v>0</v>
      </c>
      <c r="Q1098" s="34">
        <v>0</v>
      </c>
      <c r="R1098" s="45"/>
      <c r="S1098" s="4">
        <f>IFERROR(VLOOKUP(E1098,'[2]td factu si'!$A:$B,1,0),0)</f>
        <v>0</v>
      </c>
      <c r="T1098" s="2">
        <f>IFERROR(VLOOKUP(E1098,'[2]td factu si'!$A:$B,2,0),0)*-1</f>
        <v>0</v>
      </c>
      <c r="W1098" s="36"/>
      <c r="X1098" s="6">
        <v>167246</v>
      </c>
      <c r="AH1098" s="3">
        <v>0</v>
      </c>
      <c r="AJ1098" s="3">
        <v>167246</v>
      </c>
    </row>
    <row r="1099" spans="1:36" x14ac:dyDescent="0.25">
      <c r="A1099">
        <v>1091</v>
      </c>
      <c r="B1099" s="29" t="s">
        <v>45</v>
      </c>
      <c r="C1099" s="29" t="s">
        <v>46</v>
      </c>
      <c r="D1099" s="4" t="str">
        <f>"17452"</f>
        <v>17452</v>
      </c>
      <c r="E1099" s="4" t="str">
        <f t="shared" si="34"/>
        <v>FE17452</v>
      </c>
      <c r="F1099" s="7">
        <v>44379</v>
      </c>
      <c r="G1099" s="7">
        <v>44386</v>
      </c>
      <c r="H1099" s="34">
        <v>15489</v>
      </c>
      <c r="I1099" s="31">
        <v>15489</v>
      </c>
      <c r="J1099" s="31">
        <f t="shared" si="35"/>
        <v>0</v>
      </c>
      <c r="K1099" s="2"/>
      <c r="N1099" s="32">
        <v>0</v>
      </c>
      <c r="Q1099" s="34">
        <v>0</v>
      </c>
      <c r="R1099" s="45"/>
      <c r="S1099" s="4">
        <f>IFERROR(VLOOKUP(E1099,'[2]td factu si'!$A:$B,1,0),0)</f>
        <v>0</v>
      </c>
      <c r="T1099" s="2">
        <f>IFERROR(VLOOKUP(E1099,'[2]td factu si'!$A:$B,2,0),0)*-1</f>
        <v>0</v>
      </c>
      <c r="W1099" s="36"/>
      <c r="X1099" s="6">
        <v>15489</v>
      </c>
      <c r="AH1099" s="3">
        <v>0</v>
      </c>
      <c r="AJ1099" s="3">
        <v>15489</v>
      </c>
    </row>
    <row r="1100" spans="1:36" x14ac:dyDescent="0.25">
      <c r="A1100">
        <v>1092</v>
      </c>
      <c r="B1100" s="29" t="s">
        <v>45</v>
      </c>
      <c r="C1100" s="29" t="s">
        <v>46</v>
      </c>
      <c r="D1100" s="4" t="str">
        <f>"17453"</f>
        <v>17453</v>
      </c>
      <c r="E1100" s="4" t="str">
        <f t="shared" si="34"/>
        <v>FE17453</v>
      </c>
      <c r="F1100" s="7">
        <v>44379</v>
      </c>
      <c r="G1100" s="7">
        <v>44386</v>
      </c>
      <c r="H1100" s="34">
        <v>49114</v>
      </c>
      <c r="I1100" s="31">
        <v>49114</v>
      </c>
      <c r="J1100" s="31">
        <f t="shared" si="35"/>
        <v>0</v>
      </c>
      <c r="K1100" s="2"/>
      <c r="N1100" s="32">
        <v>0</v>
      </c>
      <c r="Q1100" s="34">
        <v>0</v>
      </c>
      <c r="R1100" s="45"/>
      <c r="S1100" s="4">
        <f>IFERROR(VLOOKUP(E1100,'[2]td factu si'!$A:$B,1,0),0)</f>
        <v>0</v>
      </c>
      <c r="T1100" s="2">
        <f>IFERROR(VLOOKUP(E1100,'[2]td factu si'!$A:$B,2,0),0)*-1</f>
        <v>0</v>
      </c>
      <c r="W1100" s="36"/>
      <c r="X1100" s="6">
        <v>49114</v>
      </c>
      <c r="AH1100" s="3">
        <v>0</v>
      </c>
      <c r="AJ1100" s="3">
        <v>49114</v>
      </c>
    </row>
    <row r="1101" spans="1:36" x14ac:dyDescent="0.25">
      <c r="A1101">
        <v>1093</v>
      </c>
      <c r="B1101" s="29" t="s">
        <v>45</v>
      </c>
      <c r="C1101" s="29" t="s">
        <v>46</v>
      </c>
      <c r="D1101" s="4" t="str">
        <f>"17454"</f>
        <v>17454</v>
      </c>
      <c r="E1101" s="4" t="str">
        <f t="shared" si="34"/>
        <v>FE17454</v>
      </c>
      <c r="F1101" s="7">
        <v>44379</v>
      </c>
      <c r="G1101" s="7">
        <v>44386</v>
      </c>
      <c r="H1101" s="34">
        <v>15489</v>
      </c>
      <c r="I1101" s="31">
        <v>11989</v>
      </c>
      <c r="J1101" s="31">
        <f t="shared" si="35"/>
        <v>3500</v>
      </c>
      <c r="K1101" s="2"/>
      <c r="N1101" s="32">
        <v>0</v>
      </c>
      <c r="Q1101" s="34">
        <v>0</v>
      </c>
      <c r="R1101" s="45"/>
      <c r="S1101" s="4">
        <f>IFERROR(VLOOKUP(E1101,'[2]td factu si'!$A:$B,1,0),0)</f>
        <v>0</v>
      </c>
      <c r="T1101" s="2">
        <f>IFERROR(VLOOKUP(E1101,'[2]td factu si'!$A:$B,2,0),0)*-1</f>
        <v>0</v>
      </c>
      <c r="W1101" s="36"/>
      <c r="X1101" s="6">
        <v>11989</v>
      </c>
      <c r="AH1101" s="3">
        <v>0</v>
      </c>
      <c r="AJ1101" s="3">
        <v>11989</v>
      </c>
    </row>
    <row r="1102" spans="1:36" x14ac:dyDescent="0.25">
      <c r="A1102">
        <v>1094</v>
      </c>
      <c r="B1102" s="29" t="s">
        <v>45</v>
      </c>
      <c r="C1102" s="29" t="s">
        <v>46</v>
      </c>
      <c r="D1102" s="4" t="str">
        <f>"17455"</f>
        <v>17455</v>
      </c>
      <c r="E1102" s="4" t="str">
        <f t="shared" si="34"/>
        <v>FE17455</v>
      </c>
      <c r="F1102" s="7">
        <v>44379</v>
      </c>
      <c r="G1102" s="7">
        <v>44386</v>
      </c>
      <c r="H1102" s="34">
        <v>15489</v>
      </c>
      <c r="I1102" s="31">
        <v>11989</v>
      </c>
      <c r="J1102" s="31">
        <f t="shared" si="35"/>
        <v>3500</v>
      </c>
      <c r="K1102" s="2"/>
      <c r="N1102" s="32">
        <v>0</v>
      </c>
      <c r="Q1102" s="34">
        <v>0</v>
      </c>
      <c r="R1102" s="45"/>
      <c r="S1102" s="4">
        <f>IFERROR(VLOOKUP(E1102,'[2]td factu si'!$A:$B,1,0),0)</f>
        <v>0</v>
      </c>
      <c r="T1102" s="2">
        <f>IFERROR(VLOOKUP(E1102,'[2]td factu si'!$A:$B,2,0),0)*-1</f>
        <v>0</v>
      </c>
      <c r="W1102" s="36"/>
      <c r="X1102" s="6">
        <v>11989</v>
      </c>
      <c r="AH1102" s="3">
        <v>0</v>
      </c>
      <c r="AJ1102" s="3">
        <v>11989</v>
      </c>
    </row>
    <row r="1103" spans="1:36" x14ac:dyDescent="0.25">
      <c r="A1103">
        <v>1095</v>
      </c>
      <c r="B1103" s="29" t="s">
        <v>45</v>
      </c>
      <c r="C1103" s="29" t="s">
        <v>46</v>
      </c>
      <c r="D1103" s="4" t="str">
        <f>"17456"</f>
        <v>17456</v>
      </c>
      <c r="E1103" s="4" t="str">
        <f t="shared" si="34"/>
        <v>FE17456</v>
      </c>
      <c r="F1103" s="7">
        <v>44379</v>
      </c>
      <c r="G1103" s="7">
        <v>44386</v>
      </c>
      <c r="H1103" s="34">
        <v>15489</v>
      </c>
      <c r="I1103" s="31">
        <v>11989</v>
      </c>
      <c r="J1103" s="31">
        <f t="shared" si="35"/>
        <v>3500</v>
      </c>
      <c r="K1103" s="2"/>
      <c r="N1103" s="32">
        <v>0</v>
      </c>
      <c r="Q1103" s="34">
        <v>0</v>
      </c>
      <c r="R1103" s="45"/>
      <c r="S1103" s="4">
        <f>IFERROR(VLOOKUP(E1103,'[2]td factu si'!$A:$B,1,0),0)</f>
        <v>0</v>
      </c>
      <c r="T1103" s="2">
        <f>IFERROR(VLOOKUP(E1103,'[2]td factu si'!$A:$B,2,0),0)*-1</f>
        <v>0</v>
      </c>
      <c r="W1103" s="36"/>
      <c r="X1103" s="6">
        <v>11989</v>
      </c>
      <c r="AH1103" s="3">
        <v>0</v>
      </c>
      <c r="AJ1103" s="3">
        <v>11989</v>
      </c>
    </row>
    <row r="1104" spans="1:36" x14ac:dyDescent="0.25">
      <c r="A1104">
        <v>1096</v>
      </c>
      <c r="B1104" s="29" t="s">
        <v>45</v>
      </c>
      <c r="C1104" s="29" t="s">
        <v>46</v>
      </c>
      <c r="D1104" s="4" t="str">
        <f>"17457"</f>
        <v>17457</v>
      </c>
      <c r="E1104" s="4" t="str">
        <f t="shared" si="34"/>
        <v>FE17457</v>
      </c>
      <c r="F1104" s="7">
        <v>44379</v>
      </c>
      <c r="G1104" s="7">
        <v>44386</v>
      </c>
      <c r="H1104" s="34">
        <v>15489</v>
      </c>
      <c r="I1104" s="31">
        <v>15489</v>
      </c>
      <c r="J1104" s="31">
        <f t="shared" si="35"/>
        <v>0</v>
      </c>
      <c r="K1104" s="2"/>
      <c r="N1104" s="32">
        <v>0</v>
      </c>
      <c r="Q1104" s="34">
        <v>0</v>
      </c>
      <c r="R1104" s="45"/>
      <c r="S1104" s="4">
        <f>IFERROR(VLOOKUP(E1104,'[2]td factu si'!$A:$B,1,0),0)</f>
        <v>0</v>
      </c>
      <c r="T1104" s="2">
        <f>IFERROR(VLOOKUP(E1104,'[2]td factu si'!$A:$B,2,0),0)*-1</f>
        <v>0</v>
      </c>
      <c r="W1104" s="36"/>
      <c r="X1104" s="6">
        <v>15489</v>
      </c>
      <c r="AH1104" s="3">
        <v>0</v>
      </c>
      <c r="AJ1104" s="3">
        <v>15489</v>
      </c>
    </row>
    <row r="1105" spans="1:38" x14ac:dyDescent="0.25">
      <c r="A1105">
        <v>1097</v>
      </c>
      <c r="B1105" s="29" t="s">
        <v>45</v>
      </c>
      <c r="C1105" s="29" t="s">
        <v>46</v>
      </c>
      <c r="D1105" s="4" t="str">
        <f>"17459"</f>
        <v>17459</v>
      </c>
      <c r="E1105" s="4" t="str">
        <f t="shared" si="34"/>
        <v>FE17459</v>
      </c>
      <c r="F1105" s="7">
        <v>44379</v>
      </c>
      <c r="G1105" s="7">
        <v>44386</v>
      </c>
      <c r="H1105" s="34">
        <v>15489</v>
      </c>
      <c r="I1105" s="31">
        <v>15489</v>
      </c>
      <c r="J1105" s="31">
        <f t="shared" si="35"/>
        <v>0</v>
      </c>
      <c r="K1105" s="2"/>
      <c r="N1105" s="32">
        <v>0</v>
      </c>
      <c r="Q1105" s="34">
        <v>0</v>
      </c>
      <c r="R1105" s="45"/>
      <c r="S1105" s="4">
        <f>IFERROR(VLOOKUP(E1105,'[2]td factu si'!$A:$B,1,0),0)</f>
        <v>0</v>
      </c>
      <c r="T1105" s="2">
        <f>IFERROR(VLOOKUP(E1105,'[2]td factu si'!$A:$B,2,0),0)*-1</f>
        <v>0</v>
      </c>
      <c r="W1105" s="36"/>
      <c r="X1105" s="6">
        <v>15489</v>
      </c>
      <c r="AH1105" s="3">
        <v>0</v>
      </c>
      <c r="AJ1105" s="3">
        <v>15489</v>
      </c>
    </row>
    <row r="1106" spans="1:38" x14ac:dyDescent="0.25">
      <c r="A1106">
        <v>1098</v>
      </c>
      <c r="B1106" s="29" t="s">
        <v>45</v>
      </c>
      <c r="C1106" s="29" t="s">
        <v>46</v>
      </c>
      <c r="D1106" s="4" t="str">
        <f>"17460"</f>
        <v>17460</v>
      </c>
      <c r="E1106" s="4" t="str">
        <f t="shared" si="34"/>
        <v>FE17460</v>
      </c>
      <c r="F1106" s="7">
        <v>44379</v>
      </c>
      <c r="G1106" s="7">
        <v>44386</v>
      </c>
      <c r="H1106" s="34">
        <v>15489</v>
      </c>
      <c r="I1106" s="31">
        <v>15489</v>
      </c>
      <c r="J1106" s="31">
        <f t="shared" si="35"/>
        <v>0</v>
      </c>
      <c r="K1106" s="2"/>
      <c r="N1106" s="32">
        <v>0</v>
      </c>
      <c r="Q1106" s="34">
        <v>0</v>
      </c>
      <c r="R1106" s="45"/>
      <c r="S1106" s="4">
        <f>IFERROR(VLOOKUP(E1106,'[2]td factu si'!$A:$B,1,0),0)</f>
        <v>0</v>
      </c>
      <c r="T1106" s="2">
        <f>IFERROR(VLOOKUP(E1106,'[2]td factu si'!$A:$B,2,0),0)*-1</f>
        <v>0</v>
      </c>
      <c r="W1106" s="36"/>
      <c r="X1106" s="6">
        <v>15489</v>
      </c>
      <c r="AH1106" s="3">
        <v>0</v>
      </c>
      <c r="AJ1106" s="3">
        <v>15489</v>
      </c>
    </row>
    <row r="1107" spans="1:38" x14ac:dyDescent="0.25">
      <c r="A1107">
        <v>1099</v>
      </c>
      <c r="B1107" s="29" t="s">
        <v>45</v>
      </c>
      <c r="C1107" s="29" t="s">
        <v>46</v>
      </c>
      <c r="D1107" s="4" t="str">
        <f>"17466"</f>
        <v>17466</v>
      </c>
      <c r="E1107" s="4" t="str">
        <f t="shared" si="34"/>
        <v>FE17466</v>
      </c>
      <c r="F1107" s="7">
        <v>44379</v>
      </c>
      <c r="G1107" s="7">
        <v>44386</v>
      </c>
      <c r="H1107" s="34">
        <v>181246</v>
      </c>
      <c r="I1107" s="31">
        <v>181246</v>
      </c>
      <c r="J1107" s="31">
        <f t="shared" si="35"/>
        <v>0</v>
      </c>
      <c r="K1107" s="2"/>
      <c r="N1107" s="32">
        <v>0</v>
      </c>
      <c r="Q1107" s="34">
        <v>0</v>
      </c>
      <c r="R1107" s="45"/>
      <c r="S1107" s="4">
        <f>IFERROR(VLOOKUP(E1107,'[2]td factu si'!$A:$B,1,0),0)</f>
        <v>0</v>
      </c>
      <c r="T1107" s="2">
        <f>IFERROR(VLOOKUP(E1107,'[2]td factu si'!$A:$B,2,0),0)*-1</f>
        <v>0</v>
      </c>
      <c r="W1107" s="36"/>
      <c r="X1107" s="6">
        <v>181246</v>
      </c>
      <c r="AH1107" s="3">
        <v>0</v>
      </c>
      <c r="AJ1107" s="3">
        <v>181246</v>
      </c>
    </row>
    <row r="1108" spans="1:38" x14ac:dyDescent="0.25">
      <c r="A1108">
        <v>1100</v>
      </c>
      <c r="B1108" s="29" t="s">
        <v>45</v>
      </c>
      <c r="C1108" s="29" t="s">
        <v>46</v>
      </c>
      <c r="D1108" s="4" t="str">
        <f>"17467"</f>
        <v>17467</v>
      </c>
      <c r="E1108" s="4" t="str">
        <f t="shared" si="34"/>
        <v>FE17467</v>
      </c>
      <c r="F1108" s="7">
        <v>44379</v>
      </c>
      <c r="G1108" s="7">
        <v>44386</v>
      </c>
      <c r="H1108" s="34">
        <v>181246</v>
      </c>
      <c r="I1108" s="31">
        <v>181246</v>
      </c>
      <c r="J1108" s="31">
        <f t="shared" si="35"/>
        <v>0</v>
      </c>
      <c r="K1108" s="2"/>
      <c r="N1108" s="32">
        <v>0</v>
      </c>
      <c r="Q1108" s="34">
        <v>0</v>
      </c>
      <c r="R1108" s="45"/>
      <c r="S1108" s="4">
        <f>IFERROR(VLOOKUP(E1108,'[2]td factu si'!$A:$B,1,0),0)</f>
        <v>0</v>
      </c>
      <c r="T1108" s="2">
        <f>IFERROR(VLOOKUP(E1108,'[2]td factu si'!$A:$B,2,0),0)*-1</f>
        <v>0</v>
      </c>
      <c r="W1108" s="36"/>
      <c r="X1108" s="6">
        <v>181246</v>
      </c>
      <c r="AH1108" s="3">
        <v>0</v>
      </c>
      <c r="AJ1108" s="3">
        <v>181246</v>
      </c>
    </row>
    <row r="1109" spans="1:38" x14ac:dyDescent="0.25">
      <c r="A1109">
        <v>1101</v>
      </c>
      <c r="B1109" s="29" t="s">
        <v>45</v>
      </c>
      <c r="C1109" s="29" t="s">
        <v>46</v>
      </c>
      <c r="D1109" s="4" t="str">
        <f>"17469"</f>
        <v>17469</v>
      </c>
      <c r="E1109" s="4" t="str">
        <f t="shared" si="34"/>
        <v>FE17469</v>
      </c>
      <c r="F1109" s="7">
        <v>44379</v>
      </c>
      <c r="G1109" s="7">
        <v>44386</v>
      </c>
      <c r="H1109" s="34">
        <v>122952</v>
      </c>
      <c r="I1109" s="31">
        <v>122952</v>
      </c>
      <c r="J1109" s="31">
        <f t="shared" si="35"/>
        <v>0</v>
      </c>
      <c r="K1109" s="2"/>
      <c r="N1109" s="32">
        <v>0</v>
      </c>
      <c r="Q1109" s="34">
        <v>0</v>
      </c>
      <c r="R1109" s="45"/>
      <c r="S1109" s="4">
        <f>IFERROR(VLOOKUP(E1109,'[2]td factu si'!$A:$B,1,0),0)</f>
        <v>0</v>
      </c>
      <c r="T1109" s="2">
        <f>IFERROR(VLOOKUP(E1109,'[2]td factu si'!$A:$B,2,0),0)*-1</f>
        <v>0</v>
      </c>
      <c r="W1109" s="36"/>
      <c r="X1109" s="6">
        <v>122952</v>
      </c>
      <c r="AH1109" s="3">
        <v>0</v>
      </c>
      <c r="AJ1109" s="3">
        <v>122952</v>
      </c>
    </row>
    <row r="1110" spans="1:38" x14ac:dyDescent="0.25">
      <c r="A1110">
        <v>1102</v>
      </c>
      <c r="B1110" s="29" t="s">
        <v>45</v>
      </c>
      <c r="C1110" s="29" t="s">
        <v>46</v>
      </c>
      <c r="D1110" s="4" t="str">
        <f>"17479"</f>
        <v>17479</v>
      </c>
      <c r="E1110" s="4" t="str">
        <f t="shared" si="34"/>
        <v>FE17479</v>
      </c>
      <c r="F1110" s="7">
        <v>44380</v>
      </c>
      <c r="G1110" s="7">
        <v>44386</v>
      </c>
      <c r="H1110" s="34">
        <v>181246</v>
      </c>
      <c r="I1110" s="31">
        <v>181246</v>
      </c>
      <c r="J1110" s="31">
        <f t="shared" si="35"/>
        <v>0</v>
      </c>
      <c r="K1110" s="2"/>
      <c r="N1110" s="32">
        <v>0</v>
      </c>
      <c r="Q1110" s="34">
        <v>0</v>
      </c>
      <c r="R1110" s="45"/>
      <c r="S1110" s="4">
        <f>IFERROR(VLOOKUP(E1110,'[2]td factu si'!$A:$B,1,0),0)</f>
        <v>0</v>
      </c>
      <c r="T1110" s="2">
        <f>IFERROR(VLOOKUP(E1110,'[2]td factu si'!$A:$B,2,0),0)*-1</f>
        <v>0</v>
      </c>
      <c r="W1110" s="36"/>
      <c r="X1110" s="6">
        <v>181246</v>
      </c>
      <c r="AH1110" s="3">
        <v>0</v>
      </c>
      <c r="AJ1110" s="3">
        <v>181246</v>
      </c>
    </row>
    <row r="1111" spans="1:38" x14ac:dyDescent="0.25">
      <c r="A1111">
        <v>1103</v>
      </c>
      <c r="B1111" s="29" t="s">
        <v>45</v>
      </c>
      <c r="C1111" s="29" t="s">
        <v>46</v>
      </c>
      <c r="D1111" s="4" t="str">
        <f>"17480"</f>
        <v>17480</v>
      </c>
      <c r="E1111" s="4" t="str">
        <f t="shared" si="34"/>
        <v>FE17480</v>
      </c>
      <c r="F1111" s="7">
        <v>44380</v>
      </c>
      <c r="G1111" s="7">
        <v>44386</v>
      </c>
      <c r="H1111" s="34">
        <v>181246</v>
      </c>
      <c r="I1111" s="31">
        <v>181246</v>
      </c>
      <c r="J1111" s="31">
        <f t="shared" si="35"/>
        <v>0</v>
      </c>
      <c r="K1111" s="2"/>
      <c r="N1111" s="32">
        <v>0</v>
      </c>
      <c r="Q1111" s="34">
        <v>0</v>
      </c>
      <c r="R1111" s="45"/>
      <c r="S1111" s="4">
        <f>IFERROR(VLOOKUP(E1111,'[2]td factu si'!$A:$B,1,0),0)</f>
        <v>0</v>
      </c>
      <c r="T1111" s="2">
        <f>IFERROR(VLOOKUP(E1111,'[2]td factu si'!$A:$B,2,0),0)*-1</f>
        <v>0</v>
      </c>
      <c r="W1111" s="36"/>
      <c r="X1111" s="6">
        <v>181246</v>
      </c>
      <c r="AH1111" s="3">
        <v>0</v>
      </c>
      <c r="AJ1111" s="3">
        <v>181246</v>
      </c>
    </row>
    <row r="1112" spans="1:38" x14ac:dyDescent="0.25">
      <c r="A1112">
        <v>1104</v>
      </c>
      <c r="B1112" s="29" t="s">
        <v>45</v>
      </c>
      <c r="C1112" s="29" t="s">
        <v>46</v>
      </c>
      <c r="D1112" s="4" t="str">
        <f>"17481"</f>
        <v>17481</v>
      </c>
      <c r="E1112" s="4" t="str">
        <f t="shared" si="34"/>
        <v>FE17481</v>
      </c>
      <c r="F1112" s="7">
        <v>44380</v>
      </c>
      <c r="G1112" s="7">
        <v>44386</v>
      </c>
      <c r="H1112" s="34">
        <v>181246</v>
      </c>
      <c r="I1112" s="31">
        <v>181246</v>
      </c>
      <c r="J1112" s="31">
        <f t="shared" si="35"/>
        <v>0</v>
      </c>
      <c r="K1112" s="2"/>
      <c r="N1112" s="32">
        <v>0</v>
      </c>
      <c r="Q1112" s="34">
        <v>0</v>
      </c>
      <c r="R1112" s="45"/>
      <c r="S1112" s="4">
        <f>IFERROR(VLOOKUP(E1112,'[2]td factu si'!$A:$B,1,0),0)</f>
        <v>0</v>
      </c>
      <c r="T1112" s="2">
        <f>IFERROR(VLOOKUP(E1112,'[2]td factu si'!$A:$B,2,0),0)*-1</f>
        <v>0</v>
      </c>
      <c r="W1112" s="36"/>
      <c r="X1112" s="6">
        <v>181246</v>
      </c>
      <c r="AH1112" s="3">
        <v>0</v>
      </c>
      <c r="AJ1112" s="3">
        <v>181246</v>
      </c>
    </row>
    <row r="1113" spans="1:38" x14ac:dyDescent="0.25">
      <c r="A1113">
        <v>1105</v>
      </c>
      <c r="B1113" s="29" t="s">
        <v>45</v>
      </c>
      <c r="C1113" s="29" t="s">
        <v>46</v>
      </c>
      <c r="D1113" s="4" t="str">
        <f>"17485"</f>
        <v>17485</v>
      </c>
      <c r="E1113" s="4" t="str">
        <f t="shared" si="34"/>
        <v>FE17485</v>
      </c>
      <c r="F1113" s="7">
        <v>44380</v>
      </c>
      <c r="G1113" s="7">
        <v>44386</v>
      </c>
      <c r="H1113" s="34">
        <v>181246</v>
      </c>
      <c r="I1113" s="31">
        <v>181246</v>
      </c>
      <c r="J1113" s="31">
        <f t="shared" si="35"/>
        <v>0</v>
      </c>
      <c r="K1113" s="2"/>
      <c r="N1113" s="32">
        <v>0</v>
      </c>
      <c r="Q1113" s="34">
        <v>0</v>
      </c>
      <c r="R1113" s="45"/>
      <c r="S1113" s="4">
        <f>IFERROR(VLOOKUP(E1113,'[2]td factu si'!$A:$B,1,0),0)</f>
        <v>0</v>
      </c>
      <c r="T1113" s="2">
        <f>IFERROR(VLOOKUP(E1113,'[2]td factu si'!$A:$B,2,0),0)*-1</f>
        <v>0</v>
      </c>
      <c r="W1113" s="36"/>
      <c r="X1113" s="6">
        <v>181246</v>
      </c>
      <c r="AH1113" s="3">
        <v>0</v>
      </c>
      <c r="AJ1113" s="3">
        <v>181246</v>
      </c>
    </row>
    <row r="1114" spans="1:38" x14ac:dyDescent="0.25">
      <c r="A1114">
        <v>1106</v>
      </c>
      <c r="B1114" s="29" t="s">
        <v>45</v>
      </c>
      <c r="C1114" s="29" t="s">
        <v>46</v>
      </c>
      <c r="D1114" s="4" t="str">
        <f>"17486"</f>
        <v>17486</v>
      </c>
      <c r="E1114" s="4" t="str">
        <f t="shared" si="34"/>
        <v>FE17486</v>
      </c>
      <c r="F1114" s="7">
        <v>44380</v>
      </c>
      <c r="G1114" s="7">
        <v>44386</v>
      </c>
      <c r="H1114" s="34">
        <v>181246</v>
      </c>
      <c r="I1114" s="31">
        <v>181246</v>
      </c>
      <c r="J1114" s="31">
        <f t="shared" si="35"/>
        <v>0</v>
      </c>
      <c r="K1114" s="2"/>
      <c r="N1114" s="32">
        <v>0</v>
      </c>
      <c r="Q1114" s="34">
        <v>0</v>
      </c>
      <c r="R1114" s="45"/>
      <c r="S1114" s="4">
        <f>IFERROR(VLOOKUP(E1114,'[2]td factu si'!$A:$B,1,0),0)</f>
        <v>0</v>
      </c>
      <c r="T1114" s="2">
        <f>IFERROR(VLOOKUP(E1114,'[2]td factu si'!$A:$B,2,0),0)*-1</f>
        <v>0</v>
      </c>
      <c r="W1114" s="36"/>
      <c r="X1114" s="6">
        <v>181246</v>
      </c>
      <c r="AH1114" s="3">
        <v>0</v>
      </c>
      <c r="AJ1114" s="3">
        <v>181246</v>
      </c>
    </row>
    <row r="1115" spans="1:38" x14ac:dyDescent="0.25">
      <c r="A1115">
        <v>1107</v>
      </c>
      <c r="B1115" s="29" t="s">
        <v>45</v>
      </c>
      <c r="C1115" s="29" t="s">
        <v>46</v>
      </c>
      <c r="D1115" s="4" t="str">
        <f>"17503"</f>
        <v>17503</v>
      </c>
      <c r="E1115" s="4" t="str">
        <f t="shared" si="34"/>
        <v>FE17503</v>
      </c>
      <c r="F1115" s="7">
        <v>44380</v>
      </c>
      <c r="G1115" s="7">
        <v>44386</v>
      </c>
      <c r="H1115" s="34">
        <v>181246</v>
      </c>
      <c r="I1115" s="31">
        <v>181246</v>
      </c>
      <c r="J1115" s="31">
        <f t="shared" si="35"/>
        <v>0</v>
      </c>
      <c r="K1115" s="2"/>
      <c r="N1115" s="32">
        <v>0</v>
      </c>
      <c r="Q1115" s="34">
        <v>0</v>
      </c>
      <c r="R1115" s="45"/>
      <c r="S1115" s="4">
        <f>IFERROR(VLOOKUP(E1115,'[2]td factu si'!$A:$B,1,0),0)</f>
        <v>0</v>
      </c>
      <c r="T1115" s="2">
        <f>IFERROR(VLOOKUP(E1115,'[2]td factu si'!$A:$B,2,0),0)*-1</f>
        <v>0</v>
      </c>
      <c r="W1115" s="36"/>
      <c r="X1115" s="6">
        <v>181246</v>
      </c>
      <c r="AH1115" s="3">
        <v>0</v>
      </c>
      <c r="AJ1115" s="3">
        <v>181246</v>
      </c>
    </row>
    <row r="1116" spans="1:38" x14ac:dyDescent="0.25">
      <c r="A1116">
        <v>1108</v>
      </c>
      <c r="B1116" s="29" t="s">
        <v>45</v>
      </c>
      <c r="C1116" s="29" t="s">
        <v>46</v>
      </c>
      <c r="D1116" s="4" t="str">
        <f>"17504"</f>
        <v>17504</v>
      </c>
      <c r="E1116" s="4" t="str">
        <f t="shared" si="34"/>
        <v>FE17504</v>
      </c>
      <c r="F1116" s="7">
        <v>44380</v>
      </c>
      <c r="G1116" s="7">
        <v>44386</v>
      </c>
      <c r="H1116" s="34">
        <v>15489</v>
      </c>
      <c r="I1116" s="31">
        <v>13940</v>
      </c>
      <c r="J1116" s="31">
        <f t="shared" si="35"/>
        <v>1549</v>
      </c>
      <c r="K1116" s="2"/>
      <c r="N1116" s="32">
        <v>0</v>
      </c>
      <c r="Q1116" s="34">
        <v>0</v>
      </c>
      <c r="R1116" s="45"/>
      <c r="S1116" s="4">
        <f>IFERROR(VLOOKUP(E1116,'[2]td factu si'!$A:$B,1,0),0)</f>
        <v>0</v>
      </c>
      <c r="T1116" s="2">
        <f>IFERROR(VLOOKUP(E1116,'[2]td factu si'!$A:$B,2,0),0)*-1</f>
        <v>0</v>
      </c>
      <c r="W1116" s="36"/>
      <c r="X1116" s="6">
        <v>13940</v>
      </c>
      <c r="AH1116" s="3">
        <v>0</v>
      </c>
      <c r="AJ1116" s="3">
        <v>13940</v>
      </c>
    </row>
    <row r="1117" spans="1:38" x14ac:dyDescent="0.25">
      <c r="A1117">
        <v>1109</v>
      </c>
      <c r="B1117" s="29" t="s">
        <v>45</v>
      </c>
      <c r="C1117" s="29" t="s">
        <v>46</v>
      </c>
      <c r="D1117" s="4" t="str">
        <f>"17515"</f>
        <v>17515</v>
      </c>
      <c r="E1117" s="4" t="str">
        <f t="shared" si="34"/>
        <v>FE17515</v>
      </c>
      <c r="F1117" s="7">
        <v>44383</v>
      </c>
      <c r="G1117" s="7">
        <v>44386</v>
      </c>
      <c r="H1117" s="34">
        <v>99124</v>
      </c>
      <c r="I1117" s="31">
        <v>99124</v>
      </c>
      <c r="J1117" s="31">
        <f t="shared" si="35"/>
        <v>0</v>
      </c>
      <c r="K1117" s="2"/>
      <c r="N1117" s="32">
        <v>0</v>
      </c>
      <c r="Q1117" s="34">
        <v>0</v>
      </c>
      <c r="R1117" s="45"/>
      <c r="S1117" s="4">
        <f>IFERROR(VLOOKUP(E1117,'[2]td factu si'!$A:$B,1,0),0)</f>
        <v>0</v>
      </c>
      <c r="T1117" s="2">
        <f>IFERROR(VLOOKUP(E1117,'[2]td factu si'!$A:$B,2,0),0)*-1</f>
        <v>0</v>
      </c>
      <c r="W1117" s="36"/>
      <c r="AH1117" s="3">
        <v>0</v>
      </c>
      <c r="AJ1117" s="3">
        <v>0</v>
      </c>
      <c r="AL1117" s="39" t="s">
        <v>49</v>
      </c>
    </row>
    <row r="1118" spans="1:38" x14ac:dyDescent="0.25">
      <c r="A1118">
        <v>1110</v>
      </c>
      <c r="B1118" s="29" t="s">
        <v>45</v>
      </c>
      <c r="C1118" s="29" t="s">
        <v>46</v>
      </c>
      <c r="D1118" s="4" t="str">
        <f>"17517"</f>
        <v>17517</v>
      </c>
      <c r="E1118" s="4" t="str">
        <f t="shared" si="34"/>
        <v>FE17517</v>
      </c>
      <c r="F1118" s="7">
        <v>44383</v>
      </c>
      <c r="G1118" s="7">
        <v>44386</v>
      </c>
      <c r="H1118" s="34">
        <v>15489</v>
      </c>
      <c r="I1118" s="31">
        <v>11989</v>
      </c>
      <c r="J1118" s="31">
        <f t="shared" si="35"/>
        <v>3500</v>
      </c>
      <c r="K1118" s="2"/>
      <c r="N1118" s="32">
        <v>0</v>
      </c>
      <c r="Q1118" s="34">
        <v>0</v>
      </c>
      <c r="R1118" s="45"/>
      <c r="S1118" s="4">
        <f>IFERROR(VLOOKUP(E1118,'[2]td factu si'!$A:$B,1,0),0)</f>
        <v>0</v>
      </c>
      <c r="T1118" s="2">
        <f>IFERROR(VLOOKUP(E1118,'[2]td factu si'!$A:$B,2,0),0)*-1</f>
        <v>0</v>
      </c>
      <c r="W1118" s="36"/>
      <c r="X1118" s="6">
        <v>11989</v>
      </c>
      <c r="AH1118" s="3">
        <v>0</v>
      </c>
      <c r="AJ1118" s="3">
        <v>11989</v>
      </c>
    </row>
    <row r="1119" spans="1:38" x14ac:dyDescent="0.25">
      <c r="A1119">
        <v>1111</v>
      </c>
      <c r="B1119" s="29" t="s">
        <v>45</v>
      </c>
      <c r="C1119" s="29" t="s">
        <v>46</v>
      </c>
      <c r="D1119" s="4" t="str">
        <f>"17522"</f>
        <v>17522</v>
      </c>
      <c r="E1119" s="4" t="str">
        <f t="shared" si="34"/>
        <v>FE17522</v>
      </c>
      <c r="F1119" s="7">
        <v>44383</v>
      </c>
      <c r="G1119" s="7">
        <v>44386</v>
      </c>
      <c r="H1119" s="34">
        <v>15489</v>
      </c>
      <c r="I1119" s="31">
        <v>15489</v>
      </c>
      <c r="J1119" s="31">
        <f t="shared" si="35"/>
        <v>0</v>
      </c>
      <c r="K1119" s="2"/>
      <c r="N1119" s="32">
        <v>0</v>
      </c>
      <c r="Q1119" s="34">
        <v>0</v>
      </c>
      <c r="R1119" s="45"/>
      <c r="S1119" s="4">
        <f>IFERROR(VLOOKUP(E1119,'[2]td factu si'!$A:$B,1,0),0)</f>
        <v>0</v>
      </c>
      <c r="T1119" s="2">
        <f>IFERROR(VLOOKUP(E1119,'[2]td factu si'!$A:$B,2,0),0)*-1</f>
        <v>0</v>
      </c>
      <c r="W1119" s="36"/>
      <c r="X1119" s="6">
        <v>15489</v>
      </c>
      <c r="AH1119" s="3">
        <v>0</v>
      </c>
      <c r="AJ1119" s="3">
        <v>15489</v>
      </c>
    </row>
    <row r="1120" spans="1:38" x14ac:dyDescent="0.25">
      <c r="A1120">
        <v>1112</v>
      </c>
      <c r="B1120" s="29" t="s">
        <v>45</v>
      </c>
      <c r="C1120" s="29" t="s">
        <v>46</v>
      </c>
      <c r="D1120" s="4" t="str">
        <f>"17527"</f>
        <v>17527</v>
      </c>
      <c r="E1120" s="4" t="str">
        <f t="shared" si="34"/>
        <v>FE17527</v>
      </c>
      <c r="F1120" s="7">
        <v>44383</v>
      </c>
      <c r="G1120" s="7">
        <v>44386</v>
      </c>
      <c r="H1120" s="34">
        <v>15489</v>
      </c>
      <c r="I1120" s="31">
        <v>15489</v>
      </c>
      <c r="J1120" s="31">
        <f t="shared" si="35"/>
        <v>0</v>
      </c>
      <c r="K1120" s="2"/>
      <c r="N1120" s="32">
        <v>0</v>
      </c>
      <c r="Q1120" s="34">
        <v>0</v>
      </c>
      <c r="R1120" s="45"/>
      <c r="S1120" s="4">
        <f>IFERROR(VLOOKUP(E1120,'[2]td factu si'!$A:$B,1,0),0)</f>
        <v>0</v>
      </c>
      <c r="T1120" s="2">
        <f>IFERROR(VLOOKUP(E1120,'[2]td factu si'!$A:$B,2,0),0)*-1</f>
        <v>0</v>
      </c>
      <c r="W1120" s="36"/>
      <c r="X1120" s="6">
        <v>15489</v>
      </c>
      <c r="AH1120" s="3">
        <v>0</v>
      </c>
      <c r="AJ1120" s="3">
        <v>15489</v>
      </c>
    </row>
    <row r="1121" spans="1:38" x14ac:dyDescent="0.25">
      <c r="A1121">
        <v>1113</v>
      </c>
      <c r="B1121" s="29" t="s">
        <v>45</v>
      </c>
      <c r="C1121" s="29" t="s">
        <v>46</v>
      </c>
      <c r="D1121" s="4" t="str">
        <f>"17529"</f>
        <v>17529</v>
      </c>
      <c r="E1121" s="4" t="str">
        <f t="shared" si="34"/>
        <v>FE17529</v>
      </c>
      <c r="F1121" s="7">
        <v>44383</v>
      </c>
      <c r="G1121" s="7">
        <v>44386</v>
      </c>
      <c r="H1121" s="34">
        <v>15489</v>
      </c>
      <c r="I1121" s="31">
        <v>15489</v>
      </c>
      <c r="J1121" s="31">
        <f t="shared" si="35"/>
        <v>0</v>
      </c>
      <c r="K1121" s="2"/>
      <c r="N1121" s="32">
        <v>0</v>
      </c>
      <c r="Q1121" s="34">
        <v>0</v>
      </c>
      <c r="R1121" s="45"/>
      <c r="S1121" s="4">
        <f>IFERROR(VLOOKUP(E1121,'[2]td factu si'!$A:$B,1,0),0)</f>
        <v>0</v>
      </c>
      <c r="T1121" s="2">
        <f>IFERROR(VLOOKUP(E1121,'[2]td factu si'!$A:$B,2,0),0)*-1</f>
        <v>0</v>
      </c>
      <c r="W1121" s="36"/>
      <c r="X1121" s="6">
        <v>15489</v>
      </c>
      <c r="AH1121" s="3">
        <v>0</v>
      </c>
      <c r="AJ1121" s="3">
        <v>15489</v>
      </c>
    </row>
    <row r="1122" spans="1:38" x14ac:dyDescent="0.25">
      <c r="A1122">
        <v>1114</v>
      </c>
      <c r="B1122" s="29" t="s">
        <v>45</v>
      </c>
      <c r="C1122" s="29" t="s">
        <v>46</v>
      </c>
      <c r="D1122" s="4" t="str">
        <f>"17532"</f>
        <v>17532</v>
      </c>
      <c r="E1122" s="4" t="str">
        <f t="shared" si="34"/>
        <v>FE17532</v>
      </c>
      <c r="F1122" s="7">
        <v>44383</v>
      </c>
      <c r="G1122" s="7">
        <v>44386</v>
      </c>
      <c r="H1122" s="34">
        <v>15489</v>
      </c>
      <c r="I1122" s="31">
        <v>15489</v>
      </c>
      <c r="J1122" s="31">
        <f t="shared" si="35"/>
        <v>0</v>
      </c>
      <c r="K1122" s="2"/>
      <c r="N1122" s="32">
        <v>0</v>
      </c>
      <c r="Q1122" s="34">
        <v>0</v>
      </c>
      <c r="R1122" s="45"/>
      <c r="S1122" s="4">
        <f>IFERROR(VLOOKUP(E1122,'[2]td factu si'!$A:$B,1,0),0)</f>
        <v>0</v>
      </c>
      <c r="T1122" s="2">
        <f>IFERROR(VLOOKUP(E1122,'[2]td factu si'!$A:$B,2,0),0)*-1</f>
        <v>0</v>
      </c>
      <c r="W1122" s="36"/>
      <c r="X1122" s="6">
        <v>15489</v>
      </c>
      <c r="AH1122" s="3">
        <v>0</v>
      </c>
      <c r="AJ1122" s="3">
        <v>15489</v>
      </c>
    </row>
    <row r="1123" spans="1:38" x14ac:dyDescent="0.25">
      <c r="A1123">
        <v>1115</v>
      </c>
      <c r="B1123" s="29" t="s">
        <v>45</v>
      </c>
      <c r="C1123" s="29" t="s">
        <v>46</v>
      </c>
      <c r="D1123" s="4" t="str">
        <f>"17534"</f>
        <v>17534</v>
      </c>
      <c r="E1123" s="4" t="str">
        <f t="shared" si="34"/>
        <v>FE17534</v>
      </c>
      <c r="F1123" s="7">
        <v>44383</v>
      </c>
      <c r="G1123" s="7">
        <v>44386</v>
      </c>
      <c r="H1123" s="34">
        <v>15489</v>
      </c>
      <c r="I1123" s="31">
        <v>15489</v>
      </c>
      <c r="J1123" s="31">
        <f t="shared" si="35"/>
        <v>0</v>
      </c>
      <c r="K1123" s="2"/>
      <c r="N1123" s="32">
        <v>0</v>
      </c>
      <c r="Q1123" s="34">
        <v>0</v>
      </c>
      <c r="R1123" s="45"/>
      <c r="S1123" s="4">
        <f>IFERROR(VLOOKUP(E1123,'[2]td factu si'!$A:$B,1,0),0)</f>
        <v>0</v>
      </c>
      <c r="T1123" s="2">
        <f>IFERROR(VLOOKUP(E1123,'[2]td factu si'!$A:$B,2,0),0)*-1</f>
        <v>0</v>
      </c>
      <c r="W1123" s="36"/>
      <c r="X1123" s="6">
        <v>15489</v>
      </c>
      <c r="AH1123" s="3">
        <v>0</v>
      </c>
      <c r="AJ1123" s="3">
        <v>15489</v>
      </c>
    </row>
    <row r="1124" spans="1:38" x14ac:dyDescent="0.25">
      <c r="A1124">
        <v>1116</v>
      </c>
      <c r="B1124" s="29" t="s">
        <v>45</v>
      </c>
      <c r="C1124" s="29" t="s">
        <v>46</v>
      </c>
      <c r="D1124" s="4" t="str">
        <f>"17537"</f>
        <v>17537</v>
      </c>
      <c r="E1124" s="4" t="str">
        <f t="shared" si="34"/>
        <v>FE17537</v>
      </c>
      <c r="F1124" s="7">
        <v>44383</v>
      </c>
      <c r="G1124" s="7">
        <v>44386</v>
      </c>
      <c r="H1124" s="34">
        <v>15489</v>
      </c>
      <c r="I1124" s="31">
        <v>15489</v>
      </c>
      <c r="J1124" s="31">
        <f t="shared" si="35"/>
        <v>0</v>
      </c>
      <c r="K1124" s="2"/>
      <c r="N1124" s="32">
        <v>0</v>
      </c>
      <c r="Q1124" s="34">
        <v>0</v>
      </c>
      <c r="R1124" s="45"/>
      <c r="S1124" s="4">
        <f>IFERROR(VLOOKUP(E1124,'[2]td factu si'!$A:$B,1,0),0)</f>
        <v>0</v>
      </c>
      <c r="T1124" s="2">
        <f>IFERROR(VLOOKUP(E1124,'[2]td factu si'!$A:$B,2,0),0)*-1</f>
        <v>0</v>
      </c>
      <c r="W1124" s="36"/>
      <c r="X1124" s="6">
        <v>15489</v>
      </c>
      <c r="AH1124" s="3">
        <v>0</v>
      </c>
      <c r="AJ1124" s="3">
        <v>15489</v>
      </c>
    </row>
    <row r="1125" spans="1:38" x14ac:dyDescent="0.25">
      <c r="A1125">
        <v>1117</v>
      </c>
      <c r="B1125" s="29" t="s">
        <v>45</v>
      </c>
      <c r="C1125" s="29" t="s">
        <v>46</v>
      </c>
      <c r="D1125" s="4" t="str">
        <f>"17543"</f>
        <v>17543</v>
      </c>
      <c r="E1125" s="4" t="str">
        <f t="shared" si="34"/>
        <v>FE17543</v>
      </c>
      <c r="F1125" s="7">
        <v>44383</v>
      </c>
      <c r="G1125" s="7">
        <v>44386</v>
      </c>
      <c r="H1125" s="34">
        <v>181246</v>
      </c>
      <c r="I1125" s="31">
        <v>181246</v>
      </c>
      <c r="J1125" s="31">
        <f t="shared" si="35"/>
        <v>0</v>
      </c>
      <c r="K1125" s="2"/>
      <c r="N1125" s="32">
        <v>0</v>
      </c>
      <c r="Q1125" s="34">
        <v>0</v>
      </c>
      <c r="R1125" s="45"/>
      <c r="S1125" s="4">
        <f>IFERROR(VLOOKUP(E1125,'[2]td factu si'!$A:$B,1,0),0)</f>
        <v>0</v>
      </c>
      <c r="T1125" s="2">
        <f>IFERROR(VLOOKUP(E1125,'[2]td factu si'!$A:$B,2,0),0)*-1</f>
        <v>0</v>
      </c>
      <c r="W1125" s="36"/>
      <c r="AH1125" s="3">
        <v>0</v>
      </c>
      <c r="AJ1125" s="3">
        <v>0</v>
      </c>
      <c r="AL1125" s="39" t="s">
        <v>49</v>
      </c>
    </row>
    <row r="1126" spans="1:38" x14ac:dyDescent="0.25">
      <c r="A1126">
        <v>1118</v>
      </c>
      <c r="B1126" s="29" t="s">
        <v>45</v>
      </c>
      <c r="C1126" s="29" t="s">
        <v>46</v>
      </c>
      <c r="D1126" s="4" t="str">
        <f>"17546"</f>
        <v>17546</v>
      </c>
      <c r="E1126" s="4" t="str">
        <f t="shared" si="34"/>
        <v>FE17546</v>
      </c>
      <c r="F1126" s="7">
        <v>44383</v>
      </c>
      <c r="G1126" s="7">
        <v>44386</v>
      </c>
      <c r="H1126" s="34">
        <v>15489</v>
      </c>
      <c r="I1126" s="31">
        <v>15489</v>
      </c>
      <c r="J1126" s="31">
        <f t="shared" si="35"/>
        <v>0</v>
      </c>
      <c r="K1126" s="2"/>
      <c r="N1126" s="32">
        <v>0</v>
      </c>
      <c r="Q1126" s="34">
        <v>0</v>
      </c>
      <c r="R1126" s="45"/>
      <c r="S1126" s="4">
        <f>IFERROR(VLOOKUP(E1126,'[2]td factu si'!$A:$B,1,0),0)</f>
        <v>0</v>
      </c>
      <c r="T1126" s="2">
        <f>IFERROR(VLOOKUP(E1126,'[2]td factu si'!$A:$B,2,0),0)*-1</f>
        <v>0</v>
      </c>
      <c r="W1126" s="36"/>
      <c r="X1126" s="6">
        <v>15489</v>
      </c>
      <c r="AH1126" s="3">
        <v>0</v>
      </c>
      <c r="AJ1126" s="3">
        <v>15489</v>
      </c>
    </row>
    <row r="1127" spans="1:38" x14ac:dyDescent="0.25">
      <c r="A1127">
        <v>1119</v>
      </c>
      <c r="B1127" s="29" t="s">
        <v>45</v>
      </c>
      <c r="C1127" s="29" t="s">
        <v>46</v>
      </c>
      <c r="D1127" s="4" t="str">
        <f>"17549"</f>
        <v>17549</v>
      </c>
      <c r="E1127" s="4" t="str">
        <f t="shared" si="34"/>
        <v>FE17549</v>
      </c>
      <c r="F1127" s="7">
        <v>44383</v>
      </c>
      <c r="G1127" s="7">
        <v>44386</v>
      </c>
      <c r="H1127" s="34">
        <v>1070828</v>
      </c>
      <c r="I1127" s="31">
        <v>1070828</v>
      </c>
      <c r="J1127" s="31">
        <f t="shared" si="35"/>
        <v>0</v>
      </c>
      <c r="K1127" s="2"/>
      <c r="N1127" s="32">
        <v>0</v>
      </c>
      <c r="Q1127" s="34">
        <v>0</v>
      </c>
      <c r="R1127" s="45"/>
      <c r="S1127" s="4">
        <f>IFERROR(VLOOKUP(E1127,'[2]td factu si'!$A:$B,1,0),0)</f>
        <v>0</v>
      </c>
      <c r="T1127" s="2">
        <f>IFERROR(VLOOKUP(E1127,'[2]td factu si'!$A:$B,2,0),0)*-1</f>
        <v>0</v>
      </c>
      <c r="V1127">
        <v>1070828</v>
      </c>
      <c r="W1127" s="36">
        <v>44399</v>
      </c>
      <c r="AH1127" s="3">
        <v>105144</v>
      </c>
      <c r="AJ1127" s="3">
        <v>965684</v>
      </c>
    </row>
    <row r="1128" spans="1:38" x14ac:dyDescent="0.25">
      <c r="A1128">
        <v>1120</v>
      </c>
      <c r="B1128" s="29" t="s">
        <v>45</v>
      </c>
      <c r="C1128" s="29" t="s">
        <v>46</v>
      </c>
      <c r="D1128" s="4" t="str">
        <f>"17561"</f>
        <v>17561</v>
      </c>
      <c r="E1128" s="4" t="str">
        <f t="shared" si="34"/>
        <v>FE17561</v>
      </c>
      <c r="F1128" s="7">
        <v>44383</v>
      </c>
      <c r="G1128" s="7">
        <v>44386</v>
      </c>
      <c r="H1128" s="34">
        <v>116393</v>
      </c>
      <c r="I1128" s="31">
        <v>116393</v>
      </c>
      <c r="J1128" s="31">
        <f t="shared" si="35"/>
        <v>0</v>
      </c>
      <c r="K1128" s="2"/>
      <c r="N1128" s="32">
        <v>0</v>
      </c>
      <c r="Q1128" s="34">
        <v>0</v>
      </c>
      <c r="R1128" s="45"/>
      <c r="S1128" s="4">
        <f>IFERROR(VLOOKUP(E1128,'[2]td factu si'!$A:$B,1,0),0)</f>
        <v>0</v>
      </c>
      <c r="T1128" s="2">
        <f>IFERROR(VLOOKUP(E1128,'[2]td factu si'!$A:$B,2,0),0)*-1</f>
        <v>0</v>
      </c>
      <c r="W1128" s="36"/>
      <c r="AH1128" s="3">
        <v>0</v>
      </c>
      <c r="AJ1128" s="3">
        <v>0</v>
      </c>
      <c r="AL1128" s="39" t="s">
        <v>49</v>
      </c>
    </row>
    <row r="1129" spans="1:38" x14ac:dyDescent="0.25">
      <c r="A1129">
        <v>1121</v>
      </c>
      <c r="B1129" s="29" t="s">
        <v>45</v>
      </c>
      <c r="C1129" s="29" t="s">
        <v>46</v>
      </c>
      <c r="D1129" s="4" t="str">
        <f>"17563"</f>
        <v>17563</v>
      </c>
      <c r="E1129" s="4" t="str">
        <f t="shared" si="34"/>
        <v>FE17563</v>
      </c>
      <c r="F1129" s="7">
        <v>44383</v>
      </c>
      <c r="G1129" s="7">
        <v>44386</v>
      </c>
      <c r="H1129" s="34">
        <v>116393</v>
      </c>
      <c r="I1129" s="31">
        <v>112893</v>
      </c>
      <c r="J1129" s="31">
        <f t="shared" si="35"/>
        <v>3500</v>
      </c>
      <c r="K1129" s="2"/>
      <c r="N1129" s="32">
        <v>0</v>
      </c>
      <c r="Q1129" s="34">
        <v>0</v>
      </c>
      <c r="R1129" s="45"/>
      <c r="S1129" s="4">
        <f>IFERROR(VLOOKUP(E1129,'[2]td factu si'!$A:$B,1,0),0)</f>
        <v>0</v>
      </c>
      <c r="T1129" s="2">
        <f>IFERROR(VLOOKUP(E1129,'[2]td factu si'!$A:$B,2,0),0)*-1</f>
        <v>0</v>
      </c>
      <c r="W1129" s="41"/>
      <c r="X1129" s="6">
        <v>112893</v>
      </c>
      <c r="AH1129" s="3">
        <v>0</v>
      </c>
      <c r="AJ1129" s="3">
        <v>112893</v>
      </c>
    </row>
    <row r="1130" spans="1:38" x14ac:dyDescent="0.25">
      <c r="A1130">
        <v>1122</v>
      </c>
      <c r="B1130" s="29" t="s">
        <v>45</v>
      </c>
      <c r="C1130" s="29" t="s">
        <v>46</v>
      </c>
      <c r="D1130" s="4" t="str">
        <f>"17565"</f>
        <v>17565</v>
      </c>
      <c r="E1130" s="4" t="str">
        <f t="shared" si="34"/>
        <v>FE17565</v>
      </c>
      <c r="F1130" s="7">
        <v>44383</v>
      </c>
      <c r="G1130" s="7">
        <v>44386</v>
      </c>
      <c r="H1130" s="34">
        <v>116393</v>
      </c>
      <c r="I1130" s="31">
        <v>104754</v>
      </c>
      <c r="J1130" s="31">
        <f t="shared" si="35"/>
        <v>11639</v>
      </c>
      <c r="K1130" s="2"/>
      <c r="N1130" s="32">
        <v>0</v>
      </c>
      <c r="Q1130" s="34">
        <v>0</v>
      </c>
      <c r="R1130" s="45"/>
      <c r="S1130" s="4">
        <f>IFERROR(VLOOKUP(E1130,'[2]td factu si'!$A:$B,1,0),0)</f>
        <v>0</v>
      </c>
      <c r="T1130" s="2">
        <f>IFERROR(VLOOKUP(E1130,'[2]td factu si'!$A:$B,2,0),0)*-1</f>
        <v>0</v>
      </c>
      <c r="W1130" s="36"/>
      <c r="X1130" s="6">
        <v>104754</v>
      </c>
      <c r="AH1130" s="3">
        <v>0</v>
      </c>
      <c r="AJ1130" s="3">
        <v>104754</v>
      </c>
    </row>
    <row r="1131" spans="1:38" x14ac:dyDescent="0.25">
      <c r="A1131">
        <v>1123</v>
      </c>
      <c r="B1131" s="29" t="s">
        <v>45</v>
      </c>
      <c r="C1131" s="29" t="s">
        <v>46</v>
      </c>
      <c r="D1131" s="4" t="str">
        <f>"17584"</f>
        <v>17584</v>
      </c>
      <c r="E1131" s="4" t="str">
        <f t="shared" si="34"/>
        <v>FE17584</v>
      </c>
      <c r="F1131" s="7">
        <v>44384</v>
      </c>
      <c r="G1131" s="7">
        <v>44386</v>
      </c>
      <c r="H1131" s="34">
        <v>15489</v>
      </c>
      <c r="I1131" s="31">
        <v>15489</v>
      </c>
      <c r="J1131" s="31">
        <f t="shared" si="35"/>
        <v>0</v>
      </c>
      <c r="K1131" s="2"/>
      <c r="N1131" s="32">
        <v>0</v>
      </c>
      <c r="Q1131" s="34">
        <v>0</v>
      </c>
      <c r="R1131" s="45"/>
      <c r="S1131" s="4">
        <f>IFERROR(VLOOKUP(E1131,'[2]td factu si'!$A:$B,1,0),0)</f>
        <v>0</v>
      </c>
      <c r="T1131" s="2">
        <f>IFERROR(VLOOKUP(E1131,'[2]td factu si'!$A:$B,2,0),0)*-1</f>
        <v>0</v>
      </c>
      <c r="W1131" s="36"/>
      <c r="X1131" s="6">
        <v>15489</v>
      </c>
      <c r="AH1131" s="3">
        <v>0</v>
      </c>
      <c r="AJ1131" s="3">
        <v>15489</v>
      </c>
    </row>
    <row r="1132" spans="1:38" x14ac:dyDescent="0.25">
      <c r="A1132">
        <v>1124</v>
      </c>
      <c r="B1132" s="29" t="s">
        <v>45</v>
      </c>
      <c r="C1132" s="29" t="s">
        <v>46</v>
      </c>
      <c r="D1132" s="4" t="str">
        <f>"17586"</f>
        <v>17586</v>
      </c>
      <c r="E1132" s="4" t="str">
        <f t="shared" si="34"/>
        <v>FE17586</v>
      </c>
      <c r="F1132" s="7">
        <v>44384</v>
      </c>
      <c r="G1132" s="7">
        <v>44386</v>
      </c>
      <c r="H1132" s="34">
        <v>15489</v>
      </c>
      <c r="I1132" s="31">
        <v>11989</v>
      </c>
      <c r="J1132" s="31">
        <f t="shared" si="35"/>
        <v>3500</v>
      </c>
      <c r="K1132" s="2"/>
      <c r="N1132" s="32">
        <v>0</v>
      </c>
      <c r="Q1132" s="34">
        <v>0</v>
      </c>
      <c r="R1132" s="45"/>
      <c r="S1132" s="4">
        <f>IFERROR(VLOOKUP(E1132,'[2]td factu si'!$A:$B,1,0),0)</f>
        <v>0</v>
      </c>
      <c r="T1132" s="2">
        <f>IFERROR(VLOOKUP(E1132,'[2]td factu si'!$A:$B,2,0),0)*-1</f>
        <v>0</v>
      </c>
      <c r="W1132" s="36"/>
      <c r="X1132" s="6">
        <v>11989</v>
      </c>
      <c r="AH1132" s="3">
        <v>0</v>
      </c>
      <c r="AJ1132" s="3">
        <v>11989</v>
      </c>
    </row>
    <row r="1133" spans="1:38" x14ac:dyDescent="0.25">
      <c r="A1133">
        <v>1125</v>
      </c>
      <c r="B1133" s="29" t="s">
        <v>45</v>
      </c>
      <c r="C1133" s="29" t="s">
        <v>46</v>
      </c>
      <c r="D1133" s="4" t="str">
        <f>"17587"</f>
        <v>17587</v>
      </c>
      <c r="E1133" s="4" t="str">
        <f t="shared" si="34"/>
        <v>FE17587</v>
      </c>
      <c r="F1133" s="7">
        <v>44384</v>
      </c>
      <c r="G1133" s="7">
        <v>44386</v>
      </c>
      <c r="H1133" s="34">
        <v>15489</v>
      </c>
      <c r="I1133" s="31">
        <v>15489</v>
      </c>
      <c r="J1133" s="31">
        <f t="shared" si="35"/>
        <v>0</v>
      </c>
      <c r="K1133" s="2"/>
      <c r="N1133" s="32">
        <v>0</v>
      </c>
      <c r="Q1133" s="34">
        <v>0</v>
      </c>
      <c r="R1133" s="45"/>
      <c r="S1133" s="4">
        <f>IFERROR(VLOOKUP(E1133,'[2]td factu si'!$A:$B,1,0),0)</f>
        <v>0</v>
      </c>
      <c r="T1133" s="2">
        <f>IFERROR(VLOOKUP(E1133,'[2]td factu si'!$A:$B,2,0),0)*-1</f>
        <v>0</v>
      </c>
      <c r="W1133" s="36"/>
      <c r="X1133" s="6">
        <v>15489</v>
      </c>
      <c r="AH1133" s="3">
        <v>0</v>
      </c>
      <c r="AJ1133" s="3">
        <v>15489</v>
      </c>
    </row>
    <row r="1134" spans="1:38" x14ac:dyDescent="0.25">
      <c r="A1134">
        <v>1126</v>
      </c>
      <c r="B1134" s="29" t="s">
        <v>45</v>
      </c>
      <c r="C1134" s="29" t="s">
        <v>46</v>
      </c>
      <c r="D1134" s="4" t="str">
        <f>"17588"</f>
        <v>17588</v>
      </c>
      <c r="E1134" s="4" t="str">
        <f t="shared" si="34"/>
        <v>FE17588</v>
      </c>
      <c r="F1134" s="7">
        <v>44384</v>
      </c>
      <c r="G1134" s="7">
        <v>44386</v>
      </c>
      <c r="H1134" s="34">
        <v>15489</v>
      </c>
      <c r="I1134" s="31">
        <v>15489</v>
      </c>
      <c r="J1134" s="31">
        <f t="shared" si="35"/>
        <v>0</v>
      </c>
      <c r="K1134" s="2"/>
      <c r="N1134" s="32">
        <v>0</v>
      </c>
      <c r="Q1134" s="34">
        <v>0</v>
      </c>
      <c r="R1134" s="45"/>
      <c r="S1134" s="4">
        <f>IFERROR(VLOOKUP(E1134,'[2]td factu si'!$A:$B,1,0),0)</f>
        <v>0</v>
      </c>
      <c r="T1134" s="2">
        <f>IFERROR(VLOOKUP(E1134,'[2]td factu si'!$A:$B,2,0),0)*-1</f>
        <v>0</v>
      </c>
      <c r="W1134" s="36"/>
      <c r="X1134" s="6">
        <v>15489</v>
      </c>
      <c r="AH1134" s="3">
        <v>0</v>
      </c>
      <c r="AJ1134" s="3">
        <v>15489</v>
      </c>
    </row>
    <row r="1135" spans="1:38" x14ac:dyDescent="0.25">
      <c r="A1135">
        <v>1127</v>
      </c>
      <c r="B1135" s="29" t="s">
        <v>45</v>
      </c>
      <c r="C1135" s="29" t="s">
        <v>46</v>
      </c>
      <c r="D1135" s="4" t="str">
        <f>"17590"</f>
        <v>17590</v>
      </c>
      <c r="E1135" s="4" t="str">
        <f t="shared" si="34"/>
        <v>FE17590</v>
      </c>
      <c r="F1135" s="7">
        <v>44384</v>
      </c>
      <c r="G1135" s="7">
        <v>44386</v>
      </c>
      <c r="H1135" s="34">
        <v>15489</v>
      </c>
      <c r="I1135" s="31">
        <v>15489</v>
      </c>
      <c r="J1135" s="31">
        <f t="shared" si="35"/>
        <v>0</v>
      </c>
      <c r="K1135" s="2"/>
      <c r="N1135" s="32">
        <v>0</v>
      </c>
      <c r="Q1135" s="34">
        <v>0</v>
      </c>
      <c r="R1135" s="45"/>
      <c r="S1135" s="4">
        <f>IFERROR(VLOOKUP(E1135,'[2]td factu si'!$A:$B,1,0),0)</f>
        <v>0</v>
      </c>
      <c r="T1135" s="2">
        <f>IFERROR(VLOOKUP(E1135,'[2]td factu si'!$A:$B,2,0),0)*-1</f>
        <v>0</v>
      </c>
      <c r="W1135" s="36"/>
      <c r="X1135" s="6">
        <v>15489</v>
      </c>
      <c r="AH1135" s="3">
        <v>0</v>
      </c>
      <c r="AJ1135" s="3">
        <v>15489</v>
      </c>
    </row>
    <row r="1136" spans="1:38" x14ac:dyDescent="0.25">
      <c r="A1136">
        <v>1128</v>
      </c>
      <c r="B1136" s="29" t="s">
        <v>45</v>
      </c>
      <c r="C1136" s="29" t="s">
        <v>46</v>
      </c>
      <c r="D1136" s="4" t="str">
        <f>"17593"</f>
        <v>17593</v>
      </c>
      <c r="E1136" s="4" t="str">
        <f t="shared" si="34"/>
        <v>FE17593</v>
      </c>
      <c r="F1136" s="7">
        <v>44384</v>
      </c>
      <c r="G1136" s="7">
        <v>44386</v>
      </c>
      <c r="H1136" s="34">
        <v>15489</v>
      </c>
      <c r="I1136" s="31">
        <v>15489</v>
      </c>
      <c r="J1136" s="31">
        <f t="shared" si="35"/>
        <v>0</v>
      </c>
      <c r="K1136" s="2"/>
      <c r="N1136" s="32">
        <v>0</v>
      </c>
      <c r="Q1136" s="34">
        <v>0</v>
      </c>
      <c r="R1136" s="45"/>
      <c r="S1136" s="4">
        <f>IFERROR(VLOOKUP(E1136,'[2]td factu si'!$A:$B,1,0),0)</f>
        <v>0</v>
      </c>
      <c r="T1136" s="2">
        <f>IFERROR(VLOOKUP(E1136,'[2]td factu si'!$A:$B,2,0),0)*-1</f>
        <v>0</v>
      </c>
      <c r="W1136" s="36"/>
      <c r="X1136" s="6">
        <v>15489</v>
      </c>
      <c r="AH1136" s="3">
        <v>0</v>
      </c>
      <c r="AJ1136" s="3">
        <v>15489</v>
      </c>
    </row>
    <row r="1137" spans="1:38" x14ac:dyDescent="0.25">
      <c r="A1137">
        <v>1129</v>
      </c>
      <c r="B1137" s="29" t="s">
        <v>45</v>
      </c>
      <c r="C1137" s="29" t="s">
        <v>46</v>
      </c>
      <c r="D1137" s="4" t="str">
        <f>"17595"</f>
        <v>17595</v>
      </c>
      <c r="E1137" s="4" t="str">
        <f t="shared" si="34"/>
        <v>FE17595</v>
      </c>
      <c r="F1137" s="7">
        <v>44384</v>
      </c>
      <c r="G1137" s="7">
        <v>44386</v>
      </c>
      <c r="H1137" s="34">
        <v>15489</v>
      </c>
      <c r="I1137" s="31">
        <v>15489</v>
      </c>
      <c r="J1137" s="31">
        <f t="shared" si="35"/>
        <v>0</v>
      </c>
      <c r="K1137" s="2"/>
      <c r="N1137" s="32">
        <v>0</v>
      </c>
      <c r="Q1137" s="34">
        <v>0</v>
      </c>
      <c r="R1137" s="45"/>
      <c r="S1137" s="4">
        <f>IFERROR(VLOOKUP(E1137,'[2]td factu si'!$A:$B,1,0),0)</f>
        <v>0</v>
      </c>
      <c r="T1137" s="2">
        <f>IFERROR(VLOOKUP(E1137,'[2]td factu si'!$A:$B,2,0),0)*-1</f>
        <v>0</v>
      </c>
      <c r="W1137" s="36"/>
      <c r="X1137" s="6">
        <v>15489</v>
      </c>
      <c r="AH1137" s="3">
        <v>0</v>
      </c>
      <c r="AJ1137" s="3">
        <v>15489</v>
      </c>
    </row>
    <row r="1138" spans="1:38" x14ac:dyDescent="0.25">
      <c r="A1138">
        <v>1130</v>
      </c>
      <c r="B1138" s="29" t="s">
        <v>45</v>
      </c>
      <c r="C1138" s="29" t="s">
        <v>46</v>
      </c>
      <c r="D1138" s="4" t="str">
        <f>"17598"</f>
        <v>17598</v>
      </c>
      <c r="E1138" s="4" t="str">
        <f t="shared" si="34"/>
        <v>FE17598</v>
      </c>
      <c r="F1138" s="7">
        <v>44384</v>
      </c>
      <c r="G1138" s="7">
        <v>44386</v>
      </c>
      <c r="H1138" s="34">
        <v>15489</v>
      </c>
      <c r="I1138" s="31">
        <v>15489</v>
      </c>
      <c r="J1138" s="31">
        <f t="shared" si="35"/>
        <v>0</v>
      </c>
      <c r="K1138" s="2"/>
      <c r="N1138" s="32">
        <v>0</v>
      </c>
      <c r="Q1138" s="34">
        <v>0</v>
      </c>
      <c r="R1138" s="45"/>
      <c r="S1138" s="4">
        <f>IFERROR(VLOOKUP(E1138,'[2]td factu si'!$A:$B,1,0),0)</f>
        <v>0</v>
      </c>
      <c r="T1138" s="2">
        <f>IFERROR(VLOOKUP(E1138,'[2]td factu si'!$A:$B,2,0),0)*-1</f>
        <v>0</v>
      </c>
      <c r="W1138" s="36"/>
      <c r="X1138" s="6">
        <v>15489</v>
      </c>
      <c r="AH1138" s="3">
        <v>0</v>
      </c>
      <c r="AJ1138" s="3">
        <v>15489</v>
      </c>
    </row>
    <row r="1139" spans="1:38" x14ac:dyDescent="0.25">
      <c r="A1139">
        <v>1131</v>
      </c>
      <c r="B1139" s="29" t="s">
        <v>45</v>
      </c>
      <c r="C1139" s="29" t="s">
        <v>46</v>
      </c>
      <c r="D1139" s="4" t="str">
        <f>"17601"</f>
        <v>17601</v>
      </c>
      <c r="E1139" s="4" t="str">
        <f t="shared" si="34"/>
        <v>FE17601</v>
      </c>
      <c r="F1139" s="7">
        <v>44384</v>
      </c>
      <c r="G1139" s="7">
        <v>44386</v>
      </c>
      <c r="H1139" s="34">
        <v>135855</v>
      </c>
      <c r="I1139" s="31">
        <v>135855</v>
      </c>
      <c r="J1139" s="31">
        <f t="shared" si="35"/>
        <v>0</v>
      </c>
      <c r="K1139" s="2"/>
      <c r="N1139" s="32">
        <v>0</v>
      </c>
      <c r="Q1139" s="34">
        <v>0</v>
      </c>
      <c r="R1139" s="45"/>
      <c r="S1139" s="4">
        <f>IFERROR(VLOOKUP(E1139,'[2]td factu si'!$A:$B,1,0),0)</f>
        <v>0</v>
      </c>
      <c r="T1139" s="2">
        <f>IFERROR(VLOOKUP(E1139,'[2]td factu si'!$A:$B,2,0),0)*-1</f>
        <v>0</v>
      </c>
      <c r="W1139" s="36"/>
      <c r="X1139" s="6">
        <v>135855</v>
      </c>
      <c r="AH1139" s="3">
        <v>0</v>
      </c>
      <c r="AJ1139" s="3">
        <v>135855</v>
      </c>
    </row>
    <row r="1140" spans="1:38" x14ac:dyDescent="0.25">
      <c r="A1140">
        <v>1132</v>
      </c>
      <c r="B1140" s="29" t="s">
        <v>45</v>
      </c>
      <c r="C1140" s="29" t="s">
        <v>46</v>
      </c>
      <c r="D1140" s="4" t="str">
        <f>"17605"</f>
        <v>17605</v>
      </c>
      <c r="E1140" s="4" t="str">
        <f t="shared" si="34"/>
        <v>FE17605</v>
      </c>
      <c r="F1140" s="7">
        <v>44384</v>
      </c>
      <c r="G1140" s="7">
        <v>44386</v>
      </c>
      <c r="H1140" s="34">
        <v>317101</v>
      </c>
      <c r="I1140" s="31">
        <v>317101</v>
      </c>
      <c r="J1140" s="31">
        <f t="shared" si="35"/>
        <v>0</v>
      </c>
      <c r="K1140" s="2"/>
      <c r="N1140" s="32">
        <v>0</v>
      </c>
      <c r="Q1140" s="34">
        <v>0</v>
      </c>
      <c r="R1140" s="45"/>
      <c r="S1140" s="4">
        <f>IFERROR(VLOOKUP(E1140,'[2]td factu si'!$A:$B,1,0),0)</f>
        <v>0</v>
      </c>
      <c r="T1140" s="2">
        <f>IFERROR(VLOOKUP(E1140,'[2]td factu si'!$A:$B,2,0),0)*-1</f>
        <v>0</v>
      </c>
      <c r="W1140" s="36"/>
      <c r="X1140" s="6">
        <v>317101</v>
      </c>
      <c r="AH1140" s="3">
        <v>0</v>
      </c>
      <c r="AJ1140" s="3">
        <v>317101</v>
      </c>
    </row>
    <row r="1141" spans="1:38" x14ac:dyDescent="0.25">
      <c r="A1141">
        <v>1133</v>
      </c>
      <c r="B1141" s="29" t="s">
        <v>45</v>
      </c>
      <c r="C1141" s="29" t="s">
        <v>46</v>
      </c>
      <c r="D1141" s="4" t="str">
        <f>"17606"</f>
        <v>17606</v>
      </c>
      <c r="E1141" s="4" t="str">
        <f t="shared" si="34"/>
        <v>FE17606</v>
      </c>
      <c r="F1141" s="7">
        <v>44384</v>
      </c>
      <c r="G1141" s="7">
        <v>44386</v>
      </c>
      <c r="H1141" s="34">
        <v>317101</v>
      </c>
      <c r="I1141" s="31">
        <v>317101</v>
      </c>
      <c r="J1141" s="31">
        <f t="shared" si="35"/>
        <v>0</v>
      </c>
      <c r="K1141" s="2"/>
      <c r="N1141" s="32">
        <v>0</v>
      </c>
      <c r="Q1141" s="34">
        <v>0</v>
      </c>
      <c r="R1141" s="45"/>
      <c r="S1141" s="4">
        <f>IFERROR(VLOOKUP(E1141,'[2]td factu si'!$A:$B,1,0),0)</f>
        <v>0</v>
      </c>
      <c r="T1141" s="2">
        <f>IFERROR(VLOOKUP(E1141,'[2]td factu si'!$A:$B,2,0),0)*-1</f>
        <v>0</v>
      </c>
      <c r="W1141" s="36"/>
      <c r="X1141" s="6">
        <v>317101</v>
      </c>
      <c r="AH1141" s="3">
        <v>0</v>
      </c>
      <c r="AJ1141" s="3">
        <v>317101</v>
      </c>
    </row>
    <row r="1142" spans="1:38" x14ac:dyDescent="0.25">
      <c r="A1142">
        <v>1134</v>
      </c>
      <c r="B1142" s="29" t="s">
        <v>45</v>
      </c>
      <c r="C1142" s="29" t="s">
        <v>46</v>
      </c>
      <c r="D1142" s="4" t="str">
        <f>"17610"</f>
        <v>17610</v>
      </c>
      <c r="E1142" s="4" t="str">
        <f t="shared" si="34"/>
        <v>FE17610</v>
      </c>
      <c r="F1142" s="7">
        <v>44384</v>
      </c>
      <c r="G1142" s="7">
        <v>44386</v>
      </c>
      <c r="H1142" s="34">
        <v>15490</v>
      </c>
      <c r="I1142" s="31">
        <v>11990</v>
      </c>
      <c r="J1142" s="31">
        <f t="shared" si="35"/>
        <v>3500</v>
      </c>
      <c r="K1142" s="2"/>
      <c r="N1142" s="32">
        <v>0</v>
      </c>
      <c r="Q1142" s="34">
        <v>0</v>
      </c>
      <c r="R1142" s="45"/>
      <c r="S1142" s="4">
        <f>IFERROR(VLOOKUP(E1142,'[2]td factu si'!$A:$B,1,0),0)</f>
        <v>0</v>
      </c>
      <c r="T1142" s="2">
        <f>IFERROR(VLOOKUP(E1142,'[2]td factu si'!$A:$B,2,0),0)*-1</f>
        <v>0</v>
      </c>
      <c r="W1142" s="36"/>
      <c r="X1142" s="6">
        <v>11990</v>
      </c>
      <c r="AH1142" s="3">
        <v>0</v>
      </c>
      <c r="AJ1142" s="3">
        <v>11990</v>
      </c>
    </row>
    <row r="1143" spans="1:38" x14ac:dyDescent="0.25">
      <c r="A1143">
        <v>1135</v>
      </c>
      <c r="B1143" s="29" t="s">
        <v>45</v>
      </c>
      <c r="C1143" s="29" t="s">
        <v>46</v>
      </c>
      <c r="D1143" s="4" t="str">
        <f>"17618"</f>
        <v>17618</v>
      </c>
      <c r="E1143" s="4" t="str">
        <f t="shared" si="34"/>
        <v>FE17618</v>
      </c>
      <c r="F1143" s="7">
        <v>44384</v>
      </c>
      <c r="G1143" s="7">
        <v>44386</v>
      </c>
      <c r="H1143" s="34">
        <v>49114</v>
      </c>
      <c r="I1143" s="31">
        <v>49114</v>
      </c>
      <c r="J1143" s="31">
        <f t="shared" si="35"/>
        <v>0</v>
      </c>
      <c r="K1143" s="2"/>
      <c r="N1143" s="32">
        <v>0</v>
      </c>
      <c r="Q1143" s="34">
        <v>0</v>
      </c>
      <c r="R1143" s="45"/>
      <c r="S1143" s="4">
        <f>IFERROR(VLOOKUP(E1143,'[2]td factu si'!$A:$B,1,0),0)</f>
        <v>0</v>
      </c>
      <c r="T1143" s="2">
        <f>IFERROR(VLOOKUP(E1143,'[2]td factu si'!$A:$B,2,0),0)*-1</f>
        <v>0</v>
      </c>
      <c r="W1143" s="36"/>
      <c r="X1143" s="6">
        <v>49114</v>
      </c>
      <c r="AH1143" s="3">
        <v>0</v>
      </c>
      <c r="AJ1143" s="3">
        <v>49114</v>
      </c>
    </row>
    <row r="1144" spans="1:38" x14ac:dyDescent="0.25">
      <c r="A1144">
        <v>1136</v>
      </c>
      <c r="B1144" s="29" t="s">
        <v>45</v>
      </c>
      <c r="C1144" s="29" t="s">
        <v>46</v>
      </c>
      <c r="D1144" s="4" t="str">
        <f>"17619"</f>
        <v>17619</v>
      </c>
      <c r="E1144" s="4" t="str">
        <f t="shared" si="34"/>
        <v>FE17619</v>
      </c>
      <c r="F1144" s="7">
        <v>44384</v>
      </c>
      <c r="G1144" s="7">
        <v>44386</v>
      </c>
      <c r="H1144" s="34">
        <v>135855</v>
      </c>
      <c r="I1144" s="31">
        <v>132355</v>
      </c>
      <c r="J1144" s="31">
        <f t="shared" si="35"/>
        <v>3500</v>
      </c>
      <c r="K1144" s="2"/>
      <c r="N1144" s="32">
        <v>0</v>
      </c>
      <c r="Q1144" s="34">
        <v>0</v>
      </c>
      <c r="R1144" s="45"/>
      <c r="S1144" s="4">
        <f>IFERROR(VLOOKUP(E1144,'[2]td factu si'!$A:$B,1,0),0)</f>
        <v>0</v>
      </c>
      <c r="T1144" s="2">
        <f>IFERROR(VLOOKUP(E1144,'[2]td factu si'!$A:$B,2,0),0)*-1</f>
        <v>0</v>
      </c>
      <c r="W1144" s="36"/>
      <c r="X1144" s="6">
        <v>132355</v>
      </c>
      <c r="AH1144" s="3">
        <v>0</v>
      </c>
      <c r="AJ1144" s="3">
        <v>132355</v>
      </c>
    </row>
    <row r="1145" spans="1:38" x14ac:dyDescent="0.25">
      <c r="A1145">
        <v>1137</v>
      </c>
      <c r="B1145" s="29" t="s">
        <v>45</v>
      </c>
      <c r="C1145" s="29" t="s">
        <v>46</v>
      </c>
      <c r="D1145" s="4" t="str">
        <f>"17625"</f>
        <v>17625</v>
      </c>
      <c r="E1145" s="4" t="str">
        <f t="shared" si="34"/>
        <v>FE17625</v>
      </c>
      <c r="F1145" s="7">
        <v>44384</v>
      </c>
      <c r="G1145" s="7">
        <v>44386</v>
      </c>
      <c r="H1145" s="34">
        <v>181246</v>
      </c>
      <c r="I1145" s="31">
        <v>181246</v>
      </c>
      <c r="J1145" s="31">
        <f t="shared" si="35"/>
        <v>0</v>
      </c>
      <c r="K1145" s="2"/>
      <c r="N1145" s="32">
        <v>0</v>
      </c>
      <c r="Q1145" s="34">
        <v>0</v>
      </c>
      <c r="R1145" s="45"/>
      <c r="S1145" s="4">
        <f>IFERROR(VLOOKUP(E1145,'[2]td factu si'!$A:$B,1,0),0)</f>
        <v>0</v>
      </c>
      <c r="T1145" s="2">
        <f>IFERROR(VLOOKUP(E1145,'[2]td factu si'!$A:$B,2,0),0)*-1</f>
        <v>0</v>
      </c>
      <c r="W1145" s="36"/>
      <c r="AH1145" s="3">
        <v>0</v>
      </c>
      <c r="AJ1145" s="3">
        <v>0</v>
      </c>
      <c r="AL1145" s="39" t="s">
        <v>49</v>
      </c>
    </row>
    <row r="1146" spans="1:38" x14ac:dyDescent="0.25">
      <c r="A1146">
        <v>1138</v>
      </c>
      <c r="B1146" s="29" t="s">
        <v>45</v>
      </c>
      <c r="C1146" s="29" t="s">
        <v>46</v>
      </c>
      <c r="D1146" s="4" t="str">
        <f>"17630"</f>
        <v>17630</v>
      </c>
      <c r="E1146" s="4" t="str">
        <f t="shared" si="34"/>
        <v>FE17630</v>
      </c>
      <c r="F1146" s="7">
        <v>44384</v>
      </c>
      <c r="G1146" s="7">
        <v>44386</v>
      </c>
      <c r="H1146" s="34">
        <v>15489</v>
      </c>
      <c r="I1146" s="31">
        <v>15489</v>
      </c>
      <c r="J1146" s="31">
        <f t="shared" si="35"/>
        <v>0</v>
      </c>
      <c r="K1146" s="2"/>
      <c r="N1146" s="32">
        <v>0</v>
      </c>
      <c r="Q1146" s="34">
        <v>0</v>
      </c>
      <c r="R1146" s="45"/>
      <c r="S1146" s="4">
        <f>IFERROR(VLOOKUP(E1146,'[2]td factu si'!$A:$B,1,0),0)</f>
        <v>0</v>
      </c>
      <c r="T1146" s="2">
        <f>IFERROR(VLOOKUP(E1146,'[2]td factu si'!$A:$B,2,0),0)*-1</f>
        <v>0</v>
      </c>
      <c r="W1146" s="36"/>
      <c r="X1146" s="6">
        <v>15489</v>
      </c>
      <c r="AH1146" s="3">
        <v>0</v>
      </c>
      <c r="AJ1146" s="3">
        <v>15489</v>
      </c>
    </row>
    <row r="1147" spans="1:38" x14ac:dyDescent="0.25">
      <c r="A1147">
        <v>1139</v>
      </c>
      <c r="B1147" s="29" t="s">
        <v>45</v>
      </c>
      <c r="C1147" s="29" t="s">
        <v>46</v>
      </c>
      <c r="D1147" s="4" t="str">
        <f>"17640"</f>
        <v>17640</v>
      </c>
      <c r="E1147" s="4" t="str">
        <f t="shared" si="34"/>
        <v>FE17640</v>
      </c>
      <c r="F1147" s="7">
        <v>44385</v>
      </c>
      <c r="G1147" s="7">
        <v>44386</v>
      </c>
      <c r="H1147" s="34">
        <v>181246</v>
      </c>
      <c r="I1147" s="31">
        <v>181246</v>
      </c>
      <c r="J1147" s="31">
        <f t="shared" si="35"/>
        <v>0</v>
      </c>
      <c r="K1147" s="2"/>
      <c r="N1147" s="32">
        <v>0</v>
      </c>
      <c r="Q1147" s="34">
        <v>0</v>
      </c>
      <c r="R1147" s="45"/>
      <c r="S1147" s="4">
        <f>IFERROR(VLOOKUP(E1147,'[2]td factu si'!$A:$B,1,0),0)</f>
        <v>0</v>
      </c>
      <c r="T1147" s="2">
        <f>IFERROR(VLOOKUP(E1147,'[2]td factu si'!$A:$B,2,0),0)*-1</f>
        <v>0</v>
      </c>
      <c r="W1147" s="36"/>
      <c r="AH1147" s="3">
        <v>0</v>
      </c>
      <c r="AJ1147" s="3">
        <v>0</v>
      </c>
      <c r="AL1147" s="39" t="s">
        <v>49</v>
      </c>
    </row>
    <row r="1148" spans="1:38" x14ac:dyDescent="0.25">
      <c r="A1148">
        <v>1140</v>
      </c>
      <c r="B1148" s="29" t="s">
        <v>45</v>
      </c>
      <c r="C1148" s="29" t="s">
        <v>46</v>
      </c>
      <c r="D1148" s="4" t="str">
        <f>"17644"</f>
        <v>17644</v>
      </c>
      <c r="E1148" s="4" t="str">
        <f t="shared" si="34"/>
        <v>FE17644</v>
      </c>
      <c r="F1148" s="7">
        <v>44385</v>
      </c>
      <c r="G1148" s="7">
        <v>44386</v>
      </c>
      <c r="H1148" s="34">
        <v>416225</v>
      </c>
      <c r="I1148" s="31">
        <v>416225</v>
      </c>
      <c r="J1148" s="31">
        <f t="shared" si="35"/>
        <v>0</v>
      </c>
      <c r="K1148" s="2"/>
      <c r="N1148" s="32">
        <v>0</v>
      </c>
      <c r="Q1148" s="34">
        <v>0</v>
      </c>
      <c r="R1148" s="45"/>
      <c r="S1148" s="4">
        <f>IFERROR(VLOOKUP(E1148,'[2]td factu si'!$A:$B,1,0),0)</f>
        <v>0</v>
      </c>
      <c r="T1148" s="2">
        <f>IFERROR(VLOOKUP(E1148,'[2]td factu si'!$A:$B,2,0),0)*-1</f>
        <v>0</v>
      </c>
      <c r="W1148" s="36"/>
      <c r="AH1148" s="3">
        <v>0</v>
      </c>
      <c r="AJ1148" s="3">
        <v>0</v>
      </c>
      <c r="AL1148" s="39" t="s">
        <v>49</v>
      </c>
    </row>
    <row r="1149" spans="1:38" x14ac:dyDescent="0.25">
      <c r="A1149">
        <v>1141</v>
      </c>
      <c r="B1149" s="29" t="s">
        <v>45</v>
      </c>
      <c r="C1149" s="29" t="s">
        <v>46</v>
      </c>
      <c r="D1149" s="4" t="str">
        <f>"17652"</f>
        <v>17652</v>
      </c>
      <c r="E1149" s="4" t="str">
        <f t="shared" si="34"/>
        <v>FE17652</v>
      </c>
      <c r="F1149" s="7">
        <v>44385</v>
      </c>
      <c r="G1149" s="7">
        <v>44386</v>
      </c>
      <c r="H1149" s="34">
        <v>181246</v>
      </c>
      <c r="I1149" s="31">
        <v>181246</v>
      </c>
      <c r="J1149" s="31">
        <f t="shared" si="35"/>
        <v>0</v>
      </c>
      <c r="K1149" s="2"/>
      <c r="N1149" s="32">
        <v>0</v>
      </c>
      <c r="Q1149" s="34">
        <v>0</v>
      </c>
      <c r="R1149" s="45"/>
      <c r="S1149" s="4">
        <f>IFERROR(VLOOKUP(E1149,'[2]td factu si'!$A:$B,1,0),0)</f>
        <v>0</v>
      </c>
      <c r="T1149" s="2">
        <f>IFERROR(VLOOKUP(E1149,'[2]td factu si'!$A:$B,2,0),0)*-1</f>
        <v>0</v>
      </c>
      <c r="W1149" s="36"/>
      <c r="AH1149" s="3">
        <v>0</v>
      </c>
      <c r="AJ1149" s="3">
        <v>0</v>
      </c>
      <c r="AL1149" s="39" t="s">
        <v>49</v>
      </c>
    </row>
    <row r="1150" spans="1:38" x14ac:dyDescent="0.25">
      <c r="A1150">
        <v>1142</v>
      </c>
      <c r="B1150" s="29" t="s">
        <v>45</v>
      </c>
      <c r="C1150" s="29" t="s">
        <v>46</v>
      </c>
      <c r="D1150" s="4" t="str">
        <f>"17653"</f>
        <v>17653</v>
      </c>
      <c r="E1150" s="4" t="str">
        <f t="shared" si="34"/>
        <v>FE17653</v>
      </c>
      <c r="F1150" s="7">
        <v>44385</v>
      </c>
      <c r="G1150" s="7">
        <v>44386</v>
      </c>
      <c r="H1150" s="34">
        <v>181246</v>
      </c>
      <c r="I1150" s="31">
        <v>181246</v>
      </c>
      <c r="J1150" s="31">
        <f t="shared" si="35"/>
        <v>0</v>
      </c>
      <c r="K1150" s="2"/>
      <c r="N1150" s="32">
        <v>0</v>
      </c>
      <c r="Q1150" s="34">
        <v>0</v>
      </c>
      <c r="R1150" s="45"/>
      <c r="S1150" s="4">
        <f>IFERROR(VLOOKUP(E1150,'[2]td factu si'!$A:$B,1,0),0)</f>
        <v>0</v>
      </c>
      <c r="T1150" s="2">
        <f>IFERROR(VLOOKUP(E1150,'[2]td factu si'!$A:$B,2,0),0)*-1</f>
        <v>0</v>
      </c>
      <c r="W1150" s="36"/>
      <c r="AH1150" s="3">
        <v>0</v>
      </c>
      <c r="AJ1150" s="3">
        <v>0</v>
      </c>
      <c r="AL1150" s="39" t="s">
        <v>49</v>
      </c>
    </row>
    <row r="1151" spans="1:38" x14ac:dyDescent="0.25">
      <c r="A1151">
        <v>1143</v>
      </c>
      <c r="B1151" s="29" t="s">
        <v>45</v>
      </c>
      <c r="C1151" s="29" t="s">
        <v>46</v>
      </c>
      <c r="D1151" s="4" t="str">
        <f>"17658"</f>
        <v>17658</v>
      </c>
      <c r="E1151" s="4" t="str">
        <f t="shared" si="34"/>
        <v>FE17658</v>
      </c>
      <c r="F1151" s="7">
        <v>44385</v>
      </c>
      <c r="G1151" s="7">
        <v>44386</v>
      </c>
      <c r="H1151" s="34">
        <v>181246</v>
      </c>
      <c r="I1151" s="31">
        <v>181246</v>
      </c>
      <c r="J1151" s="31">
        <f t="shared" si="35"/>
        <v>0</v>
      </c>
      <c r="K1151" s="2"/>
      <c r="N1151" s="32">
        <v>0</v>
      </c>
      <c r="Q1151" s="34">
        <v>0</v>
      </c>
      <c r="R1151" s="45"/>
      <c r="S1151" s="4">
        <f>IFERROR(VLOOKUP(E1151,'[2]td factu si'!$A:$B,1,0),0)</f>
        <v>0</v>
      </c>
      <c r="T1151" s="2">
        <f>IFERROR(VLOOKUP(E1151,'[2]td factu si'!$A:$B,2,0),0)*-1</f>
        <v>0</v>
      </c>
      <c r="W1151" s="36"/>
      <c r="X1151" s="6">
        <v>181246</v>
      </c>
      <c r="AH1151" s="3">
        <v>0</v>
      </c>
      <c r="AJ1151" s="3">
        <v>181246</v>
      </c>
    </row>
    <row r="1152" spans="1:38" x14ac:dyDescent="0.25">
      <c r="A1152">
        <v>1144</v>
      </c>
      <c r="B1152" s="29" t="s">
        <v>45</v>
      </c>
      <c r="C1152" s="29" t="s">
        <v>46</v>
      </c>
      <c r="D1152" s="4" t="str">
        <f>"17667"</f>
        <v>17667</v>
      </c>
      <c r="E1152" s="4" t="str">
        <f t="shared" si="34"/>
        <v>FE17667</v>
      </c>
      <c r="F1152" s="7">
        <v>44385</v>
      </c>
      <c r="G1152" s="7">
        <v>44386</v>
      </c>
      <c r="H1152" s="34">
        <v>15489</v>
      </c>
      <c r="I1152" s="31">
        <v>13940</v>
      </c>
      <c r="J1152" s="31">
        <f t="shared" si="35"/>
        <v>1549</v>
      </c>
      <c r="K1152" s="2"/>
      <c r="N1152" s="32">
        <v>0</v>
      </c>
      <c r="Q1152" s="34">
        <v>0</v>
      </c>
      <c r="R1152" s="45"/>
      <c r="S1152" s="4">
        <f>IFERROR(VLOOKUP(E1152,'[2]td factu si'!$A:$B,1,0),0)</f>
        <v>0</v>
      </c>
      <c r="T1152" s="2">
        <f>IFERROR(VLOOKUP(E1152,'[2]td factu si'!$A:$B,2,0),0)*-1</f>
        <v>0</v>
      </c>
      <c r="W1152" s="36"/>
      <c r="X1152" s="6">
        <v>13940</v>
      </c>
      <c r="AH1152" s="3">
        <v>0</v>
      </c>
      <c r="AJ1152" s="3">
        <v>13940</v>
      </c>
    </row>
    <row r="1153" spans="1:36" x14ac:dyDescent="0.25">
      <c r="A1153">
        <v>1145</v>
      </c>
      <c r="B1153" s="29" t="s">
        <v>45</v>
      </c>
      <c r="C1153" s="29" t="s">
        <v>46</v>
      </c>
      <c r="D1153" s="4" t="str">
        <f>"17668"</f>
        <v>17668</v>
      </c>
      <c r="E1153" s="4" t="str">
        <f t="shared" si="34"/>
        <v>FE17668</v>
      </c>
      <c r="F1153" s="7">
        <v>44385</v>
      </c>
      <c r="G1153" s="7">
        <v>44386</v>
      </c>
      <c r="H1153" s="34">
        <v>15489</v>
      </c>
      <c r="I1153" s="31">
        <v>15489</v>
      </c>
      <c r="J1153" s="31">
        <f t="shared" si="35"/>
        <v>0</v>
      </c>
      <c r="K1153" s="2"/>
      <c r="N1153" s="32">
        <v>0</v>
      </c>
      <c r="Q1153" s="34">
        <v>0</v>
      </c>
      <c r="R1153" s="45"/>
      <c r="S1153" s="4">
        <f>IFERROR(VLOOKUP(E1153,'[2]td factu si'!$A:$B,1,0),0)</f>
        <v>0</v>
      </c>
      <c r="T1153" s="2">
        <f>IFERROR(VLOOKUP(E1153,'[2]td factu si'!$A:$B,2,0),0)*-1</f>
        <v>0</v>
      </c>
      <c r="W1153" s="36"/>
      <c r="X1153" s="6">
        <v>15489</v>
      </c>
      <c r="AH1153" s="3">
        <v>0</v>
      </c>
      <c r="AJ1153" s="3">
        <v>15489</v>
      </c>
    </row>
    <row r="1154" spans="1:36" x14ac:dyDescent="0.25">
      <c r="A1154">
        <v>1146</v>
      </c>
      <c r="B1154" s="29" t="s">
        <v>45</v>
      </c>
      <c r="C1154" s="29" t="s">
        <v>46</v>
      </c>
      <c r="D1154" s="4" t="str">
        <f>"17669"</f>
        <v>17669</v>
      </c>
      <c r="E1154" s="4" t="str">
        <f t="shared" si="34"/>
        <v>FE17669</v>
      </c>
      <c r="F1154" s="7">
        <v>44385</v>
      </c>
      <c r="G1154" s="7">
        <v>44386</v>
      </c>
      <c r="H1154" s="34">
        <v>15489</v>
      </c>
      <c r="I1154" s="31">
        <v>15489</v>
      </c>
      <c r="J1154" s="31">
        <f t="shared" si="35"/>
        <v>0</v>
      </c>
      <c r="K1154" s="2"/>
      <c r="N1154" s="32">
        <v>0</v>
      </c>
      <c r="Q1154" s="34">
        <v>0</v>
      </c>
      <c r="R1154" s="45"/>
      <c r="S1154" s="4">
        <f>IFERROR(VLOOKUP(E1154,'[2]td factu si'!$A:$B,1,0),0)</f>
        <v>0</v>
      </c>
      <c r="T1154" s="2">
        <f>IFERROR(VLOOKUP(E1154,'[2]td factu si'!$A:$B,2,0),0)*-1</f>
        <v>0</v>
      </c>
      <c r="W1154" s="36"/>
      <c r="X1154" s="6">
        <v>15489</v>
      </c>
      <c r="AH1154" s="3">
        <v>0</v>
      </c>
      <c r="AJ1154" s="3">
        <v>15489</v>
      </c>
    </row>
    <row r="1155" spans="1:36" x14ac:dyDescent="0.25">
      <c r="A1155">
        <v>1147</v>
      </c>
      <c r="B1155" s="29" t="s">
        <v>45</v>
      </c>
      <c r="C1155" s="29" t="s">
        <v>46</v>
      </c>
      <c r="D1155" s="4" t="str">
        <f>"17670"</f>
        <v>17670</v>
      </c>
      <c r="E1155" s="4" t="str">
        <f t="shared" si="34"/>
        <v>FE17670</v>
      </c>
      <c r="F1155" s="7">
        <v>44385</v>
      </c>
      <c r="G1155" s="7">
        <v>44386</v>
      </c>
      <c r="H1155" s="34">
        <v>15489</v>
      </c>
      <c r="I1155" s="31">
        <v>13940</v>
      </c>
      <c r="J1155" s="31">
        <f t="shared" si="35"/>
        <v>1549</v>
      </c>
      <c r="K1155" s="2"/>
      <c r="N1155" s="32">
        <v>0</v>
      </c>
      <c r="Q1155" s="34">
        <v>0</v>
      </c>
      <c r="R1155" s="45"/>
      <c r="S1155" s="4">
        <f>IFERROR(VLOOKUP(E1155,'[2]td factu si'!$A:$B,1,0),0)</f>
        <v>0</v>
      </c>
      <c r="T1155" s="2">
        <f>IFERROR(VLOOKUP(E1155,'[2]td factu si'!$A:$B,2,0),0)*-1</f>
        <v>0</v>
      </c>
      <c r="W1155" s="36"/>
      <c r="X1155" s="6">
        <v>13940</v>
      </c>
      <c r="AH1155" s="3">
        <v>0</v>
      </c>
      <c r="AJ1155" s="3">
        <v>13940</v>
      </c>
    </row>
    <row r="1156" spans="1:36" x14ac:dyDescent="0.25">
      <c r="A1156">
        <v>1148</v>
      </c>
      <c r="B1156" s="29" t="s">
        <v>45</v>
      </c>
      <c r="C1156" s="29" t="s">
        <v>46</v>
      </c>
      <c r="D1156" s="4" t="str">
        <f>"17683"</f>
        <v>17683</v>
      </c>
      <c r="E1156" s="4" t="str">
        <f t="shared" si="34"/>
        <v>FE17683</v>
      </c>
      <c r="F1156" s="7">
        <v>44386</v>
      </c>
      <c r="G1156" s="7">
        <v>44386</v>
      </c>
      <c r="H1156" s="34">
        <v>13275359</v>
      </c>
      <c r="I1156" s="31">
        <v>13275359</v>
      </c>
      <c r="J1156" s="31">
        <f t="shared" si="35"/>
        <v>0</v>
      </c>
      <c r="K1156" s="2"/>
      <c r="N1156" s="32">
        <v>0</v>
      </c>
      <c r="Q1156" s="34">
        <v>0</v>
      </c>
      <c r="R1156" s="45"/>
      <c r="S1156" s="4">
        <f>IFERROR(VLOOKUP(E1156,'[2]td factu si'!$A:$B,1,0),0)</f>
        <v>0</v>
      </c>
      <c r="T1156" s="2">
        <f>IFERROR(VLOOKUP(E1156,'[2]td factu si'!$A:$B,2,0),0)*-1</f>
        <v>0</v>
      </c>
      <c r="W1156" s="36"/>
      <c r="X1156" s="6">
        <v>13275359</v>
      </c>
      <c r="AH1156" s="3">
        <v>0</v>
      </c>
      <c r="AJ1156" s="3">
        <v>13275359</v>
      </c>
    </row>
    <row r="1157" spans="1:36" x14ac:dyDescent="0.25">
      <c r="H1157" s="46">
        <f>SUM(H9:H1156)</f>
        <v>751879057</v>
      </c>
      <c r="I1157" s="46"/>
      <c r="J1157" s="46"/>
      <c r="K1157" s="2">
        <f>SUM(K9:K1156)</f>
        <v>203795</v>
      </c>
      <c r="W1157" s="36"/>
    </row>
    <row r="1158" spans="1:36" x14ac:dyDescent="0.25">
      <c r="W1158" s="36"/>
    </row>
  </sheetData>
  <autoFilter ref="A8:AL1157" xr:uid="{BDA64B7F-927C-417E-9659-91E9565AB81E}"/>
  <mergeCells count="2">
    <mergeCell ref="A7:R7"/>
    <mergeCell ref="S7:AJ7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AIFT010 900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Grupo Elite</dc:creator>
  <cp:lastModifiedBy>Grupo Elite</cp:lastModifiedBy>
  <dcterms:created xsi:type="dcterms:W3CDTF">2022-05-27T20:51:44Z</dcterms:created>
  <dcterms:modified xsi:type="dcterms:W3CDTF">2022-05-27T20:53:09Z</dcterms:modified>
</cp:coreProperties>
</file>