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lreyes\Downloads\"/>
    </mc:Choice>
  </mc:AlternateContent>
  <xr:revisionPtr revIDLastSave="0" documentId="13_ncr:1_{B10595E3-03CD-4EC1-B2AA-8CEDFDD14C37}" xr6:coauthVersionLast="47" xr6:coauthVersionMax="47" xr10:uidLastSave="{00000000-0000-0000-0000-000000000000}"/>
  <bookViews>
    <workbookView xWindow="-120" yWindow="-120" windowWidth="29040" windowHeight="15840" activeTab="2" xr2:uid="{00000000-000D-0000-FFFF-FFFF00000000}"/>
  </bookViews>
  <sheets>
    <sheet name="CARTERA IPS" sheetId="1" r:id="rId1"/>
    <sheet name="CRUCE COOSALUD" sheetId="3" r:id="rId2"/>
    <sheet name="RESUMEN" sheetId="7" r:id="rId3"/>
    <sheet name="DEVOLUCIONES" sheetId="9" r:id="rId4"/>
    <sheet name="PAGOS" sheetId="6" r:id="rId5"/>
    <sheet name="GLOSAS X CONCILIAR" sheetId="5" r:id="rId6"/>
    <sheet name="PAGOS X DES" sheetId="4" r:id="rId7"/>
    <sheet name="TODAS LAS P" sheetId="10" r:id="rId8"/>
    <sheet name="Hoja2" sheetId="8" r:id="rId9"/>
  </sheets>
  <definedNames>
    <definedName name="_xlnm._FilterDatabase" localSheetId="0" hidden="1">'CARTERA IPS'!$A$4:$K$809</definedName>
    <definedName name="_xlnm._FilterDatabase" localSheetId="1" hidden="1">'CRUCE COOSALUD'!$A$1:$U$772</definedName>
    <definedName name="_xlnm._FilterDatabase" localSheetId="8" hidden="1">Hoja2!$A$1:$I$1143</definedName>
    <definedName name="_xlnm._FilterDatabase" localSheetId="4" hidden="1">PAGOS!$A$1:$I$1553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7" l="1"/>
  <c r="C16" i="7"/>
  <c r="C18" i="7" s="1"/>
  <c r="R668" i="3"/>
  <c r="R666" i="3"/>
  <c r="R661" i="3"/>
  <c r="R660" i="3"/>
  <c r="R659" i="3"/>
  <c r="R658" i="3"/>
  <c r="R657" i="3"/>
  <c r="R655" i="3"/>
  <c r="R653" i="3"/>
  <c r="R652" i="3"/>
  <c r="R651" i="3"/>
  <c r="R650" i="3"/>
  <c r="R649" i="3"/>
  <c r="R648" i="3"/>
  <c r="R647" i="3"/>
  <c r="R644" i="3"/>
  <c r="R643" i="3"/>
  <c r="R642" i="3"/>
  <c r="R641" i="3"/>
  <c r="R640" i="3"/>
  <c r="R639" i="3"/>
  <c r="R638" i="3"/>
  <c r="R637" i="3"/>
  <c r="R636" i="3"/>
  <c r="R635" i="3"/>
  <c r="R634" i="3"/>
  <c r="R633" i="3"/>
  <c r="R632" i="3"/>
  <c r="R631" i="3"/>
  <c r="R629" i="3"/>
  <c r="R628" i="3"/>
  <c r="R627" i="3"/>
  <c r="R626" i="3"/>
  <c r="R625" i="3"/>
  <c r="R624" i="3"/>
  <c r="R623" i="3"/>
  <c r="R622" i="3"/>
  <c r="R621" i="3"/>
  <c r="R620" i="3"/>
  <c r="R619" i="3"/>
  <c r="R618" i="3"/>
  <c r="R617" i="3"/>
  <c r="R616" i="3"/>
  <c r="R615" i="3"/>
  <c r="R614" i="3"/>
  <c r="R613" i="3"/>
  <c r="R611" i="3"/>
  <c r="R610" i="3"/>
  <c r="R609" i="3"/>
  <c r="R605" i="3"/>
  <c r="R604" i="3"/>
  <c r="R603" i="3"/>
  <c r="R602" i="3"/>
  <c r="R601" i="3"/>
  <c r="R599" i="3"/>
  <c r="R598" i="3"/>
  <c r="R597" i="3"/>
  <c r="R596" i="3"/>
  <c r="R595" i="3"/>
  <c r="R594" i="3"/>
  <c r="R593" i="3"/>
  <c r="R592" i="3"/>
  <c r="R591" i="3"/>
  <c r="R590" i="3"/>
  <c r="R589" i="3"/>
  <c r="R588" i="3"/>
  <c r="R587" i="3"/>
  <c r="R586" i="3"/>
  <c r="R585" i="3"/>
  <c r="R583" i="3"/>
  <c r="R582" i="3"/>
  <c r="R581" i="3"/>
  <c r="R580" i="3"/>
  <c r="R579" i="3"/>
  <c r="R578" i="3"/>
  <c r="R577" i="3"/>
  <c r="R576" i="3"/>
  <c r="R575" i="3"/>
  <c r="R574" i="3"/>
  <c r="R573" i="3"/>
  <c r="R572" i="3"/>
  <c r="R571" i="3"/>
  <c r="R570" i="3"/>
  <c r="R569" i="3"/>
  <c r="R568" i="3"/>
  <c r="R567" i="3"/>
  <c r="R566" i="3"/>
  <c r="R565" i="3"/>
  <c r="R564" i="3"/>
  <c r="R563" i="3"/>
  <c r="R562" i="3"/>
  <c r="R561" i="3"/>
  <c r="R560" i="3"/>
  <c r="R558" i="3"/>
  <c r="R557" i="3"/>
  <c r="R556" i="3"/>
  <c r="R555" i="3"/>
  <c r="R554" i="3"/>
  <c r="R553" i="3"/>
  <c r="R552" i="3"/>
  <c r="R551" i="3"/>
  <c r="R550" i="3"/>
  <c r="R549" i="3"/>
  <c r="R547" i="3"/>
  <c r="R546" i="3"/>
  <c r="R545" i="3"/>
  <c r="R544" i="3"/>
  <c r="R543" i="3"/>
  <c r="R542" i="3"/>
  <c r="R541" i="3"/>
  <c r="R540" i="3"/>
  <c r="R539" i="3"/>
  <c r="R538" i="3"/>
  <c r="R537" i="3"/>
  <c r="R536" i="3"/>
  <c r="R535" i="3"/>
  <c r="R534" i="3"/>
  <c r="R533" i="3"/>
  <c r="R532" i="3"/>
  <c r="R530" i="3"/>
  <c r="R529" i="3"/>
  <c r="R528" i="3"/>
  <c r="R527" i="3"/>
  <c r="R526" i="3"/>
  <c r="R525" i="3"/>
  <c r="R524" i="3"/>
  <c r="R523" i="3"/>
  <c r="R522" i="3"/>
  <c r="R520" i="3"/>
  <c r="R519" i="3"/>
  <c r="R518" i="3"/>
  <c r="R516" i="3"/>
  <c r="R515" i="3"/>
  <c r="R514" i="3"/>
  <c r="R512" i="3"/>
  <c r="R511" i="3"/>
  <c r="R510" i="3"/>
  <c r="R509" i="3"/>
  <c r="R508" i="3"/>
  <c r="R507" i="3"/>
  <c r="R506" i="3"/>
  <c r="R505" i="3"/>
  <c r="R504" i="3"/>
  <c r="R503" i="3"/>
  <c r="R502" i="3"/>
  <c r="R500" i="3"/>
  <c r="R499" i="3"/>
  <c r="R498" i="3"/>
  <c r="R497" i="3"/>
  <c r="R496" i="3"/>
  <c r="R495" i="3"/>
  <c r="R494" i="3"/>
  <c r="R493" i="3"/>
  <c r="R492" i="3"/>
  <c r="R491" i="3"/>
  <c r="R490" i="3"/>
  <c r="R489" i="3"/>
  <c r="R488" i="3"/>
  <c r="R487" i="3"/>
  <c r="R486" i="3"/>
  <c r="R485" i="3"/>
  <c r="R484" i="3"/>
  <c r="R483" i="3"/>
  <c r="R482" i="3"/>
  <c r="R481" i="3"/>
  <c r="R480" i="3"/>
  <c r="R479" i="3"/>
  <c r="R478" i="3"/>
  <c r="R477" i="3"/>
  <c r="R476" i="3"/>
  <c r="R475" i="3"/>
  <c r="R474" i="3"/>
  <c r="R473" i="3"/>
  <c r="R472" i="3"/>
  <c r="R471" i="3"/>
  <c r="R470" i="3"/>
  <c r="R469" i="3"/>
  <c r="R467" i="3"/>
  <c r="R466" i="3"/>
  <c r="R465" i="3"/>
  <c r="R464" i="3"/>
  <c r="R463" i="3"/>
  <c r="R462" i="3"/>
  <c r="R461" i="3"/>
  <c r="R460" i="3"/>
  <c r="R459" i="3"/>
  <c r="R458" i="3"/>
  <c r="R457" i="3"/>
  <c r="R456" i="3"/>
  <c r="R455" i="3"/>
  <c r="R454" i="3"/>
  <c r="R453" i="3"/>
  <c r="R452" i="3"/>
  <c r="R451" i="3"/>
  <c r="R450" i="3"/>
  <c r="R449" i="3"/>
  <c r="R448" i="3"/>
  <c r="R447" i="3"/>
  <c r="R446" i="3"/>
  <c r="R445" i="3"/>
  <c r="R444" i="3"/>
  <c r="R443" i="3"/>
  <c r="R442" i="3"/>
  <c r="R441" i="3"/>
  <c r="R438" i="3"/>
  <c r="R436" i="3"/>
  <c r="R435" i="3"/>
  <c r="R434" i="3"/>
  <c r="R432" i="3"/>
  <c r="R430" i="3"/>
  <c r="R429" i="3"/>
  <c r="R428" i="3"/>
  <c r="R427" i="3"/>
  <c r="R425" i="3"/>
  <c r="R423" i="3"/>
  <c r="R422" i="3"/>
  <c r="R421" i="3"/>
  <c r="R420" i="3"/>
  <c r="R419" i="3"/>
  <c r="R418" i="3"/>
  <c r="R417" i="3"/>
  <c r="R416" i="3"/>
  <c r="R415" i="3"/>
  <c r="R414" i="3"/>
  <c r="R398" i="3"/>
  <c r="R395" i="3"/>
  <c r="R390" i="3"/>
  <c r="R386" i="3"/>
  <c r="R382" i="3"/>
  <c r="R380" i="3"/>
  <c r="R379" i="3"/>
  <c r="R377" i="3"/>
  <c r="R373" i="3"/>
  <c r="R368" i="3"/>
  <c r="R342" i="3"/>
  <c r="R341" i="3"/>
  <c r="R339" i="3"/>
  <c r="R334" i="3"/>
  <c r="R326" i="3"/>
  <c r="R325" i="3"/>
  <c r="R322" i="3"/>
  <c r="R247" i="3"/>
  <c r="L771" i="3"/>
  <c r="L770" i="3"/>
  <c r="L769" i="3"/>
  <c r="L768" i="3"/>
  <c r="L767" i="3"/>
  <c r="L766" i="3"/>
  <c r="L765" i="3"/>
  <c r="L764" i="3"/>
  <c r="L763" i="3"/>
  <c r="L762" i="3"/>
  <c r="L761" i="3"/>
  <c r="L760" i="3"/>
  <c r="L759" i="3"/>
  <c r="L758" i="3"/>
  <c r="L757" i="3"/>
  <c r="L756" i="3"/>
  <c r="L755"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7" i="3"/>
  <c r="L665" i="3"/>
  <c r="L664" i="3"/>
  <c r="L663" i="3"/>
  <c r="L662" i="3"/>
  <c r="L656" i="3"/>
  <c r="L646" i="3"/>
  <c r="L645" i="3"/>
  <c r="L600" i="3"/>
  <c r="L584" i="3"/>
  <c r="L531" i="3"/>
  <c r="L387" i="3"/>
  <c r="L359"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2" i="3"/>
  <c r="L240" i="3"/>
  <c r="L239" i="3"/>
  <c r="L236" i="3"/>
  <c r="L235" i="3"/>
  <c r="L233" i="3"/>
  <c r="L232" i="3"/>
  <c r="L231" i="3"/>
  <c r="L230" i="3"/>
  <c r="L229"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3" i="3"/>
  <c r="L42" i="3"/>
  <c r="L41" i="3"/>
  <c r="L40" i="3"/>
  <c r="L39" i="3"/>
  <c r="L38" i="3"/>
  <c r="L37" i="3"/>
  <c r="L36" i="3"/>
  <c r="L34" i="3"/>
  <c r="L33" i="3"/>
  <c r="L32" i="3"/>
  <c r="L31" i="3"/>
  <c r="L30" i="3"/>
  <c r="L29" i="3"/>
  <c r="L28" i="3"/>
  <c r="L27" i="3"/>
  <c r="L26" i="3"/>
  <c r="L25" i="3"/>
  <c r="O248" i="3"/>
  <c r="O772" i="3"/>
  <c r="C10" i="7" s="1"/>
  <c r="G622" i="3"/>
  <c r="T582" i="3"/>
  <c r="O342" i="3"/>
  <c r="N356" i="3"/>
  <c r="N363" i="3"/>
  <c r="N365" i="3"/>
  <c r="N366" i="3"/>
  <c r="N370" i="3"/>
  <c r="N376" i="3"/>
  <c r="N377" i="3"/>
  <c r="N378" i="3"/>
  <c r="N395" i="3"/>
  <c r="N397" i="3"/>
  <c r="N402" i="3"/>
  <c r="N403" i="3"/>
  <c r="N404" i="3"/>
  <c r="N406" i="3"/>
  <c r="N408" i="3"/>
  <c r="N410" i="3"/>
  <c r="N424" i="3"/>
  <c r="N439" i="3"/>
  <c r="N576" i="3"/>
  <c r="N649" i="3"/>
  <c r="N661" i="3"/>
  <c r="N349" i="3"/>
  <c r="N351" i="3"/>
  <c r="N354" i="3"/>
  <c r="N4" i="3"/>
  <c r="N5" i="3"/>
  <c r="N6" i="3"/>
  <c r="N7" i="3"/>
  <c r="N8" i="3"/>
  <c r="N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2" i="3"/>
  <c r="S9" i="3"/>
  <c r="S11" i="3"/>
  <c r="S12" i="3"/>
  <c r="S13" i="3"/>
  <c r="S14" i="3"/>
  <c r="S15" i="3"/>
  <c r="S17" i="3"/>
  <c r="S18" i="3"/>
  <c r="S19" i="3"/>
  <c r="S20" i="3"/>
  <c r="S21" i="3"/>
  <c r="S22" i="3"/>
  <c r="S23" i="3"/>
  <c r="S24" i="3"/>
  <c r="S35" i="3"/>
  <c r="S44" i="3"/>
  <c r="S234" i="3"/>
  <c r="S237" i="3"/>
  <c r="S238" i="3"/>
  <c r="S244" i="3"/>
  <c r="S245" i="3"/>
  <c r="S321" i="3"/>
  <c r="S327" i="3"/>
  <c r="S330" i="3"/>
  <c r="S333" i="3"/>
  <c r="S337" i="3"/>
  <c r="S338" i="3"/>
  <c r="S344" i="3"/>
  <c r="S350" i="3"/>
  <c r="S352" i="3"/>
  <c r="S353" i="3"/>
  <c r="S355" i="3"/>
  <c r="S357" i="3"/>
  <c r="S358" i="3"/>
  <c r="S360" i="3"/>
  <c r="S361" i="3"/>
  <c r="S362" i="3"/>
  <c r="S364" i="3"/>
  <c r="S367" i="3"/>
  <c r="S369" i="3"/>
  <c r="S371" i="3"/>
  <c r="S372" i="3"/>
  <c r="S374" i="3"/>
  <c r="S375" i="3"/>
  <c r="S388" i="3"/>
  <c r="S391" i="3"/>
  <c r="S392" i="3"/>
  <c r="S393" i="3"/>
  <c r="S394" i="3"/>
  <c r="S396" i="3"/>
  <c r="S399" i="3"/>
  <c r="S400" i="3"/>
  <c r="S401" i="3"/>
  <c r="S405" i="3"/>
  <c r="S407" i="3"/>
  <c r="S409" i="3"/>
  <c r="S411" i="3"/>
  <c r="S412" i="3"/>
  <c r="S413" i="3"/>
  <c r="S426" i="3"/>
  <c r="S431" i="3"/>
  <c r="S433" i="3"/>
  <c r="S437" i="3"/>
  <c r="S440" i="3"/>
  <c r="S468" i="3"/>
  <c r="S501" i="3"/>
  <c r="S513" i="3"/>
  <c r="S517" i="3"/>
  <c r="S521" i="3"/>
  <c r="S548" i="3"/>
  <c r="S559" i="3"/>
  <c r="S606" i="3"/>
  <c r="S607" i="3"/>
  <c r="S608" i="3"/>
  <c r="S612" i="3"/>
  <c r="S630" i="3"/>
  <c r="S654" i="3"/>
  <c r="S754" i="3"/>
  <c r="Q9" i="3"/>
  <c r="Q11" i="3"/>
  <c r="Q12" i="3"/>
  <c r="Q13" i="3"/>
  <c r="Q14" i="3"/>
  <c r="Q15" i="3"/>
  <c r="Q17" i="3"/>
  <c r="Q18" i="3"/>
  <c r="Q19" i="3"/>
  <c r="Q20" i="3"/>
  <c r="Q21" i="3"/>
  <c r="Q22" i="3"/>
  <c r="Q23" i="3"/>
  <c r="Q24" i="3"/>
  <c r="Q35" i="3"/>
  <c r="Q44" i="3"/>
  <c r="Q234" i="3"/>
  <c r="Q237" i="3"/>
  <c r="Q238" i="3"/>
  <c r="Q244" i="3"/>
  <c r="Q245" i="3"/>
  <c r="Q321" i="3"/>
  <c r="Q327" i="3"/>
  <c r="Q330" i="3"/>
  <c r="Q333" i="3"/>
  <c r="Q337" i="3"/>
  <c r="Q338" i="3"/>
  <c r="Q344" i="3"/>
  <c r="Q350" i="3"/>
  <c r="Q352" i="3"/>
  <c r="Q353" i="3"/>
  <c r="Q355" i="3"/>
  <c r="Q357" i="3"/>
  <c r="Q358" i="3"/>
  <c r="Q360" i="3"/>
  <c r="Q361" i="3"/>
  <c r="Q362" i="3"/>
  <c r="Q364" i="3"/>
  <c r="Q367" i="3"/>
  <c r="Q369" i="3"/>
  <c r="Q371" i="3"/>
  <c r="Q372" i="3"/>
  <c r="Q374" i="3"/>
  <c r="Q375" i="3"/>
  <c r="Q388" i="3"/>
  <c r="Q391" i="3"/>
  <c r="Q392" i="3"/>
  <c r="Q393" i="3"/>
  <c r="Q394" i="3"/>
  <c r="Q396" i="3"/>
  <c r="Q399" i="3"/>
  <c r="Q400" i="3"/>
  <c r="Q401" i="3"/>
  <c r="Q405" i="3"/>
  <c r="Q407" i="3"/>
  <c r="Q409" i="3"/>
  <c r="Q411" i="3"/>
  <c r="Q412" i="3"/>
  <c r="Q413" i="3"/>
  <c r="Q426" i="3"/>
  <c r="Q431" i="3"/>
  <c r="Q433" i="3"/>
  <c r="Q437" i="3"/>
  <c r="Q440" i="3"/>
  <c r="Q468" i="3"/>
  <c r="Q501" i="3"/>
  <c r="Q513" i="3"/>
  <c r="Q517" i="3"/>
  <c r="Q521" i="3"/>
  <c r="Q548" i="3"/>
  <c r="Q559" i="3"/>
  <c r="Q606" i="3"/>
  <c r="Q607" i="3"/>
  <c r="Q608" i="3"/>
  <c r="Q612" i="3"/>
  <c r="Q630" i="3"/>
  <c r="Q654" i="3"/>
  <c r="Q754" i="3"/>
  <c r="J754" i="3"/>
  <c r="J654" i="3"/>
  <c r="J630" i="3"/>
  <c r="J612" i="3"/>
  <c r="J608" i="3"/>
  <c r="J607" i="3"/>
  <c r="J606" i="3"/>
  <c r="J559" i="3"/>
  <c r="J548" i="3"/>
  <c r="J521" i="3"/>
  <c r="J517" i="3"/>
  <c r="J513" i="3"/>
  <c r="J501" i="3"/>
  <c r="J468" i="3"/>
  <c r="J440" i="3"/>
  <c r="J437" i="3"/>
  <c r="J433" i="3"/>
  <c r="J431" i="3"/>
  <c r="J426" i="3"/>
  <c r="J413" i="3"/>
  <c r="J412" i="3"/>
  <c r="J411" i="3"/>
  <c r="J409" i="3"/>
  <c r="J407" i="3"/>
  <c r="J405" i="3"/>
  <c r="J401" i="3"/>
  <c r="J400" i="3"/>
  <c r="J399" i="3"/>
  <c r="J396" i="3"/>
  <c r="J394" i="3"/>
  <c r="J393" i="3"/>
  <c r="J392" i="3"/>
  <c r="J391" i="3"/>
  <c r="J388" i="3"/>
  <c r="J375" i="3"/>
  <c r="J374" i="3"/>
  <c r="J372" i="3"/>
  <c r="J371" i="3"/>
  <c r="J369" i="3"/>
  <c r="J367" i="3"/>
  <c r="J364" i="3"/>
  <c r="J362" i="3"/>
  <c r="J361" i="3"/>
  <c r="J360" i="3"/>
  <c r="J358" i="3"/>
  <c r="J357" i="3"/>
  <c r="J355" i="3"/>
  <c r="J353" i="3"/>
  <c r="J352" i="3"/>
  <c r="J350" i="3"/>
  <c r="J344" i="3"/>
  <c r="J338" i="3"/>
  <c r="J337" i="3"/>
  <c r="J333" i="3"/>
  <c r="J330" i="3"/>
  <c r="J327" i="3"/>
  <c r="J321" i="3"/>
  <c r="J245" i="3"/>
  <c r="J244" i="3"/>
  <c r="J238" i="3"/>
  <c r="J237" i="3"/>
  <c r="J234" i="3"/>
  <c r="J44" i="3"/>
  <c r="J35" i="3"/>
  <c r="J24" i="3"/>
  <c r="J23" i="3"/>
  <c r="J22" i="3"/>
  <c r="J21" i="3"/>
  <c r="J20" i="3"/>
  <c r="J19" i="3"/>
  <c r="J18" i="3"/>
  <c r="J17" i="3"/>
  <c r="J15" i="3"/>
  <c r="J14" i="3"/>
  <c r="J13" i="3"/>
  <c r="J12" i="3"/>
  <c r="J11" i="3"/>
  <c r="J9" i="3"/>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341" i="3"/>
  <c r="E342" i="3"/>
  <c r="E343" i="3"/>
  <c r="E344" i="3"/>
  <c r="E345" i="3"/>
  <c r="E346" i="3"/>
  <c r="E347" i="3"/>
  <c r="E348" i="3"/>
  <c r="E349" i="3"/>
  <c r="E350" i="3"/>
  <c r="E351" i="3"/>
  <c r="E352" i="3"/>
  <c r="E353" i="3"/>
  <c r="E354" i="3"/>
  <c r="E355" i="3"/>
  <c r="E356" i="3"/>
  <c r="E357" i="3"/>
  <c r="E358" i="3"/>
  <c r="E359" i="3"/>
  <c r="E360" i="3"/>
  <c r="E361" i="3"/>
  <c r="E362" i="3"/>
  <c r="E363" i="3"/>
  <c r="E364" i="3"/>
  <c r="E365" i="3"/>
  <c r="E366" i="3"/>
  <c r="E367" i="3"/>
  <c r="E368" i="3"/>
  <c r="E369" i="3"/>
  <c r="E370" i="3"/>
  <c r="E371" i="3"/>
  <c r="E372" i="3"/>
  <c r="E373" i="3"/>
  <c r="E374" i="3"/>
  <c r="E375" i="3"/>
  <c r="E376" i="3"/>
  <c r="E377" i="3"/>
  <c r="E378" i="3"/>
  <c r="E379" i="3"/>
  <c r="E380" i="3"/>
  <c r="E381" i="3"/>
  <c r="E382" i="3"/>
  <c r="E383" i="3"/>
  <c r="E384" i="3"/>
  <c r="E385" i="3"/>
  <c r="E386" i="3"/>
  <c r="E387" i="3"/>
  <c r="E388" i="3"/>
  <c r="E389" i="3"/>
  <c r="E390" i="3"/>
  <c r="E391" i="3"/>
  <c r="E392" i="3"/>
  <c r="E393" i="3"/>
  <c r="E394" i="3"/>
  <c r="E395" i="3"/>
  <c r="E396" i="3"/>
  <c r="E397" i="3"/>
  <c r="E398" i="3"/>
  <c r="E399" i="3"/>
  <c r="E400" i="3"/>
  <c r="E401" i="3"/>
  <c r="E402" i="3"/>
  <c r="E403" i="3"/>
  <c r="E404" i="3"/>
  <c r="E405" i="3"/>
  <c r="E406" i="3"/>
  <c r="E407" i="3"/>
  <c r="E408" i="3"/>
  <c r="E409" i="3"/>
  <c r="E410" i="3"/>
  <c r="E411" i="3"/>
  <c r="E412" i="3"/>
  <c r="E413" i="3"/>
  <c r="E414" i="3"/>
  <c r="E415" i="3"/>
  <c r="E416" i="3"/>
  <c r="E417" i="3"/>
  <c r="E418" i="3"/>
  <c r="E419" i="3"/>
  <c r="E420" i="3"/>
  <c r="E421" i="3"/>
  <c r="E422" i="3"/>
  <c r="E423" i="3"/>
  <c r="E424" i="3"/>
  <c r="E425" i="3"/>
  <c r="E426" i="3"/>
  <c r="E427" i="3"/>
  <c r="E428" i="3"/>
  <c r="E429" i="3"/>
  <c r="E430" i="3"/>
  <c r="E431" i="3"/>
  <c r="E432" i="3"/>
  <c r="E433" i="3"/>
  <c r="E434" i="3"/>
  <c r="E435" i="3"/>
  <c r="E436" i="3"/>
  <c r="E437" i="3"/>
  <c r="E438" i="3"/>
  <c r="E439" i="3"/>
  <c r="E440" i="3"/>
  <c r="E441" i="3"/>
  <c r="E442" i="3"/>
  <c r="E443" i="3"/>
  <c r="E444" i="3"/>
  <c r="E445" i="3"/>
  <c r="E446" i="3"/>
  <c r="E447" i="3"/>
  <c r="E448" i="3"/>
  <c r="E449" i="3"/>
  <c r="E450" i="3"/>
  <c r="E451" i="3"/>
  <c r="E452" i="3"/>
  <c r="E453" i="3"/>
  <c r="E454" i="3"/>
  <c r="E455" i="3"/>
  <c r="E456" i="3"/>
  <c r="E457" i="3"/>
  <c r="E458" i="3"/>
  <c r="E459" i="3"/>
  <c r="E460" i="3"/>
  <c r="E461" i="3"/>
  <c r="E462" i="3"/>
  <c r="E463" i="3"/>
  <c r="E464" i="3"/>
  <c r="E465" i="3"/>
  <c r="E466" i="3"/>
  <c r="E467" i="3"/>
  <c r="E468" i="3"/>
  <c r="E469" i="3"/>
  <c r="E470" i="3"/>
  <c r="E471" i="3"/>
  <c r="E472" i="3"/>
  <c r="E473" i="3"/>
  <c r="E474" i="3"/>
  <c r="E475" i="3"/>
  <c r="E476" i="3"/>
  <c r="E477" i="3"/>
  <c r="E478" i="3"/>
  <c r="E479" i="3"/>
  <c r="E480" i="3"/>
  <c r="E481" i="3"/>
  <c r="E482" i="3"/>
  <c r="E483" i="3"/>
  <c r="E484" i="3"/>
  <c r="E485" i="3"/>
  <c r="E486" i="3"/>
  <c r="E487" i="3"/>
  <c r="E488" i="3"/>
  <c r="E489" i="3"/>
  <c r="E490" i="3"/>
  <c r="E491" i="3"/>
  <c r="E492" i="3"/>
  <c r="E493" i="3"/>
  <c r="E494" i="3"/>
  <c r="E495" i="3"/>
  <c r="E496" i="3"/>
  <c r="E497" i="3"/>
  <c r="E498" i="3"/>
  <c r="E499" i="3"/>
  <c r="E500" i="3"/>
  <c r="E501" i="3"/>
  <c r="E502" i="3"/>
  <c r="E503" i="3"/>
  <c r="E504" i="3"/>
  <c r="E505" i="3"/>
  <c r="E506" i="3"/>
  <c r="E507" i="3"/>
  <c r="E508" i="3"/>
  <c r="E509" i="3"/>
  <c r="E510" i="3"/>
  <c r="E511" i="3"/>
  <c r="E512" i="3"/>
  <c r="E513" i="3"/>
  <c r="E514" i="3"/>
  <c r="E515" i="3"/>
  <c r="E516" i="3"/>
  <c r="E517" i="3"/>
  <c r="E518" i="3"/>
  <c r="E519" i="3"/>
  <c r="E520" i="3"/>
  <c r="E521" i="3"/>
  <c r="E522" i="3"/>
  <c r="E523" i="3"/>
  <c r="E524" i="3"/>
  <c r="E525" i="3"/>
  <c r="E526" i="3"/>
  <c r="E527" i="3"/>
  <c r="E528" i="3"/>
  <c r="E529" i="3"/>
  <c r="E530" i="3"/>
  <c r="E531" i="3"/>
  <c r="E532" i="3"/>
  <c r="E533" i="3"/>
  <c r="E534" i="3"/>
  <c r="E535" i="3"/>
  <c r="E536" i="3"/>
  <c r="E537" i="3"/>
  <c r="E538" i="3"/>
  <c r="E539" i="3"/>
  <c r="E540" i="3"/>
  <c r="E541" i="3"/>
  <c r="E542" i="3"/>
  <c r="E543" i="3"/>
  <c r="E544" i="3"/>
  <c r="E545" i="3"/>
  <c r="E546" i="3"/>
  <c r="E547" i="3"/>
  <c r="E548" i="3"/>
  <c r="E549" i="3"/>
  <c r="E550" i="3"/>
  <c r="E551" i="3"/>
  <c r="E552" i="3"/>
  <c r="E553" i="3"/>
  <c r="E554" i="3"/>
  <c r="E555" i="3"/>
  <c r="E556" i="3"/>
  <c r="E557" i="3"/>
  <c r="E558" i="3"/>
  <c r="E559" i="3"/>
  <c r="E560" i="3"/>
  <c r="E561" i="3"/>
  <c r="E562" i="3"/>
  <c r="E563" i="3"/>
  <c r="E564" i="3"/>
  <c r="E565" i="3"/>
  <c r="E566" i="3"/>
  <c r="E567" i="3"/>
  <c r="E568" i="3"/>
  <c r="E569" i="3"/>
  <c r="E570" i="3"/>
  <c r="E571" i="3"/>
  <c r="E572" i="3"/>
  <c r="E573" i="3"/>
  <c r="E574" i="3"/>
  <c r="E575" i="3"/>
  <c r="E576" i="3"/>
  <c r="E577" i="3"/>
  <c r="E578" i="3"/>
  <c r="E579" i="3"/>
  <c r="E580" i="3"/>
  <c r="E581" i="3"/>
  <c r="E582" i="3"/>
  <c r="E583" i="3"/>
  <c r="E584" i="3"/>
  <c r="E585" i="3"/>
  <c r="E586" i="3"/>
  <c r="E587" i="3"/>
  <c r="E588" i="3"/>
  <c r="E589" i="3"/>
  <c r="E590" i="3"/>
  <c r="E591" i="3"/>
  <c r="E592" i="3"/>
  <c r="E593" i="3"/>
  <c r="E594" i="3"/>
  <c r="E595" i="3"/>
  <c r="E596" i="3"/>
  <c r="E597" i="3"/>
  <c r="E598" i="3"/>
  <c r="E599" i="3"/>
  <c r="E600" i="3"/>
  <c r="E601" i="3"/>
  <c r="E602" i="3"/>
  <c r="E603" i="3"/>
  <c r="E604" i="3"/>
  <c r="E605" i="3"/>
  <c r="E606" i="3"/>
  <c r="E607" i="3"/>
  <c r="E608" i="3"/>
  <c r="E609" i="3"/>
  <c r="E610" i="3"/>
  <c r="E611" i="3"/>
  <c r="E612" i="3"/>
  <c r="E613" i="3"/>
  <c r="E614" i="3"/>
  <c r="E615" i="3"/>
  <c r="E616" i="3"/>
  <c r="E617" i="3"/>
  <c r="E618" i="3"/>
  <c r="E619" i="3"/>
  <c r="E620" i="3"/>
  <c r="E621" i="3"/>
  <c r="E622" i="3"/>
  <c r="E623" i="3"/>
  <c r="E624" i="3"/>
  <c r="E625" i="3"/>
  <c r="E626" i="3"/>
  <c r="E627" i="3"/>
  <c r="E628" i="3"/>
  <c r="E629" i="3"/>
  <c r="E630" i="3"/>
  <c r="E631" i="3"/>
  <c r="E632" i="3"/>
  <c r="E633" i="3"/>
  <c r="E634" i="3"/>
  <c r="E635" i="3"/>
  <c r="E636" i="3"/>
  <c r="E637" i="3"/>
  <c r="E638" i="3"/>
  <c r="E639" i="3"/>
  <c r="E640" i="3"/>
  <c r="E641" i="3"/>
  <c r="E642" i="3"/>
  <c r="E643" i="3"/>
  <c r="E644" i="3"/>
  <c r="E645" i="3"/>
  <c r="E646" i="3"/>
  <c r="E647" i="3"/>
  <c r="E648" i="3"/>
  <c r="E649" i="3"/>
  <c r="E650" i="3"/>
  <c r="E651" i="3"/>
  <c r="E652" i="3"/>
  <c r="E653" i="3"/>
  <c r="E654" i="3"/>
  <c r="E655" i="3"/>
  <c r="E656" i="3"/>
  <c r="E657" i="3"/>
  <c r="E658" i="3"/>
  <c r="E659" i="3"/>
  <c r="E660" i="3"/>
  <c r="E661" i="3"/>
  <c r="E662" i="3"/>
  <c r="E663" i="3"/>
  <c r="E664" i="3"/>
  <c r="E665" i="3"/>
  <c r="E666" i="3"/>
  <c r="E667" i="3"/>
  <c r="E668" i="3"/>
  <c r="E669" i="3"/>
  <c r="E670" i="3"/>
  <c r="E671" i="3"/>
  <c r="E672" i="3"/>
  <c r="E673" i="3"/>
  <c r="E674" i="3"/>
  <c r="E675" i="3"/>
  <c r="E676" i="3"/>
  <c r="E677" i="3"/>
  <c r="E678" i="3"/>
  <c r="E679" i="3"/>
  <c r="E680" i="3"/>
  <c r="E681" i="3"/>
  <c r="E682" i="3"/>
  <c r="E683" i="3"/>
  <c r="E684" i="3"/>
  <c r="E685" i="3"/>
  <c r="E686" i="3"/>
  <c r="E687" i="3"/>
  <c r="E688" i="3"/>
  <c r="E689" i="3"/>
  <c r="E690" i="3"/>
  <c r="E691" i="3"/>
  <c r="E692" i="3"/>
  <c r="E693" i="3"/>
  <c r="E694" i="3"/>
  <c r="E695" i="3"/>
  <c r="E696" i="3"/>
  <c r="E697" i="3"/>
  <c r="E698" i="3"/>
  <c r="E699" i="3"/>
  <c r="E700" i="3"/>
  <c r="E701" i="3"/>
  <c r="E702" i="3"/>
  <c r="E703" i="3"/>
  <c r="E704" i="3"/>
  <c r="E705" i="3"/>
  <c r="E706" i="3"/>
  <c r="E707" i="3"/>
  <c r="E708" i="3"/>
  <c r="E709" i="3"/>
  <c r="E710" i="3"/>
  <c r="E711" i="3"/>
  <c r="E712" i="3"/>
  <c r="E713" i="3"/>
  <c r="E714" i="3"/>
  <c r="E715" i="3"/>
  <c r="E716" i="3"/>
  <c r="E717" i="3"/>
  <c r="E718" i="3"/>
  <c r="E719" i="3"/>
  <c r="E720" i="3"/>
  <c r="E721" i="3"/>
  <c r="E722" i="3"/>
  <c r="E723" i="3"/>
  <c r="E724" i="3"/>
  <c r="E725" i="3"/>
  <c r="E726" i="3"/>
  <c r="E727" i="3"/>
  <c r="E728" i="3"/>
  <c r="E729" i="3"/>
  <c r="E730" i="3"/>
  <c r="E731" i="3"/>
  <c r="E732" i="3"/>
  <c r="E733" i="3"/>
  <c r="E734" i="3"/>
  <c r="E735" i="3"/>
  <c r="E736" i="3"/>
  <c r="E737" i="3"/>
  <c r="E738" i="3"/>
  <c r="E739" i="3"/>
  <c r="E740" i="3"/>
  <c r="E741" i="3"/>
  <c r="E742" i="3"/>
  <c r="E743" i="3"/>
  <c r="E744" i="3"/>
  <c r="E745" i="3"/>
  <c r="E746" i="3"/>
  <c r="E747" i="3"/>
  <c r="E748" i="3"/>
  <c r="E749" i="3"/>
  <c r="E750" i="3"/>
  <c r="E751" i="3"/>
  <c r="E752" i="3"/>
  <c r="E753" i="3"/>
  <c r="E754" i="3"/>
  <c r="E755" i="3"/>
  <c r="E756" i="3"/>
  <c r="E757" i="3"/>
  <c r="E758" i="3"/>
  <c r="E759" i="3"/>
  <c r="E760" i="3"/>
  <c r="E761" i="3"/>
  <c r="E762" i="3"/>
  <c r="E763" i="3"/>
  <c r="E764" i="3"/>
  <c r="E765" i="3"/>
  <c r="E766" i="3"/>
  <c r="E767" i="3"/>
  <c r="E768" i="3"/>
  <c r="E769" i="3"/>
  <c r="E770" i="3"/>
  <c r="E771" i="3"/>
  <c r="E2" i="3"/>
  <c r="N772" i="3" l="1"/>
  <c r="C12" i="7" s="1"/>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T297" i="3"/>
  <c r="T298" i="3"/>
  <c r="T299" i="3"/>
  <c r="T300" i="3"/>
  <c r="T301" i="3"/>
  <c r="T302" i="3"/>
  <c r="T303" i="3"/>
  <c r="T304" i="3"/>
  <c r="T305" i="3"/>
  <c r="T306" i="3"/>
  <c r="T307" i="3"/>
  <c r="T308" i="3"/>
  <c r="T309" i="3"/>
  <c r="T310" i="3"/>
  <c r="T311" i="3"/>
  <c r="T312" i="3"/>
  <c r="T313" i="3"/>
  <c r="T314" i="3"/>
  <c r="T315" i="3"/>
  <c r="T316" i="3"/>
  <c r="T317" i="3"/>
  <c r="T318" i="3"/>
  <c r="T319" i="3"/>
  <c r="T320" i="3"/>
  <c r="T321" i="3"/>
  <c r="T322" i="3"/>
  <c r="T323" i="3"/>
  <c r="T324" i="3"/>
  <c r="T325" i="3"/>
  <c r="T326" i="3"/>
  <c r="T327" i="3"/>
  <c r="T328" i="3"/>
  <c r="T329" i="3"/>
  <c r="T330" i="3"/>
  <c r="T331" i="3"/>
  <c r="T332" i="3"/>
  <c r="T333" i="3"/>
  <c r="T334" i="3"/>
  <c r="T335" i="3"/>
  <c r="T336" i="3"/>
  <c r="T337" i="3"/>
  <c r="T338" i="3"/>
  <c r="T339" i="3"/>
  <c r="T340" i="3"/>
  <c r="T341" i="3"/>
  <c r="T342" i="3"/>
  <c r="T343" i="3"/>
  <c r="T344" i="3"/>
  <c r="T345" i="3"/>
  <c r="T346" i="3"/>
  <c r="T347" i="3"/>
  <c r="T348" i="3"/>
  <c r="T350" i="3"/>
  <c r="T352" i="3"/>
  <c r="T353" i="3"/>
  <c r="T355" i="3"/>
  <c r="T357" i="3"/>
  <c r="T358" i="3"/>
  <c r="T359" i="3"/>
  <c r="T360" i="3"/>
  <c r="T361" i="3"/>
  <c r="T362" i="3"/>
  <c r="T364" i="3"/>
  <c r="T367" i="3"/>
  <c r="T368" i="3"/>
  <c r="T369" i="3"/>
  <c r="T371" i="3"/>
  <c r="T372" i="3"/>
  <c r="T373" i="3"/>
  <c r="T374" i="3"/>
  <c r="T375" i="3"/>
  <c r="T379" i="3"/>
  <c r="T380" i="3"/>
  <c r="T381" i="3"/>
  <c r="T382" i="3"/>
  <c r="T383" i="3"/>
  <c r="T384" i="3"/>
  <c r="T385" i="3"/>
  <c r="T386" i="3"/>
  <c r="T387" i="3"/>
  <c r="T388" i="3"/>
  <c r="T389" i="3"/>
  <c r="T391" i="3"/>
  <c r="T392" i="3"/>
  <c r="T393" i="3"/>
  <c r="T394" i="3"/>
  <c r="T396" i="3"/>
  <c r="T398" i="3"/>
  <c r="T399" i="3"/>
  <c r="T400" i="3"/>
  <c r="T401" i="3"/>
  <c r="T405" i="3"/>
  <c r="T407" i="3"/>
  <c r="T409" i="3"/>
  <c r="T411" i="3"/>
  <c r="T412" i="3"/>
  <c r="T413" i="3"/>
  <c r="T414" i="3"/>
  <c r="T415" i="3"/>
  <c r="T416" i="3"/>
  <c r="T417" i="3"/>
  <c r="T418" i="3"/>
  <c r="T419" i="3"/>
  <c r="T420" i="3"/>
  <c r="T421" i="3"/>
  <c r="T422" i="3"/>
  <c r="T423" i="3"/>
  <c r="T425" i="3"/>
  <c r="T426" i="3"/>
  <c r="T427" i="3"/>
  <c r="T428" i="3"/>
  <c r="T429" i="3"/>
  <c r="T430" i="3"/>
  <c r="T431" i="3"/>
  <c r="T432" i="3"/>
  <c r="T433" i="3"/>
  <c r="T434" i="3"/>
  <c r="T435" i="3"/>
  <c r="T436" i="3"/>
  <c r="T437" i="3"/>
  <c r="T438" i="3"/>
  <c r="T440" i="3"/>
  <c r="T441" i="3"/>
  <c r="T442" i="3"/>
  <c r="T443" i="3"/>
  <c r="T444" i="3"/>
  <c r="T445" i="3"/>
  <c r="T446" i="3"/>
  <c r="T447" i="3"/>
  <c r="T448" i="3"/>
  <c r="T449" i="3"/>
  <c r="T450" i="3"/>
  <c r="T451" i="3"/>
  <c r="T452" i="3"/>
  <c r="T453" i="3"/>
  <c r="T454" i="3"/>
  <c r="T455" i="3"/>
  <c r="T456" i="3"/>
  <c r="T457" i="3"/>
  <c r="T458" i="3"/>
  <c r="T459" i="3"/>
  <c r="T460" i="3"/>
  <c r="T461" i="3"/>
  <c r="T462" i="3"/>
  <c r="T463" i="3"/>
  <c r="T464" i="3"/>
  <c r="T465" i="3"/>
  <c r="T466" i="3"/>
  <c r="T467" i="3"/>
  <c r="T468" i="3"/>
  <c r="T469" i="3"/>
  <c r="T470" i="3"/>
  <c r="T471" i="3"/>
  <c r="T472" i="3"/>
  <c r="T473" i="3"/>
  <c r="T474" i="3"/>
  <c r="T475" i="3"/>
  <c r="T476" i="3"/>
  <c r="T477" i="3"/>
  <c r="T478" i="3"/>
  <c r="T479" i="3"/>
  <c r="T480" i="3"/>
  <c r="T481" i="3"/>
  <c r="T482" i="3"/>
  <c r="T483" i="3"/>
  <c r="T484" i="3"/>
  <c r="T485" i="3"/>
  <c r="T486" i="3"/>
  <c r="T487" i="3"/>
  <c r="T488" i="3"/>
  <c r="T489" i="3"/>
  <c r="T490" i="3"/>
  <c r="T491" i="3"/>
  <c r="T492" i="3"/>
  <c r="T493" i="3"/>
  <c r="T494" i="3"/>
  <c r="T495" i="3"/>
  <c r="T496" i="3"/>
  <c r="T497" i="3"/>
  <c r="T498" i="3"/>
  <c r="T499" i="3"/>
  <c r="T500" i="3"/>
  <c r="T501" i="3"/>
  <c r="T502" i="3"/>
  <c r="T503" i="3"/>
  <c r="T504" i="3"/>
  <c r="T505" i="3"/>
  <c r="T506" i="3"/>
  <c r="T507" i="3"/>
  <c r="T508" i="3"/>
  <c r="T509" i="3"/>
  <c r="T510" i="3"/>
  <c r="T511" i="3"/>
  <c r="T512" i="3"/>
  <c r="T513" i="3"/>
  <c r="T514" i="3"/>
  <c r="T515" i="3"/>
  <c r="T516" i="3"/>
  <c r="T517" i="3"/>
  <c r="T518" i="3"/>
  <c r="T519" i="3"/>
  <c r="T520" i="3"/>
  <c r="T521" i="3"/>
  <c r="T522" i="3"/>
  <c r="T523" i="3"/>
  <c r="T524" i="3"/>
  <c r="T525" i="3"/>
  <c r="T526" i="3"/>
  <c r="T527" i="3"/>
  <c r="T528" i="3"/>
  <c r="T529" i="3"/>
  <c r="T530" i="3"/>
  <c r="T531" i="3"/>
  <c r="T532" i="3"/>
  <c r="T533" i="3"/>
  <c r="T534" i="3"/>
  <c r="T535" i="3"/>
  <c r="T536" i="3"/>
  <c r="T537" i="3"/>
  <c r="T538" i="3"/>
  <c r="T539" i="3"/>
  <c r="T540" i="3"/>
  <c r="T541" i="3"/>
  <c r="T542" i="3"/>
  <c r="T543" i="3"/>
  <c r="T544" i="3"/>
  <c r="T545" i="3"/>
  <c r="T546" i="3"/>
  <c r="T547" i="3"/>
  <c r="T548" i="3"/>
  <c r="T549" i="3"/>
  <c r="T550" i="3"/>
  <c r="T551" i="3"/>
  <c r="T552" i="3"/>
  <c r="T553" i="3"/>
  <c r="T554" i="3"/>
  <c r="T555" i="3"/>
  <c r="T556" i="3"/>
  <c r="T557" i="3"/>
  <c r="T558" i="3"/>
  <c r="T559" i="3"/>
  <c r="T560" i="3"/>
  <c r="T561" i="3"/>
  <c r="T562" i="3"/>
  <c r="T563" i="3"/>
  <c r="T564" i="3"/>
  <c r="T565" i="3"/>
  <c r="T566" i="3"/>
  <c r="T567" i="3"/>
  <c r="T568" i="3"/>
  <c r="T569" i="3"/>
  <c r="T570" i="3"/>
  <c r="T571" i="3"/>
  <c r="T572" i="3"/>
  <c r="T573" i="3"/>
  <c r="T574" i="3"/>
  <c r="T575" i="3"/>
  <c r="T577" i="3"/>
  <c r="T578" i="3"/>
  <c r="T579" i="3"/>
  <c r="T580" i="3"/>
  <c r="T581" i="3"/>
  <c r="T583" i="3"/>
  <c r="T584" i="3"/>
  <c r="T585" i="3"/>
  <c r="T586" i="3"/>
  <c r="T587" i="3"/>
  <c r="T588" i="3"/>
  <c r="T589" i="3"/>
  <c r="T590" i="3"/>
  <c r="T591" i="3"/>
  <c r="T592" i="3"/>
  <c r="T593" i="3"/>
  <c r="T594" i="3"/>
  <c r="T595" i="3"/>
  <c r="T596" i="3"/>
  <c r="T597" i="3"/>
  <c r="T598" i="3"/>
  <c r="T599" i="3"/>
  <c r="T600" i="3"/>
  <c r="T601" i="3"/>
  <c r="T602" i="3"/>
  <c r="T603" i="3"/>
  <c r="T604" i="3"/>
  <c r="T605" i="3"/>
  <c r="T606" i="3"/>
  <c r="T607" i="3"/>
  <c r="T608" i="3"/>
  <c r="T609" i="3"/>
  <c r="T610" i="3"/>
  <c r="T611" i="3"/>
  <c r="T612" i="3"/>
  <c r="T613" i="3"/>
  <c r="T614" i="3"/>
  <c r="T615" i="3"/>
  <c r="T616" i="3"/>
  <c r="T617" i="3"/>
  <c r="T618" i="3"/>
  <c r="T619" i="3"/>
  <c r="T620" i="3"/>
  <c r="T621" i="3"/>
  <c r="T622" i="3"/>
  <c r="T623" i="3"/>
  <c r="T624" i="3"/>
  <c r="T625" i="3"/>
  <c r="T626" i="3"/>
  <c r="T627" i="3"/>
  <c r="T628" i="3"/>
  <c r="T629" i="3"/>
  <c r="T630" i="3"/>
  <c r="T631" i="3"/>
  <c r="T632" i="3"/>
  <c r="T633" i="3"/>
  <c r="T634" i="3"/>
  <c r="T635" i="3"/>
  <c r="T636" i="3"/>
  <c r="T637" i="3"/>
  <c r="T638" i="3"/>
  <c r="T639" i="3"/>
  <c r="T640" i="3"/>
  <c r="T641" i="3"/>
  <c r="T642" i="3"/>
  <c r="T643" i="3"/>
  <c r="T644" i="3"/>
  <c r="T645" i="3"/>
  <c r="T646" i="3"/>
  <c r="T647" i="3"/>
  <c r="T648" i="3"/>
  <c r="T650" i="3"/>
  <c r="T651" i="3"/>
  <c r="T652" i="3"/>
  <c r="T653" i="3"/>
  <c r="T654" i="3"/>
  <c r="T655" i="3"/>
  <c r="T656" i="3"/>
  <c r="T657" i="3"/>
  <c r="T658" i="3"/>
  <c r="T659" i="3"/>
  <c r="T660" i="3"/>
  <c r="T662" i="3"/>
  <c r="T663" i="3"/>
  <c r="T664" i="3"/>
  <c r="T665" i="3"/>
  <c r="T666" i="3"/>
  <c r="T667" i="3"/>
  <c r="T668" i="3"/>
  <c r="T669" i="3"/>
  <c r="T670" i="3"/>
  <c r="T671" i="3"/>
  <c r="T672" i="3"/>
  <c r="T673" i="3"/>
  <c r="T674" i="3"/>
  <c r="T675" i="3"/>
  <c r="T676" i="3"/>
  <c r="T677" i="3"/>
  <c r="T678" i="3"/>
  <c r="T679" i="3"/>
  <c r="T680" i="3"/>
  <c r="T681" i="3"/>
  <c r="T682" i="3"/>
  <c r="T683" i="3"/>
  <c r="T684" i="3"/>
  <c r="T685" i="3"/>
  <c r="T686" i="3"/>
  <c r="T687" i="3"/>
  <c r="T688" i="3"/>
  <c r="T689" i="3"/>
  <c r="T690" i="3"/>
  <c r="T691" i="3"/>
  <c r="T692" i="3"/>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T733" i="3"/>
  <c r="T734" i="3"/>
  <c r="T735" i="3"/>
  <c r="T736" i="3"/>
  <c r="T737" i="3"/>
  <c r="T738" i="3"/>
  <c r="T739" i="3"/>
  <c r="T740" i="3"/>
  <c r="T741" i="3"/>
  <c r="T742" i="3"/>
  <c r="T743" i="3"/>
  <c r="T744" i="3"/>
  <c r="T745" i="3"/>
  <c r="T746" i="3"/>
  <c r="T747" i="3"/>
  <c r="T748" i="3"/>
  <c r="T749" i="3"/>
  <c r="T750" i="3"/>
  <c r="T751" i="3"/>
  <c r="T752" i="3"/>
  <c r="T753" i="3"/>
  <c r="T754" i="3"/>
  <c r="T755" i="3"/>
  <c r="T756" i="3"/>
  <c r="T757" i="3"/>
  <c r="T758" i="3"/>
  <c r="T759" i="3"/>
  <c r="T760" i="3"/>
  <c r="T761" i="3"/>
  <c r="T762" i="3"/>
  <c r="T763" i="3"/>
  <c r="T764" i="3"/>
  <c r="T765" i="3"/>
  <c r="T766" i="3"/>
  <c r="T767" i="3"/>
  <c r="T768" i="3"/>
  <c r="T769" i="3"/>
  <c r="T770" i="3"/>
  <c r="T771" i="3"/>
  <c r="T2" i="3"/>
  <c r="C20" i="7"/>
  <c r="D6" i="4"/>
  <c r="U772" i="3"/>
  <c r="P772" i="3"/>
  <c r="C11" i="7" s="1"/>
  <c r="M772" i="3"/>
  <c r="L772" i="3"/>
  <c r="C8" i="7" s="1"/>
  <c r="K772" i="3"/>
  <c r="J772" i="3"/>
  <c r="C9" i="7" s="1"/>
  <c r="I772" i="3"/>
  <c r="T349" i="3"/>
  <c r="T351" i="3"/>
  <c r="T354" i="3"/>
  <c r="T356" i="3"/>
  <c r="T363" i="3"/>
  <c r="T365" i="3"/>
  <c r="T366" i="3"/>
  <c r="T370" i="3"/>
  <c r="T376" i="3"/>
  <c r="T377" i="3"/>
  <c r="T378" i="3"/>
  <c r="T395" i="3"/>
  <c r="T397" i="3"/>
  <c r="T402" i="3"/>
  <c r="T403" i="3"/>
  <c r="T404" i="3"/>
  <c r="T406" i="3"/>
  <c r="T408" i="3"/>
  <c r="T410" i="3"/>
  <c r="T424" i="3"/>
  <c r="T439" i="3"/>
  <c r="T576" i="3"/>
  <c r="T649" i="3"/>
  <c r="T661" i="3"/>
  <c r="T772" i="3" l="1"/>
  <c r="C14" i="7" s="1"/>
  <c r="B17" i="1"/>
  <c r="B5" i="1"/>
  <c r="H2" i="3"/>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D772" i="3"/>
  <c r="C6" i="7" s="1"/>
  <c r="B6" i="1" l="1"/>
  <c r="B7" i="1"/>
  <c r="B8" i="1"/>
  <c r="B9" i="1"/>
  <c r="B10" i="1"/>
  <c r="B11" i="1"/>
  <c r="B12" i="1"/>
  <c r="B13" i="1"/>
  <c r="B14" i="1"/>
  <c r="B15" i="1"/>
  <c r="B16"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alcChain>
</file>

<file path=xl/sharedStrings.xml><?xml version="1.0" encoding="utf-8"?>
<sst xmlns="http://schemas.openxmlformats.org/spreadsheetml/2006/main" count="52936" uniqueCount="7916">
  <si>
    <t>RADICADO</t>
  </si>
  <si>
    <t>SALDO</t>
  </si>
  <si>
    <t>HOSPITAL SAN RAFAEL DE FACATATIVA NIT:899.999.151-3                                                                                      CARTERA CON CORTE A 31 DE MARZO DE 2022</t>
  </si>
  <si>
    <t>FACTURA</t>
  </si>
  <si>
    <t>FECHA FACTURA</t>
  </si>
  <si>
    <t>FECHA RADICADO</t>
  </si>
  <si>
    <t>VALOR FACTURA</t>
  </si>
  <si>
    <t>DEBITOS</t>
  </si>
  <si>
    <t>CREDITOS</t>
  </si>
  <si>
    <t>VALOR TRASLADOS</t>
  </si>
  <si>
    <t>VALOR ABONOS</t>
  </si>
  <si>
    <t>NIT</t>
  </si>
  <si>
    <t>No FACTURA</t>
  </si>
  <si>
    <t>FECHA</t>
  </si>
  <si>
    <t>VALOR</t>
  </si>
  <si>
    <t>CANCELADAS</t>
  </si>
  <si>
    <t>POR PAGAR</t>
  </si>
  <si>
    <t>DEVUELTA IPS</t>
  </si>
  <si>
    <t>EN PROCESO DE AUDITORIA</t>
  </si>
  <si>
    <t>FACTURAS A VERIFICAR RADICACION</t>
  </si>
  <si>
    <t xml:space="preserve">Copagos </t>
  </si>
  <si>
    <t>GLOSA POR CONCILIAR</t>
  </si>
  <si>
    <t xml:space="preserve">GLOSA ACEPTA IPS </t>
  </si>
  <si>
    <t>COD DEVOLUCION</t>
  </si>
  <si>
    <t>DOC COMPENSACION</t>
  </si>
  <si>
    <t>OBSERVACION</t>
  </si>
  <si>
    <t>DIFERENCIA CONTABLE</t>
  </si>
  <si>
    <t>SUCURSAL</t>
  </si>
  <si>
    <t>HSRF0003594612</t>
  </si>
  <si>
    <t>HSRF0003625767</t>
  </si>
  <si>
    <t>HSRF0003699496</t>
  </si>
  <si>
    <t>Acreedor</t>
  </si>
  <si>
    <t>Asignación</t>
  </si>
  <si>
    <t>Referencia</t>
  </si>
  <si>
    <t>Importe en moneda local</t>
  </si>
  <si>
    <t>Clase de documento</t>
  </si>
  <si>
    <t>Fecha de documento</t>
  </si>
  <si>
    <t>Doc.compensación</t>
  </si>
  <si>
    <t>Texto</t>
  </si>
  <si>
    <t>783</t>
  </si>
  <si>
    <t>CUNDINAMARCA</t>
  </si>
  <si>
    <t>MPS CUN-848</t>
  </si>
  <si>
    <t>ZP</t>
  </si>
  <si>
    <t>EVENTO SSBGT2021ES2T00017874 Pago por Servicio</t>
  </si>
  <si>
    <t>MPS CUN-1975</t>
  </si>
  <si>
    <t>ZV</t>
  </si>
  <si>
    <t>SALDO EVENTO SSBGT2021ES2T00017874</t>
  </si>
  <si>
    <t>MAGDALENA</t>
  </si>
  <si>
    <t>17330724 MAG722</t>
  </si>
  <si>
    <t>EVENTO SSBGT2021ES2T00017874</t>
  </si>
  <si>
    <t>MPS MAG-2152</t>
  </si>
  <si>
    <t>SALDO EVENTO-</t>
  </si>
  <si>
    <t>Nº documento</t>
  </si>
  <si>
    <t>Cuenta de mayor</t>
  </si>
  <si>
    <t>Texto cab.documento</t>
  </si>
  <si>
    <t>10070727226</t>
  </si>
  <si>
    <t>FEHF194813</t>
  </si>
  <si>
    <t>KR</t>
  </si>
  <si>
    <t>GLOSA INICIAL GL-25765434273313</t>
  </si>
  <si>
    <t>1908628005</t>
  </si>
  <si>
    <t>2205200101</t>
  </si>
  <si>
    <t>CSBGT2021ES2T00019214</t>
  </si>
  <si>
    <t>10070751498</t>
  </si>
  <si>
    <t>FEHF199402</t>
  </si>
  <si>
    <t>GLOSA INICIAL GL-252243336525</t>
  </si>
  <si>
    <t>1908628991</t>
  </si>
  <si>
    <t>SSBGT2021ES2T00017874</t>
  </si>
  <si>
    <t>FEHF191389</t>
  </si>
  <si>
    <t>GLOSA INICIAL GL-25765434373232</t>
  </si>
  <si>
    <t>1908628995</t>
  </si>
  <si>
    <t>10121041374</t>
  </si>
  <si>
    <t>GLOSA INICIAL GL-689251635735</t>
  </si>
  <si>
    <t>1902869452</t>
  </si>
  <si>
    <t>2205200201</t>
  </si>
  <si>
    <t>10130738759</t>
  </si>
  <si>
    <t>FEHF20648</t>
  </si>
  <si>
    <t>GLOSA INICIAL Dg-259261133439</t>
  </si>
  <si>
    <t>1905532075</t>
  </si>
  <si>
    <t>11-jecastillo_11 Eurek</t>
  </si>
  <si>
    <t>10130812915</t>
  </si>
  <si>
    <t>FEHF30256</t>
  </si>
  <si>
    <t>GLOSA INICIAL GL-4792328315532</t>
  </si>
  <si>
    <t>1905465849</t>
  </si>
  <si>
    <t>47-anlopez Eurek</t>
  </si>
  <si>
    <t>10130827064</t>
  </si>
  <si>
    <t>FEHF20800</t>
  </si>
  <si>
    <t>GLOSA INICIAL GL-055555564732779</t>
  </si>
  <si>
    <t>1905532141</t>
  </si>
  <si>
    <t>11131002628</t>
  </si>
  <si>
    <t>FEHF207850</t>
  </si>
  <si>
    <t>GLOSA INICIAL GL-25316315959</t>
  </si>
  <si>
    <t>1908971012</t>
  </si>
  <si>
    <t>12081152817</t>
  </si>
  <si>
    <t>FEHF225172</t>
  </si>
  <si>
    <t>GLOSA INICIAL Dg-259261134275</t>
  </si>
  <si>
    <t>1909442196</t>
  </si>
  <si>
    <t>12081240627</t>
  </si>
  <si>
    <t>FEHF218492</t>
  </si>
  <si>
    <t>GLOSA INICIAL GL-252243336670</t>
  </si>
  <si>
    <t>1909441329</t>
  </si>
  <si>
    <t>12100739499</t>
  </si>
  <si>
    <t>GLOSA INICIAL GL-689251636002</t>
  </si>
  <si>
    <t>1901954182</t>
  </si>
  <si>
    <t>68-fcorrea Eurek</t>
  </si>
  <si>
    <t>GLOSA INICIAL GL-689251636011</t>
  </si>
  <si>
    <t>1901954183</t>
  </si>
  <si>
    <t>12100801340</t>
  </si>
  <si>
    <t>GLOSA INICIAL GL-689251635985</t>
  </si>
  <si>
    <t>1901942044</t>
  </si>
  <si>
    <t>2201446269</t>
  </si>
  <si>
    <t>GLOSA INICIAL GL-23399363455</t>
  </si>
  <si>
    <t>1900239638</t>
  </si>
  <si>
    <t>23-wmartinez Eurek</t>
  </si>
  <si>
    <t>3091129064</t>
  </si>
  <si>
    <t>FEHF264830</t>
  </si>
  <si>
    <t>GLOSA INICIAL GL-25765434263599</t>
  </si>
  <si>
    <t>1910164702</t>
  </si>
  <si>
    <t>FEHF263615</t>
  </si>
  <si>
    <t>GLOSA INICIAL GL-25765434263612</t>
  </si>
  <si>
    <t>1910281048</t>
  </si>
  <si>
    <t>3100921848</t>
  </si>
  <si>
    <t>FEHF248929</t>
  </si>
  <si>
    <t>GLOSA INICIAL GL-25316316091</t>
  </si>
  <si>
    <t>1910163360</t>
  </si>
  <si>
    <t>5071335384</t>
  </si>
  <si>
    <t>FEHF51425</t>
  </si>
  <si>
    <t>GLOSA INICIAL GL-252243336149</t>
  </si>
  <si>
    <t>1907099925</t>
  </si>
  <si>
    <t>CONTRATO-EVENTO</t>
  </si>
  <si>
    <t>5101457867</t>
  </si>
  <si>
    <t>FEHF124055</t>
  </si>
  <si>
    <t>GLOSA INICIAL GL-255555564733381</t>
  </si>
  <si>
    <t>1907100258</t>
  </si>
  <si>
    <t>5101623112</t>
  </si>
  <si>
    <t>FEHF123628</t>
  </si>
  <si>
    <t>GLOSA INICIAL GL-259261134029</t>
  </si>
  <si>
    <t>1907100652</t>
  </si>
  <si>
    <t>6081341025</t>
  </si>
  <si>
    <t>FEHF137848</t>
  </si>
  <si>
    <t>GLOSA INICIAL GL-252243336259</t>
  </si>
  <si>
    <t>1907757798</t>
  </si>
  <si>
    <t>6081348534</t>
  </si>
  <si>
    <t>FEHF125686</t>
  </si>
  <si>
    <t>GLOSA INICIAL GL-0892492332342</t>
  </si>
  <si>
    <t>1907181830</t>
  </si>
  <si>
    <t>6081408266</t>
  </si>
  <si>
    <t>FEHF128674</t>
  </si>
  <si>
    <t>GLOSA INICIAL GL-252243336258</t>
  </si>
  <si>
    <t>1907758026</t>
  </si>
  <si>
    <t>7091035058</t>
  </si>
  <si>
    <t>FEHF144529</t>
  </si>
  <si>
    <t>GLOSA INICIAL GL-085555569231840</t>
  </si>
  <si>
    <t>1907471841</t>
  </si>
  <si>
    <t>FEHF152019</t>
  </si>
  <si>
    <t>GLOSA INICIAL GL-085555569231841</t>
  </si>
  <si>
    <t>1907471853</t>
  </si>
  <si>
    <t>7091200365</t>
  </si>
  <si>
    <t>FEHF156931</t>
  </si>
  <si>
    <t>GLOSA INICIAL GL-7026838081</t>
  </si>
  <si>
    <t>1907621494</t>
  </si>
  <si>
    <t>7091201522</t>
  </si>
  <si>
    <t>FEHF144237</t>
  </si>
  <si>
    <t>GLOSA INICIAL GL-087654328931317</t>
  </si>
  <si>
    <t>1907490630</t>
  </si>
  <si>
    <t>7091205104</t>
  </si>
  <si>
    <t>FEHF157476</t>
  </si>
  <si>
    <t>GLOSA INICIAL GL-255555564733628</t>
  </si>
  <si>
    <t>1907962637</t>
  </si>
  <si>
    <t>7091206589</t>
  </si>
  <si>
    <t>FEHF156948</t>
  </si>
  <si>
    <t>GLOSA INICIAL GL-13011332846</t>
  </si>
  <si>
    <t>1907931583</t>
  </si>
  <si>
    <t>8091312719</t>
  </si>
  <si>
    <t>FEHF171854</t>
  </si>
  <si>
    <t>GLOSA INICIAL GL-2545737043</t>
  </si>
  <si>
    <t>1908182835</t>
  </si>
  <si>
    <t>8091313170</t>
  </si>
  <si>
    <t>FEHF174420</t>
  </si>
  <si>
    <t>GLOSA INICIAL GL-252243336391</t>
  </si>
  <si>
    <t>1908183220</t>
  </si>
  <si>
    <t>8101248117</t>
  </si>
  <si>
    <t>FEHF88887</t>
  </si>
  <si>
    <t>GLOSA INICIAL GL-252243336395</t>
  </si>
  <si>
    <t>1908184110</t>
  </si>
  <si>
    <t>FEHF92971</t>
  </si>
  <si>
    <t>GLOSA INICIAL GL-2545737044</t>
  </si>
  <si>
    <t>1908184131</t>
  </si>
  <si>
    <t>9081331298</t>
  </si>
  <si>
    <t>FEHF188494</t>
  </si>
  <si>
    <t>GLOSA INICIAL GL-2592787314963</t>
  </si>
  <si>
    <t>1908407964</t>
  </si>
  <si>
    <t>9081345365</t>
  </si>
  <si>
    <t>FEHF188720</t>
  </si>
  <si>
    <t>GLOSA INICIAL GL-255555566131176</t>
  </si>
  <si>
    <t>1908407652</t>
  </si>
  <si>
    <t>9101011306</t>
  </si>
  <si>
    <t>GLOSA INICIAL GL-689251635589</t>
  </si>
  <si>
    <t>1902005961</t>
  </si>
  <si>
    <t>Clave referencia 1</t>
  </si>
  <si>
    <t>Clave referencia 3</t>
  </si>
  <si>
    <t>Importe valorado</t>
  </si>
  <si>
    <t>8999991513</t>
  </si>
  <si>
    <t>E.S.E. HOSPITAL SAN</t>
  </si>
  <si>
    <t>1909440817</t>
  </si>
  <si>
    <t>FEHF218493</t>
  </si>
  <si>
    <t>2000767824</t>
  </si>
  <si>
    <t>13430589179 YINA RAMIREZ</t>
  </si>
  <si>
    <t>1909440830</t>
  </si>
  <si>
    <t>FEHF218559</t>
  </si>
  <si>
    <t>13001579080 DEVIN VILLANUEVA</t>
  </si>
  <si>
    <t>1909440090</t>
  </si>
  <si>
    <t>FEHF214975</t>
  </si>
  <si>
    <t>13006061392 VIVIANA ATENCIO</t>
  </si>
  <si>
    <t>1909441477</t>
  </si>
  <si>
    <t>FEHF223797</t>
  </si>
  <si>
    <t>1909441318</t>
  </si>
  <si>
    <t>FEHF218011</t>
  </si>
  <si>
    <t>13001027181 OLGA REYES</t>
  </si>
  <si>
    <t>1909441308</t>
  </si>
  <si>
    <t>FEHF217857</t>
  </si>
  <si>
    <t>13650602694 JAMES PEREZ</t>
  </si>
  <si>
    <t>1909440113</t>
  </si>
  <si>
    <t>FEHF215075</t>
  </si>
  <si>
    <t>1909440131</t>
  </si>
  <si>
    <t>FEHF215140</t>
  </si>
  <si>
    <t>2000706071</t>
  </si>
  <si>
    <t>MPS BOL-1597</t>
  </si>
  <si>
    <t>EVENTO-</t>
  </si>
  <si>
    <t>2000767823</t>
  </si>
  <si>
    <t>MPS BOL-1595</t>
  </si>
  <si>
    <t>COMPENSACION TOTAL O EXACTA</t>
  </si>
  <si>
    <t>2000706069</t>
  </si>
  <si>
    <t>1909440757</t>
  </si>
  <si>
    <t>FEHF214752</t>
  </si>
  <si>
    <t>13001190857 JENIFER MURILLO</t>
  </si>
  <si>
    <t>2000705689</t>
  </si>
  <si>
    <t>MPS ANT-1215</t>
  </si>
  <si>
    <t>2000767817</t>
  </si>
  <si>
    <t>FEHF235592</t>
  </si>
  <si>
    <t>2000767816</t>
  </si>
  <si>
    <t>FEHF215277</t>
  </si>
  <si>
    <t>SALDO 05154003570 YOLINDA JIMENEZ</t>
  </si>
  <si>
    <t>1909596827</t>
  </si>
  <si>
    <t>05495126589 ANNIS HOYOS</t>
  </si>
  <si>
    <t>2000705686</t>
  </si>
  <si>
    <t>MPS ANT-1212</t>
  </si>
  <si>
    <t>1909441441</t>
  </si>
  <si>
    <t>FEHF220601</t>
  </si>
  <si>
    <t>2000767838</t>
  </si>
  <si>
    <t>70265216327 MARIA GOMEZ</t>
  </si>
  <si>
    <t>1909597056</t>
  </si>
  <si>
    <t>FEHF229579</t>
  </si>
  <si>
    <t>2000747925</t>
  </si>
  <si>
    <t>MPS CUN-1973</t>
  </si>
  <si>
    <t>2000767833</t>
  </si>
  <si>
    <t>FEHF225300</t>
  </si>
  <si>
    <t>2000767826</t>
  </si>
  <si>
    <t>SALDO 20013964942 GERONIMO CERVANTES</t>
  </si>
  <si>
    <t>2000707177</t>
  </si>
  <si>
    <t>MPS VAL-2701</t>
  </si>
  <si>
    <t>2000767829</t>
  </si>
  <si>
    <t>FEHF237229</t>
  </si>
  <si>
    <t>1909597191</t>
  </si>
  <si>
    <t>76364813331 VALENTINA BALANTA</t>
  </si>
  <si>
    <t>2000706940</t>
  </si>
  <si>
    <t>MPS SAN-2464</t>
  </si>
  <si>
    <t>2000767828</t>
  </si>
  <si>
    <t>FEHF228951</t>
  </si>
  <si>
    <t>1909441236</t>
  </si>
  <si>
    <t>FEHF214222</t>
  </si>
  <si>
    <t>68307153494 MARIA FLOREZ</t>
  </si>
  <si>
    <t>1909596711</t>
  </si>
  <si>
    <t>68307447548 MILAGROS CORREA</t>
  </si>
  <si>
    <t>2000706498</t>
  </si>
  <si>
    <t>MPS CUN-2024</t>
  </si>
  <si>
    <t>2000767827</t>
  </si>
  <si>
    <t>EVENTO-CSBGT2021ES2T00019214</t>
  </si>
  <si>
    <t>FEHF213766</t>
  </si>
  <si>
    <t>1909440730</t>
  </si>
  <si>
    <t>FEHF213645</t>
  </si>
  <si>
    <t>25269172554 ANDREA AVILA</t>
  </si>
  <si>
    <t>1909441841</t>
  </si>
  <si>
    <t>252694914 BLANCA PASTOR</t>
  </si>
  <si>
    <t>2000706202</t>
  </si>
  <si>
    <t>MPS BOY-1728</t>
  </si>
  <si>
    <t>2000767825</t>
  </si>
  <si>
    <t>FEHF226237</t>
  </si>
  <si>
    <t>1909596989</t>
  </si>
  <si>
    <t>15755083091 SAUL NIÑO</t>
  </si>
  <si>
    <t>2000678555</t>
  </si>
  <si>
    <t>MPS COR-1902</t>
  </si>
  <si>
    <t>2000725035</t>
  </si>
  <si>
    <t>EVENTO</t>
  </si>
  <si>
    <t>FEHF147072</t>
  </si>
  <si>
    <t>2000725026</t>
  </si>
  <si>
    <t>FEHF154318</t>
  </si>
  <si>
    <t>SALDO 2517519712 CARLOS HURTADO</t>
  </si>
  <si>
    <t>1908968905</t>
  </si>
  <si>
    <t>252693905 ANGELIE VILLALOBOS</t>
  </si>
  <si>
    <t>2000678345</t>
  </si>
  <si>
    <t>MPS BOY-1692</t>
  </si>
  <si>
    <t>2000725027</t>
  </si>
  <si>
    <t>FEHF157725</t>
  </si>
  <si>
    <t>1908968761</t>
  </si>
  <si>
    <t>252693862 TIFFANY BOLAÑOS</t>
  </si>
  <si>
    <t>2000678212</t>
  </si>
  <si>
    <t>MPS BOL-1559</t>
  </si>
  <si>
    <t>1908968722</t>
  </si>
  <si>
    <t>FEHF153656</t>
  </si>
  <si>
    <t>252693515 SANDRA VIZCAINO</t>
  </si>
  <si>
    <t>1908968734</t>
  </si>
  <si>
    <t>2517519712 CARLOS HURTADO</t>
  </si>
  <si>
    <t>2000677828</t>
  </si>
  <si>
    <t>MPS ANT-1175</t>
  </si>
  <si>
    <t>2000725023</t>
  </si>
  <si>
    <t>FEHF203617</t>
  </si>
  <si>
    <t>2000725022</t>
  </si>
  <si>
    <t>1908970874</t>
  </si>
  <si>
    <t>FEHF204335</t>
  </si>
  <si>
    <t>05154003570 YOLINDA JIMENEZ</t>
  </si>
  <si>
    <t>1908970866</t>
  </si>
  <si>
    <t>FEHF203566</t>
  </si>
  <si>
    <t>1908970862</t>
  </si>
  <si>
    <t>FEHF203140</t>
  </si>
  <si>
    <t>68001436678 CRISTINA PEROZO</t>
  </si>
  <si>
    <t>1908970851</t>
  </si>
  <si>
    <t>FEHF202501</t>
  </si>
  <si>
    <t>1908970843</t>
  </si>
  <si>
    <t>FEHF202078</t>
  </si>
  <si>
    <t>08560547480 MARIA MAZA</t>
  </si>
  <si>
    <t>1909440390</t>
  </si>
  <si>
    <t>FEHF219120</t>
  </si>
  <si>
    <t>05154500518 GLORIA PEREZ</t>
  </si>
  <si>
    <t>1909440138</t>
  </si>
  <si>
    <t>2000767815</t>
  </si>
  <si>
    <t>MPS VAL-2680</t>
  </si>
  <si>
    <t>2000679325</t>
  </si>
  <si>
    <t>1909596577</t>
  </si>
  <si>
    <t>FEHF231263</t>
  </si>
  <si>
    <t>76001608473 DANIELA CABEZAS</t>
  </si>
  <si>
    <t>2000706292</t>
  </si>
  <si>
    <t>MPS CES-1818</t>
  </si>
  <si>
    <t>2000743864</t>
  </si>
  <si>
    <t>1909106793</t>
  </si>
  <si>
    <t>FEHF208967</t>
  </si>
  <si>
    <t>20001957122 YEIRIS LOPEZ</t>
  </si>
  <si>
    <t>2000706410</t>
  </si>
  <si>
    <t>MPS COR-1936</t>
  </si>
  <si>
    <t>2000749954</t>
  </si>
  <si>
    <t>FEHF204278</t>
  </si>
  <si>
    <t>2000749367</t>
  </si>
  <si>
    <t>SALDO 47189173092 SANDRITH SILGADO</t>
  </si>
  <si>
    <t>2000678214</t>
  </si>
  <si>
    <t>MPS BOL-1561</t>
  </si>
  <si>
    <t>2000725039</t>
  </si>
  <si>
    <t>FEHF153170</t>
  </si>
  <si>
    <t>2000725038</t>
  </si>
  <si>
    <t>SALDO 47053136818 OLGA GONZALEZ</t>
  </si>
  <si>
    <t>2000679088</t>
  </si>
  <si>
    <t>MPS SAN-2439</t>
  </si>
  <si>
    <t>2000724978</t>
  </si>
  <si>
    <t>FEHF160778</t>
  </si>
  <si>
    <t>SALDO 05154368649 ANIBAL GRANDA</t>
  </si>
  <si>
    <t>SALDO 252693862 TIFFANY BOLAÑOS</t>
  </si>
  <si>
    <t>1908968758</t>
  </si>
  <si>
    <t>47053136818 OLGA GONZALEZ</t>
  </si>
  <si>
    <t>1909441350</t>
  </si>
  <si>
    <t>FEHF218511</t>
  </si>
  <si>
    <t>2000767849</t>
  </si>
  <si>
    <t>08675067933 JEYDER CASTRO</t>
  </si>
  <si>
    <t>1909441215</t>
  </si>
  <si>
    <t>FEHF213208</t>
  </si>
  <si>
    <t>08421542356 KENYIBEL ALMANZA</t>
  </si>
  <si>
    <t>1909441567</t>
  </si>
  <si>
    <t>FEHF213771</t>
  </si>
  <si>
    <t>08433235537 ANGELICA PIEDRAHITA</t>
  </si>
  <si>
    <t>1909442054</t>
  </si>
  <si>
    <t>FEHF223189</t>
  </si>
  <si>
    <t>1909442002</t>
  </si>
  <si>
    <t>FEHF222946</t>
  </si>
  <si>
    <t>1909441973</t>
  </si>
  <si>
    <t>FEHF222232</t>
  </si>
  <si>
    <t>1909441953</t>
  </si>
  <si>
    <t>FEHF221749</t>
  </si>
  <si>
    <t>1909441933</t>
  </si>
  <si>
    <t>FEHF217539</t>
  </si>
  <si>
    <t>1909441827</t>
  </si>
  <si>
    <t>FEHF213288</t>
  </si>
  <si>
    <t>1909596274</t>
  </si>
  <si>
    <t>FEHF236264</t>
  </si>
  <si>
    <t>08436542723 ANIBAL SARMIENTO</t>
  </si>
  <si>
    <t>1909596184</t>
  </si>
  <si>
    <t>FEHF233664</t>
  </si>
  <si>
    <t>1909596161</t>
  </si>
  <si>
    <t>FEHF231478</t>
  </si>
  <si>
    <t>1909596155</t>
  </si>
  <si>
    <t>FEHF231091</t>
  </si>
  <si>
    <t>1909596611</t>
  </si>
  <si>
    <t>FEHF234161</t>
  </si>
  <si>
    <t>70265301891 HIJO DE GOMEZ</t>
  </si>
  <si>
    <t>2000767842</t>
  </si>
  <si>
    <t>FEHF226197</t>
  </si>
  <si>
    <t>SALDO 252693501 JAVIER PEREZ</t>
  </si>
  <si>
    <t>2000767837</t>
  </si>
  <si>
    <t>SALDO SALDO 68307447548 MILAGROS CORREA</t>
  </si>
  <si>
    <t>1909596874</t>
  </si>
  <si>
    <t>FEHF236757</t>
  </si>
  <si>
    <t>1909596848</t>
  </si>
  <si>
    <t>FEHF235847</t>
  </si>
  <si>
    <t>1909596808</t>
  </si>
  <si>
    <t>FEHF234567</t>
  </si>
  <si>
    <t>1909596783</t>
  </si>
  <si>
    <t>FEHF233199</t>
  </si>
  <si>
    <t>70124292161 CARLOS VEGA</t>
  </si>
  <si>
    <t>1909596762</t>
  </si>
  <si>
    <t>FEHF232432</t>
  </si>
  <si>
    <t>1909596737</t>
  </si>
  <si>
    <t>FEHF231599</t>
  </si>
  <si>
    <t>1909596725</t>
  </si>
  <si>
    <t>FEHF231140</t>
  </si>
  <si>
    <t>08675285118 YACLIN GONZALEZ</t>
  </si>
  <si>
    <t>1909596698</t>
  </si>
  <si>
    <t>FEHF228634</t>
  </si>
  <si>
    <t>2000767830</t>
  </si>
  <si>
    <t>FEHF223958</t>
  </si>
  <si>
    <t>1909440617</t>
  </si>
  <si>
    <t>FEHF223079</t>
  </si>
  <si>
    <t>15469112556 MARIANYELA MENDOZA</t>
  </si>
  <si>
    <t>1909440526</t>
  </si>
  <si>
    <t>FEHF222112</t>
  </si>
  <si>
    <t>1909440977</t>
  </si>
  <si>
    <t>15223205108 DILMA ARREDONDO</t>
  </si>
  <si>
    <t>1909440863</t>
  </si>
  <si>
    <t>FEHF219650</t>
  </si>
  <si>
    <t>15755000232 LUZ VALBUENA</t>
  </si>
  <si>
    <t>2000705885</t>
  </si>
  <si>
    <t>MPS ATL-1411</t>
  </si>
  <si>
    <t>1909440230</t>
  </si>
  <si>
    <t>FEHF216955</t>
  </si>
  <si>
    <t>05154503601 LAURA PEREZ</t>
  </si>
  <si>
    <t>1909440219</t>
  </si>
  <si>
    <t>FEHF216752</t>
  </si>
  <si>
    <t>1909440177</t>
  </si>
  <si>
    <t>FEHF215959</t>
  </si>
  <si>
    <t>1909440100</t>
  </si>
  <si>
    <t>FEHF215027</t>
  </si>
  <si>
    <t>1909441011</t>
  </si>
  <si>
    <t>FEHF224183</t>
  </si>
  <si>
    <t>1909440930</t>
  </si>
  <si>
    <t>FEHF222003</t>
  </si>
  <si>
    <t>08560608722 OTILIA CACERES</t>
  </si>
  <si>
    <t>1909440888</t>
  </si>
  <si>
    <t>FEHF221687</t>
  </si>
  <si>
    <t>70001228401 SANDRA FALCO</t>
  </si>
  <si>
    <t>1909440882</t>
  </si>
  <si>
    <t>FEHF221210</t>
  </si>
  <si>
    <t>68377241253 ERIKA VARGAS</t>
  </si>
  <si>
    <t>1909440875</t>
  </si>
  <si>
    <t>FEHF221027</t>
  </si>
  <si>
    <t>1909440847</t>
  </si>
  <si>
    <t>FEHF219520</t>
  </si>
  <si>
    <t>1909440802</t>
  </si>
  <si>
    <t>FEHF218423</t>
  </si>
  <si>
    <t>1909440781</t>
  </si>
  <si>
    <t>FEHF217142</t>
  </si>
  <si>
    <t>1909440768</t>
  </si>
  <si>
    <t>FEHF216241</t>
  </si>
  <si>
    <t>2000767840</t>
  </si>
  <si>
    <t>FEHF223950</t>
  </si>
  <si>
    <t>SALDO 70265301891 HIJO DE GOMEZ</t>
  </si>
  <si>
    <t>1909441435</t>
  </si>
  <si>
    <t>FEHF218835</t>
  </si>
  <si>
    <t>70713058817 YELIS ZUÑIGA</t>
  </si>
  <si>
    <t>1909597122</t>
  </si>
  <si>
    <t>FEHF235564</t>
  </si>
  <si>
    <t>08560608723 EVELYN FLOREZ</t>
  </si>
  <si>
    <t>1909441967</t>
  </si>
  <si>
    <t>FEHF222097</t>
  </si>
  <si>
    <t>252694918 SARA GALICIA</t>
  </si>
  <si>
    <t>1909441945</t>
  </si>
  <si>
    <t>FEHF221127</t>
  </si>
  <si>
    <t>1909441941</t>
  </si>
  <si>
    <t>FEHF220789</t>
  </si>
  <si>
    <t>252693399 ANA LEGUIZAMON</t>
  </si>
  <si>
    <t>1909441934</t>
  </si>
  <si>
    <t>FEHF217701</t>
  </si>
  <si>
    <t>252694715 OVIDIO VERA</t>
  </si>
  <si>
    <t>1909441925</t>
  </si>
  <si>
    <t>FEHF216763</t>
  </si>
  <si>
    <t>1909596120</t>
  </si>
  <si>
    <t>FEHF229470</t>
  </si>
  <si>
    <t>25754130494 SANDRA FLOREZ</t>
  </si>
  <si>
    <t>1909596113</t>
  </si>
  <si>
    <t>FEHF229315</t>
  </si>
  <si>
    <t>25754146076 YANEIRIS VARGAS</t>
  </si>
  <si>
    <t>1909596098</t>
  </si>
  <si>
    <t>FEHF229273</t>
  </si>
  <si>
    <t>1909596078</t>
  </si>
  <si>
    <t>FEHF228645</t>
  </si>
  <si>
    <t>1909596060</t>
  </si>
  <si>
    <t>FEHF227598</t>
  </si>
  <si>
    <t>1909595654</t>
  </si>
  <si>
    <t>FEHF225767</t>
  </si>
  <si>
    <t>1909596511</t>
  </si>
  <si>
    <t>FEHF227157</t>
  </si>
  <si>
    <t>2517527255 GABRIELA MORALES</t>
  </si>
  <si>
    <t>1909596687</t>
  </si>
  <si>
    <t>FEHF228416</t>
  </si>
  <si>
    <t>1909596670</t>
  </si>
  <si>
    <t>FEHF226221</t>
  </si>
  <si>
    <t>1909596658</t>
  </si>
  <si>
    <t>252693501 JAVIER PEREZ</t>
  </si>
  <si>
    <t>1909597030</t>
  </si>
  <si>
    <t>FEHF229054</t>
  </si>
  <si>
    <t>2000706499</t>
  </si>
  <si>
    <t>MPS CUN-2025</t>
  </si>
  <si>
    <t>EVENTO-SSBGT2021ES2T00017874</t>
  </si>
  <si>
    <t>1909441489</t>
  </si>
  <si>
    <t>2000747926</t>
  </si>
  <si>
    <t>MPS CUN-1974</t>
  </si>
  <si>
    <t>EVENTO CSBGT2021ES2T00019214</t>
  </si>
  <si>
    <t>1909441516</t>
  </si>
  <si>
    <t>FEHF225597</t>
  </si>
  <si>
    <t>1909597086</t>
  </si>
  <si>
    <t>FEHF231738</t>
  </si>
  <si>
    <t>08436012031 PAULA DE LA CRUZ</t>
  </si>
  <si>
    <t>1909597000</t>
  </si>
  <si>
    <t>FEHF226681</t>
  </si>
  <si>
    <t>2000747924</t>
  </si>
  <si>
    <t>MPS CUN-1972</t>
  </si>
  <si>
    <t>1909440660</t>
  </si>
  <si>
    <t>FEHF224878</t>
  </si>
  <si>
    <t>25269172717 LAURA MELO</t>
  </si>
  <si>
    <t>1909440597</t>
  </si>
  <si>
    <t>FEHF222709</t>
  </si>
  <si>
    <t>1909440507</t>
  </si>
  <si>
    <t>FEHF221861</t>
  </si>
  <si>
    <t>252694395 ZOE MORALES</t>
  </si>
  <si>
    <t>1909440493</t>
  </si>
  <si>
    <t>FEHF221095</t>
  </si>
  <si>
    <t>1909440422</t>
  </si>
  <si>
    <t>FEHF220231</t>
  </si>
  <si>
    <t>252694070 INDALECIO CUERVO</t>
  </si>
  <si>
    <t>1909440401</t>
  </si>
  <si>
    <t>FEHF219142</t>
  </si>
  <si>
    <t>1909441025</t>
  </si>
  <si>
    <t>FEHF224222</t>
  </si>
  <si>
    <t>15469198102 LINA BAUTISTA</t>
  </si>
  <si>
    <t>1909441500</t>
  </si>
  <si>
    <t>FEHF224250</t>
  </si>
  <si>
    <t>252694161 KAREN PARDO</t>
  </si>
  <si>
    <t>1909441460</t>
  </si>
  <si>
    <t>FEHF223049</t>
  </si>
  <si>
    <t>1909441450</t>
  </si>
  <si>
    <t>FEHF221435</t>
  </si>
  <si>
    <t>1909442200</t>
  </si>
  <si>
    <t>FEHF225175</t>
  </si>
  <si>
    <t>1909442188</t>
  </si>
  <si>
    <t>FEHF225134</t>
  </si>
  <si>
    <t>252694333 LAURA CONDE</t>
  </si>
  <si>
    <t>1909442159</t>
  </si>
  <si>
    <t>FEHF224656</t>
  </si>
  <si>
    <t>1909442132</t>
  </si>
  <si>
    <t>FEHF223673</t>
  </si>
  <si>
    <t>1909441993</t>
  </si>
  <si>
    <t>FEHF222785</t>
  </si>
  <si>
    <t>1909441986</t>
  </si>
  <si>
    <t>FEHF222529</t>
  </si>
  <si>
    <t>1909441981</t>
  </si>
  <si>
    <t>FEHF222526</t>
  </si>
  <si>
    <t>1908407583</t>
  </si>
  <si>
    <t>FEHF178583</t>
  </si>
  <si>
    <t>2000703423</t>
  </si>
  <si>
    <t>47205439336 OSNEIDER FONSECA</t>
  </si>
  <si>
    <t>2000662474</t>
  </si>
  <si>
    <t>MPS GUA 2387</t>
  </si>
  <si>
    <t>2000703420</t>
  </si>
  <si>
    <t>ESS024 EVENTO</t>
  </si>
  <si>
    <t>1908407762</t>
  </si>
  <si>
    <t>FEHF176532</t>
  </si>
  <si>
    <t>94001243918 MONICA LARA</t>
  </si>
  <si>
    <t>2000662423</t>
  </si>
  <si>
    <t>MPS CUN 2337</t>
  </si>
  <si>
    <t>2000703418</t>
  </si>
  <si>
    <t>FEHF196351</t>
  </si>
  <si>
    <t>2000703382</t>
  </si>
  <si>
    <t>SALDO 05154609780 SANDRA OSPINA</t>
  </si>
  <si>
    <t>1908245098</t>
  </si>
  <si>
    <t>GL</t>
  </si>
  <si>
    <t>FEHF92647</t>
  </si>
  <si>
    <t>2000703415</t>
  </si>
  <si>
    <t>ACEPTA EPS GLOS FE FEHF92647 06/05/2021 C</t>
  </si>
  <si>
    <t>2000661548</t>
  </si>
  <si>
    <t>MPS ARA 1464</t>
  </si>
  <si>
    <t>2000703347</t>
  </si>
  <si>
    <t>FEHF198938</t>
  </si>
  <si>
    <t>SALDO 76233105153 JOHN PALACIO</t>
  </si>
  <si>
    <t>2000661410</t>
  </si>
  <si>
    <t>MPS ANT 1326</t>
  </si>
  <si>
    <t>2000703414</t>
  </si>
  <si>
    <t>FEHF191902</t>
  </si>
  <si>
    <t>1908628968</t>
  </si>
  <si>
    <t>2000619328</t>
  </si>
  <si>
    <t>MPS VAL-3011</t>
  </si>
  <si>
    <t>2000703388</t>
  </si>
  <si>
    <t>ESS024-EVENTO</t>
  </si>
  <si>
    <t>1908406106</t>
  </si>
  <si>
    <t>FEHF183207</t>
  </si>
  <si>
    <t>76233105153 JOHN PALACIO</t>
  </si>
  <si>
    <t>1908406103</t>
  </si>
  <si>
    <t>FEHF183177</t>
  </si>
  <si>
    <t>76233483381 LAURA PALACIO</t>
  </si>
  <si>
    <t>2000681587</t>
  </si>
  <si>
    <t>FEHF184156</t>
  </si>
  <si>
    <t>SALDO 47205439336 OSNEIDER FONSECA</t>
  </si>
  <si>
    <t>2000703425</t>
  </si>
  <si>
    <t>SALDO SALDO 47205439336 OSNEIDER FONSECA</t>
  </si>
  <si>
    <t>2000703384</t>
  </si>
  <si>
    <t>FEHF186590</t>
  </si>
  <si>
    <t>SALDO SALDO 08001544112 MICHEL CORONEL</t>
  </si>
  <si>
    <t>2000703356</t>
  </si>
  <si>
    <t>FEHF186353</t>
  </si>
  <si>
    <t>SALDO SALDO 05495177512 CRISTINA MARTINEZ</t>
  </si>
  <si>
    <t>1908489849</t>
  </si>
  <si>
    <t>FEHF177878</t>
  </si>
  <si>
    <t>47053535211 KELY SOSA</t>
  </si>
  <si>
    <t>1908407625</t>
  </si>
  <si>
    <t>FEHF185563</t>
  </si>
  <si>
    <t>47460082220 MARIA AGUILAR</t>
  </si>
  <si>
    <t>SALDO 94001243918 MONICA LARA</t>
  </si>
  <si>
    <t>FEHF192119</t>
  </si>
  <si>
    <t>1908563288</t>
  </si>
  <si>
    <t>FEHF200049</t>
  </si>
  <si>
    <t>47551443169 GAEL MOLINA</t>
  </si>
  <si>
    <t>1908628996</t>
  </si>
  <si>
    <t>1908628986</t>
  </si>
  <si>
    <t>FEHF199920</t>
  </si>
  <si>
    <t>47980088279 JOHANA ALTAMAR</t>
  </si>
  <si>
    <t>1908628983</t>
  </si>
  <si>
    <t>FEHF199369</t>
  </si>
  <si>
    <t>1908628980</t>
  </si>
  <si>
    <t>FEHF198059</t>
  </si>
  <si>
    <t>70001059839 LIZETH OLIVERA</t>
  </si>
  <si>
    <t>1908628961</t>
  </si>
  <si>
    <t>FEHF187539</t>
  </si>
  <si>
    <t>SALDO SALDO 05154609780 SANDRA OSPINA</t>
  </si>
  <si>
    <t>2000703379</t>
  </si>
  <si>
    <t>FEHF192388</t>
  </si>
  <si>
    <t>SALDO SALDO 13001351810 NASLY HOYOS</t>
  </si>
  <si>
    <t>1908627861</t>
  </si>
  <si>
    <t>FEHF192054</t>
  </si>
  <si>
    <t>23555080462 GISELA ALVAREZ</t>
  </si>
  <si>
    <t>1908627836</t>
  </si>
  <si>
    <t>FEHF188829</t>
  </si>
  <si>
    <t>47189429029 FREIZER TOSCANO</t>
  </si>
  <si>
    <t>2000663453</t>
  </si>
  <si>
    <t>MPS VAL 3363</t>
  </si>
  <si>
    <t>SALDO ACEPTA EPS GLOS FE FEHF92647 06/05/2021 C</t>
  </si>
  <si>
    <t>1908245041</t>
  </si>
  <si>
    <t>FEHF89699</t>
  </si>
  <si>
    <t>ACEPTA EPS GLOS FE FEHF89699 06/05/2021 C</t>
  </si>
  <si>
    <t>1908245074</t>
  </si>
  <si>
    <t>FEHF88712</t>
  </si>
  <si>
    <t>ACEPTA EPS GLOS FE FEHF88712 06/05/2021 C</t>
  </si>
  <si>
    <t>1908628948</t>
  </si>
  <si>
    <t>FEHF196943</t>
  </si>
  <si>
    <t>1908628945</t>
  </si>
  <si>
    <t>05154609780 SANDRA OSPINA</t>
  </si>
  <si>
    <t>1908628944</t>
  </si>
  <si>
    <t>FEHF195645</t>
  </si>
  <si>
    <t>1908628943</t>
  </si>
  <si>
    <t>FEHF195561</t>
  </si>
  <si>
    <t>1908628942</t>
  </si>
  <si>
    <t>FEHF195557</t>
  </si>
  <si>
    <t>1908628940</t>
  </si>
  <si>
    <t>FEHF195553</t>
  </si>
  <si>
    <t>1908628938</t>
  </si>
  <si>
    <t>FEHF194397</t>
  </si>
  <si>
    <t>1908628926</t>
  </si>
  <si>
    <t>FEHF191191</t>
  </si>
  <si>
    <t>1908627852</t>
  </si>
  <si>
    <t>FEHF191846</t>
  </si>
  <si>
    <t>1908627835</t>
  </si>
  <si>
    <t>FEHF187822</t>
  </si>
  <si>
    <t>2000703376</t>
  </si>
  <si>
    <t>FEHF83103</t>
  </si>
  <si>
    <t>SALDO SALDO ACEPTA EPS GLOS FE FEHF83103 06/05/20</t>
  </si>
  <si>
    <t>2000618095</t>
  </si>
  <si>
    <t>MPS BOL-1778</t>
  </si>
  <si>
    <t>1908406048</t>
  </si>
  <si>
    <t>FEHF178811</t>
  </si>
  <si>
    <t>2000703352</t>
  </si>
  <si>
    <t>SALDO 13001351810 NASLY HOYOS</t>
  </si>
  <si>
    <t>1908627873</t>
  </si>
  <si>
    <t>FEHF195807</t>
  </si>
  <si>
    <t>13001351810 NASLY HOYOS</t>
  </si>
  <si>
    <t>1908627867</t>
  </si>
  <si>
    <t>FEHF195806</t>
  </si>
  <si>
    <t>13001000827 SIXTI MONSALVE</t>
  </si>
  <si>
    <t>1908627839</t>
  </si>
  <si>
    <t>FEHF191319</t>
  </si>
  <si>
    <t>1908244912</t>
  </si>
  <si>
    <t>FEHF80815</t>
  </si>
  <si>
    <t>2000703377</t>
  </si>
  <si>
    <t>ACEPTA EPS GLOS FE FEHF80815 06/05/2021 C</t>
  </si>
  <si>
    <t>1908242724</t>
  </si>
  <si>
    <t>ACEPTA EPS GLOS FE HSRF0003699496 19/02/2019 RTA</t>
  </si>
  <si>
    <t>2000617579</t>
  </si>
  <si>
    <t>MPS ANT-1262</t>
  </si>
  <si>
    <t>1908405535</t>
  </si>
  <si>
    <t>FEHF173887</t>
  </si>
  <si>
    <t>05154625465 GABRIEL BARRAGAN</t>
  </si>
  <si>
    <t>2000619071</t>
  </si>
  <si>
    <t>MPS SAN-2754</t>
  </si>
  <si>
    <t>2000703386</t>
  </si>
  <si>
    <t>47053556199 SAMARA GARCIA</t>
  </si>
  <si>
    <t>2000618896</t>
  </si>
  <si>
    <t>MPS NOR-2579</t>
  </si>
  <si>
    <t>2000703381</t>
  </si>
  <si>
    <t>FEHF75998</t>
  </si>
  <si>
    <t>SALDO ACEPTA EPS GLOS FE FEHF75998 06/05/2021 C</t>
  </si>
  <si>
    <t>1908405957</t>
  </si>
  <si>
    <t>FEHF171989</t>
  </si>
  <si>
    <t>66001707794 SIMON CARDONA</t>
  </si>
  <si>
    <t>2000681826</t>
  </si>
  <si>
    <t>SALDO 08001544112 MICHEL CORONEL</t>
  </si>
  <si>
    <t>SALDO ACEPTA EPS GLOS FE FEHF80815 06/05/2021 C</t>
  </si>
  <si>
    <t>1908245017</t>
  </si>
  <si>
    <t>FEHF93400</t>
  </si>
  <si>
    <t>ACEPTA EPS GLOS FE FEHF93400 06/05/2021 C</t>
  </si>
  <si>
    <t>2000618549</t>
  </si>
  <si>
    <t>MPS CUN-2232</t>
  </si>
  <si>
    <t>1908405642</t>
  </si>
  <si>
    <t>FEHF184623</t>
  </si>
  <si>
    <t>1908405612</t>
  </si>
  <si>
    <t>FEHF180234</t>
  </si>
  <si>
    <t>1908405503</t>
  </si>
  <si>
    <t>FEHF171950</t>
  </si>
  <si>
    <t>1908406146</t>
  </si>
  <si>
    <t>FEHF184817</t>
  </si>
  <si>
    <t>05495177512 CRISTINA MARTINEZ</t>
  </si>
  <si>
    <t>1908406116</t>
  </si>
  <si>
    <t>FEHF183281</t>
  </si>
  <si>
    <t>76364705814 FERNANDO RODRIGUEZ</t>
  </si>
  <si>
    <t>2000702632</t>
  </si>
  <si>
    <t>FEHF195639</t>
  </si>
  <si>
    <t>SALDO 25754132845 JOSE BENAVIDES</t>
  </si>
  <si>
    <t>1908968749</t>
  </si>
  <si>
    <t>FEHF144847</t>
  </si>
  <si>
    <t>70001156477 KAROL GAZABON</t>
  </si>
  <si>
    <t>1908968743</t>
  </si>
  <si>
    <t>FEHF142043</t>
  </si>
  <si>
    <t>70001111603 YAJAIRA AYAZO</t>
  </si>
  <si>
    <t>1908969186</t>
  </si>
  <si>
    <t>FEHF154379</t>
  </si>
  <si>
    <t>1908969181</t>
  </si>
  <si>
    <t>FEHF153997</t>
  </si>
  <si>
    <t>252693997 ALLISON MUÑOZ</t>
  </si>
  <si>
    <t>1908969175</t>
  </si>
  <si>
    <t>FEHF153848</t>
  </si>
  <si>
    <t>1908969168</t>
  </si>
  <si>
    <t>FEHF151541</t>
  </si>
  <si>
    <t>1908969141</t>
  </si>
  <si>
    <t>FEHF151507</t>
  </si>
  <si>
    <t>252693985 YAINIS PERALES</t>
  </si>
  <si>
    <t>1908969132</t>
  </si>
  <si>
    <t>FEHF151496</t>
  </si>
  <si>
    <t>1908969098</t>
  </si>
  <si>
    <t>FEHF151476</t>
  </si>
  <si>
    <t>1908969087</t>
  </si>
  <si>
    <t>FEHF151258</t>
  </si>
  <si>
    <t>1908969074</t>
  </si>
  <si>
    <t>FEHF151035</t>
  </si>
  <si>
    <t>1908969067</t>
  </si>
  <si>
    <t>FEHF151026</t>
  </si>
  <si>
    <t>1908969059</t>
  </si>
  <si>
    <t>FEHF150213</t>
  </si>
  <si>
    <t>1908968971</t>
  </si>
  <si>
    <t>FEHF149705</t>
  </si>
  <si>
    <t>1908968963</t>
  </si>
  <si>
    <t>FEHF149295</t>
  </si>
  <si>
    <t>1908968943</t>
  </si>
  <si>
    <t>FEHF147956</t>
  </si>
  <si>
    <t>1908969231</t>
  </si>
  <si>
    <t>FEHF140987</t>
  </si>
  <si>
    <t>252695224 MARIAN CUERVO</t>
  </si>
  <si>
    <t>1908969586</t>
  </si>
  <si>
    <t>FEHF211116</t>
  </si>
  <si>
    <t>252694752 RODOLFO VILLAMIL</t>
  </si>
  <si>
    <t>1908969541</t>
  </si>
  <si>
    <t>FEHF210593</t>
  </si>
  <si>
    <t>1908969527</t>
  </si>
  <si>
    <t>FEHF210585</t>
  </si>
  <si>
    <t>1908969516</t>
  </si>
  <si>
    <t>FEHF209964</t>
  </si>
  <si>
    <t>1908969512</t>
  </si>
  <si>
    <t>FEHF209956</t>
  </si>
  <si>
    <t>1908969500</t>
  </si>
  <si>
    <t>FEHF209256</t>
  </si>
  <si>
    <t>2526921331 SARA LEGUIZAMON</t>
  </si>
  <si>
    <t>1908969490</t>
  </si>
  <si>
    <t>FEHF209028</t>
  </si>
  <si>
    <t>252694917 JUAN TORRES</t>
  </si>
  <si>
    <t>1908970825</t>
  </si>
  <si>
    <t>FEHF202002</t>
  </si>
  <si>
    <t>2000677825</t>
  </si>
  <si>
    <t>MPS ANT-1172</t>
  </si>
  <si>
    <t>1908970869</t>
  </si>
  <si>
    <t>2000707087</t>
  </si>
  <si>
    <t>MPS SUC-2611</t>
  </si>
  <si>
    <t>1908968699</t>
  </si>
  <si>
    <t>FEHF153540</t>
  </si>
  <si>
    <t>1908968695</t>
  </si>
  <si>
    <t>FEHF152027</t>
  </si>
  <si>
    <t>1908968693</t>
  </si>
  <si>
    <t>FEHF150221</t>
  </si>
  <si>
    <t>1908968691</t>
  </si>
  <si>
    <t>FEHF150217</t>
  </si>
  <si>
    <t>1908968688</t>
  </si>
  <si>
    <t>FEHF149490</t>
  </si>
  <si>
    <t>251757718 EMMA PIZARRO</t>
  </si>
  <si>
    <t>1908968686</t>
  </si>
  <si>
    <t>FEHF149442</t>
  </si>
  <si>
    <t>252694876 LEIDY MENDOZA</t>
  </si>
  <si>
    <t>1908968682</t>
  </si>
  <si>
    <t>FEHF149339</t>
  </si>
  <si>
    <t>1908968677</t>
  </si>
  <si>
    <t>FEHF149061</t>
  </si>
  <si>
    <t>1908968674</t>
  </si>
  <si>
    <t>FEHF146895</t>
  </si>
  <si>
    <t>1908968667</t>
  </si>
  <si>
    <t>FEHF145812</t>
  </si>
  <si>
    <t>1908968656</t>
  </si>
  <si>
    <t>FEHF144782</t>
  </si>
  <si>
    <t>1908968651</t>
  </si>
  <si>
    <t>FEHF144776</t>
  </si>
  <si>
    <t>25269172719 NUBIA UCHAMOCHA</t>
  </si>
  <si>
    <t>1908968647</t>
  </si>
  <si>
    <t>FEHF143865</t>
  </si>
  <si>
    <t>110018522 GENNY DIFILIPPO</t>
  </si>
  <si>
    <t>1908968641</t>
  </si>
  <si>
    <t>FEHF140113</t>
  </si>
  <si>
    <t>1908968709</t>
  </si>
  <si>
    <t>05154368649 ANIBAL GRANDA</t>
  </si>
  <si>
    <t>1908969439</t>
  </si>
  <si>
    <t>FEHF208723</t>
  </si>
  <si>
    <t>1908563234</t>
  </si>
  <si>
    <t>FEHF195378</t>
  </si>
  <si>
    <t>2000703429</t>
  </si>
  <si>
    <t>1908563227</t>
  </si>
  <si>
    <t>FEHF198338</t>
  </si>
  <si>
    <t>1908563186</t>
  </si>
  <si>
    <t>FEHF192292</t>
  </si>
  <si>
    <t>1908563165</t>
  </si>
  <si>
    <t>FEHF193848</t>
  </si>
  <si>
    <t>2000703428</t>
  </si>
  <si>
    <t>FEHF200899</t>
  </si>
  <si>
    <t>SALDO SALDO 68689003661 MARIA MUÑOZ</t>
  </si>
  <si>
    <t>SALDO 47460082220 MARIA AGUILAR</t>
  </si>
  <si>
    <t>SALDO 47053556199 SAMARA GARCIA</t>
  </si>
  <si>
    <t>2000662426</t>
  </si>
  <si>
    <t>MPS CUN 2339</t>
  </si>
  <si>
    <t>2000703373</t>
  </si>
  <si>
    <t>SALDO 68689003661 MARIA MUÑOZ</t>
  </si>
  <si>
    <t>2000701333</t>
  </si>
  <si>
    <t>FEHF191901</t>
  </si>
  <si>
    <t>SALDO 70265216327 MARIA GOMEZ</t>
  </si>
  <si>
    <t>2000661843</t>
  </si>
  <si>
    <t>MPS BOL 1758</t>
  </si>
  <si>
    <t>2000703370</t>
  </si>
  <si>
    <t>FEHF189991</t>
  </si>
  <si>
    <t>SALDO 81001153450 LISSETH CAILE</t>
  </si>
  <si>
    <t>2000703368</t>
  </si>
  <si>
    <t>FEHF180699</t>
  </si>
  <si>
    <t>SALDO 05154500518 GLORIA PEREZ</t>
  </si>
  <si>
    <t>2000703367</t>
  </si>
  <si>
    <t>FEHF180361</t>
  </si>
  <si>
    <t>2000703365</t>
  </si>
  <si>
    <t>FEHF172013</t>
  </si>
  <si>
    <t>SALDO 66001707791 YULY CRISTANCHO</t>
  </si>
  <si>
    <t>1908406130</t>
  </si>
  <si>
    <t>FEHF183865</t>
  </si>
  <si>
    <t>1908406077</t>
  </si>
  <si>
    <t>FEHF180728</t>
  </si>
  <si>
    <t>1908406010</t>
  </si>
  <si>
    <t>FEHF176530</t>
  </si>
  <si>
    <t>1908405987</t>
  </si>
  <si>
    <t>FEHF174077</t>
  </si>
  <si>
    <t>1908405970</t>
  </si>
  <si>
    <t>FEHF173549</t>
  </si>
  <si>
    <t>47460388378 MISHELLYS JARABA</t>
  </si>
  <si>
    <t>1908405918</t>
  </si>
  <si>
    <t>FEHF164974</t>
  </si>
  <si>
    <t>1908969421</t>
  </si>
  <si>
    <t>FEHF208080</t>
  </si>
  <si>
    <t>1908969408</t>
  </si>
  <si>
    <t>FEHF207656</t>
  </si>
  <si>
    <t>254733525 DANIEL GARCES</t>
  </si>
  <si>
    <t>1908969399</t>
  </si>
  <si>
    <t>FEHF207613</t>
  </si>
  <si>
    <t>1908969387</t>
  </si>
  <si>
    <t>FEHF207409</t>
  </si>
  <si>
    <t>1908969378</t>
  </si>
  <si>
    <t>FEHF206757</t>
  </si>
  <si>
    <t>1908969370</t>
  </si>
  <si>
    <t>FEHF206669</t>
  </si>
  <si>
    <t>1908969341</t>
  </si>
  <si>
    <t>FEHF206142</t>
  </si>
  <si>
    <t>1908969333</t>
  </si>
  <si>
    <t>FEHF206019</t>
  </si>
  <si>
    <t>1908969327</t>
  </si>
  <si>
    <t>FEHF205856</t>
  </si>
  <si>
    <t>47460230005 IVAN BALLESTAS</t>
  </si>
  <si>
    <t>1908969324</t>
  </si>
  <si>
    <t>FEHF204825</t>
  </si>
  <si>
    <t>1908969315</t>
  </si>
  <si>
    <t>FEHF203478</t>
  </si>
  <si>
    <t>1908969303</t>
  </si>
  <si>
    <t>FEHF202611</t>
  </si>
  <si>
    <t>25269172924 ESTRELLA HASTAMORIR</t>
  </si>
  <si>
    <t>1908969297</t>
  </si>
  <si>
    <t>FEHF202483</t>
  </si>
  <si>
    <t>1908969271</t>
  </si>
  <si>
    <t>FEHF202056</t>
  </si>
  <si>
    <t>1908969265</t>
  </si>
  <si>
    <t>FEHF201751</t>
  </si>
  <si>
    <t>1908969256</t>
  </si>
  <si>
    <t>FEHF201395</t>
  </si>
  <si>
    <t>2000618548</t>
  </si>
  <si>
    <t>MPS CUN-2231</t>
  </si>
  <si>
    <t>1908563284</t>
  </si>
  <si>
    <t>FEHF199478</t>
  </si>
  <si>
    <t>1908563277</t>
  </si>
  <si>
    <t>FEHF200361</t>
  </si>
  <si>
    <t>1908563252</t>
  </si>
  <si>
    <t>FEHF200260</t>
  </si>
  <si>
    <t>1908563244</t>
  </si>
  <si>
    <t>FEHF196765</t>
  </si>
  <si>
    <t>47318536854 JHON VILLALOBOS</t>
  </si>
  <si>
    <t>1908563239</t>
  </si>
  <si>
    <t>FEHF198418</t>
  </si>
  <si>
    <t>47288311544 MARIA PEREZ</t>
  </si>
  <si>
    <t>2000826655</t>
  </si>
  <si>
    <t>2517534208 DHAMELIS CARRILLO</t>
  </si>
  <si>
    <t>2000805706</t>
  </si>
  <si>
    <t>17330724 SUC994</t>
  </si>
  <si>
    <t>2000826027</t>
  </si>
  <si>
    <t>1910163342</t>
  </si>
  <si>
    <t>FEHF248128</t>
  </si>
  <si>
    <t>1910163813</t>
  </si>
  <si>
    <t>FEHF261604</t>
  </si>
  <si>
    <t>70001157787 AYLAN RIOS</t>
  </si>
  <si>
    <t>2000786980</t>
  </si>
  <si>
    <t>14748921-2126</t>
  </si>
  <si>
    <t>2000826657</t>
  </si>
  <si>
    <t>SALDO 2517534208 DHAMELIS CARRILLO</t>
  </si>
  <si>
    <t>2000786981</t>
  </si>
  <si>
    <t>14748921-2127</t>
  </si>
  <si>
    <t>2000826663</t>
  </si>
  <si>
    <t>FEHF256745</t>
  </si>
  <si>
    <t>1910164494</t>
  </si>
  <si>
    <t>1100118454 ALISSON SALAMANCA</t>
  </si>
  <si>
    <t>1910163728</t>
  </si>
  <si>
    <t>FEHF255412</t>
  </si>
  <si>
    <t>2000797004</t>
  </si>
  <si>
    <t>FEHF239395</t>
  </si>
  <si>
    <t>SALDO 70713220683 ANA AGRESOTH</t>
  </si>
  <si>
    <t>2000826025</t>
  </si>
  <si>
    <t>FEHF236261</t>
  </si>
  <si>
    <t>SALDO SALDO 68001591672 TERESA CUTA</t>
  </si>
  <si>
    <t>2000805705</t>
  </si>
  <si>
    <t>17330724 SUC993</t>
  </si>
  <si>
    <t>2000798541</t>
  </si>
  <si>
    <t>SALDO 68001591672 TERESA CUTA</t>
  </si>
  <si>
    <t>2000786977</t>
  </si>
  <si>
    <t>14748921-2123</t>
  </si>
  <si>
    <t>2000821418</t>
  </si>
  <si>
    <t>1910163703</t>
  </si>
  <si>
    <t>FEHF254196</t>
  </si>
  <si>
    <t>47675081150 MARIA BERDUGO</t>
  </si>
  <si>
    <t>1910163700</t>
  </si>
  <si>
    <t>FEHF254077</t>
  </si>
  <si>
    <t>2000805144</t>
  </si>
  <si>
    <t>17330724 BOY429</t>
  </si>
  <si>
    <t>2000826667</t>
  </si>
  <si>
    <t>1910163795</t>
  </si>
  <si>
    <t>FEHF260866</t>
  </si>
  <si>
    <t>1910163783</t>
  </si>
  <si>
    <t>FEHF256560</t>
  </si>
  <si>
    <t>252694223 MARY GUERRERO</t>
  </si>
  <si>
    <t>1910163777</t>
  </si>
  <si>
    <t>FEHF255662</t>
  </si>
  <si>
    <t>252694347 SAMUELLE HURTADO</t>
  </si>
  <si>
    <t>1910164520</t>
  </si>
  <si>
    <t>FEHF260817</t>
  </si>
  <si>
    <t>25754141848 SANTIAGO OSORIO</t>
  </si>
  <si>
    <t>1910164504</t>
  </si>
  <si>
    <t>FEHF258149</t>
  </si>
  <si>
    <t>25754181241 MAYERLIS MERCADO</t>
  </si>
  <si>
    <t>1910164417</t>
  </si>
  <si>
    <t>FEHF253905</t>
  </si>
  <si>
    <t>1910164401</t>
  </si>
  <si>
    <t>FEHF253752</t>
  </si>
  <si>
    <t>252693837 IAN GARZON</t>
  </si>
  <si>
    <t>1910164844</t>
  </si>
  <si>
    <t>FEHF257164</t>
  </si>
  <si>
    <t>254734590 ASTRID TORRES</t>
  </si>
  <si>
    <t>1910164810</t>
  </si>
  <si>
    <t>FEHF252428</t>
  </si>
  <si>
    <t>252694118 CARLOS QUISTANCHALA</t>
  </si>
  <si>
    <t>1910164798</t>
  </si>
  <si>
    <t>FEHF251645</t>
  </si>
  <si>
    <t>252695569 DANNA LEGUIZAMON</t>
  </si>
  <si>
    <t>1910164794</t>
  </si>
  <si>
    <t>FEHF251504</t>
  </si>
  <si>
    <t>2575428157 KELLY CASTILLO</t>
  </si>
  <si>
    <t>1910165049</t>
  </si>
  <si>
    <t>FEHF257747</t>
  </si>
  <si>
    <t>1910165033</t>
  </si>
  <si>
    <t>FEHF256285</t>
  </si>
  <si>
    <t>252694839 KAREN CUERVO</t>
  </si>
  <si>
    <t>2000786972</t>
  </si>
  <si>
    <t>14748921-2118</t>
  </si>
  <si>
    <t>2000826665</t>
  </si>
  <si>
    <t>1910164529</t>
  </si>
  <si>
    <t>FEHF260969</t>
  </si>
  <si>
    <t>15480171219 HERSILIA BUITRAGO</t>
  </si>
  <si>
    <t>2000786975</t>
  </si>
  <si>
    <t>14748921-2121</t>
  </si>
  <si>
    <t>2000826664</t>
  </si>
  <si>
    <t>SALDO 1100118454 ALISSON SALAMANCA</t>
  </si>
  <si>
    <t>2000786973</t>
  </si>
  <si>
    <t>14748921-2119</t>
  </si>
  <si>
    <t>1910163685</t>
  </si>
  <si>
    <t>FEHF252125</t>
  </si>
  <si>
    <t>2000805056</t>
  </si>
  <si>
    <t>17330724 ATL340</t>
  </si>
  <si>
    <t>2000826623</t>
  </si>
  <si>
    <t>2000826616</t>
  </si>
  <si>
    <t>FEHF258473</t>
  </si>
  <si>
    <t>SALDO 08001216338 ISSA SANCHEZ</t>
  </si>
  <si>
    <t>1910164951</t>
  </si>
  <si>
    <t>FEHF263761</t>
  </si>
  <si>
    <t>1910164928</t>
  </si>
  <si>
    <t>FEHF261875</t>
  </si>
  <si>
    <t>1910164852</t>
  </si>
  <si>
    <t>FEHF257413</t>
  </si>
  <si>
    <t>1910164819</t>
  </si>
  <si>
    <t>FEHF254465</t>
  </si>
  <si>
    <t>1910164816</t>
  </si>
  <si>
    <t>FEHF254307</t>
  </si>
  <si>
    <t>1910164804</t>
  </si>
  <si>
    <t>FEHF252415</t>
  </si>
  <si>
    <t>08001216338 ISSA SANCHEZ</t>
  </si>
  <si>
    <t>1910164785</t>
  </si>
  <si>
    <t>FEHF249881</t>
  </si>
  <si>
    <t>1910165061</t>
  </si>
  <si>
    <t>FEHF260710</t>
  </si>
  <si>
    <t>1910165040</t>
  </si>
  <si>
    <t>FEHF257602</t>
  </si>
  <si>
    <t>1909892538</t>
  </si>
  <si>
    <t>FEHF246652</t>
  </si>
  <si>
    <t>1909892518</t>
  </si>
  <si>
    <t>FEHF246533</t>
  </si>
  <si>
    <t>2000805055</t>
  </si>
  <si>
    <t>17330724 ATL339</t>
  </si>
  <si>
    <t>1910164485</t>
  </si>
  <si>
    <t>FEHF256414</t>
  </si>
  <si>
    <t>08436579232 LUIS CANTILLO</t>
  </si>
  <si>
    <t>1910164957</t>
  </si>
  <si>
    <t>FEHF264748</t>
  </si>
  <si>
    <t>08001093165 SULEIDYS BERNAL</t>
  </si>
  <si>
    <t>1910164858</t>
  </si>
  <si>
    <t>1910164826</t>
  </si>
  <si>
    <t>FEHF254880</t>
  </si>
  <si>
    <t>1910165127</t>
  </si>
  <si>
    <t>FEHF263293</t>
  </si>
  <si>
    <t>08675066043 KELLYS ORTIZ</t>
  </si>
  <si>
    <t>1910163677</t>
  </si>
  <si>
    <t>FEHF250243</t>
  </si>
  <si>
    <t>1910163669</t>
  </si>
  <si>
    <t>FEHF250038</t>
  </si>
  <si>
    <t>1910164392</t>
  </si>
  <si>
    <t>FEHF251641</t>
  </si>
  <si>
    <t>47161476736 SANTIAGO ALDANA</t>
  </si>
  <si>
    <t>1910164382</t>
  </si>
  <si>
    <t>FEHF250396</t>
  </si>
  <si>
    <t>47675560112 MONSERRAN JIMENEZ</t>
  </si>
  <si>
    <t>2000819065</t>
  </si>
  <si>
    <t>17330724 NOR807</t>
  </si>
  <si>
    <t>2000805519</t>
  </si>
  <si>
    <t>1910163617</t>
  </si>
  <si>
    <t>FEHF252115</t>
  </si>
  <si>
    <t>54874486280 RAMIRO QUINTANA</t>
  </si>
  <si>
    <t>1910164535</t>
  </si>
  <si>
    <t>FEHF261544</t>
  </si>
  <si>
    <t>54385219194 ERICA SAMACA</t>
  </si>
  <si>
    <t>1910164431</t>
  </si>
  <si>
    <t>FEHF254422</t>
  </si>
  <si>
    <t>54874366970 ADRIANA BUITRAGO</t>
  </si>
  <si>
    <t>2000825304</t>
  </si>
  <si>
    <t>17330724 CES513</t>
  </si>
  <si>
    <t>2000805226</t>
  </si>
  <si>
    <t>1910163387</t>
  </si>
  <si>
    <t>FEHF250811</t>
  </si>
  <si>
    <t>20001951561 LUIS SUAREZ</t>
  </si>
  <si>
    <t>2000825297</t>
  </si>
  <si>
    <t>FEHF258552</t>
  </si>
  <si>
    <t>SALDO 20001892414 LEIDY ARANGO</t>
  </si>
  <si>
    <t>1910164802</t>
  </si>
  <si>
    <t>FEHF252322</t>
  </si>
  <si>
    <t>20001896532 YERLIS FERNANDEZ</t>
  </si>
  <si>
    <t>2000805227</t>
  </si>
  <si>
    <t>17330724 CES514</t>
  </si>
  <si>
    <t>1910164673</t>
  </si>
  <si>
    <t>FEHF263793</t>
  </si>
  <si>
    <t>20621959404 YISEL PEREZ</t>
  </si>
  <si>
    <t>1910164440</t>
  </si>
  <si>
    <t>FEHF254944</t>
  </si>
  <si>
    <t>20001072076 FLOR ALVEAR</t>
  </si>
  <si>
    <t>1910164861</t>
  </si>
  <si>
    <t>20001892414 LEIDY ARANGO</t>
  </si>
  <si>
    <t>1910164697</t>
  </si>
  <si>
    <t>FEHF264765</t>
  </si>
  <si>
    <t>2000826719</t>
  </si>
  <si>
    <t>20013861304 MARIA MURILLO</t>
  </si>
  <si>
    <t>1910164693</t>
  </si>
  <si>
    <t>FEHF263850</t>
  </si>
  <si>
    <t>81001580186 ARACELYS TRESPALACIOS</t>
  </si>
  <si>
    <t>1910164668</t>
  </si>
  <si>
    <t>FEHF263666</t>
  </si>
  <si>
    <t>47288309687 LILIA RETAMOZO</t>
  </si>
  <si>
    <t>1910164512</t>
  </si>
  <si>
    <t>FEHF260610</t>
  </si>
  <si>
    <t>13468548232 DYLAN MEJIA</t>
  </si>
  <si>
    <t>2000826712</t>
  </si>
  <si>
    <t>FEHF261956</t>
  </si>
  <si>
    <t>SALDO 70678229146 MARLEIDYS CONTRERAS</t>
  </si>
  <si>
    <t>2000826711</t>
  </si>
  <si>
    <t>FEHF259504</t>
  </si>
  <si>
    <t>SALDO 47545096023 SHIRLEY BUSTILLO</t>
  </si>
  <si>
    <t>2000826710</t>
  </si>
  <si>
    <t>FEHF258808</t>
  </si>
  <si>
    <t>SALDO 05154625465 GABRIEL BARRAGAN</t>
  </si>
  <si>
    <t>2000826704</t>
  </si>
  <si>
    <t>FEHF256758</t>
  </si>
  <si>
    <t>SALDO 47288484745 LUZ HERNANDEZ</t>
  </si>
  <si>
    <t>2000826696</t>
  </si>
  <si>
    <t>FEHF250123</t>
  </si>
  <si>
    <t>SALDO 47053540856 YAISNADE CANTILLO</t>
  </si>
  <si>
    <t>1910164955</t>
  </si>
  <si>
    <t>FEHF264406</t>
  </si>
  <si>
    <t>1910164947</t>
  </si>
  <si>
    <t>FEHF263520</t>
  </si>
  <si>
    <t>47001112555 BRENDA MAZA</t>
  </si>
  <si>
    <t>1910164941</t>
  </si>
  <si>
    <t>FEHF262620</t>
  </si>
  <si>
    <t>1910164813</t>
  </si>
  <si>
    <t>FEHF253092</t>
  </si>
  <si>
    <t>47053268338 ANA FONTALVO</t>
  </si>
  <si>
    <t>1910165144</t>
  </si>
  <si>
    <t>FEHF264604</t>
  </si>
  <si>
    <t>1910165140</t>
  </si>
  <si>
    <t>FEHF264602</t>
  </si>
  <si>
    <t>25269172754 LUIS OSORIO</t>
  </si>
  <si>
    <t>1910165092</t>
  </si>
  <si>
    <t>FEHF262145</t>
  </si>
  <si>
    <t>252694076 LINA GAMEZ</t>
  </si>
  <si>
    <t>1910165084</t>
  </si>
  <si>
    <t>FEHF261448</t>
  </si>
  <si>
    <t>2000805793</t>
  </si>
  <si>
    <t>17330758 VAL1081</t>
  </si>
  <si>
    <t>2000826713</t>
  </si>
  <si>
    <t>1910163802</t>
  </si>
  <si>
    <t>FEHF261537</t>
  </si>
  <si>
    <t>1100129598 MARIA CARVAJAL</t>
  </si>
  <si>
    <t>1910165072</t>
  </si>
  <si>
    <t>FEHF261406</t>
  </si>
  <si>
    <t>2000786971</t>
  </si>
  <si>
    <t>14748921-2117</t>
  </si>
  <si>
    <t>2000826686</t>
  </si>
  <si>
    <t>SALDO 13006061392 VIVIANA ATENCIO</t>
  </si>
  <si>
    <t>2000826670</t>
  </si>
  <si>
    <t>FEHF261235</t>
  </si>
  <si>
    <t>SALDO 68320002363 PAULA MORENO</t>
  </si>
  <si>
    <t>2000826214</t>
  </si>
  <si>
    <t>FEHF258785</t>
  </si>
  <si>
    <t>SALDO 23574171302 ANA PORTILLO</t>
  </si>
  <si>
    <t>2000805305</t>
  </si>
  <si>
    <t>17330724 COR593</t>
  </si>
  <si>
    <t>1910164864</t>
  </si>
  <si>
    <t>23574171302 ANA PORTILLO</t>
  </si>
  <si>
    <t>2000706626</t>
  </si>
  <si>
    <t>2000827772</t>
  </si>
  <si>
    <t>3054C494B243F7937138F5285960D1FA MIA PABON</t>
  </si>
  <si>
    <t>2000747927</t>
  </si>
  <si>
    <t>SALDO SALDO 13006061392 VIVIANA ATENCIO</t>
  </si>
  <si>
    <t>15500150663 RAFAEL FAGUA</t>
  </si>
  <si>
    <t>SALDO 1100129598 MARIA CARVAJAL</t>
  </si>
  <si>
    <t>2000826707</t>
  </si>
  <si>
    <t>FEHF258586</t>
  </si>
  <si>
    <t>SALDO 1100130171 KEVIN VELEZ</t>
  </si>
  <si>
    <t>1910163828</t>
  </si>
  <si>
    <t>FEHF262222</t>
  </si>
  <si>
    <t>1100130171 KEVIN VELEZ</t>
  </si>
  <si>
    <t>2000826715</t>
  </si>
  <si>
    <t>FEHF266693</t>
  </si>
  <si>
    <t>SALDO 47675081150 MARIA BERDUGO</t>
  </si>
  <si>
    <t>2000826693</t>
  </si>
  <si>
    <t>SALDO SALDO SALDO SALDO 2517534208 DHAMELIS CARRI</t>
  </si>
  <si>
    <t>2000826689</t>
  </si>
  <si>
    <t>SALDO SALDO SALDO 1100118454 ALISSON SALAMANCA</t>
  </si>
  <si>
    <t>SALDO 15480171219 HERSILIA BUITRAGO</t>
  </si>
  <si>
    <t>1910164711</t>
  </si>
  <si>
    <t>FEHF265083</t>
  </si>
  <si>
    <t>2000805990</t>
  </si>
  <si>
    <t>17330758 CUN1279</t>
  </si>
  <si>
    <t>2000805433</t>
  </si>
  <si>
    <t>17330724 MAG721</t>
  </si>
  <si>
    <t>1910164446</t>
  </si>
  <si>
    <t>FEHF255747</t>
  </si>
  <si>
    <t>68271253237 TERESA RODRIGUEZ</t>
  </si>
  <si>
    <t>1910164789</t>
  </si>
  <si>
    <t>47053540856 YAISNADE CANTILLO</t>
  </si>
  <si>
    <t>2000805849</t>
  </si>
  <si>
    <t>17330758 ANT1138</t>
  </si>
  <si>
    <t>2000826690</t>
  </si>
  <si>
    <t>SALDO SALDO SALDO 2517534208 DHAMELIS CARRILLO</t>
  </si>
  <si>
    <t>2000805989</t>
  </si>
  <si>
    <t>17330758 CUN1278</t>
  </si>
  <si>
    <t>SALDO SALDO 2517534208 DHAMELIS CARRILLO</t>
  </si>
  <si>
    <t>2000786978</t>
  </si>
  <si>
    <t>14748921-2124</t>
  </si>
  <si>
    <t>2000826677</t>
  </si>
  <si>
    <t>FEHF256137</t>
  </si>
  <si>
    <t>SALDO 68533515649 MIREYA GOMEZ</t>
  </si>
  <si>
    <t>SALDO SALDO 1100118454 ALISSON SALAMANCA</t>
  </si>
  <si>
    <t>2000786976</t>
  </si>
  <si>
    <t>14748921-2122</t>
  </si>
  <si>
    <t>1910164454</t>
  </si>
  <si>
    <t>68533515649 MIREYA GOMEZ</t>
  </si>
  <si>
    <t>2000786967</t>
  </si>
  <si>
    <t>14748921-2113</t>
  </si>
  <si>
    <t>1910164921</t>
  </si>
  <si>
    <t>68320002363 PAULA MORENO</t>
  </si>
  <si>
    <t>1910164933</t>
  </si>
  <si>
    <t>70678229146 MARLEIDYS CONTRERAS</t>
  </si>
  <si>
    <t>2000805103</t>
  </si>
  <si>
    <t>17330724 BOG388</t>
  </si>
  <si>
    <t>1910164879</t>
  </si>
  <si>
    <t>47545096023 SHIRLEY BUSTILLO</t>
  </si>
  <si>
    <t>1910164873</t>
  </si>
  <si>
    <t>FEHF258819</t>
  </si>
  <si>
    <t>13647535219 ANGELICA TEJEDOR</t>
  </si>
  <si>
    <t>2000804984</t>
  </si>
  <si>
    <t>17330724 ARA268</t>
  </si>
  <si>
    <t>1910164868</t>
  </si>
  <si>
    <t>2000826709</t>
  </si>
  <si>
    <t>17330758 VAL1438</t>
  </si>
  <si>
    <t>2000806150</t>
  </si>
  <si>
    <t>1910164914</t>
  </si>
  <si>
    <t>FEHF260043</t>
  </si>
  <si>
    <t>76400866003 VICTORIA POSSO</t>
  </si>
  <si>
    <t>2000805639</t>
  </si>
  <si>
    <t>17330724 SAN927</t>
  </si>
  <si>
    <t>1910163787</t>
  </si>
  <si>
    <t>2000806025</t>
  </si>
  <si>
    <t>17330758 MAG1314</t>
  </si>
  <si>
    <t>1910164834</t>
  </si>
  <si>
    <t>47288484745 LUZ HERNANDEZ</t>
  </si>
  <si>
    <t>1909596526</t>
  </si>
  <si>
    <t>FEHF227540</t>
  </si>
  <si>
    <t>2000797280</t>
  </si>
  <si>
    <t>1909596496</t>
  </si>
  <si>
    <t>FEHF225533</t>
  </si>
  <si>
    <t>1909596476</t>
  </si>
  <si>
    <t>FEHF225445</t>
  </si>
  <si>
    <t>1909596310</t>
  </si>
  <si>
    <t>FEHF225436</t>
  </si>
  <si>
    <t>SALDO 08675285118 YACLIN GONZALEZ</t>
  </si>
  <si>
    <t>1909596916</t>
  </si>
  <si>
    <t>FEHF237107</t>
  </si>
  <si>
    <t>47001540616 LETICIA ESCORCIA</t>
  </si>
  <si>
    <t>1909596900</t>
  </si>
  <si>
    <t>FEHF236829</t>
  </si>
  <si>
    <t>25426124418 IKER SALCEDO</t>
  </si>
  <si>
    <t>1909596884</t>
  </si>
  <si>
    <t>FEHF236820</t>
  </si>
  <si>
    <t>47288122016 YENIFER VARGAS</t>
  </si>
  <si>
    <t>1909596855</t>
  </si>
  <si>
    <t>FEHF235994</t>
  </si>
  <si>
    <t>47555232568 LUIS BARBOSA</t>
  </si>
  <si>
    <t>1909596838</t>
  </si>
  <si>
    <t>FEHF235594</t>
  </si>
  <si>
    <t>1909596817</t>
  </si>
  <si>
    <t>FEHF235038</t>
  </si>
  <si>
    <t>47189313417 YINETH NAVARRO</t>
  </si>
  <si>
    <t>1909596798</t>
  </si>
  <si>
    <t>FEHF234479</t>
  </si>
  <si>
    <t>1909596792</t>
  </si>
  <si>
    <t>FEHF234092</t>
  </si>
  <si>
    <t>1909596772</t>
  </si>
  <si>
    <t>FEHF232952</t>
  </si>
  <si>
    <t>SALDO 15755083091 SAUL NIÑO</t>
  </si>
  <si>
    <t>1909597181</t>
  </si>
  <si>
    <t>FEHF236676</t>
  </si>
  <si>
    <t>05030519077 JOSE REYES</t>
  </si>
  <si>
    <t>1909597171</t>
  </si>
  <si>
    <t>FEHF236421</t>
  </si>
  <si>
    <t>47707371771 MELLANI ARAGON</t>
  </si>
  <si>
    <t>1909597115</t>
  </si>
  <si>
    <t>FEHF234687</t>
  </si>
  <si>
    <t>1909597071</t>
  </si>
  <si>
    <t>FEHF230082</t>
  </si>
  <si>
    <t>47692200325 YURIS SILVA</t>
  </si>
  <si>
    <t>1909597035</t>
  </si>
  <si>
    <t>FEHF229068</t>
  </si>
  <si>
    <t>1909597019</t>
  </si>
  <si>
    <t>FEHF227863</t>
  </si>
  <si>
    <t>47189270615 NICOL CANDANOZA</t>
  </si>
  <si>
    <t>1909597008</t>
  </si>
  <si>
    <t>FEHF226757</t>
  </si>
  <si>
    <t>47288416527 ELISEO BARROS</t>
  </si>
  <si>
    <t>2000786969</t>
  </si>
  <si>
    <t>14748921-2115</t>
  </si>
  <si>
    <t>1909891440</t>
  </si>
  <si>
    <t>70713220683 ANA AGRESOTH</t>
  </si>
  <si>
    <t>1909441372</t>
  </si>
  <si>
    <t>FEHF218578</t>
  </si>
  <si>
    <t>1909596285</t>
  </si>
  <si>
    <t>FEHF236595</t>
  </si>
  <si>
    <t>1909596270</t>
  </si>
  <si>
    <t>FEHF236209</t>
  </si>
  <si>
    <t>1909596263</t>
  </si>
  <si>
    <t>FEHF236138</t>
  </si>
  <si>
    <t>1909596248</t>
  </si>
  <si>
    <t>FEHF235268</t>
  </si>
  <si>
    <t>1909596237</t>
  </si>
  <si>
    <t>FEHF235264</t>
  </si>
  <si>
    <t>1909596228</t>
  </si>
  <si>
    <t>FEHF234703</t>
  </si>
  <si>
    <t>1909596213</t>
  </si>
  <si>
    <t>FEHF234180</t>
  </si>
  <si>
    <t>1909596197</t>
  </si>
  <si>
    <t>FEHF234177</t>
  </si>
  <si>
    <t>25269172783 NAYIBER GARZON</t>
  </si>
  <si>
    <t>1909596168</t>
  </si>
  <si>
    <t>FEHF231503</t>
  </si>
  <si>
    <t>25269172896 ELEN ORTEGA</t>
  </si>
  <si>
    <t>1909596140</t>
  </si>
  <si>
    <t>FEHF230969</t>
  </si>
  <si>
    <t>1909596128</t>
  </si>
  <si>
    <t>FEHF229533</t>
  </si>
  <si>
    <t>1909596638</t>
  </si>
  <si>
    <t>FEHF236313</t>
  </si>
  <si>
    <t>1909596630</t>
  </si>
  <si>
    <t>FEHF235797</t>
  </si>
  <si>
    <t>1100113337 CARLOS RINCON</t>
  </si>
  <si>
    <t>1909596621</t>
  </si>
  <si>
    <t>FEHF235169</t>
  </si>
  <si>
    <t>251757127 JUAN MARTINEZ</t>
  </si>
  <si>
    <t>1909596617</t>
  </si>
  <si>
    <t>FEHF235084</t>
  </si>
  <si>
    <t>1909596602</t>
  </si>
  <si>
    <t>FEHF232596</t>
  </si>
  <si>
    <t>1909596593</t>
  </si>
  <si>
    <t>FEHF232226</t>
  </si>
  <si>
    <t>1909596591</t>
  </si>
  <si>
    <t>FEHF232049</t>
  </si>
  <si>
    <t>1909596589</t>
  </si>
  <si>
    <t>FEHF231495</t>
  </si>
  <si>
    <t>1909596586</t>
  </si>
  <si>
    <t>FEHF231304</t>
  </si>
  <si>
    <t>1909596567</t>
  </si>
  <si>
    <t>FEHF230727</t>
  </si>
  <si>
    <t>1909596550</t>
  </si>
  <si>
    <t>FEHF228537</t>
  </si>
  <si>
    <t>1909596537</t>
  </si>
  <si>
    <t>FEHF227564</t>
  </si>
  <si>
    <t>1909892021</t>
  </si>
  <si>
    <t>FEHF237130</t>
  </si>
  <si>
    <t>2000786979</t>
  </si>
  <si>
    <t>14748921-2125</t>
  </si>
  <si>
    <t>2000788130</t>
  </si>
  <si>
    <t>1909440209</t>
  </si>
  <si>
    <t>FEHF216633</t>
  </si>
  <si>
    <t>20001079897 MAICOL MEDINA</t>
  </si>
  <si>
    <t>1909440197</t>
  </si>
  <si>
    <t>FEHF216591</t>
  </si>
  <si>
    <t>1909441298</t>
  </si>
  <si>
    <t>FEHF215773</t>
  </si>
  <si>
    <t>20013890979 ANTONELLA MUÑOZ</t>
  </si>
  <si>
    <t>1909596561</t>
  </si>
  <si>
    <t>FEHF230674</t>
  </si>
  <si>
    <t>20013942054 MARIANA PONTON</t>
  </si>
  <si>
    <t>1909597150</t>
  </si>
  <si>
    <t>FEHF236387</t>
  </si>
  <si>
    <t>20710959383 MARIA PAEZ</t>
  </si>
  <si>
    <t>2000756241</t>
  </si>
  <si>
    <t>MPS CUN-797</t>
  </si>
  <si>
    <t>SALDO 15223205108 DILMA ARREDONDO</t>
  </si>
  <si>
    <t>SALDO SALDO 20013964942 GERONIMO CERVANTES</t>
  </si>
  <si>
    <t>SALDO 13650602694 JAMES PEREZ</t>
  </si>
  <si>
    <t>1909441770</t>
  </si>
  <si>
    <t>FEHF215016</t>
  </si>
  <si>
    <t>1909441580</t>
  </si>
  <si>
    <t>FEHF214937</t>
  </si>
  <si>
    <t>SALDO 252694914 BLANCA PASTOR</t>
  </si>
  <si>
    <t>1909441897</t>
  </si>
  <si>
    <t>FEHF214638</t>
  </si>
  <si>
    <t>SALDO SALDO 47189173092 SANDRITH SILGADO</t>
  </si>
  <si>
    <t>SALDO 68307447548 MILAGROS CORREA</t>
  </si>
  <si>
    <t>SALDO 05495126589 ANNIS HOYOS</t>
  </si>
  <si>
    <t>SALDO 76364813331 VALENTINA BALANTA</t>
  </si>
  <si>
    <t>2000758382</t>
  </si>
  <si>
    <t>12673784 BOY-723</t>
  </si>
  <si>
    <t>2000794281</t>
  </si>
  <si>
    <t>14748921-2112</t>
  </si>
  <si>
    <t>2000786966</t>
  </si>
  <si>
    <t>1909597040</t>
  </si>
  <si>
    <t>FEHF229177</t>
  </si>
  <si>
    <t>13001207779 LEYDER HERRERA</t>
  </si>
  <si>
    <t>2000791620</t>
  </si>
  <si>
    <t>14748921-2114</t>
  </si>
  <si>
    <t>2000786968</t>
  </si>
  <si>
    <t>1909442141</t>
  </si>
  <si>
    <t>FEHF224618</t>
  </si>
  <si>
    <t>23580129834 DIANA RICARDO</t>
  </si>
  <si>
    <t>1909596865</t>
  </si>
  <si>
    <t>FEHF236259</t>
  </si>
  <si>
    <t>23574169761 CRISTIAN PORTILLO</t>
  </si>
  <si>
    <t>2000791517</t>
  </si>
  <si>
    <t>14748921-2116</t>
  </si>
  <si>
    <t>2000786970</t>
  </si>
  <si>
    <t>1909441493</t>
  </si>
  <si>
    <t>FEHF224221</t>
  </si>
  <si>
    <t>54001400654 ENYEMBERTH ESLAVA</t>
  </si>
  <si>
    <t>1909597103</t>
  </si>
  <si>
    <t>FEHF233498</t>
  </si>
  <si>
    <t>54001477264 ALEXIS GARCIA</t>
  </si>
  <si>
    <t>2000788133</t>
  </si>
  <si>
    <t>14748921-2120</t>
  </si>
  <si>
    <t>2000786974</t>
  </si>
  <si>
    <t>1909440944</t>
  </si>
  <si>
    <t>FEHF222962</t>
  </si>
  <si>
    <t>20013067144 JAZMINE MASEA</t>
  </si>
  <si>
    <t>1909596678</t>
  </si>
  <si>
    <t>FEHF226502</t>
  </si>
  <si>
    <t>20001170265 HIRLEY MARTINEZ</t>
  </si>
  <si>
    <t>1909891430</t>
  </si>
  <si>
    <t>FEHF236962</t>
  </si>
  <si>
    <t>1909891428</t>
  </si>
  <si>
    <t>FEHF236910</t>
  </si>
  <si>
    <t>20228942096 DILAN BARRERA</t>
  </si>
  <si>
    <t>1909892076</t>
  </si>
  <si>
    <t>FEHF252048</t>
  </si>
  <si>
    <t>1909892072</t>
  </si>
  <si>
    <t>FEHF249641</t>
  </si>
  <si>
    <t>1909892070</t>
  </si>
  <si>
    <t>FEHF248448</t>
  </si>
  <si>
    <t>1909892068</t>
  </si>
  <si>
    <t>FEHF248318</t>
  </si>
  <si>
    <t>1909892064</t>
  </si>
  <si>
    <t>FEHF247388</t>
  </si>
  <si>
    <t>1909892059</t>
  </si>
  <si>
    <t>FEHF247264</t>
  </si>
  <si>
    <t>1909892054</t>
  </si>
  <si>
    <t>FEHF245820</t>
  </si>
  <si>
    <t>1909892046</t>
  </si>
  <si>
    <t>FEHF245482</t>
  </si>
  <si>
    <t>1909892041</t>
  </si>
  <si>
    <t>FEHF245456</t>
  </si>
  <si>
    <t>1100115838 ROSA GIL</t>
  </si>
  <si>
    <t>1909892038</t>
  </si>
  <si>
    <t>FEHF242853</t>
  </si>
  <si>
    <t>1909892033</t>
  </si>
  <si>
    <t>FEHF242498</t>
  </si>
  <si>
    <t>2575420289 JHOSTIN CRISTANCHO</t>
  </si>
  <si>
    <t>1909892030</t>
  </si>
  <si>
    <t>FEHF241443</t>
  </si>
  <si>
    <t>1909892027</t>
  </si>
  <si>
    <t>FEHF240881</t>
  </si>
  <si>
    <t>1909892025</t>
  </si>
  <si>
    <t>FEHF238970</t>
  </si>
  <si>
    <t>1909892023</t>
  </si>
  <si>
    <t>FEHF238831</t>
  </si>
  <si>
    <t>1909892212</t>
  </si>
  <si>
    <t>FEHF251998</t>
  </si>
  <si>
    <t>1909892206</t>
  </si>
  <si>
    <t>FEHF249115</t>
  </si>
  <si>
    <t>1909892198</t>
  </si>
  <si>
    <t>FEHF248753</t>
  </si>
  <si>
    <t>13244598477 YURIS PEREZ</t>
  </si>
  <si>
    <t>1909892191</t>
  </si>
  <si>
    <t>FEHF248161</t>
  </si>
  <si>
    <t>1909892182</t>
  </si>
  <si>
    <t>FEHF247022</t>
  </si>
  <si>
    <t>15757098738 SANDRA CARDENAS</t>
  </si>
  <si>
    <t>1909892173</t>
  </si>
  <si>
    <t>FEHF246422</t>
  </si>
  <si>
    <t>1909892161</t>
  </si>
  <si>
    <t>FEHF245372</t>
  </si>
  <si>
    <t>13001055148 ANGELICA RUIZ</t>
  </si>
  <si>
    <t>2000678777</t>
  </si>
  <si>
    <t>MPS MAG-2124</t>
  </si>
  <si>
    <t>1909892000</t>
  </si>
  <si>
    <t>FEHF250910</t>
  </si>
  <si>
    <t>1909891994</t>
  </si>
  <si>
    <t>FEHF249811</t>
  </si>
  <si>
    <t>1909891989</t>
  </si>
  <si>
    <t>FEHF249804</t>
  </si>
  <si>
    <t>68190385530 LOLIMAR PARDO</t>
  </si>
  <si>
    <t>1909891985</t>
  </si>
  <si>
    <t>FEHF248737</t>
  </si>
  <si>
    <t>252693938 LUIS CASAS</t>
  </si>
  <si>
    <t>1909891982</t>
  </si>
  <si>
    <t>FEHF248549</t>
  </si>
  <si>
    <t>257546310 JONATHAN SIMBAQUEBA</t>
  </si>
  <si>
    <t>1909891979</t>
  </si>
  <si>
    <t>FEHF248427</t>
  </si>
  <si>
    <t>2526929381 MIRANDA MARTINEZ</t>
  </si>
  <si>
    <t>1909891975</t>
  </si>
  <si>
    <t>FEHF248391</t>
  </si>
  <si>
    <t>08758682697 EATHALINA FIGUEROA</t>
  </si>
  <si>
    <t>1909891971</t>
  </si>
  <si>
    <t>FEHF247651</t>
  </si>
  <si>
    <t>47541375819 WENDYS ACUÑA</t>
  </si>
  <si>
    <t>1909891494</t>
  </si>
  <si>
    <t>FEHF247296</t>
  </si>
  <si>
    <t>1909891493</t>
  </si>
  <si>
    <t>FEHF245738</t>
  </si>
  <si>
    <t>47545058129 SALOMON BUSTILLO</t>
  </si>
  <si>
    <t>1909891491</t>
  </si>
  <si>
    <t>FEHF245570</t>
  </si>
  <si>
    <t>68190425008 JEAN BERDUGO</t>
  </si>
  <si>
    <t>1909891488</t>
  </si>
  <si>
    <t>FEHF245347</t>
  </si>
  <si>
    <t>1909891483</t>
  </si>
  <si>
    <t>FEHF244741</t>
  </si>
  <si>
    <t>5000125098 SANDRA MARTINEZ</t>
  </si>
  <si>
    <t>1909891482</t>
  </si>
  <si>
    <t>FEHF244683</t>
  </si>
  <si>
    <t>13001410950 DARIO HERRERA</t>
  </si>
  <si>
    <t>1909891478</t>
  </si>
  <si>
    <t>FEHF244033</t>
  </si>
  <si>
    <t>1909891463</t>
  </si>
  <si>
    <t>FEHF242181</t>
  </si>
  <si>
    <t>68689516048 LUZ SANCHEZ</t>
  </si>
  <si>
    <t>1909891454</t>
  </si>
  <si>
    <t>FEHF242117</t>
  </si>
  <si>
    <t>25754139819 BLANCA ALGARRA</t>
  </si>
  <si>
    <t>1909891451</t>
  </si>
  <si>
    <t>FEHF242023</t>
  </si>
  <si>
    <t>70713193130 YEITON DE LA ROSA</t>
  </si>
  <si>
    <t>1909891450</t>
  </si>
  <si>
    <t>FEHF239647</t>
  </si>
  <si>
    <t>47001498221 ELIAN GONZALEZ</t>
  </si>
  <si>
    <t>1909891445</t>
  </si>
  <si>
    <t>FEHF239635</t>
  </si>
  <si>
    <t>05154415745 YAKELIN DIAZ</t>
  </si>
  <si>
    <t>1909891443</t>
  </si>
  <si>
    <t>FEHF239524</t>
  </si>
  <si>
    <t>1909891437</t>
  </si>
  <si>
    <t>FEHF239122</t>
  </si>
  <si>
    <t>08001115407 KEILA CARMONA</t>
  </si>
  <si>
    <t>1909891434</t>
  </si>
  <si>
    <t>FEHF239012</t>
  </si>
  <si>
    <t>1909892154</t>
  </si>
  <si>
    <t>FEHF244075</t>
  </si>
  <si>
    <t>1909892329</t>
  </si>
  <si>
    <t>FEHF240647</t>
  </si>
  <si>
    <t>1909892314</t>
  </si>
  <si>
    <t>FEHF239611</t>
  </si>
  <si>
    <t>1909892276</t>
  </si>
  <si>
    <t>FEHF237789</t>
  </si>
  <si>
    <t>1909892252</t>
  </si>
  <si>
    <t>FEHF237042</t>
  </si>
  <si>
    <t>1909892233</t>
  </si>
  <si>
    <t>FEHF237039</t>
  </si>
  <si>
    <t>1909440654</t>
  </si>
  <si>
    <t>FEHF223734</t>
  </si>
  <si>
    <t>1909440645</t>
  </si>
  <si>
    <t>FEHF223582</t>
  </si>
  <si>
    <t>1909440634</t>
  </si>
  <si>
    <t>FEHF223577</t>
  </si>
  <si>
    <t>1909440476</t>
  </si>
  <si>
    <t>FEHF220788</t>
  </si>
  <si>
    <t>1909440451</t>
  </si>
  <si>
    <t>FEHF220664</t>
  </si>
  <si>
    <t>1909440307</t>
  </si>
  <si>
    <t>FEHF217837</t>
  </si>
  <si>
    <t>1909440274</t>
  </si>
  <si>
    <t>FEHF217715</t>
  </si>
  <si>
    <t>1909440259</t>
  </si>
  <si>
    <t>FEHF217592</t>
  </si>
  <si>
    <t>1909440248</t>
  </si>
  <si>
    <t>FEHF217529</t>
  </si>
  <si>
    <t>1909440187</t>
  </si>
  <si>
    <t>FEHF216109</t>
  </si>
  <si>
    <t>1909440052</t>
  </si>
  <si>
    <t>FEHF214964</t>
  </si>
  <si>
    <t>1909441038</t>
  </si>
  <si>
    <t>FEHF225594</t>
  </si>
  <si>
    <t>47189173093 WENDY SILGADO</t>
  </si>
  <si>
    <t>1909440919</t>
  </si>
  <si>
    <t>FEHF221986</t>
  </si>
  <si>
    <t>47980455614 DEISY RUIZ</t>
  </si>
  <si>
    <t>1909440908</t>
  </si>
  <si>
    <t>FEHF221856</t>
  </si>
  <si>
    <t>47268025236 LUIS MARTINEZ</t>
  </si>
  <si>
    <t>1909440795</t>
  </si>
  <si>
    <t>FEHF218018</t>
  </si>
  <si>
    <t>47258520598 KELYS CABRERA</t>
  </si>
  <si>
    <t>1909892144</t>
  </si>
  <si>
    <t>FEHF243543</t>
  </si>
  <si>
    <t>1909892137</t>
  </si>
  <si>
    <t>FEHF243474</t>
  </si>
  <si>
    <t>1909892123</t>
  </si>
  <si>
    <t>FEHF242238</t>
  </si>
  <si>
    <t>254733969 SANDRA GONZALEZ</t>
  </si>
  <si>
    <t>1909892117</t>
  </si>
  <si>
    <t>FEHF242165</t>
  </si>
  <si>
    <t>08675669545 BRAYAN GONZALEZ</t>
  </si>
  <si>
    <t>1909892111</t>
  </si>
  <si>
    <t>FEHF242029</t>
  </si>
  <si>
    <t>1909892108</t>
  </si>
  <si>
    <t>FEHF241344</t>
  </si>
  <si>
    <t>1909892106</t>
  </si>
  <si>
    <t>FEHF240722</t>
  </si>
  <si>
    <t>1909892096</t>
  </si>
  <si>
    <t>FEHF239230</t>
  </si>
  <si>
    <t>20001878653 KATIA CORDOBA</t>
  </si>
  <si>
    <t>1909892092</t>
  </si>
  <si>
    <t>FEHF238669</t>
  </si>
  <si>
    <t>1909892088</t>
  </si>
  <si>
    <t>FEHF237918</t>
  </si>
  <si>
    <t>1909892083</t>
  </si>
  <si>
    <t>FEHF237274</t>
  </si>
  <si>
    <t>1909892081</t>
  </si>
  <si>
    <t>FEHF236891</t>
  </si>
  <si>
    <t>47268418974 CARLOS PERTUZ</t>
  </si>
  <si>
    <t>1909892654</t>
  </si>
  <si>
    <t>FEHF252045</t>
  </si>
  <si>
    <t>1909892636</t>
  </si>
  <si>
    <t>FEHF248473</t>
  </si>
  <si>
    <t>1909892618</t>
  </si>
  <si>
    <t>FEHF248278</t>
  </si>
  <si>
    <t>1909892598</t>
  </si>
  <si>
    <t>FEHF247786</t>
  </si>
  <si>
    <t>1909892579</t>
  </si>
  <si>
    <t>FEHF246657</t>
  </si>
  <si>
    <t>1909892567</t>
  </si>
  <si>
    <t>FEHF246656</t>
  </si>
  <si>
    <t>1909892492</t>
  </si>
  <si>
    <t>FEHF246277</t>
  </si>
  <si>
    <t>1100118928 ANGIE LADINO</t>
  </si>
  <si>
    <t>1909892474</t>
  </si>
  <si>
    <t>FEHF245241</t>
  </si>
  <si>
    <t>08001541809 LUISA CONTRERAS</t>
  </si>
  <si>
    <t>1909892453</t>
  </si>
  <si>
    <t>FEHF244491</t>
  </si>
  <si>
    <t>1909892431</t>
  </si>
  <si>
    <t>FEHF243781</t>
  </si>
  <si>
    <t>81001174322 RICHARD GUERRERO</t>
  </si>
  <si>
    <t>1909892391</t>
  </si>
  <si>
    <t>FEHF242388</t>
  </si>
  <si>
    <t>1909892358</t>
  </si>
  <si>
    <t>FEHF241189</t>
  </si>
  <si>
    <t>2000561874</t>
  </si>
  <si>
    <t>MPS SAN-2636</t>
  </si>
  <si>
    <t>2000607766</t>
  </si>
  <si>
    <t>ESS024-EVENTO CSBGT2021ES2T00019214</t>
  </si>
  <si>
    <t>2000607785</t>
  </si>
  <si>
    <t>FEHF140780</t>
  </si>
  <si>
    <t>2000607764</t>
  </si>
  <si>
    <t>FEHF135014</t>
  </si>
  <si>
    <t>SALDO 20238360292 DANIELA PIÑA</t>
  </si>
  <si>
    <t>1907670050</t>
  </si>
  <si>
    <t>FEHF130508</t>
  </si>
  <si>
    <t>47001114310 MELISSA PABON</t>
  </si>
  <si>
    <t>1907382163</t>
  </si>
  <si>
    <t>FEHF138343</t>
  </si>
  <si>
    <t>13001425004 RUTH MURILLO</t>
  </si>
  <si>
    <t>SALDO SALDO 20238360292 DANIELA PIÑA</t>
  </si>
  <si>
    <t>1907597182</t>
  </si>
  <si>
    <t>4767500104603 MARIA MERCADO</t>
  </si>
  <si>
    <t>08685614006 IRHYS BADILLO</t>
  </si>
  <si>
    <t>08436011338 ROBERT CAICEDO</t>
  </si>
  <si>
    <t>2000590350</t>
  </si>
  <si>
    <t>MPS SAN-2836</t>
  </si>
  <si>
    <t>08001369675 RAFAEL ANCHILA</t>
  </si>
  <si>
    <t>1907168771</t>
  </si>
  <si>
    <t>FEHF138026</t>
  </si>
  <si>
    <t>08001372688 EVIS MARTINEZ</t>
  </si>
  <si>
    <t>2000537711</t>
  </si>
  <si>
    <t>MPS SAN-2745</t>
  </si>
  <si>
    <t>1907670064</t>
  </si>
  <si>
    <t>20238360292 DANIELA PIÑA</t>
  </si>
  <si>
    <t>2000607763</t>
  </si>
  <si>
    <t>FEHF116964</t>
  </si>
  <si>
    <t>SALDO 08436011822 DAYARLIS OROZCO</t>
  </si>
  <si>
    <t>2000582010</t>
  </si>
  <si>
    <t>FEHF118106</t>
  </si>
  <si>
    <t>1907127113</t>
  </si>
  <si>
    <t>FEHF117962</t>
  </si>
  <si>
    <t>1907462480</t>
  </si>
  <si>
    <t>FEHF117751</t>
  </si>
  <si>
    <t>13001307979 YINA MUÑOZ</t>
  </si>
  <si>
    <t>1907462472</t>
  </si>
  <si>
    <t>FEHF111051</t>
  </si>
  <si>
    <t>13001001208 LINDA ARTEAGA</t>
  </si>
  <si>
    <t>1907116276</t>
  </si>
  <si>
    <t>FEHF124914</t>
  </si>
  <si>
    <t>68001460283 GENESY HERNANDEZ</t>
  </si>
  <si>
    <t>1907490633</t>
  </si>
  <si>
    <t>FEHF155977</t>
  </si>
  <si>
    <t>2000615316</t>
  </si>
  <si>
    <t>08078255330 GINA NEGRETE</t>
  </si>
  <si>
    <t>08433393579 OMAR ZABALETA</t>
  </si>
  <si>
    <t>1907471879</t>
  </si>
  <si>
    <t>FEHF148635</t>
  </si>
  <si>
    <t>08560060316 EDUIN BARRIOS</t>
  </si>
  <si>
    <t>2000590440</t>
  </si>
  <si>
    <t>MPS SUC-2926</t>
  </si>
  <si>
    <t>2000612954</t>
  </si>
  <si>
    <t>70429235393 SARA FUQUEN</t>
  </si>
  <si>
    <t>2000537962</t>
  </si>
  <si>
    <t>MPS VAL-2996</t>
  </si>
  <si>
    <t>2000612101</t>
  </si>
  <si>
    <t>1907757699</t>
  </si>
  <si>
    <t>FEHF131658</t>
  </si>
  <si>
    <t>76233548659 CLAUDIA GARCIA</t>
  </si>
  <si>
    <t>1907757688</t>
  </si>
  <si>
    <t>FEHF131575</t>
  </si>
  <si>
    <t>1907757671</t>
  </si>
  <si>
    <t>FEHF131563</t>
  </si>
  <si>
    <t>1907757638</t>
  </si>
  <si>
    <t>FEHF127129</t>
  </si>
  <si>
    <t>2000468315</t>
  </si>
  <si>
    <t>MPS VAL-2534</t>
  </si>
  <si>
    <t>2000612088</t>
  </si>
  <si>
    <t>CARTERA EVENTO</t>
  </si>
  <si>
    <t>1907578332</t>
  </si>
  <si>
    <t>FEHF94792</t>
  </si>
  <si>
    <t>2000561866</t>
  </si>
  <si>
    <t>MPS ATL-2628</t>
  </si>
  <si>
    <t>2000597814</t>
  </si>
  <si>
    <t>2000597812</t>
  </si>
  <si>
    <t>FEHF100431</t>
  </si>
  <si>
    <t>SALDO 13440544374 DANIS MIRANDA</t>
  </si>
  <si>
    <t>2000536497</t>
  </si>
  <si>
    <t>MPS ATL-1532</t>
  </si>
  <si>
    <t>1907316992</t>
  </si>
  <si>
    <t>13440544374 DANIS MIRANDA</t>
  </si>
  <si>
    <t>1907116269</t>
  </si>
  <si>
    <t>FEHF110992</t>
  </si>
  <si>
    <t>54001465719 ROMMEL CHAVARRIA</t>
  </si>
  <si>
    <t>2000607762</t>
  </si>
  <si>
    <t>2000440229</t>
  </si>
  <si>
    <t>MPS CUN-2664</t>
  </si>
  <si>
    <t>1907127115</t>
  </si>
  <si>
    <t>08436011822 DAYARLIS OROZCO</t>
  </si>
  <si>
    <t>256121843 MARIA ZABALA</t>
  </si>
  <si>
    <t>1907099827</t>
  </si>
  <si>
    <t>FEHF57865</t>
  </si>
  <si>
    <t>1907099823</t>
  </si>
  <si>
    <t>FEHF53310</t>
  </si>
  <si>
    <t>1907045262</t>
  </si>
  <si>
    <t>FEHF102233</t>
  </si>
  <si>
    <t>1907045235</t>
  </si>
  <si>
    <t>FEHF100287</t>
  </si>
  <si>
    <t>1907045160</t>
  </si>
  <si>
    <t>FEHF96396</t>
  </si>
  <si>
    <t>25426122060 GERARDINO HERNANDEZ</t>
  </si>
  <si>
    <t>1907044861</t>
  </si>
  <si>
    <t>FEHF108051</t>
  </si>
  <si>
    <t>1907044846</t>
  </si>
  <si>
    <t>FEHF107532</t>
  </si>
  <si>
    <t>1907044809</t>
  </si>
  <si>
    <t>FEHF106448</t>
  </si>
  <si>
    <t>1907044755</t>
  </si>
  <si>
    <t>FEHF105916</t>
  </si>
  <si>
    <t>1907044750</t>
  </si>
  <si>
    <t>FEHF105069</t>
  </si>
  <si>
    <t>1907044730</t>
  </si>
  <si>
    <t>FEHF103209</t>
  </si>
  <si>
    <t>252693876 ANDREY CONDE</t>
  </si>
  <si>
    <t>1907044723</t>
  </si>
  <si>
    <t>FEHF103058</t>
  </si>
  <si>
    <t>1907044714</t>
  </si>
  <si>
    <t>FEHF102300</t>
  </si>
  <si>
    <t>252695499 CRISTINA CUERVO</t>
  </si>
  <si>
    <t>1907044706</t>
  </si>
  <si>
    <t>FEHF102217</t>
  </si>
  <si>
    <t>1907044701</t>
  </si>
  <si>
    <t>FEHF101863</t>
  </si>
  <si>
    <t>1907044664</t>
  </si>
  <si>
    <t>FEHF97660</t>
  </si>
  <si>
    <t>1907042138</t>
  </si>
  <si>
    <t>FEHF93580</t>
  </si>
  <si>
    <t>1907042046</t>
  </si>
  <si>
    <t>FEHF43049</t>
  </si>
  <si>
    <t>252693480 MARTHA ORTIZ</t>
  </si>
  <si>
    <t>1907041691</t>
  </si>
  <si>
    <t>FEHF42379</t>
  </si>
  <si>
    <t>252693867 ANGIE ROMERO</t>
  </si>
  <si>
    <t>1907116266</t>
  </si>
  <si>
    <t>FEHF110118</t>
  </si>
  <si>
    <t>1907116259</t>
  </si>
  <si>
    <t>FEHF109882</t>
  </si>
  <si>
    <t>2000488269</t>
  </si>
  <si>
    <t>MPS SAN-2539</t>
  </si>
  <si>
    <t xml:space="preserve"> CARTERA EVENTO</t>
  </si>
  <si>
    <t>1907116288</t>
  </si>
  <si>
    <t>FEHF117111</t>
  </si>
  <si>
    <t>23068154133 YUNEIDIS PATERNINA</t>
  </si>
  <si>
    <t>2000557970</t>
  </si>
  <si>
    <t>FEHF116553</t>
  </si>
  <si>
    <t>SALDO 20001079897 MAICOL MEDINA</t>
  </si>
  <si>
    <t>2000582006</t>
  </si>
  <si>
    <t>FEHF120166</t>
  </si>
  <si>
    <t>SALDO 252694395 ZOE MORALES</t>
  </si>
  <si>
    <t>1907101342</t>
  </si>
  <si>
    <t>FEHF124406</t>
  </si>
  <si>
    <t>1907101263</t>
  </si>
  <si>
    <t>FEHF119807</t>
  </si>
  <si>
    <t>1907127110</t>
  </si>
  <si>
    <t>1907116175</t>
  </si>
  <si>
    <t>FEHF121748</t>
  </si>
  <si>
    <t>2000582007</t>
  </si>
  <si>
    <t>FEHF111302</t>
  </si>
  <si>
    <t>SALDO 25269172554 ANDREA AVILA</t>
  </si>
  <si>
    <t>1907100406</t>
  </si>
  <si>
    <t>FEHF114269</t>
  </si>
  <si>
    <t>SALDO 68895050819 CAROL CEDEÑO</t>
  </si>
  <si>
    <t>2000468325</t>
  </si>
  <si>
    <t>MPS SAN-2544</t>
  </si>
  <si>
    <t>68895050819 CAROL CEDEÑO</t>
  </si>
  <si>
    <t>1907462435</t>
  </si>
  <si>
    <t>FEHF120329</t>
  </si>
  <si>
    <t>13001475037 MATHIAS GUTIERREZ</t>
  </si>
  <si>
    <t>2000607758</t>
  </si>
  <si>
    <t>FEHF120566</t>
  </si>
  <si>
    <t>SALDO 08758545018 BRITHANI GARCIA</t>
  </si>
  <si>
    <t>1907758074</t>
  </si>
  <si>
    <t>FEHF125988</t>
  </si>
  <si>
    <t>2000647790</t>
  </si>
  <si>
    <t>1907757966</t>
  </si>
  <si>
    <t>FEHF139060</t>
  </si>
  <si>
    <t>25754180504 JHOJAN SANDOVAL</t>
  </si>
  <si>
    <t>1907757898</t>
  </si>
  <si>
    <t>FEHF131276</t>
  </si>
  <si>
    <t>FEHF138489</t>
  </si>
  <si>
    <t>2000468313</t>
  </si>
  <si>
    <t>MPS CUN-2532</t>
  </si>
  <si>
    <t>2000647788</t>
  </si>
  <si>
    <t>1907757893</t>
  </si>
  <si>
    <t>FEHF127916</t>
  </si>
  <si>
    <t>2000647787</t>
  </si>
  <si>
    <t>FEHF129152</t>
  </si>
  <si>
    <t>SALDO 25269172924 ESTRELLA HASTAMORIR</t>
  </si>
  <si>
    <t>1907757807</t>
  </si>
  <si>
    <t>FEHF138518</t>
  </si>
  <si>
    <t>1907757775</t>
  </si>
  <si>
    <t>FEHF137764</t>
  </si>
  <si>
    <t>1907757739</t>
  </si>
  <si>
    <t>FEHF135754</t>
  </si>
  <si>
    <t>1907757726</t>
  </si>
  <si>
    <t>FEHF132799</t>
  </si>
  <si>
    <t>1907757718</t>
  </si>
  <si>
    <t>FEHF132714</t>
  </si>
  <si>
    <t>252694402 SANYI HINCAPIE</t>
  </si>
  <si>
    <t>1907757711</t>
  </si>
  <si>
    <t>FEHF132679</t>
  </si>
  <si>
    <t>1907757681</t>
  </si>
  <si>
    <t>FEHF131569</t>
  </si>
  <si>
    <t>25269172912 ERIKA HERNANDEZ</t>
  </si>
  <si>
    <t>1907757664</t>
  </si>
  <si>
    <t>FEHF129729</t>
  </si>
  <si>
    <t>1907757650</t>
  </si>
  <si>
    <t>FEHF128734</t>
  </si>
  <si>
    <t>1908234382</t>
  </si>
  <si>
    <t>FEHF24659</t>
  </si>
  <si>
    <t>ACEPTA EPS GLOS FE FEHF24659 18/03/2021 C</t>
  </si>
  <si>
    <t>2000450499</t>
  </si>
  <si>
    <t>MPS CUN-2191</t>
  </si>
  <si>
    <t>ESS024 CARTERA EVENTO</t>
  </si>
  <si>
    <t>1907757657</t>
  </si>
  <si>
    <t>1907757645</t>
  </si>
  <si>
    <t>FEHF128540</t>
  </si>
  <si>
    <t>1908183174</t>
  </si>
  <si>
    <t>FEHF168519</t>
  </si>
  <si>
    <t>2000647795</t>
  </si>
  <si>
    <t>1908183126</t>
  </si>
  <si>
    <t>FEHF163655</t>
  </si>
  <si>
    <t>252694636 CINDY LOPEZ</t>
  </si>
  <si>
    <t>2000647793</t>
  </si>
  <si>
    <t>SALDO 25426124169 MARIA SANABRIA</t>
  </si>
  <si>
    <t>1908234684</t>
  </si>
  <si>
    <t>FEHF104288</t>
  </si>
  <si>
    <t>ACEPTA EPS GLOS FE FEHF104288 28/06/2021 C</t>
  </si>
  <si>
    <t>2000647786</t>
  </si>
  <si>
    <t>FEHF45747</t>
  </si>
  <si>
    <t>SALDO ACEPTA EPS GLOS FE FEHF45747 18/03/2021 C</t>
  </si>
  <si>
    <t>2000488265</t>
  </si>
  <si>
    <t>MPS CUN-2535</t>
  </si>
  <si>
    <t>2000647785</t>
  </si>
  <si>
    <t>HSRF3929931</t>
  </si>
  <si>
    <t>SALDO 25754131163 CLAUDIA COMEZAQUIRA</t>
  </si>
  <si>
    <t>25426124169 MARIA SANABRIA</t>
  </si>
  <si>
    <t>1907962612</t>
  </si>
  <si>
    <t>FEHF155591</t>
  </si>
  <si>
    <t>1907962544</t>
  </si>
  <si>
    <t>FEHF146840</t>
  </si>
  <si>
    <t>1907962447</t>
  </si>
  <si>
    <t>FEHF152579</t>
  </si>
  <si>
    <t>252694410 WILLIAM CARO</t>
  </si>
  <si>
    <t>SALDO 25269172719 NUBIA UCHAMOCHA</t>
  </si>
  <si>
    <t>252693574 GLORIA SALAMANCA</t>
  </si>
  <si>
    <t>SALDO 252693867 ANGIE ROMERO</t>
  </si>
  <si>
    <t>2000468321</t>
  </si>
  <si>
    <t>MPS CUN-2540</t>
  </si>
  <si>
    <t>1907758124</t>
  </si>
  <si>
    <t>1907758099</t>
  </si>
  <si>
    <t>FEHF126402</t>
  </si>
  <si>
    <t>1907758080</t>
  </si>
  <si>
    <t>FEHF126141</t>
  </si>
  <si>
    <t>1907757630</t>
  </si>
  <si>
    <t>FEHF127099</t>
  </si>
  <si>
    <t>2000645462</t>
  </si>
  <si>
    <t>2000618776</t>
  </si>
  <si>
    <t>MPS MAG-2459</t>
  </si>
  <si>
    <t>2000645460</t>
  </si>
  <si>
    <t>2000645459</t>
  </si>
  <si>
    <t>SALDO SALDO 08078255330 GINA NEGRETE</t>
  </si>
  <si>
    <t>2000640906</t>
  </si>
  <si>
    <t>SALDO SALDO 70429235393 SARA FUQUEN</t>
  </si>
  <si>
    <t>2000589980</t>
  </si>
  <si>
    <t>MPS MAG-2467</t>
  </si>
  <si>
    <t>SALDO 08078255330 GINA NEGRETE</t>
  </si>
  <si>
    <t>2000619214</t>
  </si>
  <si>
    <t>MPS SUC-2897</t>
  </si>
  <si>
    <t>SALDO 70429235393 SARA FUQUEN</t>
  </si>
  <si>
    <t>2000561872</t>
  </si>
  <si>
    <t>MPS MAG-2634</t>
  </si>
  <si>
    <t>2000637795</t>
  </si>
  <si>
    <t>1907757784</t>
  </si>
  <si>
    <t>FEHF137794</t>
  </si>
  <si>
    <t>1907757767</t>
  </si>
  <si>
    <t>FEHF137497</t>
  </si>
  <si>
    <t>1907757747</t>
  </si>
  <si>
    <t>FEHF137148</t>
  </si>
  <si>
    <t>2000590132</t>
  </si>
  <si>
    <t>MPS NOR-2619</t>
  </si>
  <si>
    <t>2000632437</t>
  </si>
  <si>
    <t>1907618719</t>
  </si>
  <si>
    <t>FEHF156932</t>
  </si>
  <si>
    <t>54001435730 KORANNY CHACON</t>
  </si>
  <si>
    <t>2000589101</t>
  </si>
  <si>
    <t>MPS ATL-1591</t>
  </si>
  <si>
    <t>1908234322</t>
  </si>
  <si>
    <t>ACEPTA EPS GLOS FE FEHF45747 18/03/2021 C</t>
  </si>
  <si>
    <t>2000450498</t>
  </si>
  <si>
    <t>MPS CUN-2190</t>
  </si>
  <si>
    <t>2000440228</t>
  </si>
  <si>
    <t>MPS CUN-2663</t>
  </si>
  <si>
    <t>1908233690</t>
  </si>
  <si>
    <t>25754131163 CLAUDIA COMEZAQUIRA</t>
  </si>
  <si>
    <t>2000618377</t>
  </si>
  <si>
    <t>MPS CES-2060</t>
  </si>
  <si>
    <t>2000645957</t>
  </si>
  <si>
    <t>20400169249 DIANA SUAREZ</t>
  </si>
  <si>
    <t>1908183188</t>
  </si>
  <si>
    <t>FEHF172576</t>
  </si>
  <si>
    <t>20013900081 ANDRES MENDOZA</t>
  </si>
  <si>
    <t>2000537330</t>
  </si>
  <si>
    <t>MPS MAG-2364</t>
  </si>
  <si>
    <t>13001359471 LINA JULIO</t>
  </si>
  <si>
    <t>SALDO 54001435730 KORANNY CHACON</t>
  </si>
  <si>
    <t>1907695584</t>
  </si>
  <si>
    <t>FEHF142847</t>
  </si>
  <si>
    <t>68745000360 FLOR VESGA</t>
  </si>
  <si>
    <t>SALDO 4767500104603 MARIA MERCADO</t>
  </si>
  <si>
    <t>SALDO 47980088279 JOHANA ALTAMAR</t>
  </si>
  <si>
    <t>SALDO 76233548659 CLAUDIA GARCIA</t>
  </si>
  <si>
    <t>1907757732</t>
  </si>
  <si>
    <t>FEHF133707</t>
  </si>
  <si>
    <t>2000450497</t>
  </si>
  <si>
    <t>MPS COR-2189</t>
  </si>
  <si>
    <t>2000489405</t>
  </si>
  <si>
    <t>FEHF73476</t>
  </si>
  <si>
    <t>1906340667</t>
  </si>
  <si>
    <t>05604352704 LAURA GARCIA</t>
  </si>
  <si>
    <t>2000450501</t>
  </si>
  <si>
    <t>MPS SAN-2193</t>
  </si>
  <si>
    <t>2000484511</t>
  </si>
  <si>
    <t>1906315897</t>
  </si>
  <si>
    <t>FEHF78722</t>
  </si>
  <si>
    <t>54001352759 BRAYAN PEREZ</t>
  </si>
  <si>
    <t>2000450492</t>
  </si>
  <si>
    <t>MPS ARA-2184</t>
  </si>
  <si>
    <t>2000484513</t>
  </si>
  <si>
    <t>1906326777</t>
  </si>
  <si>
    <t>FEHF74182</t>
  </si>
  <si>
    <t>08758507170 JHON MORALES</t>
  </si>
  <si>
    <t>2000468326</t>
  </si>
  <si>
    <t>MPS SUC-2545</t>
  </si>
  <si>
    <t>2000481791</t>
  </si>
  <si>
    <t>2000481789</t>
  </si>
  <si>
    <t>SALDO 15135000244 ANA BRAVO</t>
  </si>
  <si>
    <t>1906257950</t>
  </si>
  <si>
    <t>FEHF83178</t>
  </si>
  <si>
    <t>15469183484 MERCEDES RODRIGUEZ</t>
  </si>
  <si>
    <t>2000450502</t>
  </si>
  <si>
    <t>MPS SUC-2194</t>
  </si>
  <si>
    <t>2000481790</t>
  </si>
  <si>
    <t>1906257915</t>
  </si>
  <si>
    <t>FEHF78173</t>
  </si>
  <si>
    <t>15632173438 HECTOR SANCHEZ</t>
  </si>
  <si>
    <t>2000468316</t>
  </si>
  <si>
    <t>MPS ANT-2535</t>
  </si>
  <si>
    <t>2000479094</t>
  </si>
  <si>
    <t>COMPENSACIÓN MARZO /2021 ANTIOQUIA</t>
  </si>
  <si>
    <t>1906194777</t>
  </si>
  <si>
    <t>FEHF66050</t>
  </si>
  <si>
    <t>05001536379 REINALDO MARIN</t>
  </si>
  <si>
    <t>2000468312</t>
  </si>
  <si>
    <t>MPS BOG-2531</t>
  </si>
  <si>
    <t>2000479086</t>
  </si>
  <si>
    <t>1905239808</t>
  </si>
  <si>
    <t>FEHF814</t>
  </si>
  <si>
    <t>11001162523 JUANA ACEVEDO</t>
  </si>
  <si>
    <t>1905144089</t>
  </si>
  <si>
    <t>HSRF3985870</t>
  </si>
  <si>
    <t>11001163103 NAIELY ACEVEDO</t>
  </si>
  <si>
    <t>1906137212</t>
  </si>
  <si>
    <t xml:space="preserve"> HSRF3938732</t>
  </si>
  <si>
    <t>1907008608</t>
  </si>
  <si>
    <t>FEHF111724</t>
  </si>
  <si>
    <t>2000552116</t>
  </si>
  <si>
    <t>2000488266</t>
  </si>
  <si>
    <t>MPS ATL-2536</t>
  </si>
  <si>
    <t>2000509556</t>
  </si>
  <si>
    <t>2000509555</t>
  </si>
  <si>
    <t>FEHF73212</t>
  </si>
  <si>
    <t>SALDO 08001166564 MARTHA AREVALO</t>
  </si>
  <si>
    <t>2000468317</t>
  </si>
  <si>
    <t>2000509554</t>
  </si>
  <si>
    <t>SALDO SALDO 08758507170 JHON MORALES</t>
  </si>
  <si>
    <t>1906326787</t>
  </si>
  <si>
    <t>08001166564 MARTHA AREVALO</t>
  </si>
  <si>
    <t>2000468311</t>
  </si>
  <si>
    <t>MPS ATL-2530</t>
  </si>
  <si>
    <t>SALDO 08758507170 JHON MORALES</t>
  </si>
  <si>
    <t>2000488271</t>
  </si>
  <si>
    <t>MPS COR-2541</t>
  </si>
  <si>
    <t>2000489410</t>
  </si>
  <si>
    <t>1906368111</t>
  </si>
  <si>
    <t>FEHF81273</t>
  </si>
  <si>
    <t>47980059968 OLGA MANJARRES</t>
  </si>
  <si>
    <t>1906348305</t>
  </si>
  <si>
    <t>FEHF79791</t>
  </si>
  <si>
    <t>68276484513 ORIANA RODRIGUEZ</t>
  </si>
  <si>
    <t>SALDO 05604352704 LAURA GARCIA</t>
  </si>
  <si>
    <t>1906340670</t>
  </si>
  <si>
    <t>FEHF77495</t>
  </si>
  <si>
    <t>05790183386 YADIR ROMERO</t>
  </si>
  <si>
    <t>2000468320</t>
  </si>
  <si>
    <t>MPS COR-2539</t>
  </si>
  <si>
    <t>2000489408</t>
  </si>
  <si>
    <t>FEHF76471</t>
  </si>
  <si>
    <t>1906340669</t>
  </si>
  <si>
    <t>105404594</t>
  </si>
  <si>
    <t>AB</t>
  </si>
  <si>
    <t>HSRF3935650.</t>
  </si>
  <si>
    <t>SALDO 11001180936 JOSE ACEVEDO</t>
  </si>
  <si>
    <t>1905532072</t>
  </si>
  <si>
    <t>FEHF16775</t>
  </si>
  <si>
    <t>2000463374</t>
  </si>
  <si>
    <t>SALDO PXP</t>
  </si>
  <si>
    <t>1906125290</t>
  </si>
  <si>
    <t>HSRF3959102</t>
  </si>
  <si>
    <t>2000463460</t>
  </si>
  <si>
    <t>ACEPTA EPS GLOS FE HSRF3959102 21/09/2020 C</t>
  </si>
  <si>
    <t>COMPENS MPS ATL-</t>
  </si>
  <si>
    <t>COMPENS MPS ATL-2185    MPS ATL-2658</t>
  </si>
  <si>
    <t>2000450493</t>
  </si>
  <si>
    <t>MPS ATL-2185</t>
  </si>
  <si>
    <t>2000440223</t>
  </si>
  <si>
    <t>MPS ATL-2658</t>
  </si>
  <si>
    <t>1905159675</t>
  </si>
  <si>
    <t>CM16687</t>
  </si>
  <si>
    <t>11001163879 SANDRA CHAVARRO</t>
  </si>
  <si>
    <t>1905994248</t>
  </si>
  <si>
    <t>FEHF61749</t>
  </si>
  <si>
    <t>08675494231 YURANIS GOMEZ</t>
  </si>
  <si>
    <t>1905534344</t>
  </si>
  <si>
    <t>FEHF27840</t>
  </si>
  <si>
    <t>68720061389 LIGIA CONTRERAS</t>
  </si>
  <si>
    <t>2000450494</t>
  </si>
  <si>
    <t>MPS BOG-2186</t>
  </si>
  <si>
    <t>2000462179</t>
  </si>
  <si>
    <t>ABONO 11001180936 JOSE ACEVEDO</t>
  </si>
  <si>
    <t>COMPENSACION</t>
  </si>
  <si>
    <t>2000440224</t>
  </si>
  <si>
    <t>MPS BOG-2659</t>
  </si>
  <si>
    <t>2000462173</t>
  </si>
  <si>
    <t>1905829884</t>
  </si>
  <si>
    <t>FEHF51486</t>
  </si>
  <si>
    <t>2000440222</t>
  </si>
  <si>
    <t>MPS ANT-2657</t>
  </si>
  <si>
    <t>2000451614</t>
  </si>
  <si>
    <t>1905035692</t>
  </si>
  <si>
    <t>HSRF3967037</t>
  </si>
  <si>
    <t>13894316362 CESAR HERRERA</t>
  </si>
  <si>
    <t>PAGO EVENTO</t>
  </si>
  <si>
    <t>COMPENSACION PAGO EVENTO ENERO 2021</t>
  </si>
  <si>
    <t>1905972691</t>
  </si>
  <si>
    <t>CM15018</t>
  </si>
  <si>
    <t>ABONO FACTURA CM15018 E.S.E. HOSPITAL SAN RAFAEL D</t>
  </si>
  <si>
    <t>105404585</t>
  </si>
  <si>
    <t>CM16691.</t>
  </si>
  <si>
    <t>SALDO 11001162523 JUANA ACEVEDO</t>
  </si>
  <si>
    <t>105404582</t>
  </si>
  <si>
    <t>CM15425.</t>
  </si>
  <si>
    <t>1905159718</t>
  </si>
  <si>
    <t>HSRF3943209</t>
  </si>
  <si>
    <t>11001180936 JOSE ACEVEDO</t>
  </si>
  <si>
    <t>COMPENSACIÓN MARZO /2021 BOGOTA</t>
  </si>
  <si>
    <t>1905787964</t>
  </si>
  <si>
    <t>FEHF55803</t>
  </si>
  <si>
    <t>47001385212 SARA CASTRO</t>
  </si>
  <si>
    <t>1906073240</t>
  </si>
  <si>
    <t>FEHF69402</t>
  </si>
  <si>
    <t>1906073206</t>
  </si>
  <si>
    <t>FEHF64729</t>
  </si>
  <si>
    <t>81736479632 FRANCISCO OSPINO</t>
  </si>
  <si>
    <t>2000401122</t>
  </si>
  <si>
    <t>MPS BOL-2370</t>
  </si>
  <si>
    <t>2000385338</t>
  </si>
  <si>
    <t>MPS BOL-2033</t>
  </si>
  <si>
    <t>GD-ESS024 CARTERA EVENTO</t>
  </si>
  <si>
    <t>2000357115</t>
  </si>
  <si>
    <t>MPS BOL -1433</t>
  </si>
  <si>
    <t>2000440226</t>
  </si>
  <si>
    <t>MPS BOL-2661</t>
  </si>
  <si>
    <t>2000440225</t>
  </si>
  <si>
    <t>MPS BOL-2660</t>
  </si>
  <si>
    <t>2000412876</t>
  </si>
  <si>
    <t>MPS BOL-2481</t>
  </si>
  <si>
    <t>1905939068</t>
  </si>
  <si>
    <t>FEHF6703</t>
  </si>
  <si>
    <t>13001465525 CARMEN VELANDIA</t>
  </si>
  <si>
    <t>1905932850</t>
  </si>
  <si>
    <t>FEHF8848</t>
  </si>
  <si>
    <t>13468489816 NELLY SAAVEDRA</t>
  </si>
  <si>
    <t>1905140318</t>
  </si>
  <si>
    <t>HSRF3975834</t>
  </si>
  <si>
    <t>13468440604 YUNARIS CHACON</t>
  </si>
  <si>
    <t>EVENTO ENE_2021</t>
  </si>
  <si>
    <t>1905939041</t>
  </si>
  <si>
    <t>FEHF13482</t>
  </si>
  <si>
    <t>1905868073</t>
  </si>
  <si>
    <t>FEHF50322</t>
  </si>
  <si>
    <t>13001123339 MILTON ORTEGA</t>
  </si>
  <si>
    <t>1905994844</t>
  </si>
  <si>
    <t>FEHF14747</t>
  </si>
  <si>
    <t>13873382862 TERRY VARGAS</t>
  </si>
  <si>
    <t>1907100354</t>
  </si>
  <si>
    <t>1907100332</t>
  </si>
  <si>
    <t>FEHF110562</t>
  </si>
  <si>
    <t>1907100248</t>
  </si>
  <si>
    <t>FEHF123110</t>
  </si>
  <si>
    <t>2575421830 HIJO DE ROZO</t>
  </si>
  <si>
    <t>1907100243</t>
  </si>
  <si>
    <t>FEHF122681</t>
  </si>
  <si>
    <t>252697866 ALISSON BELLO</t>
  </si>
  <si>
    <t>1907100209</t>
  </si>
  <si>
    <t>FEHF121799</t>
  </si>
  <si>
    <t>1907100087</t>
  </si>
  <si>
    <t>FEHF62486</t>
  </si>
  <si>
    <t>1907099934</t>
  </si>
  <si>
    <t>FEHF60181</t>
  </si>
  <si>
    <t>2000536952</t>
  </si>
  <si>
    <t>MPS CES-1986</t>
  </si>
  <si>
    <t>1907164518</t>
  </si>
  <si>
    <t>1907101049</t>
  </si>
  <si>
    <t>FEHF114356</t>
  </si>
  <si>
    <t>1907164539</t>
  </si>
  <si>
    <t>FEHF46607</t>
  </si>
  <si>
    <t>20013940338 PATRICIA GRANADOS</t>
  </si>
  <si>
    <t>1906898590</t>
  </si>
  <si>
    <t>FEHF105737</t>
  </si>
  <si>
    <t>20013357795 JAIRO SANJUAN</t>
  </si>
  <si>
    <t>1906898629</t>
  </si>
  <si>
    <t>FEHF96387</t>
  </si>
  <si>
    <t>20013288353 KENNYS CASTAÑEZ</t>
  </si>
  <si>
    <t>1906898620</t>
  </si>
  <si>
    <t>FEHF108433</t>
  </si>
  <si>
    <t>20238873216 ANTONY RUIZ</t>
  </si>
  <si>
    <t>1907039924</t>
  </si>
  <si>
    <t>FEHF29118</t>
  </si>
  <si>
    <t>20013202097 LUZ PALMERA</t>
  </si>
  <si>
    <t>1907035945</t>
  </si>
  <si>
    <t>FEHF29037</t>
  </si>
  <si>
    <t>1907035624</t>
  </si>
  <si>
    <t>FEHF28948</t>
  </si>
  <si>
    <t>1907041678</t>
  </si>
  <si>
    <t>FEHF39783</t>
  </si>
  <si>
    <t>1907041662</t>
  </si>
  <si>
    <t>FEHF33155</t>
  </si>
  <si>
    <t>252694343 KAREN VELASQUEZ</t>
  </si>
  <si>
    <t>1907041216</t>
  </si>
  <si>
    <t>FEHF42139</t>
  </si>
  <si>
    <t>1907041209</t>
  </si>
  <si>
    <t>FEHF40546</t>
  </si>
  <si>
    <t>1907041202</t>
  </si>
  <si>
    <t>FEHF40311</t>
  </si>
  <si>
    <t>1907041175</t>
  </si>
  <si>
    <t>FEHF36971</t>
  </si>
  <si>
    <t>1907041168</t>
  </si>
  <si>
    <t>FEHF35661</t>
  </si>
  <si>
    <t>25269172647 LAURA QUINTERO</t>
  </si>
  <si>
    <t>1907041160</t>
  </si>
  <si>
    <t>FEHF32469</t>
  </si>
  <si>
    <t>1907041149</t>
  </si>
  <si>
    <t>FEHF31240</t>
  </si>
  <si>
    <t>1907041141</t>
  </si>
  <si>
    <t>FEHF31236</t>
  </si>
  <si>
    <t>1907040559</t>
  </si>
  <si>
    <t>FEHF46252</t>
  </si>
  <si>
    <t>1907040530</t>
  </si>
  <si>
    <t>FEHF42438</t>
  </si>
  <si>
    <t>25754127280 MARLEN BELLACO</t>
  </si>
  <si>
    <t>1907040514</t>
  </si>
  <si>
    <t>FEHF42254</t>
  </si>
  <si>
    <t>1907040469</t>
  </si>
  <si>
    <t>FEHF41680</t>
  </si>
  <si>
    <t>1907040383</t>
  </si>
  <si>
    <t>FEHF35087</t>
  </si>
  <si>
    <t>1907040048</t>
  </si>
  <si>
    <t>FEHF34755</t>
  </si>
  <si>
    <t>1907039997</t>
  </si>
  <si>
    <t>FEHF31359</t>
  </si>
  <si>
    <t>1907039961</t>
  </si>
  <si>
    <t>FEHF29673</t>
  </si>
  <si>
    <t>2000531749</t>
  </si>
  <si>
    <t>SALDO 25307120426 BETSABE GARCIA</t>
  </si>
  <si>
    <t>2000468318</t>
  </si>
  <si>
    <t>MPS BOY-2537</t>
  </si>
  <si>
    <t>2000552048</t>
  </si>
  <si>
    <t>MPS COR-2096</t>
  </si>
  <si>
    <t>2000488267</t>
  </si>
  <si>
    <t>MPS MAG-2537</t>
  </si>
  <si>
    <t>2000552155</t>
  </si>
  <si>
    <t>1906776932</t>
  </si>
  <si>
    <t>FEHF98200</t>
  </si>
  <si>
    <t>2000552125</t>
  </si>
  <si>
    <t>FEHF95588</t>
  </si>
  <si>
    <t>SALDO 47675217670 JESUS MARTINEZ</t>
  </si>
  <si>
    <t>1906783208</t>
  </si>
  <si>
    <t>FEHF108216</t>
  </si>
  <si>
    <t>47551417550 MARIANA BOLIVAR</t>
  </si>
  <si>
    <t>2000468322</t>
  </si>
  <si>
    <t>MPS MAG-2541</t>
  </si>
  <si>
    <t>1906783211</t>
  </si>
  <si>
    <t>47675217670 JESUS MARTINEZ</t>
  </si>
  <si>
    <t>2000468314</t>
  </si>
  <si>
    <t>MPS MAG-2533</t>
  </si>
  <si>
    <t>2000552122</t>
  </si>
  <si>
    <t>1907046681</t>
  </si>
  <si>
    <t>FEHF105921</t>
  </si>
  <si>
    <t>1906783203</t>
  </si>
  <si>
    <t>FEHF95263</t>
  </si>
  <si>
    <t>2000552118</t>
  </si>
  <si>
    <t>FEHF38514</t>
  </si>
  <si>
    <t>SALDO 47001413973 LUIS ESCUDERO</t>
  </si>
  <si>
    <t>1907040014</t>
  </si>
  <si>
    <t>FEHF34276</t>
  </si>
  <si>
    <t>47053252013 SIRLEY ESCORCIA</t>
  </si>
  <si>
    <t>2000450500</t>
  </si>
  <si>
    <t>MPS MAG-2192</t>
  </si>
  <si>
    <t>1907041194</t>
  </si>
  <si>
    <t>47001413973 LUIS ESCUDERO</t>
  </si>
  <si>
    <t>2000440230</t>
  </si>
  <si>
    <t>MPS MAG-2665</t>
  </si>
  <si>
    <t>2000537062</t>
  </si>
  <si>
    <t>1907046754</t>
  </si>
  <si>
    <t>FEHF108040</t>
  </si>
  <si>
    <t>1907046729</t>
  </si>
  <si>
    <t>FEHF106926</t>
  </si>
  <si>
    <t>23580187027 JOHENIS AGAMEZ</t>
  </si>
  <si>
    <t>1907046511</t>
  </si>
  <si>
    <t>FEHF100552</t>
  </si>
  <si>
    <t>1907046485</t>
  </si>
  <si>
    <t>FEHF99718</t>
  </si>
  <si>
    <t>1906771055</t>
  </si>
  <si>
    <t>FEHF93931</t>
  </si>
  <si>
    <t>1907044690</t>
  </si>
  <si>
    <t>FEHF101701</t>
  </si>
  <si>
    <t>2000440231</t>
  </si>
  <si>
    <t>MPS MAG-2666</t>
  </si>
  <si>
    <t>2000552162</t>
  </si>
  <si>
    <t>1907008610</t>
  </si>
  <si>
    <t>FEHF123594</t>
  </si>
  <si>
    <t>1907045618</t>
  </si>
  <si>
    <t>FEHF107329</t>
  </si>
  <si>
    <t>1906783212</t>
  </si>
  <si>
    <t>FEHF99406</t>
  </si>
  <si>
    <t>1906783210</t>
  </si>
  <si>
    <t>FEHF110345</t>
  </si>
  <si>
    <t>1906783209</t>
  </si>
  <si>
    <t>FEHF108254</t>
  </si>
  <si>
    <t>47460441548 YEIDER BARRETO</t>
  </si>
  <si>
    <t>1906783207</t>
  </si>
  <si>
    <t>FEHF107159</t>
  </si>
  <si>
    <t>47675081017 DARLIS JIMENEZ</t>
  </si>
  <si>
    <t>1906783206</t>
  </si>
  <si>
    <t>FEHF107136</t>
  </si>
  <si>
    <t>1907042160</t>
  </si>
  <si>
    <t>FEHF94188</t>
  </si>
  <si>
    <t>1907039933</t>
  </si>
  <si>
    <t>FEHF29327</t>
  </si>
  <si>
    <t>1907035971</t>
  </si>
  <si>
    <t>FEHF29052</t>
  </si>
  <si>
    <t>1907035923</t>
  </si>
  <si>
    <t>FEHF28997</t>
  </si>
  <si>
    <t>1908628912</t>
  </si>
  <si>
    <t>FEHF188095</t>
  </si>
  <si>
    <t>252695413 JULIAN PORTE</t>
  </si>
  <si>
    <t>1908628921</t>
  </si>
  <si>
    <t>FEHF190553</t>
  </si>
  <si>
    <t>1908628922</t>
  </si>
  <si>
    <t>FEHF190559</t>
  </si>
  <si>
    <t>2000678643</t>
  </si>
  <si>
    <t>MPS CUN-1990</t>
  </si>
  <si>
    <t>2000702629</t>
  </si>
  <si>
    <t>1908405648</t>
  </si>
  <si>
    <t>FEHF185333</t>
  </si>
  <si>
    <t>1908405624</t>
  </si>
  <si>
    <t>FEHF182504</t>
  </si>
  <si>
    <t>1908628932</t>
  </si>
  <si>
    <t>FEHF192937</t>
  </si>
  <si>
    <t>1908628933</t>
  </si>
  <si>
    <t>FEHF194152</t>
  </si>
  <si>
    <t>1908628935</t>
  </si>
  <si>
    <t>FEHF194154</t>
  </si>
  <si>
    <t>1908628950</t>
  </si>
  <si>
    <t>FEHF197251</t>
  </si>
  <si>
    <t>252695208 EMMANUEL FIGUEREDO</t>
  </si>
  <si>
    <t>1908628979</t>
  </si>
  <si>
    <t>FEHF196877</t>
  </si>
  <si>
    <t>25426122540 SANTOS ESPINOSA</t>
  </si>
  <si>
    <t>1908628997</t>
  </si>
  <si>
    <t>25754132845 JOSE BENAVIDES</t>
  </si>
  <si>
    <t>1908405607</t>
  </si>
  <si>
    <t>FEHF179807</t>
  </si>
  <si>
    <t>1908405578</t>
  </si>
  <si>
    <t>FEHF177304</t>
  </si>
  <si>
    <t>1908405575</t>
  </si>
  <si>
    <t>FEHF176742</t>
  </si>
  <si>
    <t>1908405993</t>
  </si>
  <si>
    <t>FEHF174252</t>
  </si>
  <si>
    <t>1908407949</t>
  </si>
  <si>
    <t>FEHF186615</t>
  </si>
  <si>
    <t>1908407905</t>
  </si>
  <si>
    <t>FEHF178394</t>
  </si>
  <si>
    <t>252694927 CAMILO PEREZ</t>
  </si>
  <si>
    <t>FEHF192181</t>
  </si>
  <si>
    <t>1908563269</t>
  </si>
  <si>
    <t>FEHF200084</t>
  </si>
  <si>
    <t>1908563249</t>
  </si>
  <si>
    <t>FEHF195228</t>
  </si>
  <si>
    <t>1908563213</t>
  </si>
  <si>
    <t>FEHF195317</t>
  </si>
  <si>
    <t>2517527292 CAMILA PEROZO</t>
  </si>
  <si>
    <t>2000698866</t>
  </si>
  <si>
    <t>MPS ATL-1373</t>
  </si>
  <si>
    <t>08436513635 LUISA BERDUGO</t>
  </si>
  <si>
    <t>1908628973</t>
  </si>
  <si>
    <t>FEHF192200</t>
  </si>
  <si>
    <t>08001393883 JOYNER MONSALVE</t>
  </si>
  <si>
    <t>08421655926 ALJAIDA ORTIZ</t>
  </si>
  <si>
    <t>2000678644</t>
  </si>
  <si>
    <t>MPS CUN-1991</t>
  </si>
  <si>
    <t>1908405680</t>
  </si>
  <si>
    <t>FEHF188659</t>
  </si>
  <si>
    <t>1908405669</t>
  </si>
  <si>
    <t>FEHF188631</t>
  </si>
  <si>
    <t>1908405658</t>
  </si>
  <si>
    <t>FEHF186016</t>
  </si>
  <si>
    <t>1908405631</t>
  </si>
  <si>
    <t>FEHF183816</t>
  </si>
  <si>
    <t>1908405617</t>
  </si>
  <si>
    <t>FEHF180471</t>
  </si>
  <si>
    <t>1908405600</t>
  </si>
  <si>
    <t>FEHF177588</t>
  </si>
  <si>
    <t>25269172873 ADRIAN LOPEZ</t>
  </si>
  <si>
    <t>1908405595</t>
  </si>
  <si>
    <t>FEHF177583</t>
  </si>
  <si>
    <t>25269172872 YEREMI LOPEZ</t>
  </si>
  <si>
    <t>1908405567</t>
  </si>
  <si>
    <t>FEHF174991</t>
  </si>
  <si>
    <t>25269172946 SAMANTHA MORENO</t>
  </si>
  <si>
    <t>1908405563</t>
  </si>
  <si>
    <t>FEHF174239</t>
  </si>
  <si>
    <t>25269172610 MOISES MURILLO</t>
  </si>
  <si>
    <t>1908406099</t>
  </si>
  <si>
    <t>FEHF182587</t>
  </si>
  <si>
    <t>1908406023</t>
  </si>
  <si>
    <t>FEHF177675</t>
  </si>
  <si>
    <t>2000681837</t>
  </si>
  <si>
    <t>FEHF192484</t>
  </si>
  <si>
    <t>1908563273</t>
  </si>
  <si>
    <t>FEHF200330</t>
  </si>
  <si>
    <t>252694203 LEONARDO SANCHEZ</t>
  </si>
  <si>
    <t>1908563178</t>
  </si>
  <si>
    <t>FEHF188655</t>
  </si>
  <si>
    <t>SALDO 252694137 JOHN AVILA</t>
  </si>
  <si>
    <t>1908628998</t>
  </si>
  <si>
    <t>FEHF196589</t>
  </si>
  <si>
    <t>1908563200</t>
  </si>
  <si>
    <t>FEHF195269</t>
  </si>
  <si>
    <t>2000617867</t>
  </si>
  <si>
    <t>MPS ATL-1550</t>
  </si>
  <si>
    <t>1908405584</t>
  </si>
  <si>
    <t>FEHF177567</t>
  </si>
  <si>
    <t>1908405521</t>
  </si>
  <si>
    <t>FEHF173576</t>
  </si>
  <si>
    <t>1908405515</t>
  </si>
  <si>
    <t>FEHF173563</t>
  </si>
  <si>
    <t>68575423488 YEIBER MOLINA</t>
  </si>
  <si>
    <t>1908407632</t>
  </si>
  <si>
    <t>FEHF186385</t>
  </si>
  <si>
    <t>13433392111 MARIALY BLANCO</t>
  </si>
  <si>
    <t>1908407621</t>
  </si>
  <si>
    <t>FEHF185546</t>
  </si>
  <si>
    <t>13647593856 TERESA CASTILLA</t>
  </si>
  <si>
    <t>1908407616</t>
  </si>
  <si>
    <t>FEHF185207</t>
  </si>
  <si>
    <t>13647530416 MARIA HERRERA</t>
  </si>
  <si>
    <t>1908407611</t>
  </si>
  <si>
    <t>FEHF184922</t>
  </si>
  <si>
    <t>68689003661 MARIA MUÑOZ</t>
  </si>
  <si>
    <t>1908407299</t>
  </si>
  <si>
    <t>FEHF177299</t>
  </si>
  <si>
    <t>2000675149</t>
  </si>
  <si>
    <t>SALDO 20400358226 BELKIS TRUJILLO</t>
  </si>
  <si>
    <t>1908407936</t>
  </si>
  <si>
    <t>FEHF186038</t>
  </si>
  <si>
    <t>1908407927</t>
  </si>
  <si>
    <t>FEHF183694</t>
  </si>
  <si>
    <t>1908407917</t>
  </si>
  <si>
    <t>FEHF182343</t>
  </si>
  <si>
    <t>1908407793</t>
  </si>
  <si>
    <t>FEHF177216</t>
  </si>
  <si>
    <t>1908407695</t>
  </si>
  <si>
    <t>FEHF171870</t>
  </si>
  <si>
    <t>47268421496 MEIBYS MARTINEZ</t>
  </si>
  <si>
    <t>1908563280</t>
  </si>
  <si>
    <t>FEHF200348</t>
  </si>
  <si>
    <t>08436013785 YULISSA ESCOBAR</t>
  </si>
  <si>
    <t>1908563191</t>
  </si>
  <si>
    <t>2000661699</t>
  </si>
  <si>
    <t>MPS ATL 1614</t>
  </si>
  <si>
    <t>1908407645</t>
  </si>
  <si>
    <t>FEHF186605</t>
  </si>
  <si>
    <t>1908407638</t>
  </si>
  <si>
    <t>08001544112 MICHEL CORONEL</t>
  </si>
  <si>
    <t>1908563182</t>
  </si>
  <si>
    <t>FEHF189859</t>
  </si>
  <si>
    <t>1908628971</t>
  </si>
  <si>
    <t>252694137 JOHN AVILA</t>
  </si>
  <si>
    <t>1908628963</t>
  </si>
  <si>
    <t>FEHF189180</t>
  </si>
  <si>
    <t>1908628956</t>
  </si>
  <si>
    <t>FEHF200364</t>
  </si>
  <si>
    <t>1908628954</t>
  </si>
  <si>
    <t>FEHF199679</t>
  </si>
  <si>
    <t>1908628953</t>
  </si>
  <si>
    <t>FEHF199645</t>
  </si>
  <si>
    <t>1908628951</t>
  </si>
  <si>
    <t>FEHF197538</t>
  </si>
  <si>
    <t>1908628949</t>
  </si>
  <si>
    <t>FEHF197248</t>
  </si>
  <si>
    <t>2517523696 JAMER VARGAS</t>
  </si>
  <si>
    <t>1908628947</t>
  </si>
  <si>
    <t>FEHF196455</t>
  </si>
  <si>
    <t>1908628930</t>
  </si>
  <si>
    <t>FEHF192299</t>
  </si>
  <si>
    <t>1908628928</t>
  </si>
  <si>
    <t>FEHF191476</t>
  </si>
  <si>
    <t>1908628924</t>
  </si>
  <si>
    <t>FEHF190647</t>
  </si>
  <si>
    <t>1908628920</t>
  </si>
  <si>
    <t>FEHF190360</t>
  </si>
  <si>
    <t>1908628918</t>
  </si>
  <si>
    <t>FEHF190355</t>
  </si>
  <si>
    <t>1908628914</t>
  </si>
  <si>
    <t>FEHF188260</t>
  </si>
  <si>
    <t>1908627915</t>
  </si>
  <si>
    <t>FEHF195624</t>
  </si>
  <si>
    <t>1908627845</t>
  </si>
  <si>
    <t>FEHF191811</t>
  </si>
  <si>
    <t>25269172618 FLOR CESPEDES</t>
  </si>
  <si>
    <t>2000700706</t>
  </si>
  <si>
    <t>MPS CES-1783</t>
  </si>
  <si>
    <t>2000678436</t>
  </si>
  <si>
    <t>1908563229</t>
  </si>
  <si>
    <t>FEHF198407</t>
  </si>
  <si>
    <t>1908628976</t>
  </si>
  <si>
    <t>FEHF193614</t>
  </si>
  <si>
    <t>20001889047 RAFAEL POLO</t>
  </si>
  <si>
    <t>1908627924</t>
  </si>
  <si>
    <t>FEHF197213</t>
  </si>
  <si>
    <t>20400358226 BELKIS TRUJILLO</t>
  </si>
  <si>
    <t>1908406083</t>
  </si>
  <si>
    <t>FEHF180782</t>
  </si>
  <si>
    <t>1908405948</t>
  </si>
  <si>
    <t>FEHF167391</t>
  </si>
  <si>
    <t>1908405903</t>
  </si>
  <si>
    <t>FEHF160939</t>
  </si>
  <si>
    <t>1908563208</t>
  </si>
  <si>
    <t>FEHF195313</t>
  </si>
  <si>
    <t>1908563195</t>
  </si>
  <si>
    <t>FEHF194504</t>
  </si>
  <si>
    <t>1908563172</t>
  </si>
  <si>
    <t>FEHF189193</t>
  </si>
  <si>
    <t>1908628999</t>
  </si>
  <si>
    <t>1908628975</t>
  </si>
  <si>
    <t>FEHF192727</t>
  </si>
  <si>
    <t>68276480390 ANGELINA GONZALEZ</t>
  </si>
  <si>
    <t>2000617706</t>
  </si>
  <si>
    <t>MPS ARA-1389</t>
  </si>
  <si>
    <t>1908405710</t>
  </si>
  <si>
    <t>81001153450 LISSETH CAILE</t>
  </si>
  <si>
    <t>2000661403</t>
  </si>
  <si>
    <t>MPS ANT 1319</t>
  </si>
  <si>
    <t>1908406068</t>
  </si>
  <si>
    <t>2000590616</t>
  </si>
  <si>
    <t>MPS VAL-3102</t>
  </si>
  <si>
    <t>1908406058</t>
  </si>
  <si>
    <t>1908405934</t>
  </si>
  <si>
    <t>FEHF165601</t>
  </si>
  <si>
    <t>2000662953</t>
  </si>
  <si>
    <t>MPS RIS 2865</t>
  </si>
  <si>
    <t>1908405508</t>
  </si>
  <si>
    <t>FEHF172929</t>
  </si>
  <si>
    <t>2000703350</t>
  </si>
  <si>
    <t>FEHF176415</t>
  </si>
  <si>
    <t>1908406138</t>
  </si>
  <si>
    <t>FEHF184807</t>
  </si>
  <si>
    <t>1908406087</t>
  </si>
  <si>
    <t>FEHF181357</t>
  </si>
  <si>
    <t>1908406043</t>
  </si>
  <si>
    <t>FEHF178389</t>
  </si>
  <si>
    <t>05790309010 VALERY ROMERO</t>
  </si>
  <si>
    <t>1908407593</t>
  </si>
  <si>
    <t>FEHF180192</t>
  </si>
  <si>
    <t>05154493737 ANTONELLA CERVANTES</t>
  </si>
  <si>
    <t>1908563264</t>
  </si>
  <si>
    <t>FEHF200240</t>
  </si>
  <si>
    <t>1908563257</t>
  </si>
  <si>
    <t>FEHF199470</t>
  </si>
  <si>
    <t>1908563223</t>
  </si>
  <si>
    <t>FEHF196365</t>
  </si>
  <si>
    <t>1908563219</t>
  </si>
  <si>
    <t>FEHF197295</t>
  </si>
  <si>
    <t>05154303221 ANGELICA JIMENEZ</t>
  </si>
  <si>
    <t>1908563188</t>
  </si>
  <si>
    <t>FEHF190876</t>
  </si>
  <si>
    <t>1908563168</t>
  </si>
  <si>
    <t>FEHF194161</t>
  </si>
  <si>
    <t>1908563156</t>
  </si>
  <si>
    <t>FEHF187650</t>
  </si>
  <si>
    <t>2000672451</t>
  </si>
  <si>
    <t>SALDO ACEPTA EPS GLOS FE FEHF83103 06/05/2021 C</t>
  </si>
  <si>
    <t>2000589766</t>
  </si>
  <si>
    <t>MPS CUN-2254</t>
  </si>
  <si>
    <t>ESS024-EVENTO SSBGT2021ES2T00017874</t>
  </si>
  <si>
    <t>1908746671</t>
  </si>
  <si>
    <t>FEHF198203</t>
  </si>
  <si>
    <t>15469201464 GERMAN VEGA</t>
  </si>
  <si>
    <t>2000663036</t>
  </si>
  <si>
    <t>MPS SAN 2948</t>
  </si>
  <si>
    <t>1908406152</t>
  </si>
  <si>
    <t>FEHF186315</t>
  </si>
  <si>
    <t>1908406123</t>
  </si>
  <si>
    <t>FEHF183830</t>
  </si>
  <si>
    <t>2000703363</t>
  </si>
  <si>
    <t>FEHF173101</t>
  </si>
  <si>
    <t>SALDO 66001707794 SIMON CARDONA</t>
  </si>
  <si>
    <t>1908407598</t>
  </si>
  <si>
    <t>FEHF181639</t>
  </si>
  <si>
    <t>13647604803 VANESSA JURADO</t>
  </si>
  <si>
    <t>1908627904</t>
  </si>
  <si>
    <t>1908627880</t>
  </si>
  <si>
    <t>FEHF198923</t>
  </si>
  <si>
    <t>2000588920</t>
  </si>
  <si>
    <t>MPS ANT-1410</t>
  </si>
  <si>
    <t>1908406004</t>
  </si>
  <si>
    <t>1908405998</t>
  </si>
  <si>
    <t>FEHF176414</t>
  </si>
  <si>
    <t>1908405983</t>
  </si>
  <si>
    <t>FEHF173742</t>
  </si>
  <si>
    <t>05154381752 BEYLEN CARDOZO</t>
  </si>
  <si>
    <t>2000679236</t>
  </si>
  <si>
    <t>MPS SUC-2587</t>
  </si>
  <si>
    <t>1908406094</t>
  </si>
  <si>
    <t>FEHF182400</t>
  </si>
  <si>
    <t>1908406036</t>
  </si>
  <si>
    <t>FEHF178244</t>
  </si>
  <si>
    <t>1908406030</t>
  </si>
  <si>
    <t>FEHF177843</t>
  </si>
  <si>
    <t>1908406019</t>
  </si>
  <si>
    <t>FEHF177569</t>
  </si>
  <si>
    <t>1908406013</t>
  </si>
  <si>
    <t>FEHF177211</t>
  </si>
  <si>
    <t>1908628966</t>
  </si>
  <si>
    <t>2000678026</t>
  </si>
  <si>
    <t>2000703361</t>
  </si>
  <si>
    <t>FEHF173663</t>
  </si>
  <si>
    <t>1908405963</t>
  </si>
  <si>
    <t>66001707791 YULY CRISTANCHO</t>
  </si>
  <si>
    <t>2000618967</t>
  </si>
  <si>
    <t>MPS RIS-2650</t>
  </si>
  <si>
    <t>1908405967</t>
  </si>
  <si>
    <t>2000590160</t>
  </si>
  <si>
    <t>MPS RIS-2647</t>
  </si>
  <si>
    <t>1908405975</t>
  </si>
  <si>
    <t>2000589157</t>
  </si>
  <si>
    <t>MPS BOG-1646</t>
  </si>
  <si>
    <t>2000703355</t>
  </si>
  <si>
    <t>SALDO 05495177512 CRISTINA MARTINEZ</t>
  </si>
  <si>
    <t>2000589765</t>
  </si>
  <si>
    <t>MPS CUN-2253</t>
  </si>
  <si>
    <t>1908405979</t>
  </si>
  <si>
    <t>FEHF173681</t>
  </si>
  <si>
    <t>1908405954</t>
  </si>
  <si>
    <t>FEHF168214</t>
  </si>
  <si>
    <t>1908407626</t>
  </si>
  <si>
    <t>1908244972</t>
  </si>
  <si>
    <t>FEHF94875</t>
  </si>
  <si>
    <t>ACEPTA EPS GLOS FE FEHF94875 06/05/2021 C</t>
  </si>
  <si>
    <t>2000589333</t>
  </si>
  <si>
    <t>MPS BOL-1822</t>
  </si>
  <si>
    <t>2000647838</t>
  </si>
  <si>
    <t>FEHF158233</t>
  </si>
  <si>
    <t>2000488270</t>
  </si>
  <si>
    <t>MPS ANT-2540</t>
  </si>
  <si>
    <t>2000647836</t>
  </si>
  <si>
    <t>1908181927</t>
  </si>
  <si>
    <t>FEHF158195</t>
  </si>
  <si>
    <t>2000647835</t>
  </si>
  <si>
    <t>FEHF170983</t>
  </si>
  <si>
    <t>2000450491</t>
  </si>
  <si>
    <t>MPS ANT-2183</t>
  </si>
  <si>
    <t>2000647833</t>
  </si>
  <si>
    <t>SALDO 13001359471 LINA JULIO</t>
  </si>
  <si>
    <t>2000561871</t>
  </si>
  <si>
    <t>MPS CUN-2633</t>
  </si>
  <si>
    <t>2000647831</t>
  </si>
  <si>
    <t>2000647828</t>
  </si>
  <si>
    <t>FEHF78415</t>
  </si>
  <si>
    <t>1908183987</t>
  </si>
  <si>
    <t>FEHF77537</t>
  </si>
  <si>
    <t>252695335 DALY MOLINA</t>
  </si>
  <si>
    <t>2000561870</t>
  </si>
  <si>
    <t>MPS CUN-2632</t>
  </si>
  <si>
    <t>2000647827</t>
  </si>
  <si>
    <t>SALDO 253073903 BLANCA PEÑA</t>
  </si>
  <si>
    <t>1908184041</t>
  </si>
  <si>
    <t>1908183998</t>
  </si>
  <si>
    <t>FEHF91112</t>
  </si>
  <si>
    <t>1908183992</t>
  </si>
  <si>
    <t>FEHF90993</t>
  </si>
  <si>
    <t>2000468323</t>
  </si>
  <si>
    <t>MPS NOR-2542</t>
  </si>
  <si>
    <t>2000647892</t>
  </si>
  <si>
    <t>1908181776</t>
  </si>
  <si>
    <t>FEHF169199</t>
  </si>
  <si>
    <t>08560608724 LUIS FLOREZ</t>
  </si>
  <si>
    <t>2000468319</t>
  </si>
  <si>
    <t>MPS CES-2538</t>
  </si>
  <si>
    <t>2000647889</t>
  </si>
  <si>
    <t>1908181764</t>
  </si>
  <si>
    <t>FEHF164936</t>
  </si>
  <si>
    <t>2000450496</t>
  </si>
  <si>
    <t>MPS CES-2188</t>
  </si>
  <si>
    <t>2000647888</t>
  </si>
  <si>
    <t>1908181760</t>
  </si>
  <si>
    <t>FEHF164926</t>
  </si>
  <si>
    <t>08560628622 NORBELIS GUTIERREZ</t>
  </si>
  <si>
    <t>2000440227</t>
  </si>
  <si>
    <t>MPS CES-2662</t>
  </si>
  <si>
    <t>2000647881</t>
  </si>
  <si>
    <t>2000647849</t>
  </si>
  <si>
    <t>FEHF148452</t>
  </si>
  <si>
    <t>SALDO 68081485324 BRAJHAN SILVA</t>
  </si>
  <si>
    <t>2000536242</t>
  </si>
  <si>
    <t>MPS ANT-1277</t>
  </si>
  <si>
    <t>2000647839</t>
  </si>
  <si>
    <t>1908182013</t>
  </si>
  <si>
    <t>FEHF162924</t>
  </si>
  <si>
    <t>2000536241</t>
  </si>
  <si>
    <t>MPS ANT-1276</t>
  </si>
  <si>
    <t>1908182004</t>
  </si>
  <si>
    <t>FEHF162420</t>
  </si>
  <si>
    <t>1908181929</t>
  </si>
  <si>
    <t>SALDO SALDO 05154500518 GLORIA PEREZ</t>
  </si>
  <si>
    <t>1908233947</t>
  </si>
  <si>
    <t>HSRF3977481</t>
  </si>
  <si>
    <t>ACEPTA EPS GLOS FE HSRF3977481  26/11/2020 C</t>
  </si>
  <si>
    <t>1908182249</t>
  </si>
  <si>
    <t>FEHF167593</t>
  </si>
  <si>
    <t>2000647823</t>
  </si>
  <si>
    <t>1908182248</t>
  </si>
  <si>
    <t>FEHF165252</t>
  </si>
  <si>
    <t>1908182244</t>
  </si>
  <si>
    <t>FEHF163557</t>
  </si>
  <si>
    <t>1908182241</t>
  </si>
  <si>
    <t>FEHF163001</t>
  </si>
  <si>
    <t>1908182220</t>
  </si>
  <si>
    <t>FEHF160226</t>
  </si>
  <si>
    <t>1908182217</t>
  </si>
  <si>
    <t>FEHF159443</t>
  </si>
  <si>
    <t>252694242 HELLEN AGUILERA</t>
  </si>
  <si>
    <t>1908182216</t>
  </si>
  <si>
    <t>FEHF159361</t>
  </si>
  <si>
    <t>1908182213</t>
  </si>
  <si>
    <t>FEHF158217</t>
  </si>
  <si>
    <t>1908182209</t>
  </si>
  <si>
    <t>FEHF157706</t>
  </si>
  <si>
    <t>1908182207</t>
  </si>
  <si>
    <t>FEHF156093</t>
  </si>
  <si>
    <t>1908182203</t>
  </si>
  <si>
    <t>FEHF156014</t>
  </si>
  <si>
    <t>252694877 ANGYE MONTENEGRO</t>
  </si>
  <si>
    <t>1908182195</t>
  </si>
  <si>
    <t>FEHF156007</t>
  </si>
  <si>
    <t>252695215 LAURA MONTENEGRO</t>
  </si>
  <si>
    <t>1908182171</t>
  </si>
  <si>
    <t>FEHF171669</t>
  </si>
  <si>
    <t>25426124416 YEIMMY SANABRIA</t>
  </si>
  <si>
    <t>1908182169</t>
  </si>
  <si>
    <t>FEHF170823</t>
  </si>
  <si>
    <t>1908182097</t>
  </si>
  <si>
    <t>FEHF170141</t>
  </si>
  <si>
    <t>1908182094</t>
  </si>
  <si>
    <t>FEHF169151</t>
  </si>
  <si>
    <t>1908182053</t>
  </si>
  <si>
    <t>FEHF166046</t>
  </si>
  <si>
    <t>1908182038</t>
  </si>
  <si>
    <t>FEHF165497</t>
  </si>
  <si>
    <t>25269172718 GHAEL GOMEZ</t>
  </si>
  <si>
    <t>1908182035</t>
  </si>
  <si>
    <t>FEHF165057</t>
  </si>
  <si>
    <t>2000488272</t>
  </si>
  <si>
    <t>MPS CUN-2542</t>
  </si>
  <si>
    <t>1908183199</t>
  </si>
  <si>
    <t>FEHF174386</t>
  </si>
  <si>
    <t>25473172623 DUVAN BENAVIDES</t>
  </si>
  <si>
    <t>1908234530</t>
  </si>
  <si>
    <t>FEHF122750</t>
  </si>
  <si>
    <t>ACEPTA EPS GLOS FE FEHF122750 28/06/2021 C</t>
  </si>
  <si>
    <t>2000537158</t>
  </si>
  <si>
    <t>MPS CUN-2192</t>
  </si>
  <si>
    <t>253073903 BLANCA PEÑA</t>
  </si>
  <si>
    <t>SALDO 252694636 CINDY LOPEZ</t>
  </si>
  <si>
    <t>1908182029</t>
  </si>
  <si>
    <t>FEHF165012</t>
  </si>
  <si>
    <t>1908181984</t>
  </si>
  <si>
    <t>FEHF162290</t>
  </si>
  <si>
    <t>1908181965</t>
  </si>
  <si>
    <t>FEHF162258</t>
  </si>
  <si>
    <t>1908181933</t>
  </si>
  <si>
    <t>FEHF160247</t>
  </si>
  <si>
    <t>1908181924</t>
  </si>
  <si>
    <t>FEHF156554</t>
  </si>
  <si>
    <t>1908181922</t>
  </si>
  <si>
    <t>FEHF156046</t>
  </si>
  <si>
    <t>1908181921</t>
  </si>
  <si>
    <t>FEHF155890</t>
  </si>
  <si>
    <t>2547322086 MAIA GIRALDO</t>
  </si>
  <si>
    <t>1908181918</t>
  </si>
  <si>
    <t>FEHF155847</t>
  </si>
  <si>
    <t>1908181900</t>
  </si>
  <si>
    <t>FEHF155121</t>
  </si>
  <si>
    <t>2000537157</t>
  </si>
  <si>
    <t>1908183081</t>
  </si>
  <si>
    <t>FEHF160865</t>
  </si>
  <si>
    <t>25754132310 ARMANDO PABUENA</t>
  </si>
  <si>
    <t>1908183051</t>
  </si>
  <si>
    <t>FEHF156848</t>
  </si>
  <si>
    <t>252694893 LIAM LIEVANO</t>
  </si>
  <si>
    <t>1908182260</t>
  </si>
  <si>
    <t>FEHF171164</t>
  </si>
  <si>
    <t>1908182256</t>
  </si>
  <si>
    <t>FEHF170483</t>
  </si>
  <si>
    <t>1908182254</t>
  </si>
  <si>
    <t>FEHF169795</t>
  </si>
  <si>
    <t>254735631 ZORAIDA BENITEZ</t>
  </si>
  <si>
    <t>1908182253</t>
  </si>
  <si>
    <t>FEHF169771</t>
  </si>
  <si>
    <t>1908182252</t>
  </si>
  <si>
    <t>FEHF167788</t>
  </si>
  <si>
    <t>2000647901</t>
  </si>
  <si>
    <t>FEHF73992</t>
  </si>
  <si>
    <t>2000647906</t>
  </si>
  <si>
    <t>SALDO 68276484513 ORIANA RODRIGUEZ</t>
  </si>
  <si>
    <t>2000647896</t>
  </si>
  <si>
    <t>FEHF138644</t>
  </si>
  <si>
    <t>SALDO 252693515 SANDRA VIZCAINO</t>
  </si>
  <si>
    <t>1908183392</t>
  </si>
  <si>
    <t>FEHF132498</t>
  </si>
  <si>
    <t>1908183378</t>
  </si>
  <si>
    <t>FEHF128693</t>
  </si>
  <si>
    <t>1908183368</t>
  </si>
  <si>
    <t>FEHF128688</t>
  </si>
  <si>
    <t>1908183360</t>
  </si>
  <si>
    <t>FEHF127987</t>
  </si>
  <si>
    <t>1908183348</t>
  </si>
  <si>
    <t>FEHF126527</t>
  </si>
  <si>
    <t>1908183338</t>
  </si>
  <si>
    <t>FEHF126049</t>
  </si>
  <si>
    <t>2000647902</t>
  </si>
  <si>
    <t>SALDO SALDO SALDO 08433519518 JORGE JIMENEZ</t>
  </si>
  <si>
    <t>2000561865</t>
  </si>
  <si>
    <t>MPS ANT-2627</t>
  </si>
  <si>
    <t>1908183945</t>
  </si>
  <si>
    <t>FEHF77393</t>
  </si>
  <si>
    <t>2000647899</t>
  </si>
  <si>
    <t>FEHF75872</t>
  </si>
  <si>
    <t>1908183326</t>
  </si>
  <si>
    <t>FEHF77215</t>
  </si>
  <si>
    <t>1908183302</t>
  </si>
  <si>
    <t>2000561869</t>
  </si>
  <si>
    <t>MPS CES-2631</t>
  </si>
  <si>
    <t>1908183314</t>
  </si>
  <si>
    <t>2000647897</t>
  </si>
  <si>
    <t>FEHF158601</t>
  </si>
  <si>
    <t>SALDO 08560608724 LUIS FLOREZ</t>
  </si>
  <si>
    <t>2000662659</t>
  </si>
  <si>
    <t>MPS MAG 2571</t>
  </si>
  <si>
    <t>1908407604</t>
  </si>
  <si>
    <t>2000662136</t>
  </si>
  <si>
    <t>MPS CES 2051</t>
  </si>
  <si>
    <t>1908407883</t>
  </si>
  <si>
    <t>FEHF178037</t>
  </si>
  <si>
    <t>20238354772 ROSA DE ANGEL</t>
  </si>
  <si>
    <t>1908407704</t>
  </si>
  <si>
    <t>FEHF174731</t>
  </si>
  <si>
    <t>20238030781 DAYANA SANCHEZ</t>
  </si>
  <si>
    <t>2000663274</t>
  </si>
  <si>
    <t>MPS SUC 3185</t>
  </si>
  <si>
    <t>1908244695</t>
  </si>
  <si>
    <t>ACEPTA EPS GLOS FE FEHF83103 06/05/2021 C</t>
  </si>
  <si>
    <t>2000536617</t>
  </si>
  <si>
    <t>MPS BOG-1651</t>
  </si>
  <si>
    <t>2000647911</t>
  </si>
  <si>
    <t>68773057154 IMELDA GERENA</t>
  </si>
  <si>
    <t>2000647909</t>
  </si>
  <si>
    <t>SALDO SALDO SALDO 252695335 DALY MOLINA</t>
  </si>
  <si>
    <t>2000468324</t>
  </si>
  <si>
    <t>MPS RIS-2543</t>
  </si>
  <si>
    <t>SALDO 252695335 DALY MOLINA</t>
  </si>
  <si>
    <t>2000561867</t>
  </si>
  <si>
    <t>MPS BOG-2629</t>
  </si>
  <si>
    <t>2000647885</t>
  </si>
  <si>
    <t>FEHF131883</t>
  </si>
  <si>
    <t>SALDO 76233483381 LAURA PALACIO</t>
  </si>
  <si>
    <t>SALDO SALDO 252695335 DALY MOLINA</t>
  </si>
  <si>
    <t>2000561873</t>
  </si>
  <si>
    <t>MPS NOR-2635</t>
  </si>
  <si>
    <t>2000647883</t>
  </si>
  <si>
    <t>SALDO SALDO 08433519518 JORGE JIMENEZ</t>
  </si>
  <si>
    <t>2000561868</t>
  </si>
  <si>
    <t>MPS BOL-2630</t>
  </si>
  <si>
    <t>1908181930</t>
  </si>
  <si>
    <t>1908181914</t>
  </si>
  <si>
    <t>FEHF155282</t>
  </si>
  <si>
    <t>1908181874</t>
  </si>
  <si>
    <t>FEHF165522</t>
  </si>
  <si>
    <t>2000647894</t>
  </si>
  <si>
    <t>FEHF166497</t>
  </si>
  <si>
    <t>2000537514</t>
  </si>
  <si>
    <t>MPS NOR-2548</t>
  </si>
  <si>
    <t>1908041412</t>
  </si>
  <si>
    <t>1908041386</t>
  </si>
  <si>
    <t>FEHF162408</t>
  </si>
  <si>
    <t>SALDO 08560608723 EVELYN FLOREZ</t>
  </si>
  <si>
    <t>SALDO 08560628622 NORBELIS GUTIERREZ</t>
  </si>
  <si>
    <t>1908183427</t>
  </si>
  <si>
    <t>1908183413</t>
  </si>
  <si>
    <t>FEHF136887</t>
  </si>
  <si>
    <t>1908183404</t>
  </si>
  <si>
    <t>FEHF135957</t>
  </si>
  <si>
    <t>2000450495</t>
  </si>
  <si>
    <t>MPS BOL-2187</t>
  </si>
  <si>
    <t>1908184051</t>
  </si>
  <si>
    <t>1908181925</t>
  </si>
  <si>
    <t>FEHF157858</t>
  </si>
  <si>
    <t>1908181865</t>
  </si>
  <si>
    <t>FEHF157939</t>
  </si>
  <si>
    <t>1908041397</t>
  </si>
  <si>
    <t>FEHF163514</t>
  </si>
  <si>
    <t>1908041374</t>
  </si>
  <si>
    <t>FEHF160587</t>
  </si>
  <si>
    <t>1908041350</t>
  </si>
  <si>
    <t>FEHF157152</t>
  </si>
  <si>
    <t>1908041335</t>
  </si>
  <si>
    <t>FEHF155844</t>
  </si>
  <si>
    <t>2000561875</t>
  </si>
  <si>
    <t>MPS VAL-2637</t>
  </si>
  <si>
    <t>2000647914</t>
  </si>
  <si>
    <t>2000647913</t>
  </si>
  <si>
    <t>SALDO SALDO 68773057154 IMELDA GERENA</t>
  </si>
  <si>
    <t>2000536702</t>
  </si>
  <si>
    <t>MPS BOL-1736</t>
  </si>
  <si>
    <t>SALDO 68773057154 IMELDA GERENA</t>
  </si>
  <si>
    <t>2000488268</t>
  </si>
  <si>
    <t>MPS BOL-2538</t>
  </si>
  <si>
    <t>SB078314</t>
  </si>
  <si>
    <t>CM001476</t>
  </si>
  <si>
    <t>CM002180</t>
  </si>
  <si>
    <t>CM003974</t>
  </si>
  <si>
    <t>CM003983</t>
  </si>
  <si>
    <t>CM004728</t>
  </si>
  <si>
    <t>CM004729</t>
  </si>
  <si>
    <t>CM006324</t>
  </si>
  <si>
    <t>LM305314</t>
  </si>
  <si>
    <t>SB081730</t>
  </si>
  <si>
    <t>CM008311</t>
  </si>
  <si>
    <t>CM010358</t>
  </si>
  <si>
    <t>CM010784</t>
  </si>
  <si>
    <t>CM010982</t>
  </si>
  <si>
    <t>CP330808</t>
  </si>
  <si>
    <t>CM012803</t>
  </si>
  <si>
    <t>CM012941</t>
  </si>
  <si>
    <t>CM012942</t>
  </si>
  <si>
    <t>CM012943</t>
  </si>
  <si>
    <t>SB085643</t>
  </si>
  <si>
    <t>FEHF005559</t>
  </si>
  <si>
    <t>FEHF006700</t>
  </si>
  <si>
    <t>FEHF006936</t>
  </si>
  <si>
    <t>FEHF008009</t>
  </si>
  <si>
    <t>FEHF008010</t>
  </si>
  <si>
    <t>FEHF008082</t>
  </si>
  <si>
    <t>FEHF008807</t>
  </si>
  <si>
    <t>FEHF015285</t>
  </si>
  <si>
    <t>FEHF016280</t>
  </si>
  <si>
    <t>FEHF019539</t>
  </si>
  <si>
    <t>FEHF020467</t>
  </si>
  <si>
    <t>FEHF022602</t>
  </si>
  <si>
    <t>FEHF028043</t>
  </si>
  <si>
    <t>FEHF030256</t>
  </si>
  <si>
    <t>FEHF031907</t>
  </si>
  <si>
    <t>FEHF033155</t>
  </si>
  <si>
    <t>FEHF033877</t>
  </si>
  <si>
    <t>FEHF034165</t>
  </si>
  <si>
    <t>FEHF034801</t>
  </si>
  <si>
    <t>FEHF035268</t>
  </si>
  <si>
    <t>FEHF036052</t>
  </si>
  <si>
    <t>FEHF036172</t>
  </si>
  <si>
    <t>FEHF036775</t>
  </si>
  <si>
    <t>FEHF036812</t>
  </si>
  <si>
    <t>FEHF038135</t>
  </si>
  <si>
    <t>FEHF039350</t>
  </si>
  <si>
    <t>FEHF040583</t>
  </si>
  <si>
    <t>FEHF045747</t>
  </si>
  <si>
    <t>FEHF046607</t>
  </si>
  <si>
    <t>FEHF046946</t>
  </si>
  <si>
    <t>FEHF049181</t>
  </si>
  <si>
    <t>FEHF050730</t>
  </si>
  <si>
    <t>FEHF051425</t>
  </si>
  <si>
    <t>FEHF051426</t>
  </si>
  <si>
    <t>FEHF053111</t>
  </si>
  <si>
    <t>FEHF056389</t>
  </si>
  <si>
    <t>FEHF056390</t>
  </si>
  <si>
    <t>FEHF056394</t>
  </si>
  <si>
    <t>FEHF057408</t>
  </si>
  <si>
    <t>FEHF058763</t>
  </si>
  <si>
    <t>FEHF068728</t>
  </si>
  <si>
    <t>FEHF073212</t>
  </si>
  <si>
    <t>FEHF074848</t>
  </si>
  <si>
    <t>FEHF075631</t>
  </si>
  <si>
    <t>FEHF075998</t>
  </si>
  <si>
    <t>FEHF075999</t>
  </si>
  <si>
    <t>FEHF076471</t>
  </si>
  <si>
    <t>FEHF078173</t>
  </si>
  <si>
    <t>FEHF078465</t>
  </si>
  <si>
    <t>FEHF078722</t>
  </si>
  <si>
    <t>FEHF079577</t>
  </si>
  <si>
    <t>FEHF080779</t>
  </si>
  <si>
    <t>FEHF080815</t>
  </si>
  <si>
    <t>FEHF081273</t>
  </si>
  <si>
    <t>FEHF082027</t>
  </si>
  <si>
    <t>FEHF083103</t>
  </si>
  <si>
    <t>FEHF083178</t>
  </si>
  <si>
    <t>FEHF084635</t>
  </si>
  <si>
    <t>FEHF084653</t>
  </si>
  <si>
    <t>FEHF086220</t>
  </si>
  <si>
    <t>FEHF086488</t>
  </si>
  <si>
    <t>FEHF088712</t>
  </si>
  <si>
    <t>FEHF088887</t>
  </si>
  <si>
    <t>FEHF089699</t>
  </si>
  <si>
    <t>FEHF090464</t>
  </si>
  <si>
    <t>FEHF092647</t>
  </si>
  <si>
    <t>FEHF092971</t>
  </si>
  <si>
    <t>FEHF093195</t>
  </si>
  <si>
    <t>FEHF093400</t>
  </si>
  <si>
    <t>FEHF094875</t>
  </si>
  <si>
    <t>FEHF097312</t>
  </si>
  <si>
    <t>FEHF100302</t>
  </si>
  <si>
    <t>FEHF100880</t>
  </si>
  <si>
    <t>FEHF104089</t>
  </si>
  <si>
    <t>FEHF107346</t>
  </si>
  <si>
    <t>FEHF108346</t>
  </si>
  <si>
    <t>FEHF108427</t>
  </si>
  <si>
    <t>FEHF109727</t>
  </si>
  <si>
    <t>FEHF110373</t>
  </si>
  <si>
    <t>FEHF110382</t>
  </si>
  <si>
    <t>FEHF111288</t>
  </si>
  <si>
    <t>FEHF112093</t>
  </si>
  <si>
    <t>FEHF112151</t>
  </si>
  <si>
    <t>FEHF114834</t>
  </si>
  <si>
    <t>FEHF117758</t>
  </si>
  <si>
    <t>FEHF119453</t>
  </si>
  <si>
    <t>FEHF120906</t>
  </si>
  <si>
    <t>FEHF120941</t>
  </si>
  <si>
    <t>FEHF120993</t>
  </si>
  <si>
    <t>FEHF121114</t>
  </si>
  <si>
    <t>FEHF121116</t>
  </si>
  <si>
    <t>FEHF121429</t>
  </si>
  <si>
    <t>FEHF123709</t>
  </si>
  <si>
    <t>FEHF124234</t>
  </si>
  <si>
    <t>FEHF124237</t>
  </si>
  <si>
    <t>FEHF128177</t>
  </si>
  <si>
    <t>FEHF131233</t>
  </si>
  <si>
    <t>FEHF131715</t>
  </si>
  <si>
    <t>FEHF133628</t>
  </si>
  <si>
    <t>FEHF135511</t>
  </si>
  <si>
    <t>FEHF135512</t>
  </si>
  <si>
    <t>FEHF137018</t>
  </si>
  <si>
    <t>FEHF138880</t>
  </si>
  <si>
    <t>FEHF144811</t>
  </si>
  <si>
    <t>FEHF150119</t>
  </si>
  <si>
    <t>FEHF152493</t>
  </si>
  <si>
    <t>FEHF153020</t>
  </si>
  <si>
    <t>FEHF156144</t>
  </si>
  <si>
    <t>FEHF156914</t>
  </si>
  <si>
    <t>FEHF160136</t>
  </si>
  <si>
    <t>FEHF163647</t>
  </si>
  <si>
    <t>FEHF163956</t>
  </si>
  <si>
    <t>FEHF164669</t>
  </si>
  <si>
    <t>FEHF166581</t>
  </si>
  <si>
    <t>FEHF166935</t>
  </si>
  <si>
    <t>FEHF168001</t>
  </si>
  <si>
    <t>FEHF171161</t>
  </si>
  <si>
    <t>FEHF171163</t>
  </si>
  <si>
    <t>FEHF171227</t>
  </si>
  <si>
    <t>FEHF171620</t>
  </si>
  <si>
    <t>FEHF174364</t>
  </si>
  <si>
    <t>FEHF181704</t>
  </si>
  <si>
    <t>FEHF184160</t>
  </si>
  <si>
    <t>FEHF187234</t>
  </si>
  <si>
    <t>FEHF191847</t>
  </si>
  <si>
    <t>FEHF195640</t>
  </si>
  <si>
    <t>FEHF205712</t>
  </si>
  <si>
    <t>FEHF208263</t>
  </si>
  <si>
    <t>FEHF213514</t>
  </si>
  <si>
    <t>FEHF214736</t>
  </si>
  <si>
    <t>FEHF219642</t>
  </si>
  <si>
    <t>FEHF222911</t>
  </si>
  <si>
    <t>FEHF223528</t>
  </si>
  <si>
    <t>FEHF224184</t>
  </si>
  <si>
    <t>FEHF225301</t>
  </si>
  <si>
    <t>FEHF233842</t>
  </si>
  <si>
    <t>FEHF237173</t>
  </si>
  <si>
    <t>FEHF239609</t>
  </si>
  <si>
    <t>FEHF239648</t>
  </si>
  <si>
    <t>FEHF241147</t>
  </si>
  <si>
    <t>FEHF242315</t>
  </si>
  <si>
    <t>FEHF245544</t>
  </si>
  <si>
    <t>FEHF247024</t>
  </si>
  <si>
    <t>FEHF250302</t>
  </si>
  <si>
    <t>FEHF254863</t>
  </si>
  <si>
    <t>FEHF255749</t>
  </si>
  <si>
    <t>FEHF255789</t>
  </si>
  <si>
    <t>FEHF255935</t>
  </si>
  <si>
    <t>FEHF256421</t>
  </si>
  <si>
    <t>FEHF260611</t>
  </si>
  <si>
    <t>FEHF262827</t>
  </si>
  <si>
    <t>FEHF263288</t>
  </si>
  <si>
    <t>FEHF264002</t>
  </si>
  <si>
    <t>FEHF264422</t>
  </si>
  <si>
    <t>FEHF264898</t>
  </si>
  <si>
    <t>FEHF264971</t>
  </si>
  <si>
    <t>FEHF264973</t>
  </si>
  <si>
    <t>FEHF265046</t>
  </si>
  <si>
    <t>FEHF265197</t>
  </si>
  <si>
    <t>FEHF266732</t>
  </si>
  <si>
    <t>FEHF266912</t>
  </si>
  <si>
    <t>FEHF267236</t>
  </si>
  <si>
    <t>FEHF267606</t>
  </si>
  <si>
    <t>FEHF267617</t>
  </si>
  <si>
    <t>FEHF267863</t>
  </si>
  <si>
    <t>FEHF267864</t>
  </si>
  <si>
    <t>FEHF268102</t>
  </si>
  <si>
    <t>FEHF268423</t>
  </si>
  <si>
    <t>FEHF268443</t>
  </si>
  <si>
    <t>FEHF268452</t>
  </si>
  <si>
    <t>FEHF268601</t>
  </si>
  <si>
    <t>FEHF268989</t>
  </si>
  <si>
    <t>FEHF269076</t>
  </si>
  <si>
    <t>FEHF269155</t>
  </si>
  <si>
    <t>FEHF269284</t>
  </si>
  <si>
    <t>FEHF269428</t>
  </si>
  <si>
    <t>FEHF269476</t>
  </si>
  <si>
    <t>FEHF269578</t>
  </si>
  <si>
    <t>FEHF269720</t>
  </si>
  <si>
    <t>FEHF269767</t>
  </si>
  <si>
    <t>FEHF269852</t>
  </si>
  <si>
    <t>FEHF269856</t>
  </si>
  <si>
    <t>FEHF269908</t>
  </si>
  <si>
    <t>FEHF269984</t>
  </si>
  <si>
    <t>FEHF270019</t>
  </si>
  <si>
    <t>FEHF270164</t>
  </si>
  <si>
    <t>FEHF270193</t>
  </si>
  <si>
    <t>FEHF270475</t>
  </si>
  <si>
    <t>FEHF270824</t>
  </si>
  <si>
    <t>FEHF270890</t>
  </si>
  <si>
    <t>FEHF270989</t>
  </si>
  <si>
    <t>FEHF271023</t>
  </si>
  <si>
    <t>FEHF271025</t>
  </si>
  <si>
    <t>FEHF271087</t>
  </si>
  <si>
    <t>FEHF271093</t>
  </si>
  <si>
    <t>FEHF271246</t>
  </si>
  <si>
    <t>FEHF271499</t>
  </si>
  <si>
    <t>FEHF271561</t>
  </si>
  <si>
    <t>FEHF271816</t>
  </si>
  <si>
    <t>FEHF271826</t>
  </si>
  <si>
    <t>FEHF271829</t>
  </si>
  <si>
    <t>FEHF271919</t>
  </si>
  <si>
    <t>FEHF272398</t>
  </si>
  <si>
    <t>FEHF272419</t>
  </si>
  <si>
    <t>FEHF272604</t>
  </si>
  <si>
    <t>FEHF272760</t>
  </si>
  <si>
    <t>FEHF273055</t>
  </si>
  <si>
    <t>FEHF273173</t>
  </si>
  <si>
    <t>FEHF273308</t>
  </si>
  <si>
    <t>FEHF273313</t>
  </si>
  <si>
    <t>FEHF273336</t>
  </si>
  <si>
    <t>FEHF273410</t>
  </si>
  <si>
    <t>FEHF273432</t>
  </si>
  <si>
    <t>FEHF273469</t>
  </si>
  <si>
    <t>FEHF273632</t>
  </si>
  <si>
    <t>FEHF273720</t>
  </si>
  <si>
    <t>FEHF273760</t>
  </si>
  <si>
    <t>FEHF273947</t>
  </si>
  <si>
    <t>FEHF274076</t>
  </si>
  <si>
    <t>FEHF274081</t>
  </si>
  <si>
    <t>FEHF274094</t>
  </si>
  <si>
    <t>FEHF274096</t>
  </si>
  <si>
    <t>FEHF274184</t>
  </si>
  <si>
    <t>FEHF274336</t>
  </si>
  <si>
    <t>FEHF274370</t>
  </si>
  <si>
    <t>FEHF274574</t>
  </si>
  <si>
    <t>FEHF274660</t>
  </si>
  <si>
    <t>FEHF274714</t>
  </si>
  <si>
    <t>FEHF274878</t>
  </si>
  <si>
    <t>FEHF275120</t>
  </si>
  <si>
    <t>FEHF275142</t>
  </si>
  <si>
    <t>FEHF275195</t>
  </si>
  <si>
    <t>FEHF275383</t>
  </si>
  <si>
    <t>FEHF275391</t>
  </si>
  <si>
    <t>FEHF275744</t>
  </si>
  <si>
    <t>FEHF275843</t>
  </si>
  <si>
    <t>FEHF275850</t>
  </si>
  <si>
    <t>FEHF275907</t>
  </si>
  <si>
    <t>FEHF275960</t>
  </si>
  <si>
    <t>FEHF276068</t>
  </si>
  <si>
    <t>FEHF276155</t>
  </si>
  <si>
    <t>FEHF276201</t>
  </si>
  <si>
    <t>FEHF276209</t>
  </si>
  <si>
    <t>FEHF276233</t>
  </si>
  <si>
    <t>FEHF276235</t>
  </si>
  <si>
    <t>FEHF276240</t>
  </si>
  <si>
    <t>FEHF276387</t>
  </si>
  <si>
    <t>FEHF276393</t>
  </si>
  <si>
    <t>FEHF276398</t>
  </si>
  <si>
    <t>FEHF276418</t>
  </si>
  <si>
    <t>FEHF276442</t>
  </si>
  <si>
    <t>FEHF276475</t>
  </si>
  <si>
    <t>FEHF276740</t>
  </si>
  <si>
    <t>FEHF276808</t>
  </si>
  <si>
    <t>FEHF276830</t>
  </si>
  <si>
    <t>FEHF276888</t>
  </si>
  <si>
    <t>FEHF276989</t>
  </si>
  <si>
    <t>FEHF277016</t>
  </si>
  <si>
    <t>FEHF277254</t>
  </si>
  <si>
    <t>FEHF277463</t>
  </si>
  <si>
    <t>FEHF277849</t>
  </si>
  <si>
    <t>FEHF277871</t>
  </si>
  <si>
    <t>HSRF3485164</t>
  </si>
  <si>
    <t>HSRF3594243</t>
  </si>
  <si>
    <t>HSRF3594612</t>
  </si>
  <si>
    <t>HSRF3625767</t>
  </si>
  <si>
    <t>HSRF3634928</t>
  </si>
  <si>
    <t>HSRF3655924</t>
  </si>
  <si>
    <t>HSRF3657905</t>
  </si>
  <si>
    <t>HSRF3676176</t>
  </si>
  <si>
    <t>HSRF3699496</t>
  </si>
  <si>
    <t>HSRF3756811</t>
  </si>
  <si>
    <t>HSRF3756843</t>
  </si>
  <si>
    <t>HSRF3759939</t>
  </si>
  <si>
    <t>HSRF3762481</t>
  </si>
  <si>
    <t>HSRF3763863</t>
  </si>
  <si>
    <t>HSRF3772177</t>
  </si>
  <si>
    <t>HSRF3773320</t>
  </si>
  <si>
    <t>HSRF3775229</t>
  </si>
  <si>
    <t>HSRF3778167</t>
  </si>
  <si>
    <t>HSRF3778497</t>
  </si>
  <si>
    <t>HSRF3779542</t>
  </si>
  <si>
    <t>HSRF3794525</t>
  </si>
  <si>
    <t>HSRF3794582</t>
  </si>
  <si>
    <t>HSRF3795697</t>
  </si>
  <si>
    <t>HSRF3800131</t>
  </si>
  <si>
    <t>HSRF3806081</t>
  </si>
  <si>
    <t>HSRF3806573</t>
  </si>
  <si>
    <t>HSRF3807568</t>
  </si>
  <si>
    <t>HSRF3807835</t>
  </si>
  <si>
    <t>HSRF3809555</t>
  </si>
  <si>
    <t>HSRF3811784</t>
  </si>
  <si>
    <t>HSRF3813633</t>
  </si>
  <si>
    <t>HSRF3814166</t>
  </si>
  <si>
    <t>HSRF3817765</t>
  </si>
  <si>
    <t>HSRF3817847</t>
  </si>
  <si>
    <t>HSRF3818595</t>
  </si>
  <si>
    <t>HSRF3818676</t>
  </si>
  <si>
    <t>HSRF3819338</t>
  </si>
  <si>
    <t>HSRF3821508</t>
  </si>
  <si>
    <t>HSRF3823250</t>
  </si>
  <si>
    <t>HSRF3823509</t>
  </si>
  <si>
    <t>HSRF3823584</t>
  </si>
  <si>
    <t>HSRF3823766</t>
  </si>
  <si>
    <t>HSRF3824427</t>
  </si>
  <si>
    <t>HSRF3825263</t>
  </si>
  <si>
    <t>HSRF3826691</t>
  </si>
  <si>
    <t>HSRF3827998</t>
  </si>
  <si>
    <t>HSRF3828857</t>
  </si>
  <si>
    <t>HSRF3832137</t>
  </si>
  <si>
    <t>HSRF3832562</t>
  </si>
  <si>
    <t>HSRF3832601</t>
  </si>
  <si>
    <t>HSRF3832824</t>
  </si>
  <si>
    <t>HSRF3834274</t>
  </si>
  <si>
    <t>HSRF3834304</t>
  </si>
  <si>
    <t>HSRF3834485</t>
  </si>
  <si>
    <t>HSRF3836181</t>
  </si>
  <si>
    <t>HSRF3836189</t>
  </si>
  <si>
    <t>HSRF3836432</t>
  </si>
  <si>
    <t>HSRF3836711</t>
  </si>
  <si>
    <t>HSRF3837420</t>
  </si>
  <si>
    <t>HSRF3838489</t>
  </si>
  <si>
    <t>HSRF3838539</t>
  </si>
  <si>
    <t>HSRF3839011</t>
  </si>
  <si>
    <t>HSRF3839782</t>
  </si>
  <si>
    <t>HSRF3840952</t>
  </si>
  <si>
    <t>HSRF3843062</t>
  </si>
  <si>
    <t>HSRF3845016</t>
  </si>
  <si>
    <t>HSRF3845262</t>
  </si>
  <si>
    <t>HSRF3846475</t>
  </si>
  <si>
    <t>HSRF3849206</t>
  </si>
  <si>
    <t>HSRF3849727</t>
  </si>
  <si>
    <t>HSRF3849889</t>
  </si>
  <si>
    <t>HSRF3849897</t>
  </si>
  <si>
    <t>HSRF3850278</t>
  </si>
  <si>
    <t>HSRF3850347</t>
  </si>
  <si>
    <t>HSRF3850992</t>
  </si>
  <si>
    <t>HSRF3851863</t>
  </si>
  <si>
    <t>HSRF3852476</t>
  </si>
  <si>
    <t>HSRF3852728</t>
  </si>
  <si>
    <t>HSRF3854636</t>
  </si>
  <si>
    <t>HSRF3855167</t>
  </si>
  <si>
    <t>HSRF3855205</t>
  </si>
  <si>
    <t>HSRF3856101</t>
  </si>
  <si>
    <t>HSRF3856208</t>
  </si>
  <si>
    <t>HSRF3857053</t>
  </si>
  <si>
    <t>HSRF3858399</t>
  </si>
  <si>
    <t>HSRF3859347</t>
  </si>
  <si>
    <t>HSRF3859732</t>
  </si>
  <si>
    <t>HSRF3859765</t>
  </si>
  <si>
    <t>HSRF3861420</t>
  </si>
  <si>
    <t>HSRF3862177</t>
  </si>
  <si>
    <t>HSRF3862424</t>
  </si>
  <si>
    <t>HSRF3862952</t>
  </si>
  <si>
    <t>HSRF3862983</t>
  </si>
  <si>
    <t>HSRF3863858</t>
  </si>
  <si>
    <t>HSRF3864078</t>
  </si>
  <si>
    <t>HSRF3864156</t>
  </si>
  <si>
    <t>HSRF3865173</t>
  </si>
  <si>
    <t>HSRF3865243</t>
  </si>
  <si>
    <t>HSRF3866925</t>
  </si>
  <si>
    <t>HSRF3867905</t>
  </si>
  <si>
    <t>HSRF3867951</t>
  </si>
  <si>
    <t>HSRF3868359</t>
  </si>
  <si>
    <t>HSRF3868906</t>
  </si>
  <si>
    <t>HSRF3868932</t>
  </si>
  <si>
    <t>HSRF3869107</t>
  </si>
  <si>
    <t>HSRF3869992</t>
  </si>
  <si>
    <t>HSRF3870058</t>
  </si>
  <si>
    <t>HSRF3870101</t>
  </si>
  <si>
    <t>HSRF3872839</t>
  </si>
  <si>
    <t>HSRF3873096</t>
  </si>
  <si>
    <t>HSRF3874546</t>
  </si>
  <si>
    <t>HSRF3875514</t>
  </si>
  <si>
    <t>HSRF3877282</t>
  </si>
  <si>
    <t>HSRF3877635</t>
  </si>
  <si>
    <t>HSRF3877857</t>
  </si>
  <si>
    <t>HSRF3878368</t>
  </si>
  <si>
    <t>HSRF3879397</t>
  </si>
  <si>
    <t>HSRF3880142</t>
  </si>
  <si>
    <t>HSRF3880521</t>
  </si>
  <si>
    <t>HSRF3880888</t>
  </si>
  <si>
    <t>HSRF3881423</t>
  </si>
  <si>
    <t>HSRF3881822</t>
  </si>
  <si>
    <t>HSRF3882836</t>
  </si>
  <si>
    <t>HSRF3885473</t>
  </si>
  <si>
    <t>HSRF3886614</t>
  </si>
  <si>
    <t>HSRF3887161</t>
  </si>
  <si>
    <t>HSRF3888690</t>
  </si>
  <si>
    <t>HSRF3889524</t>
  </si>
  <si>
    <t>HSRF3889683</t>
  </si>
  <si>
    <t>HSRF3890915</t>
  </si>
  <si>
    <t>HSRF3891565</t>
  </si>
  <si>
    <t>HSRF3892654</t>
  </si>
  <si>
    <t>HSRF3892676</t>
  </si>
  <si>
    <t>HSRF3892722</t>
  </si>
  <si>
    <t>HSRF3893284</t>
  </si>
  <si>
    <t>HSRF3893468</t>
  </si>
  <si>
    <t>HSRF3893607</t>
  </si>
  <si>
    <t>HSRF3893608</t>
  </si>
  <si>
    <t>HSRF3894403</t>
  </si>
  <si>
    <t>HSRF3895058</t>
  </si>
  <si>
    <t>HSRF3897040</t>
  </si>
  <si>
    <t>HSRF3897552</t>
  </si>
  <si>
    <t>HSRF3897807</t>
  </si>
  <si>
    <t>HSRF3898799</t>
  </si>
  <si>
    <t>HSRF3899307</t>
  </si>
  <si>
    <t>HSRF3899966</t>
  </si>
  <si>
    <t>HSRF3901381</t>
  </si>
  <si>
    <t>HSRF3901741</t>
  </si>
  <si>
    <t>HSRF3902572</t>
  </si>
  <si>
    <t>HSRF3902743</t>
  </si>
  <si>
    <t>HSRF3902823</t>
  </si>
  <si>
    <t>HSRF3903237</t>
  </si>
  <si>
    <t>HSRF3903398</t>
  </si>
  <si>
    <t>HSRF3903420</t>
  </si>
  <si>
    <t>HSRF3903661</t>
  </si>
  <si>
    <t>HSRF3904225</t>
  </si>
  <si>
    <t>HSRF3904420</t>
  </si>
  <si>
    <t>HSRF3908811</t>
  </si>
  <si>
    <t>HSRF3909005</t>
  </si>
  <si>
    <t>HSRF3909125</t>
  </si>
  <si>
    <t>HSRF3909684</t>
  </si>
  <si>
    <t>HSRF3909859</t>
  </si>
  <si>
    <t>HSRF3909994</t>
  </si>
  <si>
    <t>HSRF3910133</t>
  </si>
  <si>
    <t>HSRF3910909</t>
  </si>
  <si>
    <t>HSRF3910950</t>
  </si>
  <si>
    <t>HSRF3912335</t>
  </si>
  <si>
    <t>HSRF3912428</t>
  </si>
  <si>
    <t>HSRF3912593</t>
  </si>
  <si>
    <t>HSRF3912599</t>
  </si>
  <si>
    <t>HSRF3912975</t>
  </si>
  <si>
    <t>HSRF3913833</t>
  </si>
  <si>
    <t>HSRF3913934</t>
  </si>
  <si>
    <t>HSRF3913969</t>
  </si>
  <si>
    <t>HSRF3914744</t>
  </si>
  <si>
    <t>HSRF3914814</t>
  </si>
  <si>
    <t>HSRF3914889</t>
  </si>
  <si>
    <t>HSRF3915805</t>
  </si>
  <si>
    <t>HSRF3916111</t>
  </si>
  <si>
    <t>HSRF3916113</t>
  </si>
  <si>
    <t>HSRF3916134</t>
  </si>
  <si>
    <t>HSRF3916401</t>
  </si>
  <si>
    <t>HSRF3916437</t>
  </si>
  <si>
    <t>HSRF3916474</t>
  </si>
  <si>
    <t>HSRF3917078</t>
  </si>
  <si>
    <t>HSRF3917268</t>
  </si>
  <si>
    <t>HSRF3917532</t>
  </si>
  <si>
    <t>HSRF3918</t>
  </si>
  <si>
    <t>HSRF3918035</t>
  </si>
  <si>
    <t>HSRF3918069</t>
  </si>
  <si>
    <t>HSRF3918835</t>
  </si>
  <si>
    <t>HSRF3919708</t>
  </si>
  <si>
    <t>HSRF3919720</t>
  </si>
  <si>
    <t>HSRF3919867</t>
  </si>
  <si>
    <t>HSRF3920540</t>
  </si>
  <si>
    <t>HSRF3920541</t>
  </si>
  <si>
    <t>HSRF3920938</t>
  </si>
  <si>
    <t>HSRF3921496</t>
  </si>
  <si>
    <t>HSRF3922130</t>
  </si>
  <si>
    <t>HSRF3923217</t>
  </si>
  <si>
    <t>HSRF3924134</t>
  </si>
  <si>
    <t>HSRF3924169</t>
  </si>
  <si>
    <t>HSRF3924293</t>
  </si>
  <si>
    <t>HSRF3924387</t>
  </si>
  <si>
    <t>HSRF3924674</t>
  </si>
  <si>
    <t>HSRF3925016</t>
  </si>
  <si>
    <t>HSRF3925045</t>
  </si>
  <si>
    <t>HSRF3935594</t>
  </si>
  <si>
    <t>HSRF3945910</t>
  </si>
  <si>
    <t>HSRF3946032</t>
  </si>
  <si>
    <t>HSRF3946625</t>
  </si>
  <si>
    <t>HSRF3947282</t>
  </si>
  <si>
    <t>HSRF3950990</t>
  </si>
  <si>
    <t>HSRF3952143</t>
  </si>
  <si>
    <t>HSRF3953921</t>
  </si>
  <si>
    <t>HSRF3954062</t>
  </si>
  <si>
    <t>HSRF3954230</t>
  </si>
  <si>
    <t>HSRF3954708</t>
  </si>
  <si>
    <t>HSRF3954976</t>
  </si>
  <si>
    <t>HSRF3955318</t>
  </si>
  <si>
    <t>HSRF3955960</t>
  </si>
  <si>
    <t>HSRF3956336</t>
  </si>
  <si>
    <t>HSRF3958920</t>
  </si>
  <si>
    <t>HSRF3968835</t>
  </si>
  <si>
    <t>HSRF3972161</t>
  </si>
  <si>
    <t>HSRF3983089</t>
  </si>
  <si>
    <t>HSRF3988456</t>
  </si>
  <si>
    <t>COOSALUD EPS SA</t>
  </si>
  <si>
    <t>Estado de cartera  
E.S.E. HOSPITAL SAN RAFAEL DE FACATATIVA NIT 899.999.151-3</t>
  </si>
  <si>
    <t>DETALLE DE CARTERA IPS</t>
  </si>
  <si>
    <t>=</t>
  </si>
  <si>
    <t>Cartera presentada  IPS</t>
  </si>
  <si>
    <t>-</t>
  </si>
  <si>
    <t>Facturas sin evidencia de radicación</t>
  </si>
  <si>
    <t>Devoluciones</t>
  </si>
  <si>
    <t>Facturas Pagadas</t>
  </si>
  <si>
    <t>Glosas Aceptadas por la IPS</t>
  </si>
  <si>
    <t>Glosas por  Conciliar</t>
  </si>
  <si>
    <t>+</t>
  </si>
  <si>
    <t>Copagos</t>
  </si>
  <si>
    <t>Diferencias en factura de proveedor</t>
  </si>
  <si>
    <t>Saldo</t>
  </si>
  <si>
    <t>Facturas en proceso de auditoria Aplistaff_ Agosto_2021</t>
  </si>
  <si>
    <t>Saldo Final</t>
  </si>
  <si>
    <t xml:space="preserve">Anticipos por legalizar </t>
  </si>
  <si>
    <t>COOSALUD  NIT 900.226.715</t>
  </si>
  <si>
    <t>coddevolucion</t>
  </si>
  <si>
    <t>CODIGO_REPS_IPS</t>
  </si>
  <si>
    <t>NIT_PROVEEDOR</t>
  </si>
  <si>
    <t>NOMBRE_PROVEEDOR</t>
  </si>
  <si>
    <t>DptoIPS</t>
  </si>
  <si>
    <t>MpioIPS</t>
  </si>
  <si>
    <t>nrofactura</t>
  </si>
  <si>
    <t>Observacion</t>
  </si>
  <si>
    <t>Entrada</t>
  </si>
  <si>
    <t>valor</t>
  </si>
  <si>
    <t>Sucursal</t>
  </si>
  <si>
    <t>Modalidad</t>
  </si>
  <si>
    <t>detalle_devolucion</t>
  </si>
  <si>
    <t>codusuariorecepciono</t>
  </si>
  <si>
    <t>fechadevolucion</t>
  </si>
  <si>
    <t>FechaRecepcion</t>
  </si>
  <si>
    <t>fechaultimamodificacion</t>
  </si>
  <si>
    <t>MOTIVO_DEVOLUCION</t>
  </si>
  <si>
    <t>DESC_MOTIVO_DEVOLUCION</t>
  </si>
  <si>
    <t>Tipo</t>
  </si>
  <si>
    <t>Entrada_1</t>
  </si>
  <si>
    <t>DF-059232328168</t>
  </si>
  <si>
    <t>252690004901</t>
  </si>
  <si>
    <t>899999151</t>
  </si>
  <si>
    <t>E.S.E HOSPITAL SAN RAFAEL DE FACATATIVÁ</t>
  </si>
  <si>
    <t>Cundinamarca</t>
  </si>
  <si>
    <t>FACATATIVÁ</t>
  </si>
  <si>
    <t>Se hace devolucion de la cuenta ya que a partir del 1 Noviembre empezó a regir el cambio de razon social para Coosalud EPSLas cuentas se deben partir asiLas atenciones hasta el 31 de Octubre de 2017 deben ser con el NIT 8002492410Las atenciones apatir del 1 Noviembre de 2017 deben ser con el NIT 9002267153Si hay estancias con ingreso del mes de Octubre y egreso en Noviembre Se radica en dos cuentas separadas</t>
  </si>
  <si>
    <t>1</t>
  </si>
  <si>
    <t>51720</t>
  </si>
  <si>
    <t>ANTIOQUIA</t>
  </si>
  <si>
    <t>Evento</t>
  </si>
  <si>
    <t/>
  </si>
  <si>
    <t>xsoto</t>
  </si>
  <si>
    <t>14/2/2018</t>
  </si>
  <si>
    <t>49</t>
  </si>
  <si>
    <t>Factura no cumple requisitos legales</t>
  </si>
  <si>
    <t>DF-059249522711</t>
  </si>
  <si>
    <t xml:space="preserve">Se hace devolucion de la cuenta ya que no anexan la   autorizacion emitida por la EPS  correspondiente a la atencion Por favor realizar las respectivas correcciones y una vez subsane enviar para continuar con el proceso de auditoria    </t>
  </si>
  <si>
    <t>16165453</t>
  </si>
  <si>
    <t>jgcardenas</t>
  </si>
  <si>
    <t>14/9/2016</t>
  </si>
  <si>
    <t>21</t>
  </si>
  <si>
    <t>Autorización principal no existe o no corresponde al prestador del servicio de salud</t>
  </si>
  <si>
    <t>DF-05927392558</t>
  </si>
  <si>
    <t>Se hace devolución de la cuenta ya que no anexan la autorización emitida por la EPS  correspondiente a la atención Por favor realizar las respectivas correcciones y una vez subsane enviar para continuar con el proceso de auditoria</t>
  </si>
  <si>
    <t>2</t>
  </si>
  <si>
    <t>15820754</t>
  </si>
  <si>
    <t>jarivera</t>
  </si>
  <si>
    <t>19/10/2016</t>
  </si>
  <si>
    <t>DF-0825521255</t>
  </si>
  <si>
    <t xml:space="preserve">Se realiza devolución de la factura  con todos sus anexos por concepto de servicios facturados no están autorizados por la entidad pagadora tal como lo establece la 3047 anexo 3 para lo cual todo servicio adicional debe ser autorizado </t>
  </si>
  <si>
    <t>3</t>
  </si>
  <si>
    <t>1832195</t>
  </si>
  <si>
    <t>ATLANTICO</t>
  </si>
  <si>
    <t>fmsanchez</t>
  </si>
  <si>
    <t>28/9/2018</t>
  </si>
  <si>
    <t>DF-085152845</t>
  </si>
  <si>
    <t>se hace devolucion de la factura con sus respectivos soportes ya que esta atencion no cuenta con epicrisis ademas en reoprte de auditoria Concurrente Paciente que se encuentra reportada en circular 018000 sin historia clínica para avalar internación se solicitó a la IPS sin obtener envío oportuno de la misma por lo que dado el incumplimiento de la Resolución 1995 en cuanto a disponibilidad secuencialidad custodia obligatoriedad del registro y obligatoriedad del archivo se objeta estancia integral desde el día inicial de notificación en linea 01800 de Coosalud y demás valores que se facturen anteriores y posteriores a la fecha asociados a la misma hospitalización pues no se reconoce la atención notificada ante la no evidencia de historia clínica completa que registre esta atención</t>
  </si>
  <si>
    <t>egpedrozo</t>
  </si>
  <si>
    <t>28/7/2017</t>
  </si>
  <si>
    <t>12/7/2017</t>
  </si>
  <si>
    <t>DF-08555555592326</t>
  </si>
  <si>
    <t>se realiza devolucion de factura con todos sus soportes debido a que el paciente se encuentra afiliado en la base de datos de Coosalud desde la fecha 08 septiembre de 2017 y el servicio fue prestado en abril del 2017</t>
  </si>
  <si>
    <t>49125</t>
  </si>
  <si>
    <t>kjzambrano</t>
  </si>
  <si>
    <t>20/9/2018</t>
  </si>
  <si>
    <t>DF-089228522233</t>
  </si>
  <si>
    <t xml:space="preserve">Se realiza devolucion de la factura con sus respectivos soportes debido a que el rips presenta inconsistencias  Corregir  errores y presentar nuevamente para su radicacion </t>
  </si>
  <si>
    <t>srroa</t>
  </si>
  <si>
    <t>15/5/2017</t>
  </si>
  <si>
    <t>10/5/2017</t>
  </si>
  <si>
    <t>DF-089228522280</t>
  </si>
  <si>
    <t>Se realiza devolución de la factura HSRF0003334314 con todos sus soportes debido a que Coosalud no tiene competencia para el pago usuario con documento de identificación N  registra activo en FAMISANAR EPS por lo anterior se envía a la IPS la factura con sus respectivos soportes para que se haga la radicación a la entidad donde pertenece el paciente</t>
  </si>
  <si>
    <t>23/6/2017</t>
  </si>
  <si>
    <t>16</t>
  </si>
  <si>
    <t>Usuario o servicio correspondiente a otro plan responsable</t>
  </si>
  <si>
    <t>DF-08924922703</t>
  </si>
  <si>
    <t>SE REALIZA DEVOLUCION DE LAS FACTURAS CON SUS SOPORTES DEBIDO A QUE ESTE PACIENTE NO SE ENCUENTRA EN LA BASE DE DATOS DE COOSALUD Y EN EL FOSYGA CORRESPONDE A ARS CONVIDA POR TAL MOTIVO NO ES COPETENCIA DE PAGO DE COOSALUD</t>
  </si>
  <si>
    <t>9338592</t>
  </si>
  <si>
    <t>ledeoro</t>
  </si>
  <si>
    <t>24/8/2016</t>
  </si>
  <si>
    <t>17</t>
  </si>
  <si>
    <t>Usuario retirado o moroso</t>
  </si>
  <si>
    <t>DF-089283731034</t>
  </si>
  <si>
    <t>Se hace devolucion de la factura debido a que es nit 800  y requiere un acta de autorizacion por parte de coosalud para proceder a ser recibida la fecha de radicacion es del 01  al 10  de cada mes con su respectivo rips</t>
  </si>
  <si>
    <t>4</t>
  </si>
  <si>
    <t>OAZabala</t>
  </si>
  <si>
    <t>6/3/2019</t>
  </si>
  <si>
    <t>11/2/2019</t>
  </si>
  <si>
    <t>DF-089283731037</t>
  </si>
  <si>
    <t>Se hace devolucion de la factura debido a que es nit 800  y es necesaria un acta de parte de coosalud donde se autorice recibirla la fecha de radicacion es del 01  al 10 de cada mes con su respectivo rips</t>
  </si>
  <si>
    <t>5</t>
  </si>
  <si>
    <t>182195</t>
  </si>
  <si>
    <t>7/3/2019</t>
  </si>
  <si>
    <t>DF-08930102189</t>
  </si>
  <si>
    <t>Se realiza devolucion de factura con  todos sus soportes debido a que usuario aparece inactivo en base de datos de Coosalud Eps en el adres aparece activo en Famisanar Eps desde el mes de abril y debe ser radicada con esta misma</t>
  </si>
  <si>
    <t>KGalavis</t>
  </si>
  <si>
    <t>15/9/2017</t>
  </si>
  <si>
    <t>14/9/2017</t>
  </si>
  <si>
    <t>DF-1322232582</t>
  </si>
  <si>
    <t>la factura no cuenta con autorizacion de servicios</t>
  </si>
  <si>
    <t>1123289</t>
  </si>
  <si>
    <t>BOLIVAR</t>
  </si>
  <si>
    <t>fraroca</t>
  </si>
  <si>
    <t>1/8/2015</t>
  </si>
  <si>
    <t>8/7/2015</t>
  </si>
  <si>
    <t>6/8/2015</t>
  </si>
  <si>
    <t>DF-13924502423</t>
  </si>
  <si>
    <t>Factura no cuenta con el Regitro Individual de Prestacion de Servicios RIPS</t>
  </si>
  <si>
    <t>DLChico</t>
  </si>
  <si>
    <t>4/9/2015</t>
  </si>
  <si>
    <t>28/8/2015</t>
  </si>
  <si>
    <t>DF-15930282340</t>
  </si>
  <si>
    <t>CUENTA DIRIGIDA A COMPARTA SE DEVUELVE FACTURA CON TODOS SUS SOPORTES</t>
  </si>
  <si>
    <t>93400</t>
  </si>
  <si>
    <t>BOYACA</t>
  </si>
  <si>
    <t>YAAldana</t>
  </si>
  <si>
    <t>20/11/2017</t>
  </si>
  <si>
    <t>1/11/2017</t>
  </si>
  <si>
    <t>DF-2051125325</t>
  </si>
  <si>
    <t>Sin autorización principal o servicio electivo no autorizado al prestador de servicios de salud  Factura requiere Autorizacion EPS por estancia</t>
  </si>
  <si>
    <t>6363217</t>
  </si>
  <si>
    <t>CESAR</t>
  </si>
  <si>
    <t>Sin autorización principal o servicio electivo no autorizado al prestador de servicios de salud</t>
  </si>
  <si>
    <t>appumarejo</t>
  </si>
  <si>
    <t>8/2/2016</t>
  </si>
  <si>
    <t>DF-20922922178</t>
  </si>
  <si>
    <t>Devolución Administrativa AIU NO REPORTADA A LA EPSS Artículo 12 (DECRETO 4747 DE 2007) Informe de la atención inicial de urgencias Todo prestador de servicios de salud deberá informar obligatoriamente a la entidad responsable del pago el ingreso de los pacientes al servicio de urgencias dentro de las veinticuatro (24) horas siguientes al inicio de la atención El informe de atención inicial de urgencias se realizará mediante el diligenciamiento y envío del formato correspondiente el cual será definido por el Ministerio de la Protección Social</t>
  </si>
  <si>
    <t>0</t>
  </si>
  <si>
    <t>SIBentham</t>
  </si>
  <si>
    <t>18/2/2014</t>
  </si>
  <si>
    <t>48</t>
  </si>
  <si>
    <t>Informe atención inicial de urgencias</t>
  </si>
  <si>
    <t>DF-20922922179</t>
  </si>
  <si>
    <t>DF-474942312</t>
  </si>
  <si>
    <t>SE HACE DEVOLUCION DE LAS SIGUIENTE  FACTURA  YA QUE LOS SERVICIOS POSTERIORES A LAS URGENCIAS (HOSPITALIZACIONES PROCEDIMIENTOS ) DEBE VENIR CON LA AUTORIZACION   POR LO TANTO DEBEN DIRIGIRSE A LA EPS PARA TRAMITAR LAS AUTORIZACIONES ES DE NOTAR QUE UNA VEZ SUBSANADO ESTE INCONVENIENTE LA FACTURA DEBE SER PRESENTADA NUEVAMENTE EN EL TIEMPO DE RADICACION QUE APLICA CADA MES EN SU HORARIO HABITUAL PARA SU PROCESO DE AUDITORIA Y DEBIDO TRAMITE CONTABLE"</t>
  </si>
  <si>
    <t>5578255</t>
  </si>
  <si>
    <t>cpsoto</t>
  </si>
  <si>
    <t>6/6/2017</t>
  </si>
  <si>
    <t>DF-475022338</t>
  </si>
  <si>
    <t>SE HACEN DEVOLUCION DE ESTAS FACTURAS YA QUE LOS USUARIOS NO PERTENECEN A LA EPSS COOSALUD  LAS PERSONAS REPORTAN COMO AFILIADOS DE LA EPS SERVICIO OCCIDENTAL  DE SALUD SAEPS SOS SA</t>
  </si>
  <si>
    <t>BLGOMEZ</t>
  </si>
  <si>
    <t>26/4/2012</t>
  </si>
  <si>
    <t>DF-475022339</t>
  </si>
  <si>
    <t>DF-479238922136</t>
  </si>
  <si>
    <t>Se hace devolucion de la siguiente factura debido a que esta no presenta autorizacion de servicios de salud para la estancia requisito indispensable para su radicacion  acercrse a eps para gestionar la misma es de anotar que una vez subsanado este inconveniente la factura debe ser presentada nuevamente en los tiempos de radicacion que aplican del 1 al 15 de cada mes en su horario habitual de 8 a 12 con su rips</t>
  </si>
  <si>
    <t>818065</t>
  </si>
  <si>
    <t>krosa</t>
  </si>
  <si>
    <t>16/2/2017</t>
  </si>
  <si>
    <t>13/2/2017</t>
  </si>
  <si>
    <t>DF-479238922224</t>
  </si>
  <si>
    <t>Se hace devolucion de la siguiente factura debido la falta de autorizacion de servicios que emite la eps requisito indispensable para su radicacion  es de anotar que una vez subsanado este inconveniente la factura debe ser presentada nuevamente en los tiempos de radicacion que aplican del 1 al 15 de cada mes en su horario habitual de 8 a 12 con su rips</t>
  </si>
  <si>
    <t>15/3/2017</t>
  </si>
  <si>
    <t>10/3/2017</t>
  </si>
  <si>
    <t>DF-479250722179</t>
  </si>
  <si>
    <t>Se hace devoluciòn de la fact por falta de autorizaciòn para la estancia  Es de anotar que una vez subsanado el inconveniente la fact podrà ser radicada nuevamente en su horario habitual del 1 al 15 de cada mes  de lunes a viernes de 800 a 1200 m con su rips para lo pertinente</t>
  </si>
  <si>
    <t>iegomez</t>
  </si>
  <si>
    <t>17/1/2017</t>
  </si>
  <si>
    <t>27/12/2016</t>
  </si>
  <si>
    <t>DF-47926722584</t>
  </si>
  <si>
    <t>Se hace devolución de la factura por la autorizacion por favor comuniquese con la eps y solicite una orden de prestacion de servicios envio formato "Es de  anotar que una vez subsanado este impase la factura podrá  ser radicada nuevamente en su horario habitual que aplica del 1 al 15 de cada mes de 8 00 am a 12M para su debido proceso de auditoria y trámite contable traer nuevo rips"</t>
  </si>
  <si>
    <t>myavendano</t>
  </si>
  <si>
    <t>18/7/2017</t>
  </si>
  <si>
    <t>2/6/2017</t>
  </si>
  <si>
    <t>DF-47926722871</t>
  </si>
  <si>
    <t>SE HACE DEVOLUCION YA QUE LA FACTURA NO CONTIENE AUTORIZACION EMITIDA POR LA EPS PARA LA ESTANCIA "ES DE NOTAR QUE UNA VEZ SUBSANADO ESTE INCONVENIENTE LA FACTURA DEBE SER PRESENTADA NUEVAMENTE EN EL TIEMPO DE RADICACION QUE APLICA DEL 01 AL 15 DE CADA MES EN EL HORARIO HABITUAL PARA SU PROCESO DE AUDITORIA Y DEBIDO TRAMITE CONTABLE" TRAER NUEVO RIPS</t>
  </si>
  <si>
    <t>2057436</t>
  </si>
  <si>
    <t>5/9/2017</t>
  </si>
  <si>
    <t>1/9/2017</t>
  </si>
  <si>
    <t>DF-47926722875</t>
  </si>
  <si>
    <t>SE HACE DEVOLUCION DE LA FACTURA YA QUE NO ADJUNTAN LA AUTORIZACION DE SERVICIOS "ES DE NOTAR QUE UNA VEZ SUBSANADO ESTE INCONVENIENTE LA FACTURA DEBE SER PRESENTADA NUEVAMENTE EN EL TIEMPO DE RADICACION QUE APLICA DEL 01 AL 15 DE CADA MES EN EL HORARIO HABITUAL PARA SU PROCESO DE AUDITORIA Y DEBIDO TRAMITE CONTABLE" TRAER NUEVO RIPS</t>
  </si>
  <si>
    <t>2099787</t>
  </si>
  <si>
    <t>DF-47926722976</t>
  </si>
  <si>
    <t>Se hace devolución de las facturas en mension ya que las facturas no prensentan autorizacion de servicios   anexo oficio donde especifica claramente los pasos a seguir para el tramite de las autorizacionesEs de anotar que una vez subsanado  este inconveniente  la factura podrà ser presentada nuevamente en su horario habitual que aplica del 1 al 12 de cada mes de 800 am a 12 M"</t>
  </si>
  <si>
    <t>20/10/2017</t>
  </si>
  <si>
    <t>12/10/2017</t>
  </si>
  <si>
    <t>DF-47926722977</t>
  </si>
  <si>
    <t>Se hace devolución de las facturas en mension ya que las facturas no prensentan autorizacion de servicios   anexo oficio donde especifica claramente los pasos a seguir para el tramite de las autorizaciones "Es de anotar que una vez subsanado  este inconveniente  la factura podrà ser presentada nuevamente en su horario habitual que aplica del 1 al 12 de cada mes de 800 am a 12 M"</t>
  </si>
  <si>
    <t>DF-549240122031</t>
  </si>
  <si>
    <t>se devuelve factura por falta de rips respectivo el cual no es posible seguir con el proceso de auditoria la cual debe ser radicada en la sucursal de norte de santander en la ave 6e n 7a 61 b popular cucuta tel 5893723</t>
  </si>
  <si>
    <t>911240</t>
  </si>
  <si>
    <t>N. DE SANTANDER</t>
  </si>
  <si>
    <t>yarias</t>
  </si>
  <si>
    <t>9/5/2017</t>
  </si>
  <si>
    <t>DF-54927872378</t>
  </si>
  <si>
    <t>23057307</t>
  </si>
  <si>
    <t>PAROA</t>
  </si>
  <si>
    <t>28/2/2017</t>
  </si>
  <si>
    <t>DF-54927872472</t>
  </si>
  <si>
    <t>30/6/2017</t>
  </si>
  <si>
    <t>DF-682202386</t>
  </si>
  <si>
    <t xml:space="preserve">Se hace devolución de la factura No HSRF0002103902 por valor de $ 35200 correspondiente a la paciente Laura Valentina Navas Ardila ya que la paciente a la fecha de la atención (09/06/2012)  se encontraba activa en CAJA DE COMPENSACIÍON CAFAM favor facturar a dicha entidad responsable del pago de los servicios prestados Se anexa certificado de afiliación expedida por COOSALUD EPSS  </t>
  </si>
  <si>
    <t>SANTANDER</t>
  </si>
  <si>
    <t>sjprada</t>
  </si>
  <si>
    <t>31/5/2012</t>
  </si>
  <si>
    <t>DF-682202505</t>
  </si>
  <si>
    <t xml:space="preserve">Me permito hacer devolución de la factura No HSRF0002356927 con el objetivo de que sea enviada al Departamento de afiliación del usuario ya que corresponde a una atención de usuario de BOLIVAR que no se puede radicar en el sistema de la Sucursal SantanderRespetuosamente solicito la factura de servicios prestados sea enviada a la Sucursal de origen ATLANTICO                 	Carrera 58 #64230 BarranquillaANTIOQUIA                 	Carrera 70# 44b32 Medellín B FloridanuevaBOLÍVAR                     	Carretera de Olaya Herrera #52136 CartagenaMAGDALENA              	Carrera 12 #26b97 Santa MartaSUCRE                        	Calle 27 #2184 B La María SincelejoVALLE DEL CAUCA  	Calle 6 No 2637 AV Roosvelt Barrio Alameda Tel 3809052CESAR                        	Carrera 13c #1110 Locales 1 2 3 ValleduparBOYACA                     	Calle 41 # 128 B José de las Flórez TunjaCORDOBA	Calle 24 AV Circunvalar CC Isla Center Local C Teléfono 7835339 Montería </t>
  </si>
  <si>
    <t>2/10/2012</t>
  </si>
  <si>
    <t>26/9/2012</t>
  </si>
  <si>
    <t>DF-6846822635</t>
  </si>
  <si>
    <t>Se hace devolución de la factura No HSRF0003131769 por valor de $ 45300  correspondiente a la atención del día 13/03/2016 de la paciente ANGIE STHEPANNIE PAEZ CUTA identificada con CC 1103365018  ya que el afiliado no se encuentra en la base de datos de COOSALUD EPSS además según la ficha N 36298 del SISBEN el paciente a la fecha del 29/02/2016 se encontraba zonificado en el municipio de Facatativa  Cundinamarca  y COOSALUD EPSS no tiene usuarios en dicho municipio Se evidencia que dicho usuario se encontraba activo en CONVIDA  desde el día 04/03/2016 Favor facturar a dicha EPSS quien es la responsable del pago de los servicios prestados Anexo certificado del Fosyga</t>
  </si>
  <si>
    <t>45300</t>
  </si>
  <si>
    <t>icarenas</t>
  </si>
  <si>
    <t>25/5/2016</t>
  </si>
  <si>
    <t>20/4/2016</t>
  </si>
  <si>
    <t>DF-6846822636</t>
  </si>
  <si>
    <t>Se hace devolución de la factura No HSRF0003130699 por valor de $ 181900  correspondiente a la atención del día 10/03/2016 de la paciente ANGIE STHEPANNIE PAEZ CUTA identificada con CC 1103365018  ya que el afiliado no se encuentra en la base de datos de COOSALUD EPSS además según la ficha N 36298 del SISBEN el paciente a la fecha del 29/02/2016 se encontraba zonificado en el municipio de Facatativa  Cundinamarca  y COOSALUD EPSS no tiene usuarios en dicho municipio Se evidencia que dicho usuario se encontraba activo en CONVIDA  desde el día 04/03/2016 Favor facturar a dicha EPSS quien es la responsable del pago de los servicios prestados Anexo certificado del Fosyga</t>
  </si>
  <si>
    <t>181900</t>
  </si>
  <si>
    <t>DF-6846822734</t>
  </si>
  <si>
    <t>Solicitamos formalmente radicar la facturación a la entidad responsable del pago correspondiente ya que de acuerdo a lo contemplado en la  Ley 1438 de 2011 se adoptaron reformas al Sistema General de Seguridad Social en Salud de las que forma parte el nuevo esquema de administración del Régimen Subsidiado reglamentado por el Decreto 971 de 2011 modificado por los Decretos 1700 y 3830 del mismo año el cual dispone en el parágrafo 2 del artículo 7 que podrán reconocerse novedades de afiliación retroactivas generadas después del primero de abril de 2011 y registradas en la Base de Datos Única de Afiliados BDUA hasta un (1) año después de la generación de la mismaLo anterior se ratifica en la Resolución 1344 del 4 de Junio de  2012 en su Artículo 2 Actualización de la Base de Datos Única de Afiliados BDUA El administrador fiduciario de los recursos del Fondo de Solidaridad y Garantía Fosyga con base en las novedades generadas previamente por parte de las entidades que administran las afiliaciones en los distintos regímenes procederá a efectuar la actualización de los datos básicos de dicha afiliación en la Base de Datos Única de Afiliados BDUAPor lo anterior los cambios en la BDUA serán una constante en el sistema por lo que no es posible hacer reconocimiento por estos usuarios ya que retroactivamente fue reconocido a otra entidad por lo anterior y en el marco de la Normativa vigente no es posible realizar reconocimientos de pacientes que finalmente no fueron compensados a Coosalud EPSSCabe aclarar que esta factura no cuenta con ningun proceso administrativo ya que no cumple con los requisitos para su radicación</t>
  </si>
  <si>
    <t>7/7/2016</t>
  </si>
  <si>
    <t>10/6/2016</t>
  </si>
  <si>
    <t>DF-6846822735</t>
  </si>
  <si>
    <t>DF-6846822928</t>
  </si>
  <si>
    <t>Solicitamos formalmente radicar la facturación a la entidad responsable del pago correspondiente ya que de acuerdo a lo contemplado en la  Ley 1438 de 2011 se adoptaron reformas al Sistema General de Seguridad Social en Salud de las que forma parte el nuevo esquema de administración del Régimen Subsidiado reglamentado por el Decreto 971 de 2011 modificado por los Decretos 1700 y 3830 del mismo año el cual dispone en el parágrafo 2 del artículo 7 que podrán reconocerse novedades de afiliación retroactivas generadas después del primero de abril de 2011 y registradas en la Base de Datos Única de Afiliados BDUA hasta un (1) año después de la generación de la mismaLo anterior se ratifica en la Resolución 1344 del 4 de Junio de  2012 en su Artículo 2 Actualización de la Base de Datos Única de Afiliados BDUA El administrador fiduciario de los recursos del Fondo de Solidaridad y Garantía Fosyga con base en las novedades generadas previamente por parte de las entidades que administran las afiliaciones en los distintos regímenes procederá a efectuar la actualización de los datos básicos de dicha afiliación en la Base de Datos Única de Afiliados BDUAPor lo anterior los cambios en la BDUA serán una constante en el sistema por lo que no es posible hacer reconocimiento por estos usuarios ya que retroactivamente fue reconocido a otra entidad por lo anterior y en el marco de la Normativa vigente no es posible realizar reconocimientos de pacientes que finalmente no fueron compensados a Coosalud EPSSCabe aclarar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por ende no aplica la extemporaneidad</t>
  </si>
  <si>
    <t>26/9/2016</t>
  </si>
  <si>
    <t>21/9/2016</t>
  </si>
  <si>
    <t>DF-6846822929</t>
  </si>
  <si>
    <t>DF-94928322311</t>
  </si>
  <si>
    <t>Se hace devolucion de la cuenta ya que los archivos internos del RIPS presentan inconsistencia en el valor facturaverificar que todos los campos estén bien diligenciadosPor favor realizar las respectivas correcciones y una vez subsane enviar para continuar con el proceso de Radicacion</t>
  </si>
  <si>
    <t>GUAINIA</t>
  </si>
  <si>
    <t>jrospina</t>
  </si>
  <si>
    <t>4/1/2017</t>
  </si>
  <si>
    <t>DF-94928322402</t>
  </si>
  <si>
    <t>1/2/2017</t>
  </si>
  <si>
    <t>DF-0520932258</t>
  </si>
  <si>
    <t>se realiza devolucion de la factura segun concepto de gestor hospitalario Yesika Gomez "Usuario que se encuentra con reporte de solicitud de autorización de servicios adicionales a la atención inicial de urgencias en línea 018000 de Coosalud de quien no se recibe historia clínica para avalar internación esta se solicitó a la IPS sin obtener envío oportuno de la misma por lo que dado el incumplimiento de la Resolución 1995 en cuanto a obligatoriedad del registro completo legible y comprensible en orden lógico y cronológico secuencialidad y disponibilidad se objeta estancia integral desde el día inicial de notificación en línea 01800 de Coosalud y demás valores que se facturen anteriores y posteriores a la fecha asociados a la misma hospitalización pues no se reconoce la atención notificada ante la no evidencia de historia clínica completa que registre esta atención"</t>
  </si>
  <si>
    <t>952190</t>
  </si>
  <si>
    <t>oapatino</t>
  </si>
  <si>
    <t>20/6/2019</t>
  </si>
  <si>
    <t>6/6/2019</t>
  </si>
  <si>
    <t>DF-05222733416</t>
  </si>
  <si>
    <t>HSRF3974778</t>
  </si>
  <si>
    <t>Se hace devolucion de la cuenta debido que los servicio facturado no esta contratado por las partes</t>
  </si>
  <si>
    <t>50600</t>
  </si>
  <si>
    <t>rspalacios</t>
  </si>
  <si>
    <t>25/7/2020</t>
  </si>
  <si>
    <t>9/7/2020</t>
  </si>
  <si>
    <t>DF-05222736277</t>
  </si>
  <si>
    <t>Se hace devolucion de la cuenta debido  que la IPS cargo la atención  con un contrato de portabilidad y revisando  lo soportado es tan facturado no adjunta la portabiliad</t>
  </si>
  <si>
    <t>47200</t>
  </si>
  <si>
    <t>Requisitos DIAN</t>
  </si>
  <si>
    <t>21/5/2021</t>
  </si>
  <si>
    <t>10/5/2021</t>
  </si>
  <si>
    <t>DF-055555564731890</t>
  </si>
  <si>
    <t>HSRF3957259</t>
  </si>
  <si>
    <t>Se realiza devolución total de la factura N HSRF3957259 correspondiente a cobro por servicios posteriores a la urgencia debido que es necesario anexar autorización y/o aprobación por parte de la EPS Coosalud dado que al ser IPS no red y teniendo en cuenta la normatividad la IPS solo puede prestar servicio de urgencia vital una vez superado la urgencia se debe remitir el paciente a la red de prestadores de la EPS Coosalud o en efecto solicitar a Coosalud aprobación para continuar con la prestación de los servicios posteriores a la urgencia en historia clínica anexa se evidencia que este se encuentra negadoAsí las cosas se solicita a la IPS tramitar aprobación ante la EPS para continuar con el respectivo procesoUna vez subsanado el motivo de la devolución se solicita a la IPS radicar las facturas en el portal de Aplistaff para continuar con el respectivo proceso</t>
  </si>
  <si>
    <t>1886101</t>
  </si>
  <si>
    <t>mvmejia</t>
  </si>
  <si>
    <t>6/8/2020</t>
  </si>
  <si>
    <t>8/7/2020</t>
  </si>
  <si>
    <t>DF-055555564731891</t>
  </si>
  <si>
    <t>HSRF3968829</t>
  </si>
  <si>
    <t>Se realiza devolución total de la factura N HSRF3968829 correspondiente a cobro por servicios posteriores a laurgencia debido que es necesario anexar autorización y/o aprobación por parte de la EPS Coosalud dado queal ser IPS no red y teniendo en cuenta la normatividad la IPS solo puede prestar servicio de urgencia vital unavez superado la urgencia se debe remitir el paciente a la red de prestadores de la EPS Coosalud o en efectosolicitar a Coosalud aprobación para continuar con la prestación de los servicios posteriores a la urgencia enhistoria clínica anexa se evidencia que este se encuentra negadoAsí las cosas se solicita a la IPS tramitar aprobación ante la EPS para continuar con el respectivo procesoUna vez subsanado el motivo de la devolución se solicita a la IPS radicar las facturas en el portal de Aplistaffpara continuar con el respectivo proceso</t>
  </si>
  <si>
    <t>1943701</t>
  </si>
  <si>
    <t>DF-055555564731948</t>
  </si>
  <si>
    <t>HSRF3935417</t>
  </si>
  <si>
    <t xml:space="preserve">Se realiza devolución total de la factura N HSRF3935417 correspondiente a cobro por servicios posteriores a la urgencia debido que es necesario anexar autorización y/o aprobación por parte de la EPS Coosalud dado que al ser IPS no red y teniendo en cuenta la normatividad la IPS solo puede prestar servicio de urgencia vital una vez superado la urgencia se debe remitir el paciente a la red de prestadores de la EPS Coosalud o en efecto solicitar a Coosalud aprobación para continuar con la prestación de los servicios posteriores a la urgenciaAsí las cosas se solicita a la IPS tramitar aprobación ante la EPS para continuar con el respectivo procesoUna vez subsanado el motivo de la devolución se solicita a la IPS radicar las facturas en el portal de Aplistaff para continuar con el respectivo proceso </t>
  </si>
  <si>
    <t>4661264</t>
  </si>
  <si>
    <t>11/8/2020</t>
  </si>
  <si>
    <t>11/7/2020</t>
  </si>
  <si>
    <t>DF-055555564732599</t>
  </si>
  <si>
    <t>FEHF8010</t>
  </si>
  <si>
    <t>Se hace devolución de la factura se realiza validación de la información suministrada según requisitos para recobro al ADRES Dando cumplimiento a la Resolución 1885 de 2018 Resolución 41656 de 2019 y Resolución 094 de 2020 Para proceso de auditoria de facturas con Tecnologías No Cubiertas en el Plan de Beneficios en Salud (NO PBS) Se evidencia que la factura presenta la siguiente inconsistencia Se verifica en la plataforma MIPRES los ID de reporte de entrega y de facturación se encuentran sin diligenciar requisito necesario para los servicios No PBS se solicita a la IPS realizar las correcciones pertinentes para continuar con el proceso de auditoríaLa estructura solicitada por Coosalud en la Circular 001 de 30 de enero 2020 así crear una Carpeta FACTXXXX (número de la factura) y dentro de esa el detalle de la carpeta con el nombre de cada ENTREGApdf FACTURApdf MIPRESpdf OMpdf OTROSpdf y si aplica TUTELApdf"1Factura escaneada en su totalidad en carpeta nombrada de acuerdo con el número de factura que genere el sistema interno de la IPS y que sea reportada ante la DIAN e igualmente reportada en los RIPS CARPETA POR FACTURA 2PDF foliado por factura en la que se encuentren los soportes ya mencionados así ENTREGA corresponde al acta de entrega firmada por el usuario con las variables definidas anteriormente FALLO DE TUTELA corresponde a la tutela completa firmada por JUEZ y unificada en PDF FACTURA corresponde a la factura con su detallado y debe coincidir con los ripsMIPRES corresponde al MIPRES generado por la IPS/EPS incluyendo su junta de profesionales PDF unificado cuando aplique OM Orden Médica aplica para servicios complementarios medicamentos vitales no disponibles OTROS corresponde al PDF UNIFICADO de la historia clínica documento del usuario justificaciones médicas consentimiento informado reporte de patología confirmatoria de enfermedad huérfana y demás que apliquen Nota Si la evidencia de los ID no quedó registrada en la factura esta deberá ir en documento anexo digitalizado nombrado ID Se solicita verificar la siguiente información para evitar nuevas inconformidades Los ID reportados no coinciden con los que están en la plataforma de MINSALUD  Las fechas de entrega máxima según direccionamiento corresponda  Las fechas de reporte de entrega no coinciden con el físico presentado según las entregas realizadas  NoSubEntrega debe quedar en 0 en la plataforma  CUM no correspondeSe valida ID principal no corresponde al reportado en factura física que es el segundo ID  ID de suministro verificar si es última entrega se debe colocar 1 y no sino 0  Verificar las tarifas de acuerdo con la norma de regulación vigente a la fecha de la prestación del servicio y los homólogos suministrado por la EPSCualquier inconsistencia es motivo de no reconocimiento ante la ADRES por lo anterior hasta que no subsane estos inconvenientes para dar trámite nuevamente de radicación</t>
  </si>
  <si>
    <t>82635</t>
  </si>
  <si>
    <t>2/10/2020</t>
  </si>
  <si>
    <t>7/9/2020</t>
  </si>
  <si>
    <t>DF-055555564733444</t>
  </si>
  <si>
    <t>FEHF15285</t>
  </si>
  <si>
    <t xml:space="preserve">Se realiza devolución de la factura N FEHF15285 correspondiente al paciente Deysis Maria Ramirez Baldovino con CC 1193180252 dado que se evidenció error en los RIPS el valor de los detalles de cargo reportados en la factura no coinciden con los reportados en los RIPS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saludl portal de SAMI  para continuar con el proceso de auditoria Una vez subsanado el motivo de la devolución se solicita a la IPS radicar la factura en el portal de SAMI  para continuar con el proceso de auditoria </t>
  </si>
  <si>
    <t>743000</t>
  </si>
  <si>
    <t>15/11/2020</t>
  </si>
  <si>
    <t>13/10/2020</t>
  </si>
  <si>
    <t>DF-055555564733445</t>
  </si>
  <si>
    <t>FEHF28043</t>
  </si>
  <si>
    <t>Se realiza devolución de la factura FEHF28043 correspondiente al paciente Hijo de Angie Yurley Leal Hurtado dado que no anexan certificado de nacido vivo requisito indispensable para el proceso de auditoria se solicita realizar las correcciones pertinentes para continuar con el proceso de auditoriaUna vez subsanado el motivo de la devolución se solicita a la IPS radicar la factura en el portal de SAMI  para continuar con el proceso de auditoria</t>
  </si>
  <si>
    <t>5569878</t>
  </si>
  <si>
    <t>DF-055555564733446</t>
  </si>
  <si>
    <t>Se realiza devolución total de la factura N HSRF3935417 correspondiente a cobro por servicios posteriores a la urgencia debido que es necesario anexar autorización y/o aprobación por parte de la EPS Coosalud dado que al ser IPS no red y teniendo en cuenta la normatividad la IPS solo puede prestar servicio de urgencia vital una vez superado la urgencia se debe remitir el paciente a la red de prestadores de la EPS Coosalud o en efecto solicitar a Coosalud aprobación para continuar con la prestación de los servicios posteriores a la urgenciaAsí las cosas se solicita a la IPS tramitar aprobación ante la EPS para continuar con el respectivo procesoUna vez subsanado el motivo de la devolución se solicita a la IPS radicar las facturas en el portal de Aplistaff para continuar con el respectivo proceso</t>
  </si>
  <si>
    <t>DF-055555564733595</t>
  </si>
  <si>
    <t>FEHF22602</t>
  </si>
  <si>
    <t>Se realiza devolución de la factura FEHF22602 correspondiente al paciente Manuel Eduardo Guzman Pulido con CC 80429541 dado que se verifican los soportes anexos y este no da cumplimiento con los lineamientos establecidos en la resolución 1463 de 2020 y la circular 049 de 2020 emitida por el ADRES para la presentación de las facturas de pruebas covid19 se evidencia que presenta la siguiente inconsistencia   Tener en cuenta que los servicios no PBS no pueden ser cobrados simultáneamente con los servicios PBS  En los soportes anexos no se evidencia registro INVIMA el cual es necesario para las pruebas de anticuerpos y de antígenos Reporte del procesamiento de la muestra (Resultado) el cual debe contener fecha de toma fecha de recepción de la muestra y fecha de reporte PDF del resultado cargado en la plataforma SISMUESTRA RIPS ID de dynamicoos Archivo en excel con los campos requeridosUna vez subsanado el motivo de la devolución se solicita a la IPS radicar la factura en el portal de SAMI  para continuar con el proceso de auditoria</t>
  </si>
  <si>
    <t>162328</t>
  </si>
  <si>
    <t>21/11/2020</t>
  </si>
  <si>
    <t>DF-055555564734766</t>
  </si>
  <si>
    <t>FEHF51426</t>
  </si>
  <si>
    <t>Se hace devolución de la factura se realiza validación de la información suministrada según requisitos para recobro al ADRES Dando cumplimiento a la Resolución 1885 de 2018 Resolución 41656 de 2019 y Resolución 094 de 2020 Para proceso de auditoria de facturas con Tecnologías No Cubiertas en el Plan de Beneficios en Salud (NO PBS) Se evidencia que la factura presenta la siguiente inconsistencia  Se verifica en la plataforma web service el código de la factura reportado en el ID de facturación no corresponde al código CUFE requisito indispensable para la facturación electrónica de los servicios No PBSEl código de la tecnología facturada no coincide con el reportado en el ID de reporte de entrega y de facturación además no corresponden a la codificación MIPRES (ver los códigos en la página del ADRES) Se evidencia que la IPS factura bromuro de rocuronio solución inyectable medicamento PBS tener en cuenta que los servicios no PBS no pueden ser cobrados simultáneamente con los servicios PBS Lo anterior teniendo en cuenta la resolución 1479 de 2015La estructura solicitada por Coosalud en la Circular 001 de 30 de enero 2020 así crear una Carpeta FACTXXXX (número de la factura) y dentro de esa el detalle de la carpeta con el nombre de cada ENTREGApdf FACTURApdf MIPRESpdf OMpdf OTROSpdf y si aplica TUTELApdf"1Factura escaneada en su totalidad en carpeta nombrada de acuerdo con el número de factura que genere el sistema interno de la IPS y que sea reportada ante la DIAN e igualmente reportada en los RIPS CARPETA POR FACTURA 2PDF foliado por factura en la que se encuentren los soportes ya mencionados así ENTREGA corresponde al acta de entrega firmada por el usuario con las variables definidas anteriormente FALLO DE TUTELA corresponde a la tutela completa firmada por JUEZ y unificada en PDF FACTURA corresponde a la factura con su detallado y debe coincidir con los ripsMIPRES corresponde al MIPRES generado por la IPS/EPS incluyendo su junta de profesionales PDF unificado cuando aplique OM Orden Médica aplica para servicios complementarios medicamentos vitales no disponibles OTROS corresponde al PDF UNIFICADO de la historia clínica documento del usuario justificaciones médicas consentimiento informado reporte de patología confirmatoria de enfermedad huérfana y demás que apliquen Nota Si la evidencia de los ID no quedó registrada en la factura esta deberá ir en documento anexo digitalizado nombrado ID Se solicita verificar la siguiente información para evitar nuevas inconformidades Los ID reportados no coinciden con los que están en la plataforma de MINSALUD  Las fechas de entrega máxima según direccionamiento corresponda  Las fechas de reporte de entrega no coinciden con el físico presentado según las entregas realizadas  NoSubEntrega debe quedar en 0 en la plataforma  CUM no correspondeSe valida ID principal no corresponde al reportado en factura física que es el segundo ID  ID de suministro verificar si es última entrega se debe colocar 1 y no sino 0  Verificar las tarifas de acuerdo con la norma de regulación vigente a la fecha de la prestación del servicio y los homólogos suministrado por la EPSCualquier inconsistencia es motivo de no reconocimiento ante la ADRES por lo anterior hasta que no subsane estos inconvenientes para dar trámite nuevamente de radicación</t>
  </si>
  <si>
    <t>168412</t>
  </si>
  <si>
    <t>15/1/2021</t>
  </si>
  <si>
    <t>10/12/2020</t>
  </si>
  <si>
    <t>DF-057654328032113</t>
  </si>
  <si>
    <t>FEHF34801</t>
  </si>
  <si>
    <t>Se hace devolución de la cuenta no utilizan la codificación de cups o y/o cums vigente para la fecha de prestación del servicio recuerde que toda la información debe estar codificada en "CUPS" y "CUMS" en unidad mínima de dispensación este código debe corresponder a la descripción y además debe garantizarse la coincidencia entre lo ordenado lo aplicado lo facturado y lo registrado en rips</t>
  </si>
  <si>
    <t>168762</t>
  </si>
  <si>
    <t>cmsanchez</t>
  </si>
  <si>
    <t>19/4/2021</t>
  </si>
  <si>
    <t>8/4/2021</t>
  </si>
  <si>
    <t>DF-057654328032114</t>
  </si>
  <si>
    <t>FEHF36172</t>
  </si>
  <si>
    <t>2608089</t>
  </si>
  <si>
    <t>DF-05765432803569</t>
  </si>
  <si>
    <t>se hace devolucion de la factura debido a que la ips cargo la atencion al numero de contrato SNA2019REDNOPBS112 no corresponde debido a que la ips factura servicios pbs y no corresponden al contrato establecido con la ips</t>
  </si>
  <si>
    <t>9/12/2020</t>
  </si>
  <si>
    <t>10/11/2020</t>
  </si>
  <si>
    <t>DF-05765432803570</t>
  </si>
  <si>
    <t>DF-057654329432157</t>
  </si>
  <si>
    <t>FEHF50730</t>
  </si>
  <si>
    <t>Se realiza devolución de la factura 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 requisito necesario para continuar con el debido procesoSe aclara a la IPS que también debe estar reportado en el ID de dynamicoos de Coosalud también deben de anexar el resultado del procedimiento de la muestra el cual debe contener fecha de toma fecha de recepción de la muestra y fecha de reporteUna vez subsanado el motivo de devolución se solicita a la IPS radicar en el portal aplistaff para continuar con la auditoria</t>
  </si>
  <si>
    <t>99423</t>
  </si>
  <si>
    <t>VALLE</t>
  </si>
  <si>
    <t>csanchez</t>
  </si>
  <si>
    <t>18/1/2021</t>
  </si>
  <si>
    <t>DF-05765433203285</t>
  </si>
  <si>
    <t>FEHF68728</t>
  </si>
  <si>
    <t>Se genera devolucion de la factura falta la autorizacion caso en dynamicoos de la consulta por urgencias</t>
  </si>
  <si>
    <t>51900</t>
  </si>
  <si>
    <t>CORDOBA</t>
  </si>
  <si>
    <t>lfquintero</t>
  </si>
  <si>
    <t>22/1/2021</t>
  </si>
  <si>
    <t>12/1/2021</t>
  </si>
  <si>
    <t>DF-05765433203518</t>
  </si>
  <si>
    <t>FEHF75631</t>
  </si>
  <si>
    <t>Se genera devolucion de la factura ya que faltan los codigos cum y cups de los servicios segun la normatividad</t>
  </si>
  <si>
    <t>2015441</t>
  </si>
  <si>
    <t>10/3/2021</t>
  </si>
  <si>
    <t>11/2/2021</t>
  </si>
  <si>
    <t>DF-05765433843183</t>
  </si>
  <si>
    <t>Se devuelve la factura JMS56818 donde se evidencia que solo enviaron la factura sin ningún soporte según la resolución 3047 de 2008 anexo 5 y 6 se debe anexar todo lo relacionado con el servicio prestado (Análisis de Exámenes de Laboratorio)</t>
  </si>
  <si>
    <t>895100</t>
  </si>
  <si>
    <t>No presentan detalle de cargos o contiene errores.</t>
  </si>
  <si>
    <t>agarciaa</t>
  </si>
  <si>
    <t>31/8/2021</t>
  </si>
  <si>
    <t>10/8/2021</t>
  </si>
  <si>
    <t>DF-059232331607</t>
  </si>
  <si>
    <t>Factura no cumple requisitos legalessoportes Faltan soportes necesarios para radicación de facturas según lo establecido en la resolución 3047 y demás que apliquen  Se hace devolución de la cuenta ya que la IPS no adjunta  los códigos ID de la dispensación generados a través de la plataforma habilitada por el ministerio esto según carta enviada por la Viceministra de Protección Social Diana Isabel Cardenas Gamboa a las Entidades Promotoras de Salud donde indica que no se podrá exceder del 1 de marzo para la entrada en operación del modulo ProveedoresDispensadores En la plataforma de MIPRES se dispone para efecto del cumplimiento de lo anterior mencionado del Manual de Usuario Modulo de dispensadorProveedor Versión 11 de marzo del 2019Por favor tener en cuenta que al momento de subsanar se debe montar al portal el archivo comprimido de los respectivos soportes completos</t>
  </si>
  <si>
    <t>70000</t>
  </si>
  <si>
    <t>La informacion de los registros individuales de prestacion de servicios presentados no coincide con lo facturado bien sea en valores, codificacion de servicios, fechas de atencion entre otros o no utilizan la codificacion de cups o y/o cums vigente.</t>
  </si>
  <si>
    <t>14/5/2020</t>
  </si>
  <si>
    <t>DF-059273938957</t>
  </si>
  <si>
    <t>Se hace devolución de la factura dado que Se debe tener en cuenta circular normativa Cumplimiento de lasobligaciones de confiabilidad seguridad y calidad de los datos sobre la prestación individual de servicios desalud del 11 de agosto de 2020 atendiendo los lineamientos consagrados en los artículos 9 y siguiente de laResolucion 3374 de 2000 en el numeral III ( todos los prestadores deben garantizar la coincidencia de loordenado lo aplicado  lo facturado y lo registrado en RIPS) y Numeral IV (toda la información debe estarcodificada en "CUPS" y "CUMS" en unidad minima de dispensación aclarando que el código debe corresponder ala descripción en caso contrario será objeto de devolución por lo cual se deberá cargar nuevamente lainformación en la plataforma los RIPS y surtir un nuevo proceso de radicación de factura)SE DEBE FACTURAR TANTO EN CODIGOS CUPS COMO EN CODIGOS CUMS</t>
  </si>
  <si>
    <t>3115738</t>
  </si>
  <si>
    <t>18/5/2021</t>
  </si>
  <si>
    <t>DF-0849331251</t>
  </si>
  <si>
    <t>HSRF3957780</t>
  </si>
  <si>
    <t>Se aplica devolución de la factura por falta de soportes historia clínica IPS solo adjunto factura de venta a la plataforma sami faltaron soportes clínicosAl subsanar este motivo de devolución lo invitamos a radicar nuevamente la factura</t>
  </si>
  <si>
    <t>7610376</t>
  </si>
  <si>
    <t>edbaldovino</t>
  </si>
  <si>
    <t>2/8/2020</t>
  </si>
  <si>
    <t>34</t>
  </si>
  <si>
    <t>Resumen de egreso o epicrisis, hoja de atención de urgencias u odontograma</t>
  </si>
  <si>
    <t>DF-08555556293194</t>
  </si>
  <si>
    <t>SE HACE DEVOLUCION DE FACTURA CON TODOS SUS ANEXOS YA QUE NO SE ENCUENTRA LA ATENCION EN LOS PORTALES DE INFORMACION</t>
  </si>
  <si>
    <t>105064</t>
  </si>
  <si>
    <t>kechacon</t>
  </si>
  <si>
    <t>2/9/2019</t>
  </si>
  <si>
    <t>8/8/2019</t>
  </si>
  <si>
    <t>DF-085555569231679</t>
  </si>
  <si>
    <t>Se hace devolución de la factura con todos sus anexos debido a que la atención de urgencia no se encuentra reportada en nuestros aplicativos cabe denotar que la resolución 3047 anexo técnico 1 y 2 establece que la ips debe reportar la atención en las 24 horas posteriores a la atención y al no evidenciarse dicho reporte me impide seguir con el proceso de auditoria ya que la factura no cumple con los lineamientos técnicos que se requieren para el pago de los servicios Lo invitamos subsanar y volver a radicar en los tiempos estipulados</t>
  </si>
  <si>
    <t>262506</t>
  </si>
  <si>
    <t>Atencion ambulatoria sin registro de asistido que demuestre la prestacion del servicio en dynamicoos.</t>
  </si>
  <si>
    <t>kpolo</t>
  </si>
  <si>
    <t>21/4/2021</t>
  </si>
  <si>
    <t>9/4/2021</t>
  </si>
  <si>
    <t>DF-085555569232097</t>
  </si>
  <si>
    <t xml:space="preserve">Se realiza devolucion de factura y todos sus anexos debido que una vez finalizado el proceso que auditoria se evidencia que no se encuentra reportado el servicio en la plataforma Dynamicoos es indispensable que el servicio se encuentre reportado para el pago de la factura Lo invitamos a subsanar y volver a radicar en los tiempos estipulados por la Eps </t>
  </si>
  <si>
    <t>155901</t>
  </si>
  <si>
    <t>No presentan los anexos con la evidencia de los envios con su trazabilidad dentro de los tiempos normativos o Servicio no autorizado por la EPS para prestar en su institucion</t>
  </si>
  <si>
    <t>22/7/2021</t>
  </si>
  <si>
    <t>9/7/2021</t>
  </si>
  <si>
    <t>DF-119261133132</t>
  </si>
  <si>
    <t>Se hace devolución total de la factura FEHF223528 por $103600 se verifica en Dynamicoos y no se evidencia que la IPS haya gestionado su respectivo código para la fecha de atencion del dia 25/11/2021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</si>
  <si>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103600</t>
  </si>
  <si>
    <t>vperea</t>
  </si>
  <si>
    <t>27/12/2021</t>
  </si>
  <si>
    <t>8/12/2021</t>
  </si>
  <si>
    <t>DF-1316536152</t>
  </si>
  <si>
    <t>FEHF8807</t>
  </si>
  <si>
    <t>Servicio no autorizado por la EPS para prestar en su institucion(07285250)</t>
  </si>
  <si>
    <t>1314330</t>
  </si>
  <si>
    <t>nimendoza</t>
  </si>
  <si>
    <t>8/10/2020</t>
  </si>
  <si>
    <t>DF-1346935253</t>
  </si>
  <si>
    <t>FEHF36052</t>
  </si>
  <si>
    <t>Se realiza devolución IPS carga servicio al contrato SNA2019REDNOPBS112 el cual no corresponde al servicio PBS facturado Favor revisar y corregir para su radicacion</t>
  </si>
  <si>
    <t>1295397</t>
  </si>
  <si>
    <t>cemacias</t>
  </si>
  <si>
    <t>7/12/2020</t>
  </si>
  <si>
    <t>11/11/2020</t>
  </si>
  <si>
    <t>DF-13475311955</t>
  </si>
  <si>
    <t>FEHF49181</t>
  </si>
  <si>
    <t>Servicios posteriores a la atencion inicial de urgencias sin caso de aprobacion en dynamicoos</t>
  </si>
  <si>
    <t>2001501</t>
  </si>
  <si>
    <t>cajulio</t>
  </si>
  <si>
    <t>25/5/2021</t>
  </si>
  <si>
    <t>7/5/2021</t>
  </si>
  <si>
    <t>DF-13475311997</t>
  </si>
  <si>
    <t>Servicios posteriores a la atencion inicial de urgenciassin aprobacion en dynamicoos Negados segun caso 12051974</t>
  </si>
  <si>
    <t>1732930</t>
  </si>
  <si>
    <t>16/6/2021</t>
  </si>
  <si>
    <t>8/6/2021</t>
  </si>
  <si>
    <t>DF-1347535832</t>
  </si>
  <si>
    <t>HSRF3956219</t>
  </si>
  <si>
    <t>Servicios prestados posteriores a la atención de urgencias sin autorización No reportados a EPS</t>
  </si>
  <si>
    <t>771747</t>
  </si>
  <si>
    <t>4/8/2020</t>
  </si>
  <si>
    <t>DF-1347539154</t>
  </si>
  <si>
    <t>FEHF20467</t>
  </si>
  <si>
    <t>Servicios prestados posteriores a la atencion de urgencias sin Autorizacion Negados por EPS segun caso 07556191</t>
  </si>
  <si>
    <t>1268198</t>
  </si>
  <si>
    <t>29/10/2020</t>
  </si>
  <si>
    <t>DF-135555559031158</t>
  </si>
  <si>
    <t>HSRF3958981</t>
  </si>
  <si>
    <t>Se realiza devolucion de factura No pueden venir cobrados en la factura POS servicios NO POS de acuerdo a la circulares 001 y 003 emitida por la eps Coosalud</t>
  </si>
  <si>
    <t>3902920</t>
  </si>
  <si>
    <t>emrico</t>
  </si>
  <si>
    <t>DF-137654330331235</t>
  </si>
  <si>
    <t>FEHF82027</t>
  </si>
  <si>
    <t>SE HACE DEVOLUCION POR QUE PARA LA FECHA DE ATENCION PACIENTE APARECE EN ESTADO RETIRADO TANTO EN BASE DE DATOS DE COOSALUD COMO EN ADRES</t>
  </si>
  <si>
    <t>242166</t>
  </si>
  <si>
    <t>ercampanella</t>
  </si>
  <si>
    <t>10/4/2021</t>
  </si>
  <si>
    <t>9/3/2021</t>
  </si>
  <si>
    <t>DF-13765433033585</t>
  </si>
  <si>
    <t>No presentan los anexos con la evidencia de los envios con su trazabilidad dentro de los tiempos normativos ( NO SE EVIDENCIA SOPORTE DE LA AUTORIZACION PARA SERVICIOS POSTERIORES A LA ATENCION DE URGENCIAS)</t>
  </si>
  <si>
    <t>DF-1551032354</t>
  </si>
  <si>
    <t>FEHF93195</t>
  </si>
  <si>
    <t>Se realiza devolución de la cuenta dado que se evidenció error en la factura el detalle de cargos no se presenta en Codificación CUPS como lo exige la Resolución 3495 de 2019 y resolución 537/2020 que rige a partir del 31 de marzo de 2020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t>
  </si>
  <si>
    <t>268624</t>
  </si>
  <si>
    <t>jspereira</t>
  </si>
  <si>
    <t>12/4/2021</t>
  </si>
  <si>
    <t>DF-1551032355</t>
  </si>
  <si>
    <t>FEHF86488</t>
  </si>
  <si>
    <t>80307</t>
  </si>
  <si>
    <t>DF-15765433863181</t>
  </si>
  <si>
    <t>Se realiza devolucion de la factura con sus respectivos soportes debido a que el usuario se encuentra inactivo para la fecha de la prestacion de los servicios por tal motivo no puede continuar con el proceso de auditoria</t>
  </si>
  <si>
    <t>Soportes incompletos  según normatividad o ilegibles que no dan la informacion necesaria para validar la prestacion del servicio requerido.</t>
  </si>
  <si>
    <t>asangulo</t>
  </si>
  <si>
    <t>DF-15765434553367</t>
  </si>
  <si>
    <t>SE DEVUELVE FACTURA N FEHF205712 YA QUE NO HAY AUTORIZACION PARA LA  PRESTACION DEL SERVICIO</t>
  </si>
  <si>
    <t>2237115</t>
  </si>
  <si>
    <t>javalencia</t>
  </si>
  <si>
    <t>27/2/2022</t>
  </si>
  <si>
    <t>5/2/2022</t>
  </si>
  <si>
    <t>DF-15765434553368</t>
  </si>
  <si>
    <t>SE DEVUELVE FACTURA N FEHF245544 POR QUE NO HAY AUTORIZACION PARA LA PRESTACION DEL SERVICIO</t>
  </si>
  <si>
    <t>4730338</t>
  </si>
  <si>
    <t>9/2/2022</t>
  </si>
  <si>
    <t>DF-159245931734</t>
  </si>
  <si>
    <t>SB85643</t>
  </si>
  <si>
    <t xml:space="preserve">Se hace devolución de factura correspondiente a la prestaciónón de servicios del usuario ANA JULIA BRAVO   con fecha de servicio del  11/03/2020 ya que se evidencia en proceso de auditoría que ips no cumple con normatividad  vigente  códigos CUPS actualizados resolución 3495/2019   y  modificación (si aplica según fecha) de esta correspondiente  a la resolución 537de 2020 vigente a partir del 01 DE ABRIL de 2020 </t>
  </si>
  <si>
    <t>35100</t>
  </si>
  <si>
    <t>JPBorda</t>
  </si>
  <si>
    <t>26/5/2020</t>
  </si>
  <si>
    <t>DF-159245931929</t>
  </si>
  <si>
    <t>HSRF3956231</t>
  </si>
  <si>
    <t xml:space="preserve">Se hace devolucion de facturas servicios posteriores a la atencion inicizl de la urgenciad no autorizados IPS no red no contrato activo facturar de forma independiente atencion inical de urgencias y radicar para tramite respectivo Paciente ADRIANA  PEREZ </t>
  </si>
  <si>
    <t>3747255</t>
  </si>
  <si>
    <t>5/8/2020</t>
  </si>
  <si>
    <t>DF-159245931930</t>
  </si>
  <si>
    <t>HSRF3960620</t>
  </si>
  <si>
    <t xml:space="preserve">Se hace devolucion de facturas servicios posteriores a la atencion inicizl de la urgenciad no autorizados IPS no red no contrato activo facturar de forma independiente atencion inical de urgencias y radicar para tramite respectivo Paciente  NICOLAS GALINDO </t>
  </si>
  <si>
    <t>3678098</t>
  </si>
  <si>
    <t>DF-159246733087</t>
  </si>
  <si>
    <t xml:space="preserve">No anexan rips a la factura  se devueleve factura con todos sus soportes  </t>
  </si>
  <si>
    <t>377855</t>
  </si>
  <si>
    <t>AKBustamante</t>
  </si>
  <si>
    <t>4/7/2018</t>
  </si>
  <si>
    <t>DF-2051136663</t>
  </si>
  <si>
    <t xml:space="preserve">Se aplica devolución a la presente factura toda vez que usuario registra fecha de afiliación el 16/05/2019 por tanto el sistema no permite ingresar la factura con fecha de atención anterior a la fecha de afiliación  </t>
  </si>
  <si>
    <t>95608</t>
  </si>
  <si>
    <t>14/6/2019</t>
  </si>
  <si>
    <t>DF-2051138349</t>
  </si>
  <si>
    <t>FEHF10524</t>
  </si>
  <si>
    <t xml:space="preserve">No utilizan la codificación de cups o y/o cums vigente para la fecha de prestación del servicio Recuerde que toda la información debe estar codificada en "CUPS" y "CUMS" en unidad mínima de dispensación este código debe corresponder a la descripción y  además debe garantizarse la coincidencia entre lo ordenado lo aplicado lo facturado y lo registrado en rips Por lo anterior deberá corregir y cargar nuevamente la información en la plataforma los rips y surtir un nuevo proceso de radicación de factura </t>
  </si>
  <si>
    <t>264500</t>
  </si>
  <si>
    <t>30/9/2020</t>
  </si>
  <si>
    <t>DF-2051138350</t>
  </si>
  <si>
    <t>FEHF12486</t>
  </si>
  <si>
    <t>3734337</t>
  </si>
  <si>
    <t>DF-2051138351</t>
  </si>
  <si>
    <t>FEHF12603</t>
  </si>
  <si>
    <t>1328200</t>
  </si>
  <si>
    <t>DF-2051138352</t>
  </si>
  <si>
    <t>FEHF13215</t>
  </si>
  <si>
    <t>100900</t>
  </si>
  <si>
    <t>DF-2051138353</t>
  </si>
  <si>
    <t>FEHF5559</t>
  </si>
  <si>
    <t>69600</t>
  </si>
  <si>
    <t>DF-2051138354</t>
  </si>
  <si>
    <t>FEHF6700</t>
  </si>
  <si>
    <t>1297453</t>
  </si>
  <si>
    <t>DF-2051138355</t>
  </si>
  <si>
    <t>FEHF6936</t>
  </si>
  <si>
    <t>426474</t>
  </si>
  <si>
    <t>DF-2051138356</t>
  </si>
  <si>
    <t>FEHF8082</t>
  </si>
  <si>
    <t>259415</t>
  </si>
  <si>
    <t>DF-2051139303</t>
  </si>
  <si>
    <t>FEHF36812</t>
  </si>
  <si>
    <t>Se hace devolucion de la factura debido a que al momento del cargue de las facturas en la plataforma Sami Rips es asoció el contrato SNA2019REDNOPBS83 el cual no corresponde a un contrato vigente entre las pasrtes estas debieron cargarse por urgencias Por lo anterior deberá cargar nuevamente la información en la plataforma los rips y surtir un nuevo proceso de radicación de factura</t>
  </si>
  <si>
    <t>225569</t>
  </si>
  <si>
    <t>27/11/2020</t>
  </si>
  <si>
    <t>DF-20765433333119</t>
  </si>
  <si>
    <t xml:space="preserve">Se hace devolución de la factura FEHF36812 por valor de $255569 correspondiente a la facturación de los servicios prestados al paciente Gael Javier Montes Palmera teniendo en cuenta que el paciente no resgistra en la base de datos de Coosalud se verifica an la pagina de la ADRES y es usuario se encuentra activo en la Nueva Eps por lo tanto no se reconoce atención </t>
  </si>
  <si>
    <t>Usuario no activo en base de datos o atencion corresponde a otro pagador.</t>
  </si>
  <si>
    <t>mysaldarriaga</t>
  </si>
  <si>
    <t>19/5/2021</t>
  </si>
  <si>
    <t>DF-209229336585</t>
  </si>
  <si>
    <t>HSRF3957250</t>
  </si>
  <si>
    <t>Se aplica devolución de la presente factura toda vez que presenta diferencias en los codigos CUMS registrados en el RIPS y los que se reflejan en el físico de ésta Favor tener en cuenta que la información de los servicios facturados que reporta la IPS deben ser fiel copia de los registros individuales de prestación de servicios RIPS además  todo debe venir debidamente codificado en CUMS y CUPS (Resolución 3495/2019 y 537/2020) Se solicita corregir una vez subsanado el motivo que origina esta devolución puede radicar la factura dentro del periodo y los parámetros establecidos por la EPS para tal fin</t>
  </si>
  <si>
    <t>382498</t>
  </si>
  <si>
    <t>dsmartinez</t>
  </si>
  <si>
    <t>1/7/2020</t>
  </si>
  <si>
    <t>10/6/2020</t>
  </si>
  <si>
    <t>DF-209229336586</t>
  </si>
  <si>
    <t>HSRF3966530</t>
  </si>
  <si>
    <t>70217</t>
  </si>
  <si>
    <t>DF-25224332468</t>
  </si>
  <si>
    <t>FEHF8009</t>
  </si>
  <si>
    <t>Se realiza devolución de la factura de venta N FEHF8009 expedida por la IPS por valor de $ 18135655 debido a que la factura contiene servicios sin cobertura en el Plan de Beneficios en Salud con cargo a la UPC se evidencia que el medicamento (Fosfato monobasico y bisfofato de sodio enema) se encuentra sin cobertura en el POS según lo descrito en el anexo de la Resolución  3512 de 2019 es un medicamentos NO PBS el cobro de este medicamento debe  realizarse en una factura individual y cumplir con los requisitos socializados en la Circular  01 y 03 expedida por la EPS Coosalud (Mipres id estructura acta de entrega y/o suministro  etc) Tener en cuenta que los servicios NO PBS no pueden ser cobrados simultáneamente con los servicios PBSUna vez subsanado el motivo de devolución radicar nuevamente en el portal de Aplistaff</t>
  </si>
  <si>
    <t>18135655</t>
  </si>
  <si>
    <t>SANTAFE DE BOGOTA D. C.</t>
  </si>
  <si>
    <t>jlbarrios</t>
  </si>
  <si>
    <t>5/10/2020</t>
  </si>
  <si>
    <t>DF-2531631259</t>
  </si>
  <si>
    <t>Se realiza devolución de la factura FEHF222911 correspondiente al usuario Hijo de dilma Yurley Arredondo Iscala dado que el usuario no se encuentra en la base de datos de la EPS se solicita validar para continuar el respectivo proceso</t>
  </si>
  <si>
    <t>8866902</t>
  </si>
  <si>
    <t>HUILA</t>
  </si>
  <si>
    <t>tarosero</t>
  </si>
  <si>
    <t>29/12/2021</t>
  </si>
  <si>
    <t>DF-2531631291</t>
  </si>
  <si>
    <t>Se hace devolución de la factura FEHF222911 por valor $8866902 correspondiente a la atención hospitalaria de la usuario Hijo de Dilma Yurley Arredondo Iscala identificado con MS 10493922943  CN 170633134 realizada desde 19 al 22 de noviembre de 2021 se evidencia que el paicente no se encuentra activo en la base de datos de Coosalud al momento de la atención se solicita a la IPS gestionar directamente con Coosalud para subsanar el motivo de la devolución en el correo de la Dra Yury Milena Cervantes (yucervantes@coosaludcom cel 317 434 18 02) dado que si no se actualiza la base de datos no es posbile procesar la facturaUna vez subsanado el motivo de la devolución se solicita a la IPS radicar la factura en el portal de SAMI  para continuar con el proceso de auditoria</t>
  </si>
  <si>
    <t>23/3/2022</t>
  </si>
  <si>
    <t>10/3/2022</t>
  </si>
  <si>
    <t>DF-254573212</t>
  </si>
  <si>
    <t>SE HACE DEVOLUCION DE LA CUENTA  SE VERIFICA BASE DE DATOS Y NO SE EVIDENCIA  AUTORIZACION DE SERVICIOS PRESTADOS EMITIDA POR AL EPS   NO SE EVIDENCIA TRAZABILIDAD DE SOLICTUID AUTORIZACION POR PARTE DE LA IPS</t>
  </si>
  <si>
    <t>1260691</t>
  </si>
  <si>
    <t>dmgoenaga</t>
  </si>
  <si>
    <t>1/9/2021</t>
  </si>
  <si>
    <t>9/8/2021</t>
  </si>
  <si>
    <t>DF-255555564736896</t>
  </si>
  <si>
    <t>Se realiza devolución total de la factura N FEHF123709 correspondiente a cobro por servicios posteriores a la urgencia debido que es necesario anexar autorización y/o aprobación por parte de la EPS Coosalud dado que al ser IPS no red y teniendo en cuenta la normatividad la IPS solo puede prestar servicio de urgencia vital una vez superado la urgencia se debe remitir el paciente a la red de prestadores de la EPS Coosalud o en efecto solicitar a Coosalud aprobación para continuar con la prestación de los servicios posteriores a la urgenciaAsí las cosas se solicita a la IPS tramitar aprobación ante la EPS para continuar con el respectivo procesoUna vez subsanado el motivo de la devolución se solicita a la IPS radicar las facturas en el portal de Aplistaff para continuar con el respectivo proceso</t>
  </si>
  <si>
    <t>2168631</t>
  </si>
  <si>
    <t>31/5/2021</t>
  </si>
  <si>
    <t>DF-255555564737995</t>
  </si>
  <si>
    <t>Se hace devolución de la cuenta ya que esta no cumple según los requisitos exigido por la resolución 000042 Artículo 11 Requisitos de la factura electrónica de venta La factura electrónica de venta debe expedirse con el cumplimiento de lo dispuesto del artículo 617 del Estatuto Tributario adicionados en el presente artículo de acuerdo a lo dispuesto en el parágrafo 2 del artículo 6161 del mismo estatuto así 1 De conformidad con el literal a) del artículo 617 del Estatuto Tributario estar denominada expresamente como FACTURA ELECTRONICA DE VENTA esta factura viene como factura de venta por lo cual deben de realizar la correcciónUna vez subsanado el motivo de la devolución se solicita a la IPS radicar la factura en el portal de SAMI  para continuar con el proceso de auditoria</t>
  </si>
  <si>
    <t>13923359</t>
  </si>
  <si>
    <t>DF-255555564737996</t>
  </si>
  <si>
    <t>12799888</t>
  </si>
  <si>
    <t>DF-257654324538199</t>
  </si>
  <si>
    <t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t>
  </si>
  <si>
    <t>80832</t>
  </si>
  <si>
    <t>diospina</t>
  </si>
  <si>
    <t>30/11/2021</t>
  </si>
  <si>
    <t>13/11/2021</t>
  </si>
  <si>
    <t>DF-257654324538200</t>
  </si>
  <si>
    <t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ni el archivo en Excel según lo estipulado en la circular 049 expedida por el ADRES y resolución 1463 requisito necesario para continuar con el debido proceso </t>
  </si>
  <si>
    <t>DF-257654324538201</t>
  </si>
  <si>
    <t>216994</t>
  </si>
  <si>
    <t>DF-257654324538202</t>
  </si>
  <si>
    <t>DF-257654324538203</t>
  </si>
  <si>
    <t>DF-257654324538594</t>
  </si>
  <si>
    <t>23/12/2021</t>
  </si>
  <si>
    <t>DF-257654324538640</t>
  </si>
  <si>
    <t xml:space="preserve">Se realiza devolución de la factura correspondiente a cobro de SARS COV2 COVID 19 ANTIGENO  dado que la IPS no anexa los requisitos exigidos por el ADRES se observa que no anexan el registro INVIMA para las pruebas de anticuerpos y de antígenos tampoco adjuntan el pdf del resultado cargado en la plataforma SISMUESTRAS ni el archivo en Excel según lo estipulado en la circular 049 expedida por el ADRES y resolución 1463 requisito necesario para continuar con el debido proceso </t>
  </si>
  <si>
    <t>DF-257654324538860</t>
  </si>
  <si>
    <t xml:space="preserve">Se realiza devolución de la factura dado que la IPS no anexa los requisitos exigidos por el ADRES se observa que no anexan el registro INVIMA para las pruebas de anticuerpos y de antígenos tampoco adjuntan el pdf del resultado cargado en la plataforma SISMUESTRAS ni el archivo en Excel según lo estipulado en la circular 049 expedida por el ADRES y resolución 1463 requisito necesario para continuar con el debido proceso </t>
  </si>
  <si>
    <t>12/1/2022</t>
  </si>
  <si>
    <t>7/1/2022</t>
  </si>
  <si>
    <t>DF-257654324539581</t>
  </si>
  <si>
    <t xml:space="preserve">Se realiza devolución de la factura correspondiente a cobro de SARS COV2 COVID 19 ANTIGENO  dado que la IPS no anexa los requisitos exigidos por el ADRES se observa que no anexan el registro INVIMA para las pruebas de anticuerpos y de antígenos  según lo estipulado en la circular 049 expedida por el ADRES y resolución 1463 requisito necesario para continuar con el debido proceso </t>
  </si>
  <si>
    <t>29/3/2022</t>
  </si>
  <si>
    <t>DF-257654324539582</t>
  </si>
  <si>
    <t xml:space="preserve">Se realiza devolución de la factura correspondiente a cobro de SARS COV2 COVID 19 ANTIGENO  dado que la IPS no anexa los requisitos exigidos por el ADRES se observa que no anexan el registro INVIMA para las pruebas de anticuerpos y de antígenos según lo estipulado en la circular 049 expedida por el ADRES y resolución 1463 requisito necesario para continuar con el debido proceso </t>
  </si>
  <si>
    <t>DF-257654324539583</t>
  </si>
  <si>
    <t>DF-257654324539584</t>
  </si>
  <si>
    <t>DF-257654324539585</t>
  </si>
  <si>
    <t>DF-257654324539586</t>
  </si>
  <si>
    <t>DF-257654341031090</t>
  </si>
  <si>
    <t>Se hace devolucion de factura ips NO ANEXA ARCHIVO EXCEL Y PDF SISMUESTRA exigidos por el adress para pruebas covid por lo anterior no es posible continuar con procesos subsanar motivo de devolucion y radicar nuevamente</t>
  </si>
  <si>
    <t>ypinzon</t>
  </si>
  <si>
    <t>3/5/2022</t>
  </si>
  <si>
    <t>DF-257654341031134</t>
  </si>
  <si>
    <t>FEHF286170</t>
  </si>
  <si>
    <t>Se hace devolucion de factura IPS NO ANEXA PDF SISMUESTRA Y ARCHIVO EXCEL exigido por el adres para pruebas covid por lo anterior no es posible continuar con procesos una vez subsanado el motivo de la devolucion radicar nuevamente</t>
  </si>
  <si>
    <t>10/5/2022</t>
  </si>
  <si>
    <t>DF-25765434103647</t>
  </si>
  <si>
    <t>Se realiza devolucion de la facturase verifica  que no anexan archivo excel y PDF SISMUESTRAS  para pruebas COVID  segun lo estipulado en la circular 049 expedida por el ADRES por lo anterior no es posible continuar con procesosNOTAPOR FAVOR REVISAR Y ANEXAR ARCHIVOS DE MOTIVO DEVOLUCION Y SUBIR NUEVAMENTE</t>
  </si>
  <si>
    <t>8/2/2022</t>
  </si>
  <si>
    <t>DF-25765434103648</t>
  </si>
  <si>
    <t>DF-25765434103669</t>
  </si>
  <si>
    <t>DF-25765434103670</t>
  </si>
  <si>
    <t>DF-25765434103725</t>
  </si>
  <si>
    <t>Se hace devolucion de factura ips no anexa ARCHIVO EXCEL Y PDF SISNUESTRAS exigidos por elo ADRESS por lo anterior no es posible continuar con procesosNOTAVALIDAR INFORMACION Y RADICAR NUEVAMENTE SUBSANADO EL MOTIVO DE DEVOLUCION</t>
  </si>
  <si>
    <t>DF-25765434103726</t>
  </si>
  <si>
    <t>DF-25765434103767</t>
  </si>
  <si>
    <t>Se hace devolucion de factura se valida informacion anexada y no se evidencia autorizacion de urgencias se valida en Dynamicos y el servicio no se encuentra autorizado por lo anterior no es posible continuar con proceso de auditoria                                                                                                                                                                                                                                  NOTAVerificar y radicar nuevamente</t>
  </si>
  <si>
    <t>59100</t>
  </si>
  <si>
    <t>16/3/2022</t>
  </si>
  <si>
    <t>9/3/2022</t>
  </si>
  <si>
    <t>DF-25765434103768</t>
  </si>
  <si>
    <t>Se hace devolucion de factura se valida informacion anexada y no se evidencia autorizacion de urgencias sevalida en Dynamicos y el servicio no se encuentra autorizado por lo anterior no es posible continuar con proceso d e a u d i t o r i a NOTAVerificar y radicar nuevamente</t>
  </si>
  <si>
    <t>60961</t>
  </si>
  <si>
    <t>DF-25765434103769</t>
  </si>
  <si>
    <t>Se hace devolucion de factura se valida informacion anexada y no se evidencia autorizacion de urgencias sevalida en Dynamicos y el servicio no se encuentra autorizado por lo anterior no es posible continuar con proceso de auditoria       NOTA VERIFICAR Y RADICAR NUEVAMENTE</t>
  </si>
  <si>
    <t>DF-25765434373796</t>
  </si>
  <si>
    <t>Se realiza devolución de factura ya que en los soportes no viene adjunta historia clínica completa que permita una adecuada auditoria acerca del servicio prestado</t>
  </si>
  <si>
    <t>gfgalvis</t>
  </si>
  <si>
    <t>27/11/2021</t>
  </si>
  <si>
    <t>DF-25765434373797</t>
  </si>
  <si>
    <t>Se realiza devolucion de factura ya que paciente afiliado a EPS FAMISANAR SAS desde 01/04/2021 confirmado con página ADRES y coordinador de aseguramiento de Coosalud No se reconoce la atención</t>
  </si>
  <si>
    <t>DF-25765434373798</t>
  </si>
  <si>
    <t xml:space="preserve">Se realiza devolución de factura ya que no se evidencia código de autorización por parte de la EPS valido para el servicio prestado el codigo que relacionan en soportes corresponde a otros paciente por lo anterior hasta que subsane este inconveniente se procederá el trámite de radiación </t>
  </si>
  <si>
    <t>DF-257654344031039</t>
  </si>
  <si>
    <t>Se hace devolución de la factura se realiza validación de la información suministrada según requisitos para recobro al adres Dando cumplimiento a la resolución 1885 de 2018 resolución 41656 de 2019resolución 094 de 2020 y circular 001 y circular 002 de 2020 de 30 enero 2020 Circular 004 emitida por la EPS  para proceso de auditoría de facturas con tecnologías en salud no cubiertas en el plan de beneficios en salud (no pbs) Se evidencia que la factura presenta las siguientes inconsistencias                El cufe del ID facturación no corresponde al cufe de la factura física     En factura  mayor valor cobrado según nota técnica resolución 5942021       La factura y sus soportes físicos debe coincidir de acuerdo como aparece registrada en la WEB de MIPRES con sus respectivos datos ID nombre  medicamento CUM fechas de entrega Numero de entrega valores entrega soportes magnéticos cada ID identificado id direccionamiento entrega suministro facturación soportes legibles No subentrega estado entrega etc Cualquier inconsistencia es motivo de no reconocimiento ante la adres se recuerda a la ips la importancia de verificar nuevamente cada requisito antes de radicar una vez subsane estos inconvenientes para dar trámite nuevamente la radiaciónSE RECOMIENDA A LA IPS TENER EN CUENTA MOTIVO DEVOLUCIÓN UNA VEZ SOLUCIONADO LA INCONSISTENCIA RADICAR NUEVAMENTE</t>
  </si>
  <si>
    <t>106144</t>
  </si>
  <si>
    <t>No presenta los requisitos exigidos por el ADRES para el recobro y socializado por Coosalud en las circulares.</t>
  </si>
  <si>
    <t>sjortiz</t>
  </si>
  <si>
    <t>5/11/2021</t>
  </si>
  <si>
    <t>6/10/2021</t>
  </si>
  <si>
    <t>47</t>
  </si>
  <si>
    <t>Faltan soportes de justificación para recobros (Comité Técnico Científico, (CTC), Accidente de trabajo o enfermedad profesional (ATEP), tutelas)</t>
  </si>
  <si>
    <t>DF-25765434403631</t>
  </si>
  <si>
    <t xml:space="preserve">Se realiza devolución de la factura se realiza validación de la información suministrada en los soportes y esta como tal carece de notificación a los correos pertinentes y autorización vigente del servicio prestado no se evidencia reporte autorización por parte de la EPS por tal motivo no se puede continuar con el proceso de auditoria </t>
  </si>
  <si>
    <t>525100</t>
  </si>
  <si>
    <t>5/10/2021</t>
  </si>
  <si>
    <t>8/9/2021</t>
  </si>
  <si>
    <t>DF-25765434403632</t>
  </si>
  <si>
    <t>468048</t>
  </si>
  <si>
    <t>DF-259261131892</t>
  </si>
  <si>
    <t>FEHF90464</t>
  </si>
  <si>
    <t xml:space="preserve">Se hace devolución de la factura FEHF90464 por valor de $894500 dado que la IPS en el portal de SAMI APLISTAFF no carga los soportes  se requiere que la IPS cargue los soportes completos requisito necesario para validar la prestación del servicio y realizar el proceso de auditoriaUna vez subsanado el motivo de devolución radicar la factura y los soportes nuevamente en el portal de Aplistaff para su respectivo proceso </t>
  </si>
  <si>
    <t>894500</t>
  </si>
  <si>
    <t>DF-259261132087</t>
  </si>
  <si>
    <t>Se hace devolución de la cuenta FEHF120941 correspondiente al paciente SANDRA MARLENY VIZCAINO MICAN con CC35528297 ya que se evidencia que presenta una atención idéntica del día 19/04/2021 atencion ya cancelada en la factura FEHF118511 con la misma fecha de atención y el mismo detalle de cargos  por ende seria un doble cobro</t>
  </si>
  <si>
    <t>119200</t>
  </si>
  <si>
    <t>Atencion ya cobrada en otra factura.</t>
  </si>
  <si>
    <t>14/5/2021</t>
  </si>
  <si>
    <t>50</t>
  </si>
  <si>
    <t>Factura ya cancelada</t>
  </si>
  <si>
    <t>DF-259261132263</t>
  </si>
  <si>
    <t xml:space="preserve">Se hace devolucion de la factura FEHF124234 dado que se evidencia que la Ips carga varias facturas  dentro la misma se solicita a la Ips realizar nuevamente el proceso donde se cargue la factura individual FEHF124234 para continuar con el proceso de auditoriaUna vez subsanado el motivo de devolución radicar la factura y los soportes nuevamente en el portal de Aplistaff para su respectivo proceso </t>
  </si>
  <si>
    <t>65400</t>
  </si>
  <si>
    <t>4/6/2021</t>
  </si>
  <si>
    <t>DF-259261132264</t>
  </si>
  <si>
    <t xml:space="preserve">Se hace devolucion de la factura FEHF124237 dado que se evidencia que la Ips carga varias facturas dentro la misma se solicita a la Ips realizar nuevamente el proceso donde se cargue la factura individual FEHF124237 para continuar con el proceso de auditoriaUna vez subsanado el motivo de devolución radicar la factura y los soportes nuevamente en el portal de Aplistaff para su respectivo proceso </t>
  </si>
  <si>
    <t>30300</t>
  </si>
  <si>
    <t>DF-259261132388</t>
  </si>
  <si>
    <t>Se hace devolucion de la factura FEHF131715 por valor de 895100 dado que no hay contrato legalizado entre las partes</t>
  </si>
  <si>
    <t>No hay contrato legalizado con su entidad para la prestacion de servicios a los afiliados de Coosalud, solo se aceptara la facturacion de la atencion inicial de urgencias.</t>
  </si>
  <si>
    <t>2/7/2021</t>
  </si>
  <si>
    <t>DF-259261132767</t>
  </si>
  <si>
    <t>Se hace devolución de la factura por no cumplir los requisitos de ley establecidos en la Resolución 000042 del  5 de mayo del 2020 Capitulo 1 REQUISITOS DE LA FACTURA ELECTRÓNICA DE VENTA Articulo 11 numeral 1 " De conformidad con el literal a) del articulo 617 del Estatuto Tributario estar denominada expresamente como factura electrónica de venta" la factura radicada esta denominada como Factura de Venta</t>
  </si>
  <si>
    <t>DF-259261132768</t>
  </si>
  <si>
    <t>FEHF79577</t>
  </si>
  <si>
    <t>76000</t>
  </si>
  <si>
    <t>DF-259261132769</t>
  </si>
  <si>
    <t>DF-259261132770</t>
  </si>
  <si>
    <t>DF-259261133129</t>
  </si>
  <si>
    <t>Se hace devolución total de la factura FEHF213514 por $55132 se verifica en Dynamicoos y no se evidencia que la IPS haya gestionado su respectivo código para la atencion del dia 02/11/2021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</si>
  <si>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55132</t>
  </si>
  <si>
    <t>DF-259261133130</t>
  </si>
  <si>
    <t>Se hace devolución total de la factura FEHF214736 por $55561 se verifica en Dynamicoos y no se evidencia que la IPS haya gestionado su respectivo código para la atencion del dia 08/11/2021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</si>
  <si>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55561</t>
  </si>
  <si>
    <t>DF-259261133131</t>
  </si>
  <si>
    <t>Se hace devolución total de la factura FEHF219642 por $154203 se verifica en Dynamicoos y no se evidencia que la IPS haya gestionado su respectivo código para la fecha de atencion del dia 16/11/2021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</si>
  <si>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154203</t>
  </si>
  <si>
    <t>DF-259261133270</t>
  </si>
  <si>
    <t>Se hace devolución total de la factura FEHF233842 por $113400 se verifica en Dynamicoos y no se evidencia que la IPS haya gestionado su respectivo código para la atencion del dia 11/12/2021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t>
  </si>
  <si>
    <t>113400</t>
  </si>
  <si>
    <t>14/1/2022</t>
  </si>
  <si>
    <t>DF-25926113633</t>
  </si>
  <si>
    <t>SB84178</t>
  </si>
  <si>
    <t>Se hace devolución total de la factura se verifica en Dynamicoos y no se evidencia que la IPS haya gestionado su respectivo código para la atención prestada dicho requisito es necesario para su respectivo tramiteUna vez subsanado el motivo de devolución la factura se debe presentar nuevamente ante APLISTAFF</t>
  </si>
  <si>
    <t>DF-25926113635</t>
  </si>
  <si>
    <t>HSRF3940911</t>
  </si>
  <si>
    <t>Se hace devolución total de la factura N HSRF3940911 por $188572 se verifica en Dynamicoos y no se evidencia que la IPS haya gestionado su respectivo código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devolución la factura se debe presentar nuevamente ante APLISTAFF</t>
  </si>
  <si>
    <t>188572</t>
  </si>
  <si>
    <t>DF-25926113884</t>
  </si>
  <si>
    <t>Se hace devolución total de la factura se verifica en Dynamicoos y  se evidencia que el numero de portabilidad 03007398 se encuentra cancelada dicho requisito es necesario para su respectivo tramiteUna vez subsanado el motivo de devolución la factura se debe presentar nuevamente ante APLISTAFF</t>
  </si>
  <si>
    <t>DF-259283036773</t>
  </si>
  <si>
    <t xml:space="preserve">Se hace devolución de la factura se realiza validación de la información suministrada según requisitos para Recobro al ADRES Dando cumplimiento a la resolución 1885 de 2018 Resolución 41656 de 2019 y Resolución 094 de 2020 Para proceso de auditoria de facturas con Tecnologías en salud No Cubiertas en el plan de Beneficios en Salud (NO PBS) Se evidencia que la factura presenta las siguientes inconsistencias1 código mipres reportado por la IPS en la factura física no corresponde a la tecnología facturada  se debe modificar2 reporte de entrega se encuentra incompleto faltan items por llenar(valor unitario valor total)3 la factura cuenta con facturación electrónica el ID de facturación de la web mipres en el item NoFactura no viene registrado el CUFE (Factura electrónica) el cual es el que se debe registrar4 Se objeta mayor valor facturado según revisión se reconoce a  resolución 594 del 2021 por valor de $6450 el g se reconoce soporte nutricional por el valor de $5934C/U (6450  x 92g = 5934 ) se objeta la diferenciaCualquier inconsistencia es motivo de no reconocimiento ante la adres se recuerda a la ips la importancia de Verificar nuevamente cada requisito antes de radicar una vez subsane estos inconvenientes para dar trámite Nuevamente la radiación ID direccionamiento ID entrega ID facturaciónCualquier inconsistencia es motivo de no reconocimiento ante el ADRES en caso de subsanar el motivo de devolución la factura se debe cargarse nuevamente en SAMI para su proceso de radicacion </t>
  </si>
  <si>
    <t>9738</t>
  </si>
  <si>
    <t>WHManrique</t>
  </si>
  <si>
    <t>17/3/2022</t>
  </si>
  <si>
    <t>8/3/2022</t>
  </si>
  <si>
    <t>DF-4749431353</t>
  </si>
  <si>
    <t>FEHF46946</t>
  </si>
  <si>
    <t>Se hace devolución de factura según art 12 y 14 de la resolución 3047 (cód 49) factura no cumple requisitos legales dado que No hay contrato legalizado con su entidad para la prestación de servicios a los afiliados de Coosalud ademas se evidencia que la factura esta cargada en el portal al contrato SNA2019REDNOPBS112 Una vez subsanado este inconveniente la factura podrá ser presentada nuevamente por los actuales medios de radicación con su respectivo rips para su proceso de auditoria y debido tramite contable</t>
  </si>
  <si>
    <t>6062342</t>
  </si>
  <si>
    <t>3/12/2020</t>
  </si>
  <si>
    <t>DF-4749431398</t>
  </si>
  <si>
    <t>FEHF56389</t>
  </si>
  <si>
    <t xml:space="preserve">Se hace devolución de la  factura según art 12 y 14 de la resolución 3047 ( cod 49 factura no cumple requisitos legales En la factura no pueden presentar mezclados los servicio PBS y No PBS (IDENTIFICACION DE OTROS VIRUS ( ESPECIFICA) POR PRUEBAS MOLECULARES ( TOMA DE MUESTRA)  (CUPS 908856 laboratorio No PBS) Una vez subsanado este inconveniente La factura debe ser presentada en el tiempo de radicación habitual y con nuevo RIPS para su proceso de auditoria y debido tramite contable </t>
  </si>
  <si>
    <t>38914675</t>
  </si>
  <si>
    <t>24/12/2020</t>
  </si>
  <si>
    <t>DF-4750237019</t>
  </si>
  <si>
    <t>FEHF31907</t>
  </si>
  <si>
    <t xml:space="preserve">Se devuelve factura dado que el contrato (SNA2019REDNOPBS112) con el cual se cargaron  las facturas pertenece a lo contratado para atenciones como NOPBSLo cobrado en esta factura no corresponde a este tipo de contrato dado que son servicios  de Evento (PBS) Normal"Es de anotar que una vez subsanado este inconveniente la factura podrá ser presentada nuevamente con su respectivo RIPS mediante el medio de Radicacion actual </t>
  </si>
  <si>
    <t>blgomez</t>
  </si>
  <si>
    <t>2/12/2020</t>
  </si>
  <si>
    <t>DF-4750237020</t>
  </si>
  <si>
    <t>FEHF34165</t>
  </si>
  <si>
    <t>146444</t>
  </si>
  <si>
    <t>DF-4750237021</t>
  </si>
  <si>
    <t>FEHF35268</t>
  </si>
  <si>
    <t>142434</t>
  </si>
  <si>
    <t>DF-475555560634701</t>
  </si>
  <si>
    <t>Se hace devolución de factura dado que la información reportada en los RIPS constituyen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queLos CUM se encuentren vigentes y correspondan al medicamento facturado199264783 HIOSCINA NBUTIL BROMURO/DIPIRONA SOLUCION INYECTABLE 00225 G/ML/5 ML (NO SE ENCUENTRA VIGENTE EN INVIMA) Una vez subsanado todos los inconvenientes La factura debe ser presentada nuevamente en el tiempo de radicación habitual y con nuevo RIPS para su proceso de auditoria y debido tramite contable  </t>
  </si>
  <si>
    <t>161741</t>
  </si>
  <si>
    <t>dccamargo</t>
  </si>
  <si>
    <t>27/5/2021</t>
  </si>
  <si>
    <t>DF-479232033235</t>
  </si>
  <si>
    <t>HSRF3966125</t>
  </si>
  <si>
    <t>Factura no cumple requisitos legales sin contrato No hay contrato vigente entre las partes y no corresponde a una atención de urgencias  Se realiza devolución de la factura  ya que es una IPS No Red  ( no hay contrato vigente entre las partes ) y los servicios posteriores a la urgencia no se encuetran autorizados por COOSALUD EPS SA se solicita presentar por separado la factura de la  atención inicial de urgencias y en otra los servicios posteriores debidamente autorizados por  COOSALUD EPS SA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</si>
  <si>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1237788</t>
  </si>
  <si>
    <t>jvsanchez</t>
  </si>
  <si>
    <t>23/7/2020</t>
  </si>
  <si>
    <t>DF-479232033236</t>
  </si>
  <si>
    <t>HSRF3967364</t>
  </si>
  <si>
    <t>1720651</t>
  </si>
  <si>
    <t>DF-479232831795</t>
  </si>
  <si>
    <t>Se hace devolución de la factura según art 12 y 14 de la resolución 3047  dado que no hay contrato legalizado con su entidad para la fecha de prestación del  servicios de los afiliados de Coosalud además se evidencia por plataforma Dynamicos que los servicios posteriores a la urgencia fueron negados estos deben estar aprobados por las personas a cargopor otra parte La información de los registros individuales de prestación de servicios presentados no coincide con lo facturado bien sea en valores codificación de servicios fechas de atención entre otrosDado que la información reportada en los RIPS constituye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 Los procedimientos quirúrgicos deben estar en la estructura AP y tanto el CUPS como el valor deben corresponder a procedimiento agrupado Para este caso los componentes de la cirugía están en el archivo AT Según la norma los únicos honorarios que van en el AT son la consultas manejos e interconsultas por lo tanto los honorarios de las cirugías van incluidos en el CUPS (Vigente) designado al procedimiento con el valor ya agrupado de todos sus componentes y deben ir en el archivo AP Según los lineamientos de cómo se deben registrar los datos en el RIPS dice que cada cup registrado debe tener su valor individualUna vez subsanado todos los inconvenientes La factura debe ser presentada nuevamente en el tiempo de radicación habitual y con nuevo RIPS para su proceso de auditoria y debido tramite contable</t>
  </si>
  <si>
    <t>tegil</t>
  </si>
  <si>
    <t>DF-47923283505</t>
  </si>
  <si>
    <t>Se hace devolución de factura según art 12 y 14 de la resolución 3047      ( 49 Factura no cumple requisitos legales) dado que revisado la linea =!800 y la plataforma Dynamicos no se evidencia reporte de la atencion inicial de urgencias asi mismo en soportes no se evidencia trazabilidad del reporte</t>
  </si>
  <si>
    <t>54400</t>
  </si>
  <si>
    <t>27/7/2019</t>
  </si>
  <si>
    <t>15/7/2019</t>
  </si>
  <si>
    <t>DF-47923283506</t>
  </si>
  <si>
    <t>237314</t>
  </si>
  <si>
    <t>DF-479238935478</t>
  </si>
  <si>
    <t>Factura no cumple requisitos legales registros individualesde prestacion de servicios (rips)no coinciden en 1 o mas servicios cobrados en la factura los cuales ademas deben registrarse con codigo CUPS y CUM de acuerdo a la resolucion 3495 de 2019 y la 537 del 2020</t>
  </si>
  <si>
    <t>54300</t>
  </si>
  <si>
    <t>5/5/2020</t>
  </si>
  <si>
    <t>DF-479238935553</t>
  </si>
  <si>
    <t>HSRF3797750</t>
  </si>
  <si>
    <t xml:space="preserve">Factura no cumple requisitos legalessoportes Faltan soportes necesarios para radicación de facturas según lo establecido en la resolución 3047 y demás que apliquen  Se hace devolución de factura según art 12 y 14 de la resolución 3047 (cód 49) dado que son servicios no pbs y  estos segun la fecha de atencion debieron ser facturados al ente departamental donde corresonda el usuario </t>
  </si>
  <si>
    <t>4893271</t>
  </si>
  <si>
    <t>DF-479242234823</t>
  </si>
  <si>
    <t>FEHF56390</t>
  </si>
  <si>
    <t>En la factura no pueden presentar mezclados los servicio PBS y No PBSSe devuelve factura ya que contiene servicios  PBS y NoPBS Los cuales no pueden facturarse en una sola factura estos deben ser facturados por separadoDebe dividir los servicios y radicarlos en preradicados separados  y  presentar todos los soportes NO PBS requeridos para el correspondiente recobro Se adjuntan circulares donde se indican cuales son los requisitos que debe cumplir la factura "Es de anotar que una vez subsanada la situación las facturas podrán ser radicadas nuevamente en su horario habitual de lunes a viernes de 800 am a 1200 m  del 1 al 12 de cada mes con su respectivo rips y todos sus soportes escaneados"No presenta los requisitos exigidos por el ADRES para el recobro y socializado por Coosalud en las circulares 2020</t>
  </si>
  <si>
    <t>26983</t>
  </si>
  <si>
    <t>osanguino</t>
  </si>
  <si>
    <t>17/1/2021</t>
  </si>
  <si>
    <t>DF-479242234824</t>
  </si>
  <si>
    <t>FEHF56394</t>
  </si>
  <si>
    <t>Se realiza devolucion de la factura ya que no se evidencia cargue de estrucutura solicitada por Adres para pruebas covid19 Una vez subsanado este inconveniente debe radicar nuevamente la factura en la plataforma sami con su respectivo rips en la s fechas que corresponden del 01 al 12 de cada mes en syu horario habitual para lo pertinente</t>
  </si>
  <si>
    <t>DF-479250532292</t>
  </si>
  <si>
    <t>HSRF3970810</t>
  </si>
  <si>
    <t>Sin o error en detalle de cargos entre otros EL valor de la factura no concuerda valor total de detalles</t>
  </si>
  <si>
    <t>461200</t>
  </si>
  <si>
    <t>aspineda</t>
  </si>
  <si>
    <t>29/7/2020</t>
  </si>
  <si>
    <t>DF-479267236839</t>
  </si>
  <si>
    <t>Se hace devolución de factura dado que la información reportada en los RIPS constituyen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 1 Los CUM se encuentren no vigentes y correspondan al medicamento facturado 200676511 DICLOFENACO SODICO VIA IM SOLUCION INYECTABLE  75 MG/3 MLUna vez subsanado todos los inconvenientes La factura debe ser presentada nuevamente en el tiempo de radicación habitual y con nuevo RIPS para su proceso de auditoria y debido tramite contable</t>
  </si>
  <si>
    <t>213315</t>
  </si>
  <si>
    <t>23/6/2021</t>
  </si>
  <si>
    <t>DF-479267236840</t>
  </si>
  <si>
    <t>195017</t>
  </si>
  <si>
    <t>DF-479279131089</t>
  </si>
  <si>
    <t xml:space="preserve">Se hace devolución de factura según art 12 y 14 de la resolución 3047 (cód 49) factura no cumple requisitos legales  dado que no hay congruencia entre el paciente facturado y los soportes anexos a esta factura  ya que factura viene a nombre de ISAMAR LUCIA SILVA SARABIA y soporte anexos estan a nombre de HIJA DE SANDRA PATRICIA AROCA ESPEJO  ademas hasta la fecha no se encuentra contrato para servicios posteriores a la urgencia con esta ips no red </t>
  </si>
  <si>
    <t>7667976</t>
  </si>
  <si>
    <t>ECPertuz</t>
  </si>
  <si>
    <t>14/7/2020</t>
  </si>
  <si>
    <t>DF-47927913428</t>
  </si>
  <si>
    <t xml:space="preserve"> Se hace devolución de factura con todos sus soportes  según art 12 y 14 de la resolución 3047 ( cod 49 factura no cumple requisitos legales)  dado que no se evidencia registro de la atencion del usuario en dinamicos ni en 018000  reporte oportuno este fue notificado  el dia 2019/05/30 paciente con ingreso 02/05/19 y egresa el dia 18/05/19  como tampoco reporte por gestion hospitalaria </t>
  </si>
  <si>
    <t>38565614</t>
  </si>
  <si>
    <t>DF-549278731177</t>
  </si>
  <si>
    <t>HSRF3975013</t>
  </si>
  <si>
    <t>No hay contrato legalizado con su entidad para la prestación de servicios a los afiliados de Coosalud solo se aceptara la facturación de la atención inicial de urgencias</t>
  </si>
  <si>
    <t>889600</t>
  </si>
  <si>
    <t>30/7/2020</t>
  </si>
  <si>
    <t>DF-6804836564</t>
  </si>
  <si>
    <t>SE REALIZA DEVOLUCION DE LA FACTURA SEGUN LOS LINEAMIENTOS CONSAGRADOS EN LOS ARTICULOS 9 Y SIGUIENTES DE LA RESOLUCION 3374 DE 2000 TODAS LAS FACTURAS PRESENTADAS DEBEN ESTAR EN UN CIENTO POR CIENTO SUSTENTADAS CON LOS REGISTROS INDIVIDUALES DE PRESTACION DE SERVICIOS ( RIPS ) TODA LA INFORMACION DEBE ESTAR CODIFICADA EN CUPS Y CUMS EN UNIDAD MINIMA DE DISPENSACION ACLARANDO QUE EL CODIGO DEBE CORRESPONDER A LA DESCRIPCION LOS CUPS Y CUMS REPORTADOS EN LA FACTURA FISICA DEBE SER IGUAL A LA REPORTADA EN RIPS SE DEBE CARGAR NUEVAMENTE LA INFORMACION EN LA PLATAFORMA LOS RIPS Y SURTIR UN NUEVO PROCESO DE RADICACION</t>
  </si>
  <si>
    <t>sjcamacho</t>
  </si>
  <si>
    <t>18/3/2021</t>
  </si>
  <si>
    <t>DF-68221832451</t>
  </si>
  <si>
    <t>SE REALIZA  DEVOLUCION DE LA FACTURA ERROR EN LOS CODIGOS CUPS REGISTRADOS EN LA FACTURA Y EN LOS RIPS  SEGUN NORMATIVIDAD VIGENTE RESOLUCIÓN 3495 DEL 2019 SIENDO ÉSTA DE OBLIGATORIO CUMPLIMIENTO A PARTIR  1 DE ENERO DEL 2020 Y SUS RESPECTIVA MODIFICACION RESOLUCION 537UNA VEZ CORREGIDO SE REALIZA AUDITORIA</t>
  </si>
  <si>
    <t>209697</t>
  </si>
  <si>
    <t>ccgomez</t>
  </si>
  <si>
    <t>20/5/2020</t>
  </si>
  <si>
    <t>DF-68221832452</t>
  </si>
  <si>
    <t>57600</t>
  </si>
  <si>
    <t>DF-68765433013119</t>
  </si>
  <si>
    <t>FEHF40583</t>
  </si>
  <si>
    <t>SE DEVUELVE COBRO DE SERVICIOS LA FACTURA FUE SUBIDA A SAMI AL CONTRATO SNA2019REDNOPBS112  QUE NO CORRESPONDE CON LOS SERVICIOS FACTURADOS    UNA VEZ CORREGIDO LA CAUSAL DE DEVOLUCION APLICA LA AUDITORIA TECNICA Y MEDICA QUE HAYA LUGAR</t>
  </si>
  <si>
    <t>1419329</t>
  </si>
  <si>
    <t>aardila</t>
  </si>
  <si>
    <t>8/12/2020</t>
  </si>
  <si>
    <t>DF-68765433013121</t>
  </si>
  <si>
    <t>FEHF36775</t>
  </si>
  <si>
    <t>SE DEVUELVE COBRO DE SERVICIOS LA FACTURA FUE SUBIDA A SAMI AL CONTRATO SNA2019REDNOPBS112 QUE NO CORRESPONDE CON LOS SERVICIOS FACTURADOS UNA VEZ CORREGIDO LA CAUSAL DE DEVOLUCION APLICA LA AUDITORIA TECNICA Y MEDICA QUE HAY  LUGAR</t>
  </si>
  <si>
    <t>1318681</t>
  </si>
  <si>
    <t>DF-68765433293484</t>
  </si>
  <si>
    <t>SE HACE DEVOLUCIÓN DE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QUE ESTEN VIGENTESTODA LA INFORMACION DEBE ESTAR CODIFICADA EN CUPS Y CUMS EN UNIDAD MINIMA DE DISPENSACION ACLARANDO Q EL CODIGO DEBE CORRESPONDER A LA DESCRIPCION EN CASO CONTRARIO ES OBJETO DE DEVOLUCION</t>
  </si>
  <si>
    <t>54511</t>
  </si>
  <si>
    <t>smsantos</t>
  </si>
  <si>
    <t>3/5/2021</t>
  </si>
  <si>
    <t>DF-68765433293485</t>
  </si>
  <si>
    <t>153144</t>
  </si>
  <si>
    <t>DF-68925163970</t>
  </si>
  <si>
    <t>SE DEVUELVE COBRO DE SERVICIOS BRINDADOS A NINI JOHAN CASTAÑEDA ENTRE EL 16 Y 17/10/2020 POR CUANTO LA FACTURA NO CUMPLE REQUISITOS DE NORMA  LA IPS FACTURA LOS SERVICIOS SIN DAR CUMPLIMIENTO A LO ORDENADO EN LA NORMATIVIDAD LEGAL VIGENTE RESOLUCIÓN 3495/2019 Y LAS QUE LA MODIFICAN Y COMPLEMENTAN EN SU ART 2 PARÁGRAFO SE ESTABLECE "La Clasificación Única de Procedimientos en Salud  CUPS deberá aplicarse en todos los procesos del sector que impliquen identificación y denominación de los procedimientos en salud en todo el territorio nacional"  LA FACTURACION DE MEDICAMENTOS TAMPOCO CUMPLE REQUISITOS LEGALES POR CUANTO NO SE ENCUENTRAN REGISTRADOS CON CÓDIGOS CUM  EL REGISTRO DE INFORMACIÓN DE LA FACTURA Y LOS RIPS DEBE COINCIDIR UNA VEZ SOLUCIONADO EL MOTIVO DE LA DEVOLUCION APLICA LA AUDITORIA TECNICA Y MEDICA A QUE HAYA LUGAR</t>
  </si>
  <si>
    <t>giruiz</t>
  </si>
  <si>
    <t>18/4/2021</t>
  </si>
  <si>
    <t>DF-68925163972</t>
  </si>
  <si>
    <t>SE DEVUELVE COBRO DE SERVICIOS BRINDADOS A GIPSY FRANCHESCA TORRES ESTEBAN ENTRE EL 22 Y 26/10/2020 POR CUANTO LA FACTURA NO CUMPLE REQUISITOS DE NORMA LA IPS FACTURA LOS SERVICIOS SIN DAR CUMPLIMIENTO A LO ORDENADO EN LA NORMA LEGAL VIGENTE RESOLUCIÓN 3495/2019 Y LAS QUE LA MODIFICAN Y COMPLEMENTAN EN SU ART 2 PARÁGRAFO SE ESTABLECE "La Clasificación Única de Procedimientos en Salud  CUPS deberá aplicarse en todos los procesos del sector que impliquen identificación y denominación de los procedimientos en salud en todo el territorio nacional" ENCONTRÁNDOSE LOS SERVICIOS REGISTRADOS CON CÓDIGOS SOAT  LA FACTURACION DE MEDICAMENTOS TAMPOCO CUMPLE REQUISITOS LEGALES POR CUANTO SE REGISTRAN CON CODIFICACIÓN ATC Y NO CON CÓDIGOS CUM VIGENTES  LA INFORMACIÓN REGISTRADA EN RIPS Y EN LA FACTURA DEBE SER CORRECTA Y COINCIDIR ENTRE SÍ PARA PODER DAR TRÁMITE A LA CUENTA MÉDICA UNA VEZ SOLUCIONADOS LOS MOTIVOS DE LA DEVOLUCIÓN Y SE RADIQUE NUEVAMENTE LA CUENTA MÉDICA APLICA LA AUDITORIA TÉCNICA Y MEDICA A QUE HAYA LUGAR</t>
  </si>
  <si>
    <t>1282629</t>
  </si>
  <si>
    <t>DF-689301735961</t>
  </si>
  <si>
    <t>Falta de competencia para el pago  Se genera devolcuion de la factura virtual ya que se evidencia que la paciente se enceuntra inactivo en coosalud por ta motivo no continua con e lr proceso de auditora virtual</t>
  </si>
  <si>
    <t>537500</t>
  </si>
  <si>
    <t>IPS no adjunta certificado de nacido vivo ni registro civil como lo define la normatividad en el decreto 780 de 2016 para verificar afiliacion.</t>
  </si>
  <si>
    <t>HHMontano</t>
  </si>
  <si>
    <t>DF-70555555953715</t>
  </si>
  <si>
    <t>FEHF80779</t>
  </si>
  <si>
    <t xml:space="preserve">Se hace devolución de la factura se realiza validación de la información suministrada según requisitos para recobro al ADRES Dando cumplimiento a la resolución 1885 de 2018 Resolución 41656 de 2019 y Resolución 094 de 2020 Para proceso de auditoría de facturas con Tecnologías en salud No Cubiertas en el plan de Beneficios en salud (NO PBS) Se evidencia que la factura presenta la siguiente inconsistencia                                                                                                                                                                                               No presenta los requisitos exigidos por el ADRES para el recobro y socializado por Coosalud en las circulares  SISMUESTRA SIVIGILA RESGISTRO INVIMA Y ESTRUCTURA EXCEL                                                                                                         </t>
  </si>
  <si>
    <t>SUCRE</t>
  </si>
  <si>
    <t>mallanes</t>
  </si>
  <si>
    <t>15/3/2021</t>
  </si>
  <si>
    <t>DF-76207832125</t>
  </si>
  <si>
    <t>FEHF19539</t>
  </si>
  <si>
    <t>1 No hay contrato legalizado con su entidad para la prestacion de servicios a los afiliados de Coosalud solo se aceptará la facturación de la atención inicial de urgencias2 Servicio no autorizado por la EPS para prestar en su institución No se evidencio en Dynamicoos código asignado para Servicios posteriores a la Urgencia y Hospitalización3 La fecha de prestación del servicio va desde el 03/09/2020 al 08/09/2020 la portabilidad se inicia el 21/10/2020 para el Dpto del QuindioUsuaria Dahiana Cardenas Gamboa TI 1005894111</t>
  </si>
  <si>
    <t>3354891</t>
  </si>
  <si>
    <t>varce</t>
  </si>
  <si>
    <t>25/11/2020</t>
  </si>
  <si>
    <t>DF-765555566432057</t>
  </si>
  <si>
    <t>HSRF3964190</t>
  </si>
  <si>
    <t>Se realiza devolucion de la cuenta con todos sus soportesUsuario  MARIO ISAIAS CUETO PEREZ  cc 1049942693 ya que no existe contrato entre las partes ni tampoco solicitud de autorizacion para la pestacion del servicio aprovada por COOSALUD por lo tanto no es posible continuar con el proceso de auditoria</t>
  </si>
  <si>
    <t>437000</t>
  </si>
  <si>
    <t>kjpaz</t>
  </si>
  <si>
    <t>6/7/2020</t>
  </si>
  <si>
    <t>DF-769224731057</t>
  </si>
  <si>
    <t>Se realiza devolución de la factura No HSRF0003676176 ya que no se evidencia trazabilidad de anexo 2 informando la atención de urgencia a la entidad responsable de pago dentro de los tiempos establecidos por la normatividad vigente</t>
  </si>
  <si>
    <t>537739</t>
  </si>
  <si>
    <t>dcburbano</t>
  </si>
  <si>
    <t>30/3/2019</t>
  </si>
  <si>
    <t>DF-769301734697</t>
  </si>
  <si>
    <t>SIN RIPS Se hace devolucion de la factura ya que llegan a nuestra sede sin sus respectivos rips en cd magnético o el cargue exitoso en la plataforma sami se solicita que se anexe para su respectiva radicación Cualquier inquietud 3057189792</t>
  </si>
  <si>
    <t>16/7/2019</t>
  </si>
  <si>
    <t>DF-9493077310017</t>
  </si>
  <si>
    <t>SE HACE DEVOLUCIÓN DE LA CUENTA YA QUE LOS ARCHIVOS INTERNOS DEL RIPS PRESENTAN INCONSISTENCIA EN EL NUMERO DE LA FACTURA FISICA Y  LA ESTRUCTURA INTERNA DE LOS ARCHIVOS DE LOS RIPS LA FACTURA POSEE CEROS ENTRE EL PREFIJO Y EL NUMERO CONSECUTIVO EN LOS RIOS NO TIENE LOS NUMEROS AGREGADOS POR FAVOR REALIZAR LAS RESPECTIVAS CORRECCIONES Y UNA VEZ SUBSANE ENVIAR PARA CONTINUAR CON EL PROCESO DE RADICACIÓN</t>
  </si>
  <si>
    <t>memancera</t>
  </si>
  <si>
    <t>DF-9493077310018</t>
  </si>
  <si>
    <t>SE HACE DEVOLUCIÓN DE LA CUENTA YA QUE LOS ARCHIVOS INTERNOS DEL RIPS PRESENTAN INCONSISTENCIA EN EL NUMERO DE LA FACTURA DEBE TEBER LOS TRES (CEROS) ENTRE EL PREFIJO Y EL CONSECUTIVO  VERIFICAR QUE TODOS LOS CAMPOS ESTÉN BIEN DILIGENCIADOSPOR FAVOR REALIZAR LAS RESPECTIVAS CORRECCIONES Y UNA VEZ SUBSANE ENVIAR PARA CONTINUAR CON EL PROCESO DE RADICACIÓN</t>
  </si>
  <si>
    <t>866432</t>
  </si>
  <si>
    <t>DF-9493077310135</t>
  </si>
  <si>
    <t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t>
  </si>
  <si>
    <t>DF-9493077310136</t>
  </si>
  <si>
    <t>1229806</t>
  </si>
  <si>
    <t>DF-9493077310137</t>
  </si>
  <si>
    <t>2593789</t>
  </si>
  <si>
    <t>DF-9493077310138</t>
  </si>
  <si>
    <t>614531</t>
  </si>
  <si>
    <t>DF-9493077310139</t>
  </si>
  <si>
    <t>3454909</t>
  </si>
  <si>
    <t>DF-9493077310140</t>
  </si>
  <si>
    <t>1064963</t>
  </si>
  <si>
    <t>DF-9493077310141</t>
  </si>
  <si>
    <t>DF-9493077310142</t>
  </si>
  <si>
    <t>DF-9493077310143</t>
  </si>
  <si>
    <t>1282017</t>
  </si>
  <si>
    <t>DF-9493077311046</t>
  </si>
  <si>
    <t xml:space="preserve">SE HACE DEVOLUCION DE LAFACTURA CON SUS RESPECTIVOS SOPORTES DE ACUERDO A LA CIRCULAR DE COOSALUD EPSS EN DONDE SE INFORMA QUE LA FACTURACION SE DEBE SUBIR A SAMI DE LA SIGUIENTE FORMA LA FACTURA DE DEBERA ADJUNTAR EN FORMATO PDF Y PRO EL ICONO CORRESPONDIENTE SIN ADJUNTAR NIUNGUN TIPO DE SOPORTE LOS SOPORTES DE LA PRESTACION DEL SERVICIO SE DEBERA SUBIR A SAMI EN FORMATO PDF Y EN EL ICNO QUE DICE ADJUNTAR SOPORTES Y/O ARCHIVO   </t>
  </si>
  <si>
    <t>2/5/2020</t>
  </si>
  <si>
    <t>DF-9493077311055</t>
  </si>
  <si>
    <t>DF-9493077311078</t>
  </si>
  <si>
    <t>SE HACE DEVOLUCIÓN DE LA FACTURACIÓN CON SUS RESPECTIVOS SOPORTES DE ACUERDO A LA CIRCULAR DE COOSALUD EPSS EN DONDE INFORMA  QUE LA FACTURACIÓN SE DEBE SUBIR POR SAMI DE LA SIGUIENTE MANERA LA FACTURA SE DEBER ADJUNTAR EN ARCHIVO PDF POR EL ICONO CORRESPONDIENTE  Y SOLO LA FACTURALOS SOPORTES SE ADJUNTARAN EN ARCHIVO PDF Y POR EL ICONO QUE DICE SUBIR Y/O ADJUNTAR ARCHIVODE IGUAL FORMA SE LES RECUERDA QUE LA RADICACION SE RADICAR EN FORMA VIRTUAL DEL PRIMER DÍA HÁBIL DEL MES HASTA EL 10 CALENDARIO</t>
  </si>
  <si>
    <t>DF-9493077313816</t>
  </si>
  <si>
    <t>FEHF74848</t>
  </si>
  <si>
    <t>Se realiza devolución de la factura FEHF74848correspondiente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les recuerda que los servicios correspondiente a No PBS se deben radicar en fisco incluyendo el medio magnético y por separado de los servicios que se encuentran en en la plan de beneficios del régimen subsidiadoUna vez subsanado el motivo de devolución se solicita a la IPS radicar en el portal aplistaff para continuar con la auditoria</t>
  </si>
  <si>
    <t>DF-9493077313817</t>
  </si>
  <si>
    <t>FEHF75999</t>
  </si>
  <si>
    <t>Se realiza devolución de la factura correspondiente a cobro SARS COV2 COVID 19 ANTIGENO dado que la IPS no anexan los requisitos exigidos por el ADRES se observa que no anexan el registro INVIMA para las pruebas de anticuerpos y de antígenos tampoco adjuntan el pdf del resultado cargado en la plataforma SISMUESTRAS ni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les recuerda que los servicios correspondiente a No PBS se deben radicar en fisco incluyendo el medio magnético y por separado de los servicios que se encuentran en en la plan de beneficios del régimen subsidiadoUna vez subsanado el motivo de devolución se solicita a la IPS radicar en el portal aplistaff para continuar con la auditoria</t>
  </si>
  <si>
    <t>DF-9493077314729</t>
  </si>
  <si>
    <t>FEHF86220</t>
  </si>
  <si>
    <t>Se realiza devolución de la factura FEHF86220 correspondiente a cobro SARS COV2 COVID 19 ANTIGENO dado que la IPS no anexan los requisitos exigidos por el ADRES se observa que no anexan el resultado de la toma del laboratorio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</si>
  <si>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8/3/2021</t>
  </si>
  <si>
    <t>DF-9493077315421</t>
  </si>
  <si>
    <t>Se realiza devolución de la factura FEHF137018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t>
  </si>
  <si>
    <t>DF-9493077315422</t>
  </si>
  <si>
    <t>Se realiza devolución de la factura FEHF128177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</si>
  <si>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DF-9493077315423</t>
  </si>
  <si>
    <t>Se realiza devolución de la factura FEHF135512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</si>
  <si>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DF-9493077315562</t>
  </si>
  <si>
    <t>Se realiza devolución de la factura HEHFcorrespondiente a cobro SARS COV2 COVID 19 ANTIGENO dado que la IPS no anexan los requisitos exigidos por el ADRES se observa que no anexan el resultado ely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</si>
  <si>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DF-9493077315563</t>
  </si>
  <si>
    <t>Se realiza devolución de la factura FEHF 152493correspondiente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</si>
  <si>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DF-9493077315564</t>
  </si>
  <si>
    <t>Se realiza devolución de la factura FEHF15320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</si>
  <si>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DF-9493077315565</t>
  </si>
  <si>
    <t>Se realiza devolución de la factura FEHF156144correspondiente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</si>
  <si>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DF-9493077316967</t>
  </si>
  <si>
    <t>Se realiza devolución de la factura FEH 171163 correspondiente a cobro SARS COV2 COVID 19 ANTIGENO dado que la IPS no anexan los requisitos exigidos por el ADRES se observa que no anexan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</si>
  <si>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DF-9493077316968</t>
  </si>
  <si>
    <t>Se realiza devolución de la factura FEHF171161 correspondiente a cobro SARS COV2 COVID 19 ANTIGENO dado que la IPS no anexan los requisitos exigidos por el ADRES se observa que no anexan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</si>
  <si>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DF-9493077316969</t>
  </si>
  <si>
    <t>Se realiza devolución de la factura FEHF171227 correspondiente a cobro SARS COV2 COVID 19 ANTIGENO dado que la IPS no anexan los requisitos exigidos por el ADRES se observa que no anexan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</si>
  <si>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DF-9493077316970</t>
  </si>
  <si>
    <t>Se realiza devolución de la facturaFEHF156914 correspondiente a cobro SARS COV2 COVID 19 ANTIGENO dado que la IPS no anexan los requisitos exigidos por el ADRES se observa que no anexan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</si>
  <si>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DF-9493077316972</t>
  </si>
  <si>
    <t>Se realiza devolución de la factura  FEHF123709 dado que se evidenció  que la ips  no adjunta la historia clínica y demás que soporte la atención se recuerda a la IPS que tanto el RIPS como la factura debe coincidir con los servicios registrados de no ser así se considera una inconsistencia esto atendiendo los lineamientos de la Resolución 3374 del 2000 el cual indica que la IPS debe garantizar la confiabilidad seguridad y calidad de los datos sobre la prestación individual de servicios de saludUna vez subsanado el motivo de la devolución se solicita a la IPS radicar la factura en el portal de SAMI  para continuar con el proceso de auditoria</t>
  </si>
  <si>
    <t>DF-9493077317004</t>
  </si>
  <si>
    <t>e realiza devolución de la factura FEHF184160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</si>
  <si>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DF-9493077317095</t>
  </si>
  <si>
    <t>Se realiza devolución de la factura FEH191847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</si>
  <si>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DF-949307738985</t>
  </si>
  <si>
    <t>SE HACE DEVOLUCIÓN DE LA CUENTA YA QUE ESTA SE ENCUENTRA EXTEMPORÁNEA A LA FECHA DE LA ATENCIÓN DEL PACIENTE</t>
  </si>
  <si>
    <t>8/6/2018</t>
  </si>
  <si>
    <t>DF-949307739578</t>
  </si>
  <si>
    <t xml:space="preserve">SE HACE DEVOLUCIÓN DE LA CUENTA YA QUE FACTURA NO SE ENCUENTRA INCLUIDA EN EL MEDIO MAGNÉTICO RIPS QUE ESTÁN PRESENTANDOPOR FAVOR REALIZAR LAS RESPECTIVAS CORRECCIONES Y UNA VEZ SUBSANE ENVIAR PARA CONTINUAR CON EL PROCESO DE RADICACIÓN  </t>
  </si>
  <si>
    <t>52399</t>
  </si>
  <si>
    <t>10/12/2018</t>
  </si>
  <si>
    <t>DF-949307739663</t>
  </si>
  <si>
    <t xml:space="preserve">SE HACE DEVOLUCION DELA FACTURA CON SUS RESPECTIVOS SOPORTES LA FACTURA SE ENCUENTRA CON TACHADURAS POR FAVOR REALIZAR LAS RESPECTIVAS CORRECCIONES Y UNA VEZ SUBSANE ENVIAR PARA CONTINUAR CON EL PROCESO DE AUDITORIA  Y ADJUNTAR NUEVAMENTE LOS RIPS CORRESPONDIENTE A LA FACTURA   </t>
  </si>
  <si>
    <t>DF-949307739664</t>
  </si>
  <si>
    <t xml:space="preserve">POR FAVOR REALIZAR LAS RESPECTIVAS CORRECCIONES Y UNA VEZ SUBSANE ENVIAR PARA CONTINUAR CON EL PROCESO DE AUDITORIA  Y ADJUNTAR NUEVAMENTE LOS RIPS CORRESPONDIENTE A LA FACTURA   </t>
  </si>
  <si>
    <t>108600</t>
  </si>
  <si>
    <t>DF-949307739782</t>
  </si>
  <si>
    <t xml:space="preserve">SE HACE DEVOLUCIÓN DE LA CUENTA YA QUE FACTURA NO SE ENCUENTRA INCLUIDA EN EL MEDIO MAGNÉTICO RIPS QUE ESTÁN PRESENTANDOPOR FAVOR REALIZAR LAS RESPECTIVAS CORRECCIONES Y UNA VEZ SUBSANE ENVIAR PARA CONTINUAR CON EL PROCESO DE RADICACIÓN </t>
  </si>
  <si>
    <t>13/3/2019</t>
  </si>
  <si>
    <t>HSRF3455732</t>
  </si>
  <si>
    <t>HSRF3210456</t>
  </si>
  <si>
    <t>HSRF3307363</t>
  </si>
  <si>
    <t>HSRF3334314</t>
  </si>
  <si>
    <t>HSRF3184820</t>
  </si>
  <si>
    <t>HSRF2971359</t>
  </si>
  <si>
    <t>HSRF3415233</t>
  </si>
  <si>
    <t>HSRF3081657</t>
  </si>
  <si>
    <t>f2691422</t>
  </si>
  <si>
    <t>HSRF3327921</t>
  </si>
  <si>
    <t>HSRF2229105</t>
  </si>
  <si>
    <t>HSRF2229493</t>
  </si>
  <si>
    <t>HSRF3272207</t>
  </si>
  <si>
    <t>hsrf3272207</t>
  </si>
  <si>
    <t>HSRF338112</t>
  </si>
  <si>
    <t>hsrf3382090</t>
  </si>
  <si>
    <t>HSRF3381122</t>
  </si>
  <si>
    <t>HSRF3382090</t>
  </si>
  <si>
    <t>HSR3069501</t>
  </si>
  <si>
    <t>HSRF3269025</t>
  </si>
  <si>
    <t>HSRF2103902</t>
  </si>
  <si>
    <t>HSRF2356927</t>
  </si>
  <si>
    <t>HSRF3131769</t>
  </si>
  <si>
    <t>HSRF3130699</t>
  </si>
  <si>
    <t>HSRF3261820</t>
  </si>
  <si>
    <t>HSRF3229162</t>
  </si>
  <si>
    <t>HSRF2229162</t>
  </si>
  <si>
    <t>HSRF3655031</t>
  </si>
  <si>
    <t>HSRF367176</t>
  </si>
  <si>
    <t>HSFR3681955</t>
  </si>
  <si>
    <t>2905100202</t>
  </si>
  <si>
    <t>sucre</t>
  </si>
  <si>
    <t>BOGOTA</t>
  </si>
  <si>
    <t>N99</t>
  </si>
  <si>
    <t>2000401127</t>
  </si>
  <si>
    <t>1330050204</t>
  </si>
  <si>
    <t>2905100203</t>
  </si>
  <si>
    <t>2000001363</t>
  </si>
  <si>
    <t>101244285</t>
  </si>
  <si>
    <t>Registro</t>
  </si>
  <si>
    <t>100517284</t>
  </si>
  <si>
    <t>20190626</t>
  </si>
  <si>
    <t>104364883</t>
  </si>
  <si>
    <t>REGISTRO ACEPTACION DE GLOSA EPS C</t>
  </si>
  <si>
    <t>REGISTRO ACEPTACION DE GL</t>
  </si>
  <si>
    <t>3130924389</t>
  </si>
  <si>
    <t>GLOSA INICIAL GL-4792388396129</t>
  </si>
  <si>
    <t>1902412820</t>
  </si>
  <si>
    <t>47-lpinedo Eurek</t>
  </si>
  <si>
    <t>104364912</t>
  </si>
  <si>
    <t>3211429541</t>
  </si>
  <si>
    <t>GLOSA INICIAL GL-08229734771</t>
  </si>
  <si>
    <t>1900537054</t>
  </si>
  <si>
    <t>08-emaury Eurek</t>
  </si>
  <si>
    <t>104364913</t>
  </si>
  <si>
    <t>8131055891</t>
  </si>
  <si>
    <t>GLOSA INICIAL GL-6892338367492</t>
  </si>
  <si>
    <t>1901303972</t>
  </si>
  <si>
    <t>68-zmendez Eurek</t>
  </si>
  <si>
    <t>20190801</t>
  </si>
  <si>
    <t>105019752</t>
  </si>
  <si>
    <t>ABONO FE HSRF3772177 15466106510 MAYERLY CATHERINE</t>
  </si>
  <si>
    <t>ABONO FE HSRF3772177</t>
  </si>
  <si>
    <t>7150920919</t>
  </si>
  <si>
    <t>15466106510 MAYERLY CATHERINE SANDOVAL HERNANDEZ</t>
  </si>
  <si>
    <t>1903197483</t>
  </si>
  <si>
    <t>15-leruiz Eurek</t>
  </si>
  <si>
    <t>20190808</t>
  </si>
  <si>
    <t>105019753</t>
  </si>
  <si>
    <t>ABONO FE SB0000077086 15135000244 ANA JULIA BRAVO</t>
  </si>
  <si>
    <t>ABONO FE SB0000077086</t>
  </si>
  <si>
    <t>8081115055</t>
  </si>
  <si>
    <t>15135000244 ANA JULIA BRAVO DE RODRIGUEZ</t>
  </si>
  <si>
    <t>1903179477</t>
  </si>
  <si>
    <t>2000075693</t>
  </si>
  <si>
    <t>105023707</t>
  </si>
  <si>
    <t>105023706</t>
  </si>
  <si>
    <t>10121043314</t>
  </si>
  <si>
    <t>HSRF0003618279</t>
  </si>
  <si>
    <t>105056413</t>
  </si>
  <si>
    <t>SALDO FACTURA HSRF0003618279 HSRF0003618279</t>
  </si>
  <si>
    <t>1903089184</t>
  </si>
  <si>
    <t>20191031</t>
  </si>
  <si>
    <t>ABONO FE HSRF0003618279 05495412386 GLEIDIS  CUEVA</t>
  </si>
  <si>
    <t>05-kmarquez Eurek</t>
  </si>
  <si>
    <t>12100735150</t>
  </si>
  <si>
    <t>105056414</t>
  </si>
  <si>
    <t>76001636019 CARLOS AREVALO ACERO</t>
  </si>
  <si>
    <t>1901843857</t>
  </si>
  <si>
    <t>76-yolaya Eurek</t>
  </si>
  <si>
    <t>ABONO FE HSRF0003650518 76001636019 CARLOS AREVALO</t>
  </si>
  <si>
    <t>10121042326</t>
  </si>
  <si>
    <t>105056415</t>
  </si>
  <si>
    <t>54001297382 SEBASTIAN CAMILO LEZCANO MEDINA</t>
  </si>
  <si>
    <t>1901573849</t>
  </si>
  <si>
    <t>2905100102</t>
  </si>
  <si>
    <t>54-jcastillo Eurek</t>
  </si>
  <si>
    <t>ABONO FE HSRF0003623602 54001297382 SEBASTIAN CAMI</t>
  </si>
  <si>
    <t>20191217</t>
  </si>
  <si>
    <t>105073289</t>
  </si>
  <si>
    <t>ABONO FE HSRF0003684793 68368186634 DILAN BAREÑO R</t>
  </si>
  <si>
    <t>2111143918</t>
  </si>
  <si>
    <t>68368186634 DILAN BAREÑO ROJAS</t>
  </si>
  <si>
    <t>1902254588</t>
  </si>
  <si>
    <t>105183731</t>
  </si>
  <si>
    <t>105023708</t>
  </si>
  <si>
    <t>20200205</t>
  </si>
  <si>
    <t>105189883</t>
  </si>
  <si>
    <t>REGISTRO ACEPTACION GLOSA</t>
  </si>
  <si>
    <t>7150953312</t>
  </si>
  <si>
    <t>GLOSA INICIAL GL-0892364336169</t>
  </si>
  <si>
    <t>1903128131</t>
  </si>
  <si>
    <t>105189884</t>
  </si>
  <si>
    <t>GLOSA INICIAL GL-15068339119</t>
  </si>
  <si>
    <t>105189885</t>
  </si>
  <si>
    <t>7150857654</t>
  </si>
  <si>
    <t>GLOSA INICIAL GL-2092293396197</t>
  </si>
  <si>
    <t>1903038173</t>
  </si>
  <si>
    <t>20-lruiz Eurek</t>
  </si>
  <si>
    <t>HSRF3769111</t>
  </si>
  <si>
    <t>105189886</t>
  </si>
  <si>
    <t>REGISTRO ACEPTACION DE GLOSA C</t>
  </si>
  <si>
    <t>7150917275</t>
  </si>
  <si>
    <t>GLOSA INICIAL GL-479279139092</t>
  </si>
  <si>
    <t>1903020249</t>
  </si>
  <si>
    <t>105189887</t>
  </si>
  <si>
    <t>7150942686</t>
  </si>
  <si>
    <t>GLOSA INICIAL GL-25316314413</t>
  </si>
  <si>
    <t>1903047492</t>
  </si>
  <si>
    <t>15-earias Eurek</t>
  </si>
  <si>
    <t>105189888</t>
  </si>
  <si>
    <t>6061134639</t>
  </si>
  <si>
    <t>GLOSA INICIAL GL-682173393747</t>
  </si>
  <si>
    <t>1902985549</t>
  </si>
  <si>
    <t>105189889</t>
  </si>
  <si>
    <t>7150943352</t>
  </si>
  <si>
    <t>GLOSA INICIAL GL-4792328315610</t>
  </si>
  <si>
    <t>1903016109</t>
  </si>
  <si>
    <t>20200422</t>
  </si>
  <si>
    <t>105214977</t>
  </si>
  <si>
    <t>ABONO FE HSRF0003788384 ACEPTA EPS GLOS FE HSRF000</t>
  </si>
  <si>
    <t>ABONO FE HSRF0003788384</t>
  </si>
  <si>
    <t>GL-0892364336169</t>
  </si>
  <si>
    <t>ACEPTA EPS GLOS FE HSRF0003788384 18/12/2019 C</t>
  </si>
  <si>
    <t>20200717</t>
  </si>
  <si>
    <t>HSRF3958490.</t>
  </si>
  <si>
    <t>105269752</t>
  </si>
  <si>
    <t>ABONO 47288309687 LILIA RETAMOZO</t>
  </si>
  <si>
    <t>47-fmazzeneth Eurek</t>
  </si>
  <si>
    <t>6031404051</t>
  </si>
  <si>
    <t>HSRF3958490</t>
  </si>
  <si>
    <t>1904808818</t>
  </si>
  <si>
    <t>20200915</t>
  </si>
  <si>
    <t>CM19627</t>
  </si>
  <si>
    <t>105329393</t>
  </si>
  <si>
    <t>RTA GLOSA GL-259261132032 FACT CM19627 ABR</t>
  </si>
  <si>
    <t>GL-259261132032</t>
  </si>
  <si>
    <t>5061832889</t>
  </si>
  <si>
    <t>GLOSA INICIAL GL-259261132032</t>
  </si>
  <si>
    <t>1904811566</t>
  </si>
  <si>
    <t>15-jecastillo_11 Eurek</t>
  </si>
  <si>
    <t>20201001</t>
  </si>
  <si>
    <t>HSRF3966796</t>
  </si>
  <si>
    <t>105333265</t>
  </si>
  <si>
    <t>fact ingresada en Norte</t>
  </si>
  <si>
    <t>7081507650</t>
  </si>
  <si>
    <t>54001042399 LUIS ARIAS (SALDO JUL/20)</t>
  </si>
  <si>
    <t>1904960644</t>
  </si>
  <si>
    <t>54-kjpineda Eurek</t>
  </si>
  <si>
    <t>20201019</t>
  </si>
  <si>
    <t>HSRF3929920.</t>
  </si>
  <si>
    <t>105342265</t>
  </si>
  <si>
    <t>ABONO 68101175973 ALEANDRA ARIZA</t>
  </si>
  <si>
    <t>7111309446</t>
  </si>
  <si>
    <t>HSRF3929920</t>
  </si>
  <si>
    <t>68101175973 ALEANDRA ARIZA</t>
  </si>
  <si>
    <t>1905051373</t>
  </si>
  <si>
    <t>20201230</t>
  </si>
  <si>
    <t>FEHF765</t>
  </si>
  <si>
    <t>105375913</t>
  </si>
  <si>
    <t>ABONO FE FEHF765 15469154637 OSCAR ESPITIA</t>
  </si>
  <si>
    <t>2905100103</t>
  </si>
  <si>
    <t>ABONO FE FEHF765</t>
  </si>
  <si>
    <t>9070803116</t>
  </si>
  <si>
    <t>15469154637 OSCAR ESPITIA</t>
  </si>
  <si>
    <t>1905239701</t>
  </si>
  <si>
    <t>25-jecastillo Eurek</t>
  </si>
  <si>
    <t>10130810428</t>
  </si>
  <si>
    <t>FEHF26549</t>
  </si>
  <si>
    <t>105375916</t>
  </si>
  <si>
    <t>15204197733 ANGELICA RIAÑO</t>
  </si>
  <si>
    <t>1905367899</t>
  </si>
  <si>
    <t>ABONO FE FEHF26549 15204197733 ANGELICA RIAÑO</t>
  </si>
  <si>
    <t>ABONO FE FEHF26549</t>
  </si>
  <si>
    <t>105375919</t>
  </si>
  <si>
    <t>SALDO FE FEHF26549 15204197733 ANGELICA RIAÑO</t>
  </si>
  <si>
    <t>FEHF26549.</t>
  </si>
  <si>
    <t>10130838605</t>
  </si>
  <si>
    <t>FEHF27309</t>
  </si>
  <si>
    <t>105404574</t>
  </si>
  <si>
    <t>1905591880</t>
  </si>
  <si>
    <t>20210225</t>
  </si>
  <si>
    <t>FEHF27309.</t>
  </si>
  <si>
    <t>ABONO 94001243918 MONICA LARA</t>
  </si>
  <si>
    <t>ABONO 11001162523 JUANA ACEVEDO</t>
  </si>
  <si>
    <t>7111314345</t>
  </si>
  <si>
    <t>CM15425</t>
  </si>
  <si>
    <t>1905159672</t>
  </si>
  <si>
    <t>CM16691</t>
  </si>
  <si>
    <t>1905159682</t>
  </si>
  <si>
    <t>HSRF3935650</t>
  </si>
  <si>
    <t>1905159690</t>
  </si>
  <si>
    <t>12101424731</t>
  </si>
  <si>
    <t>FEHF58763</t>
  </si>
  <si>
    <t>105404617</t>
  </si>
  <si>
    <t>1905887331</t>
  </si>
  <si>
    <t>20210226</t>
  </si>
  <si>
    <t>FEHF58763.</t>
  </si>
  <si>
    <t>ABONO 25754127280 MARLEN BELLACO</t>
  </si>
  <si>
    <t>2000357119</t>
  </si>
  <si>
    <t>105513751</t>
  </si>
  <si>
    <t>105329174</t>
  </si>
  <si>
    <t>12100800971</t>
  </si>
  <si>
    <t>1901913325</t>
  </si>
  <si>
    <t>47288210347 LUZ NEILA LARA CRESPO</t>
  </si>
  <si>
    <t>1901901272</t>
  </si>
  <si>
    <t>20181231</t>
  </si>
  <si>
    <t>ABONO 47288210347 LUZ NEILA LARA CRESPO</t>
  </si>
  <si>
    <t>ABONO FACT HSRF0003633652</t>
  </si>
  <si>
    <t>20190130</t>
  </si>
  <si>
    <t>1901994978</t>
  </si>
  <si>
    <t>ABONO A FACTURA</t>
  </si>
  <si>
    <t>8131052276</t>
  </si>
  <si>
    <t>13001192750 MICHEL  CONTRERAS CARDALES</t>
  </si>
  <si>
    <t>1901291590</t>
  </si>
  <si>
    <t>13-jasalgado Eurek</t>
  </si>
  <si>
    <t>20190101</t>
  </si>
  <si>
    <t>68217061166 CRISANTO  SANTOS CASTRO</t>
  </si>
  <si>
    <t>1901496545</t>
  </si>
  <si>
    <t>12100804855</t>
  </si>
  <si>
    <t>1902006203</t>
  </si>
  <si>
    <t>08560520817 ELIZABETH  AGUILAR JULIO</t>
  </si>
  <si>
    <t>1901895714</t>
  </si>
  <si>
    <t>20190102</t>
  </si>
  <si>
    <t>20190516</t>
  </si>
  <si>
    <t>HSRF0003498951</t>
  </si>
  <si>
    <t>1902541034</t>
  </si>
  <si>
    <t>SALDO FTRA HSRF0003498951  HOSPITAL SAN RAFAEL</t>
  </si>
  <si>
    <t>5151446589</t>
  </si>
  <si>
    <t>05154347781 INGRIS JHOANA PEREZ BRAVO</t>
  </si>
  <si>
    <t>1900693407</t>
  </si>
  <si>
    <t>05-lmendoza Eurek</t>
  </si>
  <si>
    <t>20190531</t>
  </si>
  <si>
    <t>1902715640</t>
  </si>
  <si>
    <t>abono fact HSRF0003701393 47288106395 KARINA MARIA</t>
  </si>
  <si>
    <t>ABONO FACT HSRF0003701393</t>
  </si>
  <si>
    <t>2111149227</t>
  </si>
  <si>
    <t>47288106395 KARINA MARIA NIÑO SIERRA</t>
  </si>
  <si>
    <t>1902215647</t>
  </si>
  <si>
    <t>1902715669</t>
  </si>
  <si>
    <t>ABONO FACT HSRF0003695354 47001162213 DAIRIS ESTHE</t>
  </si>
  <si>
    <t>ABONO FACT HSRF0003695354</t>
  </si>
  <si>
    <t>47001162213 DAIRIS ESTHER DAZA ORTIZ</t>
  </si>
  <si>
    <t>1902215638</t>
  </si>
  <si>
    <t>68368000625 SALVADOR  VERANO VERANO</t>
  </si>
  <si>
    <t>1901663054</t>
  </si>
  <si>
    <t>20190701</t>
  </si>
  <si>
    <t>20190724</t>
  </si>
  <si>
    <t>HSRF0003448208</t>
  </si>
  <si>
    <t>1902908287</t>
  </si>
  <si>
    <t>SALDO FACTURA HSRF0003448208 E.S.E. HOSPITAL SAN R</t>
  </si>
  <si>
    <t>5020745114</t>
  </si>
  <si>
    <t>05030309023 MARIA FERNANDA SABOGAL MORALES</t>
  </si>
  <si>
    <t>1900693415</t>
  </si>
  <si>
    <t>20190731</t>
  </si>
  <si>
    <t>HSRF3759059</t>
  </si>
  <si>
    <t>1903052531</t>
  </si>
  <si>
    <t>ABONO FACT HSRF3759059 4726800202202 ELIS YOHANA M</t>
  </si>
  <si>
    <t>ABONO FACT HSRF3759059</t>
  </si>
  <si>
    <t>4726800202202 ELIS YOHANA MORALES GOMEZ</t>
  </si>
  <si>
    <t>1903020180</t>
  </si>
  <si>
    <t>20190816</t>
  </si>
  <si>
    <t>1903054316</t>
  </si>
  <si>
    <t>9101009223</t>
  </si>
  <si>
    <t>13001385271 JUAN DAVID PRIETO DIAZ</t>
  </si>
  <si>
    <t>1901578016</t>
  </si>
  <si>
    <t>1903056827</t>
  </si>
  <si>
    <t>2111139772</t>
  </si>
  <si>
    <t>68264087263 MAIRA ALEJANDRA CARDENAS RINCON</t>
  </si>
  <si>
    <t>1902325096</t>
  </si>
  <si>
    <t>1903078470</t>
  </si>
  <si>
    <t>2111156619</t>
  </si>
  <si>
    <t>08436258321 DARWIS JOSE ORTIZ GUERRERO</t>
  </si>
  <si>
    <t>1902192176</t>
  </si>
  <si>
    <t>05495412386 GLEIDIS  CUEVAS PINZON</t>
  </si>
  <si>
    <t>1901587753</t>
  </si>
  <si>
    <t>20190823</t>
  </si>
  <si>
    <t>SALDO FACTURA HSRF0003618279 E.S.E. HOSPITAL SAN R</t>
  </si>
  <si>
    <t>20190901</t>
  </si>
  <si>
    <t xml:space="preserve"> HSRF3761704</t>
  </si>
  <si>
    <t>1903358527</t>
  </si>
  <si>
    <t>7150918255</t>
  </si>
  <si>
    <t>HSRF3761704</t>
  </si>
  <si>
    <t>08675539629 EDWAR JOSE ESCORCIA HERRERA</t>
  </si>
  <si>
    <t>1903128260</t>
  </si>
  <si>
    <t>20200723</t>
  </si>
  <si>
    <t>CP337307</t>
  </si>
  <si>
    <t>1904860437</t>
  </si>
  <si>
    <t>ABONO FACT CP337307 47001444527 ANGEL GUTIERREZ</t>
  </si>
  <si>
    <t>ABONO FACT CP337307</t>
  </si>
  <si>
    <t>6061220438</t>
  </si>
  <si>
    <t>47001444527 ANGEL GUTIERREZ</t>
  </si>
  <si>
    <t>1904808850</t>
  </si>
  <si>
    <t>20200724</t>
  </si>
  <si>
    <t>1904867835</t>
  </si>
  <si>
    <t>SALDO FACTURA HSRF3956336 E.S.E. HOSPITAL SAN RAFA</t>
  </si>
  <si>
    <t>5141326724</t>
  </si>
  <si>
    <t>05250272679 KAREN GONZALEZ</t>
  </si>
  <si>
    <t>1904797586</t>
  </si>
  <si>
    <t>05-jmarin Eurek</t>
  </si>
  <si>
    <t>20200831</t>
  </si>
  <si>
    <t>HSRF3971958</t>
  </si>
  <si>
    <t>1905015397</t>
  </si>
  <si>
    <t>ABONO FACT HSRF3971958 4717000078923 JUANA RIVERA</t>
  </si>
  <si>
    <t>ABONO FACT HSRF3971958</t>
  </si>
  <si>
    <t>70911147170</t>
  </si>
  <si>
    <t>4717000078923 JUANA RIVERA</t>
  </si>
  <si>
    <t>1904922872</t>
  </si>
  <si>
    <t>20200914</t>
  </si>
  <si>
    <t>CM23471</t>
  </si>
  <si>
    <t>1905036946</t>
  </si>
  <si>
    <t>SALDO FTRA CM23471  E.S.E. HOSPITAL SAN RAFAEL DE</t>
  </si>
  <si>
    <t>SALDO FTRA CM23471</t>
  </si>
  <si>
    <t>8101624800</t>
  </si>
  <si>
    <t>05495394284 KELLYS BALDOVINO</t>
  </si>
  <si>
    <t>1905004951</t>
  </si>
  <si>
    <t>05-cecheverri Eurek</t>
  </si>
  <si>
    <t>20201026</t>
  </si>
  <si>
    <t>FEHF16280</t>
  </si>
  <si>
    <t>1905173538</t>
  </si>
  <si>
    <t>ABONO FACT FEHF16280 47288309687 LILIA RETAMOZO</t>
  </si>
  <si>
    <t>ABONO FACT FEHF16280</t>
  </si>
  <si>
    <t>9070750044</t>
  </si>
  <si>
    <t>1905159554</t>
  </si>
  <si>
    <t>20201030</t>
  </si>
  <si>
    <t>HSRF3969614</t>
  </si>
  <si>
    <t>1905203225</t>
  </si>
  <si>
    <t>SALDO FTRA HSRF3969614 HOSPITAL SAN RAFAEL DE FACA</t>
  </si>
  <si>
    <t>SALDO FTRA  HSRF3969614</t>
  </si>
  <si>
    <t>7081455154</t>
  </si>
  <si>
    <t>05250481690 LAURA GONZALEZ</t>
  </si>
  <si>
    <t>1905088522</t>
  </si>
  <si>
    <t>1905543767</t>
  </si>
  <si>
    <t>47001139647 DANIEL VERGEL</t>
  </si>
  <si>
    <t>20201231</t>
  </si>
  <si>
    <t>ABONO FACT FEHF30256 47001139647 DANIEL VERGEL</t>
  </si>
  <si>
    <t>ABONO FACT FEHF30256</t>
  </si>
  <si>
    <t>1905544298</t>
  </si>
  <si>
    <t>SALDO FACT FEHF30256 47001139647 DANIEL VERGEL</t>
  </si>
  <si>
    <t xml:space="preserve"> FEHF30256</t>
  </si>
  <si>
    <t>1905544399</t>
  </si>
  <si>
    <t>20210104</t>
  </si>
  <si>
    <t>FEHF16555</t>
  </si>
  <si>
    <t>1905599196</t>
  </si>
  <si>
    <t>1905532071</t>
  </si>
  <si>
    <t>20201223</t>
  </si>
  <si>
    <t>VR ABONO FACTURA</t>
  </si>
  <si>
    <t>HSRF3932894</t>
  </si>
  <si>
    <t>1905619835</t>
  </si>
  <si>
    <t>SALDO FACTURA HSRF3932894 E.S.E. HOSPITAL SAN RAFA</t>
  </si>
  <si>
    <t>7111312684</t>
  </si>
  <si>
    <t>47170182926 JUAN SILVA</t>
  </si>
  <si>
    <t>1905003199</t>
  </si>
  <si>
    <t>76-cmontano Eurek</t>
  </si>
  <si>
    <t>20201201</t>
  </si>
  <si>
    <t xml:space="preserve"> FEHF10494</t>
  </si>
  <si>
    <t>1905683234</t>
  </si>
  <si>
    <t>9070818181</t>
  </si>
  <si>
    <t>FEHF10494</t>
  </si>
  <si>
    <t>252695170 ANNIE ARAUJO</t>
  </si>
  <si>
    <t>1905239722</t>
  </si>
  <si>
    <t>20210130</t>
  </si>
  <si>
    <t>SALDO FACTURA CM15018 E.S.E. HOSPITAL SAN RAFAEL D</t>
  </si>
  <si>
    <t>1905159643</t>
  </si>
  <si>
    <t>20210303</t>
  </si>
  <si>
    <t>6031407714</t>
  </si>
  <si>
    <t>GLOSA INICIAL GL-0855555586316562</t>
  </si>
  <si>
    <t>1904884534</t>
  </si>
  <si>
    <t>08-hmarin Eurek</t>
  </si>
  <si>
    <t>HSRF3976296</t>
  </si>
  <si>
    <t>1906125326</t>
  </si>
  <si>
    <t>REGISTRO ACEPTACION DE GLOSA IPS C</t>
  </si>
  <si>
    <t>7091108771</t>
  </si>
  <si>
    <t>GLOSA INICIAL GL-2092851319041</t>
  </si>
  <si>
    <t>1904950350</t>
  </si>
  <si>
    <t>HSRF3964189</t>
  </si>
  <si>
    <t>1906125350</t>
  </si>
  <si>
    <t>6080758741</t>
  </si>
  <si>
    <t>GLOSA INICIAL GL-5492830318663</t>
  </si>
  <si>
    <t>1904866291</t>
  </si>
  <si>
    <t>HSRF3938732</t>
  </si>
  <si>
    <t>1905159701</t>
  </si>
  <si>
    <t>20210930</t>
  </si>
  <si>
    <t>FEHF2839</t>
  </si>
  <si>
    <t>1908233911</t>
  </si>
  <si>
    <t>REGISTRO ACEPTACION GLOSA EPS C</t>
  </si>
  <si>
    <t>9070905888</t>
  </si>
  <si>
    <t>GLOSA INICIAL Dg-259261133333</t>
  </si>
  <si>
    <t>1905239864</t>
  </si>
  <si>
    <t>7091118399</t>
  </si>
  <si>
    <t>GLOSA INICIAL GL-055555564732287</t>
  </si>
  <si>
    <t>1905088538</t>
  </si>
  <si>
    <t>HSRF3929500</t>
  </si>
  <si>
    <t>1908233977</t>
  </si>
  <si>
    <t>7111307199</t>
  </si>
  <si>
    <t>GLOSA INICIAL GL-23399394967</t>
  </si>
  <si>
    <t>1904952658</t>
  </si>
  <si>
    <t>1908234057</t>
  </si>
  <si>
    <t>8101632337</t>
  </si>
  <si>
    <t>GLOSA INICIAL GL-259261133316</t>
  </si>
  <si>
    <t>1905144099</t>
  </si>
  <si>
    <t>HSRF3931545</t>
  </si>
  <si>
    <t>1908234093</t>
  </si>
  <si>
    <t>7111311398</t>
  </si>
  <si>
    <t>GLOSA INICIAL GL-5492787314700</t>
  </si>
  <si>
    <t>1904954402</t>
  </si>
  <si>
    <t>1908234114</t>
  </si>
  <si>
    <t>GLOSA INICIAL GL-689251639046</t>
  </si>
  <si>
    <t>HSRF3925515</t>
  </si>
  <si>
    <t>1908234165</t>
  </si>
  <si>
    <t>REGISTRO ACEPTACION GLOSA C</t>
  </si>
  <si>
    <t>7111249531</t>
  </si>
  <si>
    <t>GLOSA INICIAL GL-23399394966</t>
  </si>
  <si>
    <t>1904952654</t>
  </si>
  <si>
    <t>HSRF3953931</t>
  </si>
  <si>
    <t>1908234193</t>
  </si>
  <si>
    <t>REGISTRO ACEPTACION GLOSA IPS C</t>
  </si>
  <si>
    <t>7081522548</t>
  </si>
  <si>
    <t>GLOSA INICIAL GL-055555564732286</t>
  </si>
  <si>
    <t>1905088529</t>
  </si>
  <si>
    <t>12101513566</t>
  </si>
  <si>
    <t>FEHF57408</t>
  </si>
  <si>
    <t>1908234240</t>
  </si>
  <si>
    <t>GLOSA INICIAL GL-0892402311777</t>
  </si>
  <si>
    <t>1905670920</t>
  </si>
  <si>
    <t>08-lherrera Eurek</t>
  </si>
  <si>
    <t>10130805735</t>
  </si>
  <si>
    <t>FEHF21999</t>
  </si>
  <si>
    <t>1908234260</t>
  </si>
  <si>
    <t>GLOSA INICIAL GL-7612231311593</t>
  </si>
  <si>
    <t>1905601470</t>
  </si>
  <si>
    <t>12101435725</t>
  </si>
  <si>
    <t>GLOSA INICIAL Dg-055555564732978</t>
  </si>
  <si>
    <t>1905873140</t>
  </si>
  <si>
    <t>10130844435</t>
  </si>
  <si>
    <t>GLOSA INICIAL GL-055555564732780</t>
  </si>
  <si>
    <t>1905532202</t>
  </si>
  <si>
    <t>GLOSA INICIAL Dg-259261134006</t>
  </si>
  <si>
    <t>1907100627</t>
  </si>
  <si>
    <t>1908234552</t>
  </si>
  <si>
    <t>5101456530</t>
  </si>
  <si>
    <t>GLOSA INICIAL GL-08555556623338</t>
  </si>
  <si>
    <t>1907124162</t>
  </si>
  <si>
    <t>1908234573</t>
  </si>
  <si>
    <t>4090921579</t>
  </si>
  <si>
    <t>GLOSA INICIAL GL-085555569231369</t>
  </si>
  <si>
    <t>1906748588</t>
  </si>
  <si>
    <t>08-pnieto Eurek</t>
  </si>
  <si>
    <t>1908234595</t>
  </si>
  <si>
    <t>5071307001</t>
  </si>
  <si>
    <t>GLOSA INICIAL GL-20765433333227</t>
  </si>
  <si>
    <t>FEHF33877</t>
  </si>
  <si>
    <t>1908234634</t>
  </si>
  <si>
    <t>4081311109</t>
  </si>
  <si>
    <t>GLOSA INICIAL GL-255555564733283</t>
  </si>
  <si>
    <t>1906834164</t>
  </si>
  <si>
    <t>4091001449</t>
  </si>
  <si>
    <t>GLOSA INICIAL GL-255555564733287</t>
  </si>
  <si>
    <t>1907045513</t>
  </si>
  <si>
    <t>1908234726</t>
  </si>
  <si>
    <t>4081310827</t>
  </si>
  <si>
    <t>GLOSA INICIAL GL-255555564733281</t>
  </si>
  <si>
    <t>REGISTRO ACEPTACION GLOSA RTA</t>
  </si>
  <si>
    <t>2111157516</t>
  </si>
  <si>
    <t>GLOSA INICIAL GL-23399376607</t>
  </si>
  <si>
    <t>1902180643</t>
  </si>
  <si>
    <t>1908242749</t>
  </si>
  <si>
    <t>REGISTRO ACEPTACION GLOSA IPS RTA</t>
  </si>
  <si>
    <t>GLOSA INICIAL GL-689251635587</t>
  </si>
  <si>
    <t>1901496549</t>
  </si>
  <si>
    <t>2110758125</t>
  </si>
  <si>
    <t>GLOSA INICIAL Dg-7026837307</t>
  </si>
  <si>
    <t>1906270038</t>
  </si>
  <si>
    <t>70-yenperez Eurek</t>
  </si>
  <si>
    <t>GLOSA INICIAL GL-7026837306</t>
  </si>
  <si>
    <t>1906270031</t>
  </si>
  <si>
    <t>3100716614</t>
  </si>
  <si>
    <t>GLOSA INICIAL GL-134753142716</t>
  </si>
  <si>
    <t>1907226467</t>
  </si>
  <si>
    <t>3100714469</t>
  </si>
  <si>
    <t>GLOSA INICIAL GL-255555564733229</t>
  </si>
  <si>
    <t>1906745188</t>
  </si>
  <si>
    <t>3091440924</t>
  </si>
  <si>
    <t>GLOSA INICIAL GL-08765432783528</t>
  </si>
  <si>
    <t>1906639667</t>
  </si>
  <si>
    <t>1908245058</t>
  </si>
  <si>
    <t>2110811361</t>
  </si>
  <si>
    <t>GLOSA INICIAL GL-155555562531626</t>
  </si>
  <si>
    <t>1906257905</t>
  </si>
  <si>
    <t>15-ccuervo Eurek</t>
  </si>
  <si>
    <t>GLOSA INICIAL GL-08765432783527</t>
  </si>
  <si>
    <t>1906639664</t>
  </si>
  <si>
    <t>GLOSA INICIAL GL-08765432783529</t>
  </si>
  <si>
    <t>1906639669</t>
  </si>
  <si>
    <t>20180918</t>
  </si>
  <si>
    <t>MPS SEP/18 45219</t>
  </si>
  <si>
    <t>2000048612</t>
  </si>
  <si>
    <t>MPS SEPT/2018 OP45219</t>
  </si>
  <si>
    <t>3160747909</t>
  </si>
  <si>
    <t>47980380002 SEBASTIAN  VILLAREAL RODRIGUEZ</t>
  </si>
  <si>
    <t>1900509375</t>
  </si>
  <si>
    <t>47189214163 NICOLAS  TOLOZA PEINADO</t>
  </si>
  <si>
    <t>1900509383</t>
  </si>
  <si>
    <t>5020730387</t>
  </si>
  <si>
    <t>47001335821 ROSA MARIA PEREZ BOLAÑO</t>
  </si>
  <si>
    <t>1900682580</t>
  </si>
  <si>
    <t>5020734079</t>
  </si>
  <si>
    <t>47053334503 SARA ENER PARODIS OROZCO</t>
  </si>
  <si>
    <t>1900810743</t>
  </si>
  <si>
    <t>5020741524</t>
  </si>
  <si>
    <t>20001133295 MAGALIS ESTHER CANTILLO MOSO</t>
  </si>
  <si>
    <t>1900815200</t>
  </si>
  <si>
    <t>5031445697</t>
  </si>
  <si>
    <t>47288138408 FIORELLA  HERNANDEZ CAMACHO</t>
  </si>
  <si>
    <t>1900822000</t>
  </si>
  <si>
    <t>5031447027</t>
  </si>
  <si>
    <t>47288309894 CARLOS ELOY CASTAÑO TORRES</t>
  </si>
  <si>
    <t>1900821946</t>
  </si>
  <si>
    <t>1900821968</t>
  </si>
  <si>
    <t>6081120493</t>
  </si>
  <si>
    <t>47053369467 LAURA MARCELA CAMPO TORRES</t>
  </si>
  <si>
    <t>1900900918</t>
  </si>
  <si>
    <t>6081131542</t>
  </si>
  <si>
    <t>47268395406 YEISON SMIT IBAÑEZ BARRAZA</t>
  </si>
  <si>
    <t>1900900925</t>
  </si>
  <si>
    <t>magdalena</t>
  </si>
  <si>
    <t>MPS MAG SEPT_201</t>
  </si>
  <si>
    <t>EVENTO SEPT_2018</t>
  </si>
  <si>
    <t>2000045219</t>
  </si>
  <si>
    <t>10121039745</t>
  </si>
  <si>
    <t>2000074588</t>
  </si>
  <si>
    <t>47001344907 PEDRO ANTONIO VARGAS GARCIA</t>
  </si>
  <si>
    <t>1901589602</t>
  </si>
  <si>
    <t>47001239657 CRISTIAN JACOBO CASTRO GUEVARA</t>
  </si>
  <si>
    <t>1901589608</t>
  </si>
  <si>
    <t>11150926608</t>
  </si>
  <si>
    <t>1901743731</t>
  </si>
  <si>
    <t>MPS NOV/18 60434</t>
  </si>
  <si>
    <t>MPS NOV/2018 OP60434</t>
  </si>
  <si>
    <t>7130934286</t>
  </si>
  <si>
    <t>1901120796</t>
  </si>
  <si>
    <t>8131056765</t>
  </si>
  <si>
    <t>47692185514 MAIRENA PATRICIA MEJIA MORALES</t>
  </si>
  <si>
    <t>1901322799</t>
  </si>
  <si>
    <t>9101014884</t>
  </si>
  <si>
    <t>47675352235 DILAN YACETH DE LA ROSA JIMENEZ</t>
  </si>
  <si>
    <t>1901492500</t>
  </si>
  <si>
    <t>MPS MAG NOV_834</t>
  </si>
  <si>
    <t>EVENTO NOV_2018</t>
  </si>
  <si>
    <t>2000060434</t>
  </si>
  <si>
    <t>12100738291</t>
  </si>
  <si>
    <t>2000074589</t>
  </si>
  <si>
    <t>47001185822 ALEJANDRO  GARAVITO HERRERA</t>
  </si>
  <si>
    <t>1901901289</t>
  </si>
  <si>
    <t>47675393371 ANDRES JULIAN JOVEN JIMENEZ</t>
  </si>
  <si>
    <t>1901901277</t>
  </si>
  <si>
    <t>4700105839004 ROBINSON  QUINTERO BLANCO</t>
  </si>
  <si>
    <t>1901901280</t>
  </si>
  <si>
    <t>SALDO 47288210347 LUZ NEILA LARA CRESPO</t>
  </si>
  <si>
    <t>MPS DIC/18 66534</t>
  </si>
  <si>
    <t>MPS DIC/2018 OP66534</t>
  </si>
  <si>
    <t>MPS MAG</t>
  </si>
  <si>
    <t>EVENTO DIC_2018</t>
  </si>
  <si>
    <t>2000066534</t>
  </si>
  <si>
    <t>10121035505</t>
  </si>
  <si>
    <t>2000077015</t>
  </si>
  <si>
    <t>70265190098 JOSE DOMINGO ALMANZA ZAMBRANO</t>
  </si>
  <si>
    <t>1901516480</t>
  </si>
  <si>
    <t>11150924898</t>
  </si>
  <si>
    <t>1901646585</t>
  </si>
  <si>
    <t>12100746144</t>
  </si>
  <si>
    <t>70429192910 MAITE  ROMERO BALDOVINO</t>
  </si>
  <si>
    <t>1901808002</t>
  </si>
  <si>
    <t>SALD FACTHSRF0003498892</t>
  </si>
  <si>
    <t>2071611621</t>
  </si>
  <si>
    <t>13001390411 ABRAHAM JOSE JULIO LOPEZ</t>
  </si>
  <si>
    <t>1900308292</t>
  </si>
  <si>
    <t>13-ycarreazo Eurek</t>
  </si>
  <si>
    <t>2081225986</t>
  </si>
  <si>
    <t>76001055527 CARLOS RAMOS PIEDRAHITA</t>
  </si>
  <si>
    <t>1900529671</t>
  </si>
  <si>
    <t>2161649449</t>
  </si>
  <si>
    <t>08001209237 MILENA PATRICIA PACHECO GRAU</t>
  </si>
  <si>
    <t>1900296005</t>
  </si>
  <si>
    <t>2191039202</t>
  </si>
  <si>
    <t>70001106394 ISAAC ALBERTO FLOREZ JIMENEZ</t>
  </si>
  <si>
    <t>1900319909</t>
  </si>
  <si>
    <t>23001149477 ELIAS ALEXANDER LONDOAO TAPIAS</t>
  </si>
  <si>
    <t>3201026338</t>
  </si>
  <si>
    <t>05495452773 CARLOS ALBERTO MARQUEZ LOPEZ</t>
  </si>
  <si>
    <t>1900475405</t>
  </si>
  <si>
    <t>3201641932</t>
  </si>
  <si>
    <t>13001352680 ADRIAN DE JESUS PATERNINA POLO</t>
  </si>
  <si>
    <t>1900521534</t>
  </si>
  <si>
    <t>13001027181 OLGA MARINA REYES JULIO</t>
  </si>
  <si>
    <t>1900521542</t>
  </si>
  <si>
    <t>13430437115 LUZ DEL SOL CORTINES GUZMAN</t>
  </si>
  <si>
    <t>1900521549</t>
  </si>
  <si>
    <t>4161131162</t>
  </si>
  <si>
    <t>70771191719 LUZ MILAGRO CORREA VEGA</t>
  </si>
  <si>
    <t>1900586501</t>
  </si>
  <si>
    <t>70-ylambrano Eurek</t>
  </si>
  <si>
    <t>70713152338 ASTRID CAROLINA RICARDO BELLO</t>
  </si>
  <si>
    <t>1900586537</t>
  </si>
  <si>
    <t>6081139605</t>
  </si>
  <si>
    <t>70001138966 LUIS CARLOS MEJIA NAVARRO</t>
  </si>
  <si>
    <t>1900824797</t>
  </si>
  <si>
    <t>1900824800</t>
  </si>
  <si>
    <t>MPS SUC NOV_835</t>
  </si>
  <si>
    <t>2000060435</t>
  </si>
  <si>
    <t>12100807048</t>
  </si>
  <si>
    <t>2000077255</t>
  </si>
  <si>
    <t>COMPENSACIÓN HSRF0003646076 PAGO ENE 2019</t>
  </si>
  <si>
    <t>1901840614</t>
  </si>
  <si>
    <t>20190123</t>
  </si>
  <si>
    <t>MPS VAL ENE 2019</t>
  </si>
  <si>
    <t>COMP MPS VAL ENE 2019</t>
  </si>
  <si>
    <t>5020945938</t>
  </si>
  <si>
    <t>76109563702 MYCHAEL JONATHAN CASTRO SAA</t>
  </si>
  <si>
    <t>1900842953</t>
  </si>
  <si>
    <t>76-acabrera Eurek</t>
  </si>
  <si>
    <t>76233295772 JELEN BURGOS BURGOS</t>
  </si>
  <si>
    <t>1900842961</t>
  </si>
  <si>
    <t>6081155691</t>
  </si>
  <si>
    <t>76233295772 JELEN SOFIA BURGOS BURGOS</t>
  </si>
  <si>
    <t>1900974070</t>
  </si>
  <si>
    <t>76-narboleda Eurek</t>
  </si>
  <si>
    <t>8131050272</t>
  </si>
  <si>
    <t>76364545518 MARIELA SUAREZ FERNANDEZ</t>
  </si>
  <si>
    <t>1901247170</t>
  </si>
  <si>
    <t>76-sarcila Eurek</t>
  </si>
  <si>
    <t>76054630910 JHON MUÑOZ MONA</t>
  </si>
  <si>
    <t>1901247181</t>
  </si>
  <si>
    <t>76622071303 MARIA POSSO VARELA</t>
  </si>
  <si>
    <t>1901247191</t>
  </si>
  <si>
    <t>9101016320</t>
  </si>
  <si>
    <t>76364636473 DOLLY YANETH MEZU SALINAS</t>
  </si>
  <si>
    <t>1901413966</t>
  </si>
  <si>
    <t>valle</t>
  </si>
  <si>
    <t>MPS VAL-314</t>
  </si>
  <si>
    <t>EVENTO ENE_2019</t>
  </si>
  <si>
    <t>2000075817</t>
  </si>
  <si>
    <t>MPS BOL-142</t>
  </si>
  <si>
    <t>2000080259</t>
  </si>
  <si>
    <t>6081122540</t>
  </si>
  <si>
    <t>13001307441 CLAUDIA PATRICIA MUÑOZ VARGAS</t>
  </si>
  <si>
    <t>1901048920</t>
  </si>
  <si>
    <t>13-amarquez Eurek</t>
  </si>
  <si>
    <t>6081135072</t>
  </si>
  <si>
    <t>1901048915</t>
  </si>
  <si>
    <t>1901048917</t>
  </si>
  <si>
    <t>6081147154</t>
  </si>
  <si>
    <t>13001017629 ALEJANDRA PAOLA MARTINEZ SEGURA</t>
  </si>
  <si>
    <t>1901048914</t>
  </si>
  <si>
    <t>6081149165</t>
  </si>
  <si>
    <t>13001360813 NEVERSON  BERRIO MUÑOZ</t>
  </si>
  <si>
    <t>1901049219</t>
  </si>
  <si>
    <t>7130935073</t>
  </si>
  <si>
    <t>13673424201 ESTEBAN JOSE ORTIZ GUZMAN</t>
  </si>
  <si>
    <t>1901217067</t>
  </si>
  <si>
    <t>13001184609 MANUEL GREGORIO ROJAS BURGOS</t>
  </si>
  <si>
    <t>1901291592</t>
  </si>
  <si>
    <t>ABONO</t>
  </si>
  <si>
    <t>bolivar</t>
  </si>
  <si>
    <t>2000075645</t>
  </si>
  <si>
    <t>20190131</t>
  </si>
  <si>
    <t>PAGO MPS ENE 19</t>
  </si>
  <si>
    <t>2000081355</t>
  </si>
  <si>
    <t>4040827944</t>
  </si>
  <si>
    <t>68307094390 DIEGO ECHEVERRIA CARDENAS</t>
  </si>
  <si>
    <t>1900680356</t>
  </si>
  <si>
    <t>6081130048</t>
  </si>
  <si>
    <t>68307379965 LAURA LUCIA CARO GELVEZ</t>
  </si>
  <si>
    <t>1901079861</t>
  </si>
  <si>
    <t>7130932648</t>
  </si>
  <si>
    <t>68264389810 HERNANDO  PICO TABARES</t>
  </si>
  <si>
    <t>1901204200</t>
  </si>
  <si>
    <t>68-jhrodriguez Eurek</t>
  </si>
  <si>
    <t>68264087833 JUAN ALBERTO PICO LADINO</t>
  </si>
  <si>
    <t>1901204212</t>
  </si>
  <si>
    <t>68190002684 JOSE  BELTRAN PEREZ</t>
  </si>
  <si>
    <t>1901204232</t>
  </si>
  <si>
    <t>7130942123</t>
  </si>
  <si>
    <t>68572000907 GLORIA GAMBOA</t>
  </si>
  <si>
    <t>1901181854</t>
  </si>
  <si>
    <t>1901181859</t>
  </si>
  <si>
    <t>68217071269 MARIA MARGARITA GOMEZ JAIMES</t>
  </si>
  <si>
    <t>68229362108 MARIA OLIVA DIAZ CHACON</t>
  </si>
  <si>
    <t>1901496520</t>
  </si>
  <si>
    <t>ABONO EVENTO ENE 2019</t>
  </si>
  <si>
    <t>santander</t>
  </si>
  <si>
    <t>MPS SAN-277</t>
  </si>
  <si>
    <t>2000075780</t>
  </si>
  <si>
    <t>10121044367</t>
  </si>
  <si>
    <t>2000081361</t>
  </si>
  <si>
    <t>08137416900 ANA PAOLA SARABIA PAEZ</t>
  </si>
  <si>
    <t>1901622809</t>
  </si>
  <si>
    <t>1900537032</t>
  </si>
  <si>
    <t>3211434793</t>
  </si>
  <si>
    <t>08001070232 YAIRA ALEJANDRA MARRIAGA CANTILLO</t>
  </si>
  <si>
    <t>1900449159</t>
  </si>
  <si>
    <t>6081123391</t>
  </si>
  <si>
    <t>08001354055 VERONICA MARIA CRESPO MERCADO</t>
  </si>
  <si>
    <t>1900927393</t>
  </si>
  <si>
    <t>1900927401</t>
  </si>
  <si>
    <t>6081142383</t>
  </si>
  <si>
    <t>08141501754 KEINER JOSE DE LOS REYES CRUZ</t>
  </si>
  <si>
    <t>1900927120</t>
  </si>
  <si>
    <t>9101015013</t>
  </si>
  <si>
    <t>1901450594</t>
  </si>
  <si>
    <t>atlantico</t>
  </si>
  <si>
    <t>MPS ATL-117</t>
  </si>
  <si>
    <t>2000075620</t>
  </si>
  <si>
    <t>COMPENSACION MPS ATL-117 ENE_19</t>
  </si>
  <si>
    <t>COMPENSACION MPS ATL-117</t>
  </si>
  <si>
    <t>12100744917</t>
  </si>
  <si>
    <t>2000082185</t>
  </si>
  <si>
    <t>15135074894 POLIDORO  CARVAJAL LEGUIZAMO</t>
  </si>
  <si>
    <t>1901928101</t>
  </si>
  <si>
    <t>MPS BOY-153</t>
  </si>
  <si>
    <t>boyaca</t>
  </si>
  <si>
    <t>2000075656</t>
  </si>
  <si>
    <t>12100803908</t>
  </si>
  <si>
    <t>2000085954</t>
  </si>
  <si>
    <t>54001036523 BENY TUIRAN MANJARRES</t>
  </si>
  <si>
    <t>1901825950</t>
  </si>
  <si>
    <t>COMPENSACIÓN ENE/19 NORTE DE SANTANDER</t>
  </si>
  <si>
    <t>COMPENSACIÓN ENE/19</t>
  </si>
  <si>
    <t>norte de santander</t>
  </si>
  <si>
    <t>43406566 NOR-259</t>
  </si>
  <si>
    <t>2000080533</t>
  </si>
  <si>
    <t>12100745557</t>
  </si>
  <si>
    <t>2000094088</t>
  </si>
  <si>
    <t>20001320683 NURIS MARINA DE AGUAS MONTERO</t>
  </si>
  <si>
    <t>1901847546</t>
  </si>
  <si>
    <t>12100811843</t>
  </si>
  <si>
    <t>1901922852</t>
  </si>
  <si>
    <t>cesar</t>
  </si>
  <si>
    <t>43351586 CES-183</t>
  </si>
  <si>
    <t>2000080457</t>
  </si>
  <si>
    <t>2000135698</t>
  </si>
  <si>
    <t>ABONO FTRA HSRF0003498951 . HOSPITAL SAN RAFAEL DE</t>
  </si>
  <si>
    <t>COMPENSACION PAGO EVENTO  MAYO  2019</t>
  </si>
  <si>
    <t>PAGO EVENTO MAYO  2019</t>
  </si>
  <si>
    <t>antioquia</t>
  </si>
  <si>
    <t>MPS ANT 720</t>
  </si>
  <si>
    <t>EVENTO MAY_2019</t>
  </si>
  <si>
    <t>2000124860</t>
  </si>
  <si>
    <t>20190528</t>
  </si>
  <si>
    <t>MPS BOL 721</t>
  </si>
  <si>
    <t>2000137710</t>
  </si>
  <si>
    <t>4151145199</t>
  </si>
  <si>
    <t>13001351308 JOSE ANDRES LOPEZ RODRIGUEZ</t>
  </si>
  <si>
    <t>1902595645</t>
  </si>
  <si>
    <t>2000124861</t>
  </si>
  <si>
    <t>MPS MAYO/2019</t>
  </si>
  <si>
    <t>2000148937</t>
  </si>
  <si>
    <t>MPS MAYO/2019 OP124863</t>
  </si>
  <si>
    <t>4151135238</t>
  </si>
  <si>
    <t>4726800306304 LUIS DAVID VALENCIA TORREGROSA</t>
  </si>
  <si>
    <t>1902597548</t>
  </si>
  <si>
    <t>47675288928 GREGORY YESID VILORIA FERREIRA</t>
  </si>
  <si>
    <t>1902597555</t>
  </si>
  <si>
    <t>47189377122 SARA ESTHER JIMENO GARCIA</t>
  </si>
  <si>
    <t>1902597561</t>
  </si>
  <si>
    <t>1902597851</t>
  </si>
  <si>
    <t>4151147789</t>
  </si>
  <si>
    <t>76109598004 DAISY JOHANA DURAN LARGACHA</t>
  </si>
  <si>
    <t>1902597417</t>
  </si>
  <si>
    <t>1902597428</t>
  </si>
  <si>
    <t>47268162641 SEBASTIAN ANDRES HERNANDEZ GUTIERREZ</t>
  </si>
  <si>
    <t>1902597435</t>
  </si>
  <si>
    <t>MPS MAG 723</t>
  </si>
  <si>
    <t>2000124863</t>
  </si>
  <si>
    <t>2000152009</t>
  </si>
  <si>
    <t>ABONO FACT HSRF0003701393 47288106395 KARINA MARIA</t>
  </si>
  <si>
    <t>MPS DIC/2018</t>
  </si>
  <si>
    <t>MPS DICIEMBR/2019 OP74589</t>
  </si>
  <si>
    <t>MPS DICIEMBR/2018 OP74589</t>
  </si>
  <si>
    <t>SALDO EVENTO DIC_2018</t>
  </si>
  <si>
    <t>2000152010</t>
  </si>
  <si>
    <t>PORTAL ENE/2019</t>
  </si>
  <si>
    <t>PORTAL ENE/2019 OP80508</t>
  </si>
  <si>
    <t>47001195666 HUBERT ESTEVEN BONILLA VALENCIA</t>
  </si>
  <si>
    <t>1902215643</t>
  </si>
  <si>
    <t>SALDO FACT HSRF0003701393 47288106395 KARINA MARIA</t>
  </si>
  <si>
    <t>43351666 MAG-234</t>
  </si>
  <si>
    <t>2000080508</t>
  </si>
  <si>
    <t>2000166190</t>
  </si>
  <si>
    <t>68229265635 MARIA PAULA GALINDO CORAL</t>
  </si>
  <si>
    <t>1901663011</t>
  </si>
  <si>
    <t>ABONO COMP PAGO JUL 2019</t>
  </si>
  <si>
    <t>20190716</t>
  </si>
  <si>
    <t>PAGO MPS JUL 19</t>
  </si>
  <si>
    <t>68322367618 DOMINIK SANTIAGO SIACHOQUE PEREIRA</t>
  </si>
  <si>
    <t>9101042656</t>
  </si>
  <si>
    <t>1901496635</t>
  </si>
  <si>
    <t>MPS SAN-593</t>
  </si>
  <si>
    <t>EVENTO JUL_2019</t>
  </si>
  <si>
    <t>2000156174</t>
  </si>
  <si>
    <t>2000167973</t>
  </si>
  <si>
    <t>ABONO FACTURA HSRF0003448208 E.S.E. HOSPITAL SAN R</t>
  </si>
  <si>
    <t>COMPENSACION PAGO EVENTO JULIO 2019</t>
  </si>
  <si>
    <t>PAGO EVENTO JULIO 2019</t>
  </si>
  <si>
    <t>SALDO FTRA HSRF0003498951 . HOSPITAL SAN RAFAEL DE</t>
  </si>
  <si>
    <t>MPS ANT-591</t>
  </si>
  <si>
    <t>2000156172</t>
  </si>
  <si>
    <t>MPS VAL AGO 2019</t>
  </si>
  <si>
    <t>2000171687</t>
  </si>
  <si>
    <t>COMP MPS VAL AGO 2019</t>
  </si>
  <si>
    <t>7150856005</t>
  </si>
  <si>
    <t>76109423460 MIRIAN ALICIA DURAN LARGACHA</t>
  </si>
  <si>
    <t>1902996126</t>
  </si>
  <si>
    <t>76001650902 NELSON DE JESUS ARANZAZU LOPEZ</t>
  </si>
  <si>
    <t>1902996130</t>
  </si>
  <si>
    <t>7150921633</t>
  </si>
  <si>
    <t>HSRF3775270</t>
  </si>
  <si>
    <t>76001179013 ANA ARANGO MUÑOZ</t>
  </si>
  <si>
    <t>1903003444</t>
  </si>
  <si>
    <t>MPS VAL-459</t>
  </si>
  <si>
    <t>EVENTO AGO_2019</t>
  </si>
  <si>
    <t>2000170413</t>
  </si>
  <si>
    <t>2000172107</t>
  </si>
  <si>
    <t>MPS JULIO/2019</t>
  </si>
  <si>
    <t>MPS JULIO/2019 OP156173</t>
  </si>
  <si>
    <t>2111137584</t>
  </si>
  <si>
    <t>47189399647 MISAHEL DE JESUS ALMARALES SANJUAN</t>
  </si>
  <si>
    <t>1902217231</t>
  </si>
  <si>
    <t>1902217235</t>
  </si>
  <si>
    <t>47001307898 ERNESTO ENRIQUE DE LA ROSA ALTAMAR</t>
  </si>
  <si>
    <t>1902217239</t>
  </si>
  <si>
    <t>1902217244</t>
  </si>
  <si>
    <t>47001073325 VERONICA MARIA CARRANZA SPINIYU</t>
  </si>
  <si>
    <t>1902215633</t>
  </si>
  <si>
    <t>SALDO FACT HSRF0003695354 47001162213 DAIRIS ESTHE</t>
  </si>
  <si>
    <t>MPS MAG-592</t>
  </si>
  <si>
    <t>2000156173</t>
  </si>
  <si>
    <t>MPS BOL-450</t>
  </si>
  <si>
    <t>2000182452</t>
  </si>
  <si>
    <t>1901291585</t>
  </si>
  <si>
    <t>13001052272 YINESSA  TORDECILLA MARTINEZ</t>
  </si>
  <si>
    <t>1901578020</t>
  </si>
  <si>
    <t>2000170404</t>
  </si>
  <si>
    <t>2000182499</t>
  </si>
  <si>
    <t>SALDO COMP PAGO JUL 2019</t>
  </si>
  <si>
    <t>1901942035</t>
  </si>
  <si>
    <t>PAGO MPS AGO 19</t>
  </si>
  <si>
    <t>68217090349 PEDRO ELIAS ARDILA RIVERA</t>
  </si>
  <si>
    <t>1902325077</t>
  </si>
  <si>
    <t>68001123607 LUIS JESUS MARIN MELGAREJO</t>
  </si>
  <si>
    <t>1902325092</t>
  </si>
  <si>
    <t>ABONO COMP PAGO AGO 2019</t>
  </si>
  <si>
    <t>2111152245</t>
  </si>
  <si>
    <t>68020395315 JEILI LUIANA GETIAL TRIANA</t>
  </si>
  <si>
    <t>1902228907</t>
  </si>
  <si>
    <t>MPS SAN-457</t>
  </si>
  <si>
    <t>2000170411</t>
  </si>
  <si>
    <t>2000183166</t>
  </si>
  <si>
    <t>08001317371 MARYURIS ESTHER LINDO MARQUEZ</t>
  </si>
  <si>
    <t>1901895727</t>
  </si>
  <si>
    <t>08137520281 ALAN RODRIGO RODRIGUEZ SARABIA</t>
  </si>
  <si>
    <t>1901895734</t>
  </si>
  <si>
    <t>08436011439 YUSBLEIDYS MARIA TORRENEGRA OYOLA</t>
  </si>
  <si>
    <t>1902192185</t>
  </si>
  <si>
    <t>abono - 08436258321 DARWIS JOSE ORTIZ GUERRERO</t>
  </si>
  <si>
    <t>MPS ATL-449</t>
  </si>
  <si>
    <t>2000170403</t>
  </si>
  <si>
    <t>COMPENSACION MPS ATL-449- EVENTO AGO_2019</t>
  </si>
  <si>
    <t>COMPENSACION MPS ATL-449</t>
  </si>
  <si>
    <t>12100758058</t>
  </si>
  <si>
    <t>2000183334</t>
  </si>
  <si>
    <t>05250495536 MARYI ALEJANDRA ALVIS JULIO</t>
  </si>
  <si>
    <t>1901929379</t>
  </si>
  <si>
    <t>94-earias_94 Eurek</t>
  </si>
  <si>
    <t>ABONO FACTURA HSRF0003618279 HSRF0003618279</t>
  </si>
  <si>
    <t>COMPENSACION PAGO EVENTO AGOSTO 2019</t>
  </si>
  <si>
    <t>PAGO EVENTO AGOSTO 2019</t>
  </si>
  <si>
    <t>6121402907</t>
  </si>
  <si>
    <t>05887234793 JOHN ALEXANDER MANOSALBA</t>
  </si>
  <si>
    <t>1900966575</t>
  </si>
  <si>
    <t>8131054058</t>
  </si>
  <si>
    <t>05890512519 MARIANGEL  RESTREPO HINCAPIE</t>
  </si>
  <si>
    <t>1901304778</t>
  </si>
  <si>
    <t>MPS ANT-447</t>
  </si>
  <si>
    <t>2000170401</t>
  </si>
  <si>
    <t>20190827</t>
  </si>
  <si>
    <t>2000184147</t>
  </si>
  <si>
    <t>COMPENSACIÓN EVENTO AGO/19 NORTE DE SANTANDER</t>
  </si>
  <si>
    <t>COMPENSACION AGOSTO 2019</t>
  </si>
  <si>
    <t>7150853477</t>
  </si>
  <si>
    <t>54001302821 MARTHA VARGAS VERA</t>
  </si>
  <si>
    <t>1903074371</t>
  </si>
  <si>
    <t>MPS NOR-456</t>
  </si>
  <si>
    <t>2000170410</t>
  </si>
  <si>
    <t>NORTE DE SANTANDER</t>
  </si>
  <si>
    <t>20190829</t>
  </si>
  <si>
    <t>MPS CUN-454</t>
  </si>
  <si>
    <t>2000184399</t>
  </si>
  <si>
    <t>25426122540 SANTOS  ESPINOSA MALAVER</t>
  </si>
  <si>
    <t>1903047462</t>
  </si>
  <si>
    <t>25754125248 JERLY DAYANA CASTELLANOS CALDERON</t>
  </si>
  <si>
    <t>1903047472</t>
  </si>
  <si>
    <t>25754132304 YURNIS PAOLA SAENZ MARTINEZ</t>
  </si>
  <si>
    <t>25754130297 JESSICA ANDREA GARCIA PEREZ</t>
  </si>
  <si>
    <t>1903051190</t>
  </si>
  <si>
    <t>cundinamarca</t>
  </si>
  <si>
    <t>2000170408</t>
  </si>
  <si>
    <t>20190830</t>
  </si>
  <si>
    <t>MPS AGOSTO/2019</t>
  </si>
  <si>
    <t>2000184786</t>
  </si>
  <si>
    <t>MPS AGOSTO/2019 OP170409</t>
  </si>
  <si>
    <t>5090840593</t>
  </si>
  <si>
    <t>4728801262502 ANGELICA MARIA CONTRERAS CAICEDO</t>
  </si>
  <si>
    <t>1902751516</t>
  </si>
  <si>
    <t>47001247811 ELIS JOHANA AROCA CORONADO</t>
  </si>
  <si>
    <t>1902751520</t>
  </si>
  <si>
    <t>7150846182</t>
  </si>
  <si>
    <t>47258403172 KAROLL MARCELA VARON DE LA CRUZ</t>
  </si>
  <si>
    <t>1903065736</t>
  </si>
  <si>
    <t>47001360305 JESUS ADRIAN VILLALBA ROJAS</t>
  </si>
  <si>
    <t>1903065744</t>
  </si>
  <si>
    <t>HSRF3766453</t>
  </si>
  <si>
    <t>47605088614 MARIA JOSE VILLAMIL VARGAS</t>
  </si>
  <si>
    <t>1903020202</t>
  </si>
  <si>
    <t>HSRF3773216</t>
  </si>
  <si>
    <t>47170346649 JAMES DAVID MOLINA MEJIA</t>
  </si>
  <si>
    <t>1903020220</t>
  </si>
  <si>
    <t>47675081235 KERLYN JOHANA BOLAÑO MEJIA</t>
  </si>
  <si>
    <t>SALDO FACT HSRF3759059 4726800202202 ELIS YOHANA M</t>
  </si>
  <si>
    <t>47605440487 DANIEL JOSE CONTRERAS VILLAMIL</t>
  </si>
  <si>
    <t>7150952039</t>
  </si>
  <si>
    <t>47288309687 LILIA MILETH RETAMOZO PEREZ</t>
  </si>
  <si>
    <t>1902971254</t>
  </si>
  <si>
    <t>47001121778 NUBIA ESTER RIOS BARRIOS</t>
  </si>
  <si>
    <t>1902971278</t>
  </si>
  <si>
    <t>47001408915 ARNOVIS  CATALAN HERRERA</t>
  </si>
  <si>
    <t>1902971284</t>
  </si>
  <si>
    <t>MPS MAG-455</t>
  </si>
  <si>
    <t>2000170409</t>
  </si>
  <si>
    <t>2000185967</t>
  </si>
  <si>
    <t>5020735664</t>
  </si>
  <si>
    <t>20001350550 YULIETH  PARADA GARCIA</t>
  </si>
  <si>
    <t>1900777539</t>
  </si>
  <si>
    <t>5021357561</t>
  </si>
  <si>
    <t>20400339570 INGRIS YOHANNA RODRIGUEZ DE LAS AGUAS</t>
  </si>
  <si>
    <t>1900777527</t>
  </si>
  <si>
    <t>5090845653</t>
  </si>
  <si>
    <t>20013892358 DANIELA  ANGULO CUPITRA</t>
  </si>
  <si>
    <t>1902726418</t>
  </si>
  <si>
    <t>9101013996</t>
  </si>
  <si>
    <t>20228357303 JUDITH ESTHER DE ANGEL NUÑEZ</t>
  </si>
  <si>
    <t>1901459610</t>
  </si>
  <si>
    <t>MPS CES-452</t>
  </si>
  <si>
    <t>2000170406</t>
  </si>
  <si>
    <t>20190909</t>
  </si>
  <si>
    <t>2000185985</t>
  </si>
  <si>
    <t>PAGO AGOSTO 2019</t>
  </si>
  <si>
    <t>7150900024</t>
  </si>
  <si>
    <t>23580196253 WENDY PAOLA TABORDA MUÑETON</t>
  </si>
  <si>
    <t>1903052261</t>
  </si>
  <si>
    <t>cordoba</t>
  </si>
  <si>
    <t>MPS COR-453</t>
  </si>
  <si>
    <t>2000170407</t>
  </si>
  <si>
    <t>2000189019</t>
  </si>
  <si>
    <t>MPS BOY 722</t>
  </si>
  <si>
    <t>2000124862</t>
  </si>
  <si>
    <t>2000189021</t>
  </si>
  <si>
    <t>SALDO FE HSRF3772177 15466106510 MAYERLY CATHERINE</t>
  </si>
  <si>
    <t>7150944627</t>
  </si>
  <si>
    <t>1903197489</t>
  </si>
  <si>
    <t>MPS BOY-451</t>
  </si>
  <si>
    <t>2000170405</t>
  </si>
  <si>
    <t>LEG PAGO EVENTO</t>
  </si>
  <si>
    <t>2000189089</t>
  </si>
  <si>
    <t>LEG PAGO EVEN AGOS-19</t>
  </si>
  <si>
    <t>7150843280</t>
  </si>
  <si>
    <t>70713049595 ETY LUZ VALIENTE BERRIO</t>
  </si>
  <si>
    <t>1902989525</t>
  </si>
  <si>
    <t>7150919205</t>
  </si>
  <si>
    <t>HSRF3763308</t>
  </si>
  <si>
    <t>70001110799 JOSE GABRIEL HERRERA TUIRAN</t>
  </si>
  <si>
    <t>1902989577</t>
  </si>
  <si>
    <t>MPS SUC-458</t>
  </si>
  <si>
    <t>2000170412</t>
  </si>
  <si>
    <t>20190930</t>
  </si>
  <si>
    <t>PORTAL SEPT/2019</t>
  </si>
  <si>
    <t>2000204260</t>
  </si>
  <si>
    <t>PORTAL SEPT/2019 OP199004</t>
  </si>
  <si>
    <t>1903179451</t>
  </si>
  <si>
    <t>1903179456</t>
  </si>
  <si>
    <t>1903179459</t>
  </si>
  <si>
    <t>47288430236 ESTEBAN DAVID LARA VALENCIA</t>
  </si>
  <si>
    <t>1903179466</t>
  </si>
  <si>
    <t>47288431129 YICETH MARGARITA VALENCIA RODRIGUEZ</t>
  </si>
  <si>
    <t>1903179470</t>
  </si>
  <si>
    <t>47288422499 EMMANUEL DAVID LARA VALENCIA</t>
  </si>
  <si>
    <t>1903179473</t>
  </si>
  <si>
    <t>56916105 MAG-105</t>
  </si>
  <si>
    <t>EVENTO SEP_2019</t>
  </si>
  <si>
    <t>2000199004</t>
  </si>
  <si>
    <t>2000204911</t>
  </si>
  <si>
    <t>abono-08675539629 EDWAR JOSE ESCORCIA HERRERA</t>
  </si>
  <si>
    <t>08436515760 SOBEIDA ISABEL OCAMPO MOYEDA</t>
  </si>
  <si>
    <t>1903128118</t>
  </si>
  <si>
    <t>56916105 ATL-102</t>
  </si>
  <si>
    <t>2000199001</t>
  </si>
  <si>
    <t>COMPENSACION 56916105 ATL-102-EVENTO SEP_2019</t>
  </si>
  <si>
    <t>COMPENSACION 56916105 ATL</t>
  </si>
  <si>
    <t>20191021</t>
  </si>
  <si>
    <t>56916105 BOL-103</t>
  </si>
  <si>
    <t>2000217121</t>
  </si>
  <si>
    <t>8081113113</t>
  </si>
  <si>
    <t>13001373716 NAYERLIS  CARMONA DIAZ</t>
  </si>
  <si>
    <t>1903231316</t>
  </si>
  <si>
    <t>2000199002</t>
  </si>
  <si>
    <t>MPS ARA-448</t>
  </si>
  <si>
    <t>2000218987</t>
  </si>
  <si>
    <t>7150848965</t>
  </si>
  <si>
    <t>68720001945 MARIA ISABEL CRUZ RUEDA</t>
  </si>
  <si>
    <t>1903143951</t>
  </si>
  <si>
    <t>arauca</t>
  </si>
  <si>
    <t>2000170402</t>
  </si>
  <si>
    <t>ARAUCA</t>
  </si>
  <si>
    <t>2000218988</t>
  </si>
  <si>
    <t>56916105 BOY-104</t>
  </si>
  <si>
    <t>4151146860</t>
  </si>
  <si>
    <t>54874360655 VICTOR ALFONZO MONSALVE OROZCO</t>
  </si>
  <si>
    <t>1902648997</t>
  </si>
  <si>
    <t>SALDO FE SB0000077086 15135000244 ANA JULIA BRAVO</t>
  </si>
  <si>
    <t>2000199003</t>
  </si>
  <si>
    <t>2000218990</t>
  </si>
  <si>
    <t>12100752733</t>
  </si>
  <si>
    <t>94001008387 GRACIELA AMIRA GOMEZ NEIRA</t>
  </si>
  <si>
    <t>1901929378</t>
  </si>
  <si>
    <t>SALDO HSRF0003646076 PAGO ENE 2019</t>
  </si>
  <si>
    <t>MPS GUA-190</t>
  </si>
  <si>
    <t>SALDO COMP PAGO AGO 2019</t>
  </si>
  <si>
    <t>saldo - 08436258321 DARWIS JOSE ORTIZ GUERRERO</t>
  </si>
  <si>
    <t>31309433260</t>
  </si>
  <si>
    <t>94001220508 JHON MARLON FERRER GONZALEZ</t>
  </si>
  <si>
    <t>1902376515</t>
  </si>
  <si>
    <t>6081128171</t>
  </si>
  <si>
    <t>94001243325 JOSE HERNANDO BUITRAGO</t>
  </si>
  <si>
    <t>1900936691</t>
  </si>
  <si>
    <t>guainia</t>
  </si>
  <si>
    <t>2000218991</t>
  </si>
  <si>
    <t>SALDO PEND X LEGALIZAR EVENTO AGO_2019 2000170408</t>
  </si>
  <si>
    <t>2000242431</t>
  </si>
  <si>
    <t>SALDO FE HSRF0003623602 54001297382 SEBASTIAN CAMI</t>
  </si>
  <si>
    <t>SALDO FE HSRF0003618279 05495412386 GLEIDIS  CUEVA</t>
  </si>
  <si>
    <t>SALDO FE HSRF0003650518 76001636019 CARLOS AREVALO</t>
  </si>
  <si>
    <t>76001483365 ROSAURA  CHAPEÑO QUILCUE</t>
  </si>
  <si>
    <t>1901843846</t>
  </si>
  <si>
    <t>76001636019 CARLOS ARMANDO AREVALO ACERO</t>
  </si>
  <si>
    <t>1901843851</t>
  </si>
  <si>
    <t>68895186335 LUIS AURELIO OLAVE CANO</t>
  </si>
  <si>
    <t>68217071269 MARIA GOMEZ JAIMES</t>
  </si>
  <si>
    <t>12100743235</t>
  </si>
  <si>
    <t>13001202785 JUAN DANIEL ESCAMILLA RUIZ</t>
  </si>
  <si>
    <t>1902077387</t>
  </si>
  <si>
    <t>12100757379</t>
  </si>
  <si>
    <t>23466136829 HOWARD JOSE HINESTROZA ROBLEDO</t>
  </si>
  <si>
    <t>1901867466</t>
  </si>
  <si>
    <t>54001297816 ALVARO MURCIA ZOLORSANO</t>
  </si>
  <si>
    <t>1901825953</t>
  </si>
  <si>
    <t>12100805602</t>
  </si>
  <si>
    <t>13001365671 OMAYRA  RODRIGUEZ BLANCO</t>
  </si>
  <si>
    <t>1902078078</t>
  </si>
  <si>
    <t>1902078082</t>
  </si>
  <si>
    <t>1902078097</t>
  </si>
  <si>
    <t>2111135669</t>
  </si>
  <si>
    <t>13001453121 KEINER ANDRES VIAÑA BARRIOS</t>
  </si>
  <si>
    <t>1902324716</t>
  </si>
  <si>
    <t>2111136990</t>
  </si>
  <si>
    <t>1902155698</t>
  </si>
  <si>
    <t>68368002188 YEIMI  BAREÑO ROJAS</t>
  </si>
  <si>
    <t>1902325086</t>
  </si>
  <si>
    <t>2111151286</t>
  </si>
  <si>
    <t>23466140306 EDELBERTO  CASTAÑO VANEGAS</t>
  </si>
  <si>
    <t>1902180722</t>
  </si>
  <si>
    <t>05250315825 LEYDIS MARGOTH VIDAL PICO</t>
  </si>
  <si>
    <t>2111210643</t>
  </si>
  <si>
    <t>1902176309</t>
  </si>
  <si>
    <t>3130920746</t>
  </si>
  <si>
    <t>05895328619 ADRIANA PAOLA GOMEZ RODRIGUEZ</t>
  </si>
  <si>
    <t>1902461089</t>
  </si>
  <si>
    <t>3130922030</t>
  </si>
  <si>
    <t>54001352759 BRAYAN PEREZ VARGAS</t>
  </si>
  <si>
    <t>1902385709</t>
  </si>
  <si>
    <t>3130922046</t>
  </si>
  <si>
    <t>54874360688 LUIS MONSALVE PINTO</t>
  </si>
  <si>
    <t>1902385679</t>
  </si>
  <si>
    <t>3130926834</t>
  </si>
  <si>
    <t>76001069382 MARIA AREVALO DE OBANDO</t>
  </si>
  <si>
    <t>1902373911</t>
  </si>
  <si>
    <t>3130939534</t>
  </si>
  <si>
    <t>76001024948 DEYBI ADRIAN PATAQUIVA ROMERO</t>
  </si>
  <si>
    <t>1902352277</t>
  </si>
  <si>
    <t>3130942375</t>
  </si>
  <si>
    <t>05040002868 CLAUDIA PATRICIA GUZMAN MUOOZ</t>
  </si>
  <si>
    <t>1902461091</t>
  </si>
  <si>
    <t>3131504456</t>
  </si>
  <si>
    <t>68217371834 CARMEN CECILIA RAVELO CACERES</t>
  </si>
  <si>
    <t>1902350437</t>
  </si>
  <si>
    <t>SALD PEND POR PAGAR FAC HSRF0003498892 eventoNOV18</t>
  </si>
  <si>
    <t>4151149141</t>
  </si>
  <si>
    <t>05790283892 VALERIA  GARCIA GUZMAN</t>
  </si>
  <si>
    <t>1902600358</t>
  </si>
  <si>
    <t>5031122691</t>
  </si>
  <si>
    <t>54261282798 INGRID ANGEL ZAPATA</t>
  </si>
  <si>
    <t>1900753613</t>
  </si>
  <si>
    <t>5090842806</t>
  </si>
  <si>
    <t>44430006446 JAVIER FERIA SOLANO</t>
  </si>
  <si>
    <t>1902680930</t>
  </si>
  <si>
    <t>54001275073 JHON FREDY PINILLA DUARTE</t>
  </si>
  <si>
    <t>1902680938</t>
  </si>
  <si>
    <t>5090843202</t>
  </si>
  <si>
    <t>05154443602 LUIS EMILIO MISAS JUANES</t>
  </si>
  <si>
    <t>1902694105</t>
  </si>
  <si>
    <t>5090844610</t>
  </si>
  <si>
    <t>68406394628 ALEXANDER RUEDA PEDRAZA</t>
  </si>
  <si>
    <t>1902830041</t>
  </si>
  <si>
    <t>6061131291</t>
  </si>
  <si>
    <t>HSRF3776765</t>
  </si>
  <si>
    <t>05790275306 JOHANA ANDREA JIMENEZ AREIZA</t>
  </si>
  <si>
    <t>1902965623</t>
  </si>
  <si>
    <t>68689114401 WILMAR YESID ARIAS MOLINA</t>
  </si>
  <si>
    <t>6081133194</t>
  </si>
  <si>
    <t>23001140873 LORIAN ELISA QUINTERO OROZCO</t>
  </si>
  <si>
    <t>1900945446</t>
  </si>
  <si>
    <t>7130936372</t>
  </si>
  <si>
    <t>54405398538 MAYLI AMBERLY MORA HENAO</t>
  </si>
  <si>
    <t>1901073833</t>
  </si>
  <si>
    <t>7130939273</t>
  </si>
  <si>
    <t>20001314382 LIDA ROSA ARIAS MIRANDA</t>
  </si>
  <si>
    <t>1901050668</t>
  </si>
  <si>
    <t>7130948449</t>
  </si>
  <si>
    <t>20001878091 ALEXANDER JESUS SANABRIA GUARATA</t>
  </si>
  <si>
    <t>1901061896</t>
  </si>
  <si>
    <t>68406394628 ALEXANDER  RUEDA PEDRAZA</t>
  </si>
  <si>
    <t>1903102056</t>
  </si>
  <si>
    <t>68001162288 NELLY ESTHER CAICEDO LOZANO</t>
  </si>
  <si>
    <t>1903102059</t>
  </si>
  <si>
    <t>68001405783 VIVIANA MARLENI ANATO HERNANDEZ</t>
  </si>
  <si>
    <t>1903102060</t>
  </si>
  <si>
    <t>7150855371</t>
  </si>
  <si>
    <t>08001053609 LUZ DARY TORO GARCIA</t>
  </si>
  <si>
    <t>1903128281</t>
  </si>
  <si>
    <t>20013886698 DILAN ANDRES CASTILLO ALTAMAR</t>
  </si>
  <si>
    <t>05154243131 MARTHA CECILIA SOLARTE BALDOVINO</t>
  </si>
  <si>
    <t>1903038346</t>
  </si>
  <si>
    <t>7150859184</t>
  </si>
  <si>
    <t>13006062129 DIANA PATRICIA GALVIS RODELO</t>
  </si>
  <si>
    <t>1903093417</t>
  </si>
  <si>
    <t>7150901509</t>
  </si>
  <si>
    <t>1903131956</t>
  </si>
  <si>
    <t>1903131964</t>
  </si>
  <si>
    <t>08560321593 KENIA  REALES MERCADO</t>
  </si>
  <si>
    <t>1901578009</t>
  </si>
  <si>
    <t>13001388692 OMAIRA  CRUZ DE DIAZ</t>
  </si>
  <si>
    <t>1901578012</t>
  </si>
  <si>
    <t>SALDO EVENTO ENE 2019</t>
  </si>
  <si>
    <t>9101021132</t>
  </si>
  <si>
    <t>13430070988 JOSE DAVID CORREA BARRETO</t>
  </si>
  <si>
    <t>1901577990</t>
  </si>
  <si>
    <t>GL-08229734771</t>
  </si>
  <si>
    <t>ACEPTA EPS GLOS FE HSRF0003488080 13/05/2019 C</t>
  </si>
  <si>
    <t>GL-4792388396129</t>
  </si>
  <si>
    <t>ACEPTA EPS GLOS FE HSRF0003716183 13/05/2019 C</t>
  </si>
  <si>
    <t>GL-6892338367492</t>
  </si>
  <si>
    <t>ACEPTA EPS GLOS FE HSRF0003589677 13/05/2019 C</t>
  </si>
  <si>
    <t>SALDO EVENTO AGO_2019</t>
  </si>
  <si>
    <t>SALDO POR COMPENSA</t>
  </si>
  <si>
    <t>SALDO POR COMPENSAR</t>
  </si>
  <si>
    <t>68362975 BOG-17</t>
  </si>
  <si>
    <t>2000303145</t>
  </si>
  <si>
    <t>SALDO FE HSRF0003684793 68368186634 DILAN BAREÑO R</t>
  </si>
  <si>
    <t>bogota</t>
  </si>
  <si>
    <t>TOTAL CARTERA CON CORTE 09.04.2020</t>
  </si>
  <si>
    <t>2000299876</t>
  </si>
  <si>
    <t>ABONO ACEPTA EPS GLOS FE HSRF0003788384 18/12/2019</t>
  </si>
  <si>
    <t>GL-15068339119</t>
  </si>
  <si>
    <t>ACEPTA EPS GLOS FE HSRF3772177 18/12/2019 C</t>
  </si>
  <si>
    <t>GL-2092293396197</t>
  </si>
  <si>
    <t>ACEPTA EPS GLOS FE HSRF0003750205 18/12/2019 C</t>
  </si>
  <si>
    <t>GL-25316314413</t>
  </si>
  <si>
    <t>ACEPTA EPS GLOS FE HSRF0003793638 18/12/2019 C</t>
  </si>
  <si>
    <t>GL-4792328315610</t>
  </si>
  <si>
    <t>ACEPTA EPS GLOS FE HSRF0003797749 18/12/2019 C</t>
  </si>
  <si>
    <t>GL-479279139092</t>
  </si>
  <si>
    <t>ACEPTA EPS GLOS FE HSRF3769111 18/12/2019 C</t>
  </si>
  <si>
    <t>20200605</t>
  </si>
  <si>
    <t>MPS CES-2374</t>
  </si>
  <si>
    <t>2000331783</t>
  </si>
  <si>
    <t>5061812187</t>
  </si>
  <si>
    <t>HSRF3954693</t>
  </si>
  <si>
    <t>20001261223 DURLEYS GULFO</t>
  </si>
  <si>
    <t>1904678464</t>
  </si>
  <si>
    <t>5071609290</t>
  </si>
  <si>
    <t>CP335977</t>
  </si>
  <si>
    <t>20001902038 KIARA PALENCIA</t>
  </si>
  <si>
    <t>1904678520</t>
  </si>
  <si>
    <t>5141331463</t>
  </si>
  <si>
    <t>HSRF3960043</t>
  </si>
  <si>
    <t>20001894104 VICTOR CAMACHO</t>
  </si>
  <si>
    <t>1904675502</t>
  </si>
  <si>
    <t>5141658476</t>
  </si>
  <si>
    <t>HSRF3957366</t>
  </si>
  <si>
    <t>1904675506</t>
  </si>
  <si>
    <t>EVENTO JUN_2020</t>
  </si>
  <si>
    <t>2000329885</t>
  </si>
  <si>
    <t>20200630</t>
  </si>
  <si>
    <t>2000337123</t>
  </si>
  <si>
    <t>COMPENSACION PAGO EVENTO JUNIO/2020</t>
  </si>
  <si>
    <t>PAGO EVENTO JUNIO/2020</t>
  </si>
  <si>
    <t>5061756668</t>
  </si>
  <si>
    <t>HSRF3947494</t>
  </si>
  <si>
    <t>ABONO FACTURA HSRF3947494 E.S.E. HOSPITAL SAN RAFA</t>
  </si>
  <si>
    <t>1904757641</t>
  </si>
  <si>
    <t>5061805598</t>
  </si>
  <si>
    <t>HSRF3952752</t>
  </si>
  <si>
    <t>70429039615 ANA ARREOLA</t>
  </si>
  <si>
    <t>1904775280</t>
  </si>
  <si>
    <t>MPS ANT-2369</t>
  </si>
  <si>
    <t>2000329880</t>
  </si>
  <si>
    <t>SALDO ACEPTA EPS GLOS FE HSRF0003788384 18/12/2019</t>
  </si>
  <si>
    <t>GL-682173393747</t>
  </si>
  <si>
    <t>ACEPTA EPS GLOS FE HSRF0003768117 18/12/2019 C</t>
  </si>
  <si>
    <t>MPS ANT-2141</t>
  </si>
  <si>
    <t>2000342440</t>
  </si>
  <si>
    <t>2000339782</t>
  </si>
  <si>
    <t>ZY</t>
  </si>
  <si>
    <t>MPS ATL-2142</t>
  </si>
  <si>
    <t>2000342441</t>
  </si>
  <si>
    <t>2000339783</t>
  </si>
  <si>
    <t>MPS BOL-2143</t>
  </si>
  <si>
    <t>2000342442</t>
  </si>
  <si>
    <t>2000339784</t>
  </si>
  <si>
    <t>MPS CES-2144</t>
  </si>
  <si>
    <t>2000342443</t>
  </si>
  <si>
    <t>2000339785</t>
  </si>
  <si>
    <t>MPS COR-2145</t>
  </si>
  <si>
    <t>2000342444</t>
  </si>
  <si>
    <t>2000339786</t>
  </si>
  <si>
    <t>MPS CUN-2146</t>
  </si>
  <si>
    <t>2000342445</t>
  </si>
  <si>
    <t>2000339787</t>
  </si>
  <si>
    <t>MPS MAG-2147</t>
  </si>
  <si>
    <t>2000342446</t>
  </si>
  <si>
    <t>2000339788</t>
  </si>
  <si>
    <t>MPS NOR-2148</t>
  </si>
  <si>
    <t>2000342447</t>
  </si>
  <si>
    <t>2000339789</t>
  </si>
  <si>
    <t>MPS SAN-2149</t>
  </si>
  <si>
    <t>2000342448</t>
  </si>
  <si>
    <t>2000339790</t>
  </si>
  <si>
    <t>20200601</t>
  </si>
  <si>
    <t>2000347113</t>
  </si>
  <si>
    <t>SALDO FACTURA HSRF3947494 E.S.E. HOSPITAL SAN RAFA</t>
  </si>
  <si>
    <t>HSRF3948985</t>
  </si>
  <si>
    <t>08001211495 DWINY ARIZA</t>
  </si>
  <si>
    <t>1904757642</t>
  </si>
  <si>
    <t>HSRF3959329</t>
  </si>
  <si>
    <t>05250514428 KAREN COGOLLO</t>
  </si>
  <si>
    <t>1904797587</t>
  </si>
  <si>
    <t>5141330402</t>
  </si>
  <si>
    <t>HSRF3958497</t>
  </si>
  <si>
    <t>08638555478 CAMILA DE LOS REYES</t>
  </si>
  <si>
    <t>1904784685</t>
  </si>
  <si>
    <t>MPS ATL-2370</t>
  </si>
  <si>
    <t>2000329881</t>
  </si>
  <si>
    <t>COMPENSACION EVENTO_JUN_2020</t>
  </si>
  <si>
    <t>COMPENSACION MPS ATL-2370</t>
  </si>
  <si>
    <t>MPS CUN-2375</t>
  </si>
  <si>
    <t>2000348640</t>
  </si>
  <si>
    <t>5071607806</t>
  </si>
  <si>
    <t>HSRF3946506</t>
  </si>
  <si>
    <t>1904821576</t>
  </si>
  <si>
    <t>15-jecastillo Eurek</t>
  </si>
  <si>
    <t>HSRF3951496</t>
  </si>
  <si>
    <t>25754142769 YENNY CHAVEZ</t>
  </si>
  <si>
    <t>1904821583</t>
  </si>
  <si>
    <t>5071638800</t>
  </si>
  <si>
    <t>HSRF3953440</t>
  </si>
  <si>
    <t>1904821605</t>
  </si>
  <si>
    <t>ABONO 25754142769 YENNY CHAVEZ</t>
  </si>
  <si>
    <t>1904821610</t>
  </si>
  <si>
    <t>2000329886</t>
  </si>
  <si>
    <t>MPS BOG-2371</t>
  </si>
  <si>
    <t>2000348641</t>
  </si>
  <si>
    <t>CM18458</t>
  </si>
  <si>
    <t>1904811555</t>
  </si>
  <si>
    <t>CM19411</t>
  </si>
  <si>
    <t>1904811560</t>
  </si>
  <si>
    <t>CM19412</t>
  </si>
  <si>
    <t>1904811561</t>
  </si>
  <si>
    <t>HSRF3944461</t>
  </si>
  <si>
    <t>1904811643</t>
  </si>
  <si>
    <t>HSRF3949355</t>
  </si>
  <si>
    <t>1904811649</t>
  </si>
  <si>
    <t>HSRF3953638</t>
  </si>
  <si>
    <t>1904811651</t>
  </si>
  <si>
    <t>SB86021</t>
  </si>
  <si>
    <t>70708023185 JHON BALDOVINO</t>
  </si>
  <si>
    <t>1904821590</t>
  </si>
  <si>
    <t>SALDO 25754142769 YENNY CHAVEZ</t>
  </si>
  <si>
    <t>6061229737</t>
  </si>
  <si>
    <t>HSRF3962902</t>
  </si>
  <si>
    <t>23580175574 ESTEFANIA CALDERON</t>
  </si>
  <si>
    <t>1904778942</t>
  </si>
  <si>
    <t>2000329882</t>
  </si>
  <si>
    <t>MPS BOY-2373</t>
  </si>
  <si>
    <t>2000348642</t>
  </si>
  <si>
    <t>CP336232</t>
  </si>
  <si>
    <t>4700105780802 ERIKA TOLEDO</t>
  </si>
  <si>
    <t>1904811571</t>
  </si>
  <si>
    <t>2000329884</t>
  </si>
  <si>
    <t>2000349079</t>
  </si>
  <si>
    <t>MPS JUNIO/2020</t>
  </si>
  <si>
    <t>MPS JUNIO/2020 OP329887</t>
  </si>
  <si>
    <t>6061232637</t>
  </si>
  <si>
    <t>HSRF3965222</t>
  </si>
  <si>
    <t>47001117318 SANDRA AROCA</t>
  </si>
  <si>
    <t>1904808838</t>
  </si>
  <si>
    <t>MPS MAG-2376</t>
  </si>
  <si>
    <t>2000329887</t>
  </si>
  <si>
    <t>2000349549</t>
  </si>
  <si>
    <t>ABONO FACTURA HSRF3956336 E.S.E. HOSPITAL SAN RAFA</t>
  </si>
  <si>
    <t>COMPENSACION PAGO EVENTO JULIO 2020</t>
  </si>
  <si>
    <t>PAGO EVENTO JULIO 2020</t>
  </si>
  <si>
    <t>EVENTO JUL_2020</t>
  </si>
  <si>
    <t>2000345096</t>
  </si>
  <si>
    <t>20200729</t>
  </si>
  <si>
    <t>MPS JULIO/2020</t>
  </si>
  <si>
    <t>2000350275</t>
  </si>
  <si>
    <t>MPS JULIO/2020 OP345102</t>
  </si>
  <si>
    <t>HSRF3959744</t>
  </si>
  <si>
    <t>1904808822</t>
  </si>
  <si>
    <t>HSRF3960565</t>
  </si>
  <si>
    <t>47288378081 REBECA OSPINO</t>
  </si>
  <si>
    <t>1904808828</t>
  </si>
  <si>
    <t>SALDO FACT CP337307 47001444527 ANGEL GUTIERREZ</t>
  </si>
  <si>
    <t>2000345102</t>
  </si>
  <si>
    <t>20200731</t>
  </si>
  <si>
    <t>HSRF3967661</t>
  </si>
  <si>
    <t>2000355661</t>
  </si>
  <si>
    <t>PAGO JULIO 2020 EVENTO</t>
  </si>
  <si>
    <t>SALDO FACTURA HSRF3967661</t>
  </si>
  <si>
    <t>5141652679</t>
  </si>
  <si>
    <t>HSRF3960446</t>
  </si>
  <si>
    <t>1904868495</t>
  </si>
  <si>
    <t>6061210082</t>
  </si>
  <si>
    <t>CM21765</t>
  </si>
  <si>
    <t>1904883105</t>
  </si>
  <si>
    <t>6061224539</t>
  </si>
  <si>
    <t>05154003694 JACKLIN BENITEZ</t>
  </si>
  <si>
    <t>1904847555</t>
  </si>
  <si>
    <t>05-apaniagua Eurek</t>
  </si>
  <si>
    <t>2000345100</t>
  </si>
  <si>
    <t>20200814</t>
  </si>
  <si>
    <t>MPS BOL-2372</t>
  </si>
  <si>
    <t>2000359860</t>
  </si>
  <si>
    <t>5061802558</t>
  </si>
  <si>
    <t>HSRF3948350</t>
  </si>
  <si>
    <t>13001425864 ELIANA MUÑIZ</t>
  </si>
  <si>
    <t>1904930721</t>
  </si>
  <si>
    <t>HSRF3954422</t>
  </si>
  <si>
    <t>13433512726 SANDRA FIGUEROA</t>
  </si>
  <si>
    <t>1904930724</t>
  </si>
  <si>
    <t>2000329883</t>
  </si>
  <si>
    <t>20200819</t>
  </si>
  <si>
    <t>2000361028</t>
  </si>
  <si>
    <t>COMPENSACION PAGO EVENTO AGOSTO 2020</t>
  </si>
  <si>
    <t>PAGO EVENTO AGOSTO 2020</t>
  </si>
  <si>
    <t>CP338015</t>
  </si>
  <si>
    <t>1904847549</t>
  </si>
  <si>
    <t>7081547229</t>
  </si>
  <si>
    <t>HSRF3959962</t>
  </si>
  <si>
    <t>ABONO FACTURA HSRF3959962 E.S.E. HOSPITAL SAN RAFA</t>
  </si>
  <si>
    <t>1904949855</t>
  </si>
  <si>
    <t>7091042805</t>
  </si>
  <si>
    <t>HSRF3968977</t>
  </si>
  <si>
    <t>1904911755</t>
  </si>
  <si>
    <t>HSRF3969412</t>
  </si>
  <si>
    <t>1904911759</t>
  </si>
  <si>
    <t>HSRF3972335</t>
  </si>
  <si>
    <t>1904911762</t>
  </si>
  <si>
    <t>MPS ANT -1430</t>
  </si>
  <si>
    <t>2000357112</t>
  </si>
  <si>
    <t>20200827</t>
  </si>
  <si>
    <t>2000362433</t>
  </si>
  <si>
    <t>PAGO AGOSTO 2020 EVENTO</t>
  </si>
  <si>
    <t>SALDO FACTURA HSRF3929500</t>
  </si>
  <si>
    <t>6031409815</t>
  </si>
  <si>
    <t>HSRF3960782</t>
  </si>
  <si>
    <t>05120113838 ROBERTO BALLESTERO</t>
  </si>
  <si>
    <t>1904778936</t>
  </si>
  <si>
    <t>6061221847</t>
  </si>
  <si>
    <t>CP337734</t>
  </si>
  <si>
    <t>25307148615 MARIA GONZALEZ</t>
  </si>
  <si>
    <t>1904914497</t>
  </si>
  <si>
    <t>54001433049 MARIO CUETO</t>
  </si>
  <si>
    <t>6080759845</t>
  </si>
  <si>
    <t>HSRF3966555</t>
  </si>
  <si>
    <t>25269172857 FABIO VANEGAS</t>
  </si>
  <si>
    <t>1904914627</t>
  </si>
  <si>
    <t>23001209329 CARLOS HERNANDEZ</t>
  </si>
  <si>
    <t>23555203467 EMILIANA RODRIGUEZ</t>
  </si>
  <si>
    <t>MPS COR -1436</t>
  </si>
  <si>
    <t>2000357118</t>
  </si>
  <si>
    <t>2000362506</t>
  </si>
  <si>
    <t>7091058959</t>
  </si>
  <si>
    <t>1904950321</t>
  </si>
  <si>
    <t>VR SALDO POR COMPENSAR MPS CES-2374 JUNIO DE 2020</t>
  </si>
  <si>
    <t>2000362509</t>
  </si>
  <si>
    <t>7061344123</t>
  </si>
  <si>
    <t>HSRF3962087</t>
  </si>
  <si>
    <t>20001882313 SANDY AMARIS</t>
  </si>
  <si>
    <t>1904949802</t>
  </si>
  <si>
    <t>HSRF3967499</t>
  </si>
  <si>
    <t>1904949804</t>
  </si>
  <si>
    <t>7091041324</t>
  </si>
  <si>
    <t>CP340089</t>
  </si>
  <si>
    <t>20013136319 LINETH MORALES</t>
  </si>
  <si>
    <t>1904950317</t>
  </si>
  <si>
    <t>HSRF3975180</t>
  </si>
  <si>
    <t>1904950341</t>
  </si>
  <si>
    <t>HSRF3970200</t>
  </si>
  <si>
    <t>20013893345 BLANCA BELEÑO</t>
  </si>
  <si>
    <t>1904950346</t>
  </si>
  <si>
    <t>HSRF3973829</t>
  </si>
  <si>
    <t>1904950347</t>
  </si>
  <si>
    <t>7111251165</t>
  </si>
  <si>
    <t>HSRF3929554</t>
  </si>
  <si>
    <t>20013885280 CINDY TORRADO</t>
  </si>
  <si>
    <t>1904950353</t>
  </si>
  <si>
    <t>2000345099</t>
  </si>
  <si>
    <t>VR SALDO FACTURA</t>
  </si>
  <si>
    <t>20200828</t>
  </si>
  <si>
    <t>2000363231</t>
  </si>
  <si>
    <t>COMPENSACIÓN EVENTO JUL/20 NORTE DE SANTANDER</t>
  </si>
  <si>
    <t>COMPENSACION EVENTO JUL20</t>
  </si>
  <si>
    <t>54001042399 LUIS ARIAS (ABONO JUL/20)</t>
  </si>
  <si>
    <t>7111253921</t>
  </si>
  <si>
    <t>HSRF3937316</t>
  </si>
  <si>
    <t>54003387098 ARSENIO GALLARDO</t>
  </si>
  <si>
    <t>1904964366</t>
  </si>
  <si>
    <t>54001089293 BEATRIZ RAMOS</t>
  </si>
  <si>
    <t>2000345103</t>
  </si>
  <si>
    <t>20200801</t>
  </si>
  <si>
    <t>PAGO MPS JUL 20</t>
  </si>
  <si>
    <t>2000363748</t>
  </si>
  <si>
    <t>6061219718</t>
  </si>
  <si>
    <t>CM21510</t>
  </si>
  <si>
    <t>68245031676 MIREYA CRUZ</t>
  </si>
  <si>
    <t>1904921294</t>
  </si>
  <si>
    <t>6061230651</t>
  </si>
  <si>
    <t>HSRF3963244</t>
  </si>
  <si>
    <t>1904921293</t>
  </si>
  <si>
    <t>2000345104</t>
  </si>
  <si>
    <t>2000363822</t>
  </si>
  <si>
    <t>08001203091 MARIA VANEGAS</t>
  </si>
  <si>
    <t>7081532296</t>
  </si>
  <si>
    <t>HSRF3952701</t>
  </si>
  <si>
    <t>08137031479 ISAMAR SILVA</t>
  </si>
  <si>
    <t>1904995191</t>
  </si>
  <si>
    <t>7111313824</t>
  </si>
  <si>
    <t>HSRF3933145</t>
  </si>
  <si>
    <t>08436530923 YOIMAR GUZMAN</t>
  </si>
  <si>
    <t>1904947235</t>
  </si>
  <si>
    <t>HSRF3933695</t>
  </si>
  <si>
    <t>08638035776 VIVIANA MENDOZA</t>
  </si>
  <si>
    <t>1904947239</t>
  </si>
  <si>
    <t>2000345097</t>
  </si>
  <si>
    <t>MPS ATL -1431</t>
  </si>
  <si>
    <t>2000357113</t>
  </si>
  <si>
    <t>2000367768</t>
  </si>
  <si>
    <t>5141328859</t>
  </si>
  <si>
    <t>HSRF3956869</t>
  </si>
  <si>
    <t>1904936695</t>
  </si>
  <si>
    <t>6080754892</t>
  </si>
  <si>
    <t>HSRF3962569</t>
  </si>
  <si>
    <t>1904962863</t>
  </si>
  <si>
    <t>7091054466</t>
  </si>
  <si>
    <t>CP339063</t>
  </si>
  <si>
    <t>47288437157 ANA MARTINEZ</t>
  </si>
  <si>
    <t>1904977097</t>
  </si>
  <si>
    <t>7091106971</t>
  </si>
  <si>
    <t>HSRF3976749</t>
  </si>
  <si>
    <t>1904922865</t>
  </si>
  <si>
    <t>SALDO EVENTO JUL_2020</t>
  </si>
  <si>
    <t>MPS AGOSTO/2020</t>
  </si>
  <si>
    <t>2000375370</t>
  </si>
  <si>
    <t>MPS AGOSTO/2020 OP357120</t>
  </si>
  <si>
    <t>SALDO FACT HSRF3971958 4717000078923 JUANA RIVERA</t>
  </si>
  <si>
    <t>MPS MAG -1438</t>
  </si>
  <si>
    <t>2000357120</t>
  </si>
  <si>
    <t>2000375493</t>
  </si>
  <si>
    <t>ABONO FTRA  900 E.S.E. HOSPITAL SAN RAFAEL DE FACA</t>
  </si>
  <si>
    <t>COMPENSACION PAGO EVENTO SEPTIEMBRE 2020</t>
  </si>
  <si>
    <t>COMPENSACION PAGO EVENTO</t>
  </si>
  <si>
    <t>MPS ANT-2207</t>
  </si>
  <si>
    <t>ESS024-EVENTO CONTRATO</t>
  </si>
  <si>
    <t>2000369997</t>
  </si>
  <si>
    <t>7111252547</t>
  </si>
  <si>
    <t>HSRF3932275</t>
  </si>
  <si>
    <t>2000375801</t>
  </si>
  <si>
    <t>08001597520 MILEIDIS PADILLA</t>
  </si>
  <si>
    <t>1905024245</t>
  </si>
  <si>
    <t>HSRF3938565</t>
  </si>
  <si>
    <t>08436579403 LUCIANYS HERRERA</t>
  </si>
  <si>
    <t>1905024250</t>
  </si>
  <si>
    <t>EVENTO AGO_2020_saldo x legalizar</t>
  </si>
  <si>
    <t>20200930</t>
  </si>
  <si>
    <t>2000379474</t>
  </si>
  <si>
    <t>COMPENSACIÓN EVENTO SEP/20 NORTE DE SANTANDER</t>
  </si>
  <si>
    <t>COMPENSACION EVENTO SEP20</t>
  </si>
  <si>
    <t>54001042399 LUIS ARIAS (ABONO SEP/20)</t>
  </si>
  <si>
    <t>MPS NOR-2213</t>
  </si>
  <si>
    <t>2000370004</t>
  </si>
  <si>
    <t>2000379476</t>
  </si>
  <si>
    <t>COMPENSACIÓN EVENTO AGO/20 NORTE DE SANTANDER</t>
  </si>
  <si>
    <t>COMPENSACION EVENTO AGO20</t>
  </si>
  <si>
    <t>54001042399 LUIS ARIAS (SALDO SEP/20)</t>
  </si>
  <si>
    <t>8101047222</t>
  </si>
  <si>
    <t>HSRF3983179</t>
  </si>
  <si>
    <t>54261094419 SERGIO GOMEZ</t>
  </si>
  <si>
    <t>1905059169</t>
  </si>
  <si>
    <t>MPS NOR -1439</t>
  </si>
  <si>
    <t>2000357121</t>
  </si>
  <si>
    <t>20201005</t>
  </si>
  <si>
    <t>2000379728</t>
  </si>
  <si>
    <t>HSRF3967299</t>
  </si>
  <si>
    <t>1904914465</t>
  </si>
  <si>
    <t>HSRF3967331</t>
  </si>
  <si>
    <t>1904914505</t>
  </si>
  <si>
    <t>HSRF3967598</t>
  </si>
  <si>
    <t>25754128909 JUAN VARGAS</t>
  </si>
  <si>
    <t>1904914631</t>
  </si>
  <si>
    <t>7091103394</t>
  </si>
  <si>
    <t>HSRF3971768</t>
  </si>
  <si>
    <t>25426124419 JUAN SALCEDO</t>
  </si>
  <si>
    <t>1905088531</t>
  </si>
  <si>
    <t>7091116862</t>
  </si>
  <si>
    <t>HSRF3970884</t>
  </si>
  <si>
    <t>ABONO 252693771 MARIA CORTES</t>
  </si>
  <si>
    <t>1905088535</t>
  </si>
  <si>
    <t>2000345101</t>
  </si>
  <si>
    <t>MPS CUN-2211</t>
  </si>
  <si>
    <t>2000379729</t>
  </si>
  <si>
    <t>HSRF3969298</t>
  </si>
  <si>
    <t>1905088533</t>
  </si>
  <si>
    <t>SALDO 252693771 MARIA CORTES</t>
  </si>
  <si>
    <t>HSRF3974461</t>
  </si>
  <si>
    <t>1905088536</t>
  </si>
  <si>
    <t>7111255009</t>
  </si>
  <si>
    <t>HSRF3928443</t>
  </si>
  <si>
    <t>25269172597 DEIVID CUBILLOS</t>
  </si>
  <si>
    <t>1905088547</t>
  </si>
  <si>
    <t>1905088550</t>
  </si>
  <si>
    <t>HSRF3936023</t>
  </si>
  <si>
    <t>1905088552</t>
  </si>
  <si>
    <t>HSRF3940254</t>
  </si>
  <si>
    <t>ABONO 25269172771 HANNA BELTRAN</t>
  </si>
  <si>
    <t>1905088563</t>
  </si>
  <si>
    <t>2000370002</t>
  </si>
  <si>
    <t>20200808</t>
  </si>
  <si>
    <t>2000380532</t>
  </si>
  <si>
    <t>SALDO FACTURA HSRF3959962 E.S.E. HOSPITAL SAN RAFA</t>
  </si>
  <si>
    <t>20201002</t>
  </si>
  <si>
    <t>HSRF3972200</t>
  </si>
  <si>
    <t>1904950333</t>
  </si>
  <si>
    <t>HSRF3972339</t>
  </si>
  <si>
    <t>1904950337</t>
  </si>
  <si>
    <t>8101049180</t>
  </si>
  <si>
    <t>HSRF3983634</t>
  </si>
  <si>
    <t>1905026854</t>
  </si>
  <si>
    <t>8101120831</t>
  </si>
  <si>
    <t>HSRF3981835</t>
  </si>
  <si>
    <t>20001919153 ASTRID BONILLA</t>
  </si>
  <si>
    <t>1905026856</t>
  </si>
  <si>
    <t>8101625321</t>
  </si>
  <si>
    <t>HSRF3977963</t>
  </si>
  <si>
    <t>1905078793</t>
  </si>
  <si>
    <t>HSRF3978001</t>
  </si>
  <si>
    <t>1905078798</t>
  </si>
  <si>
    <t>HSRF3978310</t>
  </si>
  <si>
    <t>1905078803</t>
  </si>
  <si>
    <t>HSRF3978694</t>
  </si>
  <si>
    <t>1905078806</t>
  </si>
  <si>
    <t>8110943404</t>
  </si>
  <si>
    <t>HSRF3979802</t>
  </si>
  <si>
    <t>1905029683</t>
  </si>
  <si>
    <t>HSRF3984742</t>
  </si>
  <si>
    <t>1905029685</t>
  </si>
  <si>
    <t>MPS CES-2210</t>
  </si>
  <si>
    <t>2000370001</t>
  </si>
  <si>
    <t>PAGO MPS SEP 20</t>
  </si>
  <si>
    <t>2000380538</t>
  </si>
  <si>
    <t>7091115539</t>
  </si>
  <si>
    <t>HSRF3975295</t>
  </si>
  <si>
    <t>ABONO COMP SEP 2020</t>
  </si>
  <si>
    <t>1905051392</t>
  </si>
  <si>
    <t>MPS SAN-2214</t>
  </si>
  <si>
    <t>2000370005</t>
  </si>
  <si>
    <t>2000384071</t>
  </si>
  <si>
    <t>SALDO 47288309687 LILIA RETAMOZO</t>
  </si>
  <si>
    <t>7081455152</t>
  </si>
  <si>
    <t>HSRF3969175</t>
  </si>
  <si>
    <t>47692080098 DIEGO RANGEL</t>
  </si>
  <si>
    <t>1905088521</t>
  </si>
  <si>
    <t>8101044729</t>
  </si>
  <si>
    <t>HSRF3979245</t>
  </si>
  <si>
    <t>47460207744 YARLEYS ANDRAO</t>
  </si>
  <si>
    <t>1905072029</t>
  </si>
  <si>
    <t>HSRF3979321</t>
  </si>
  <si>
    <t>1905072031</t>
  </si>
  <si>
    <t>HSRF3984907</t>
  </si>
  <si>
    <t>1905072035</t>
  </si>
  <si>
    <t>HSRF3984923</t>
  </si>
  <si>
    <t>47288443733 JOSE TABORDA</t>
  </si>
  <si>
    <t>1905072036</t>
  </si>
  <si>
    <t>HSRF3978797</t>
  </si>
  <si>
    <t>1905072039</t>
  </si>
  <si>
    <t>8101630234</t>
  </si>
  <si>
    <t>HSRF3982556</t>
  </si>
  <si>
    <t>47288440575 ADRIAN DURAN</t>
  </si>
  <si>
    <t>1905031601</t>
  </si>
  <si>
    <t>HSRF3982560</t>
  </si>
  <si>
    <t>47288436910 ADARLEY MONTENEGRO</t>
  </si>
  <si>
    <t>1905031602</t>
  </si>
  <si>
    <t>HSRF3982566</t>
  </si>
  <si>
    <t>1905031605</t>
  </si>
  <si>
    <t>8110944995</t>
  </si>
  <si>
    <t>HSRF3981338</t>
  </si>
  <si>
    <t>1905083564</t>
  </si>
  <si>
    <t>HSRF3984693</t>
  </si>
  <si>
    <t>1905083565</t>
  </si>
  <si>
    <t>SALDO EVENTO</t>
  </si>
  <si>
    <t>MPS BOG -1432</t>
  </si>
  <si>
    <t>2000388988</t>
  </si>
  <si>
    <t>7091044196</t>
  </si>
  <si>
    <t>HSRF3973292</t>
  </si>
  <si>
    <t>1905081923</t>
  </si>
  <si>
    <t>8101045219</t>
  </si>
  <si>
    <t>HSRF3980720</t>
  </si>
  <si>
    <t>11001159274 YENNY CRUZ</t>
  </si>
  <si>
    <t>1905111409</t>
  </si>
  <si>
    <t>2000357114</t>
  </si>
  <si>
    <t>MPS CUN -1437</t>
  </si>
  <si>
    <t>2000388989</t>
  </si>
  <si>
    <t>7081510856</t>
  </si>
  <si>
    <t>HSRF3965593</t>
  </si>
  <si>
    <t>25473172634 GUSTAVO ARIAS</t>
  </si>
  <si>
    <t>1905088527</t>
  </si>
  <si>
    <t>HSRF3958919</t>
  </si>
  <si>
    <t>25754138285 MARGARITA OLAYA</t>
  </si>
  <si>
    <t>1905088528</t>
  </si>
  <si>
    <t>25754151866 MICHELL BEITAR</t>
  </si>
  <si>
    <t>7081535120</t>
  </si>
  <si>
    <t>HSRF3957214</t>
  </si>
  <si>
    <t>1905088530</t>
  </si>
  <si>
    <t>HSRF3972932</t>
  </si>
  <si>
    <t>15646000314 OTILIA BETANCUR</t>
  </si>
  <si>
    <t>1905088532</t>
  </si>
  <si>
    <t>252693600 MANUEL GUZMAN</t>
  </si>
  <si>
    <t>HSRF3930276</t>
  </si>
  <si>
    <t>25754127292 ROBY PEREZ</t>
  </si>
  <si>
    <t>1905088548</t>
  </si>
  <si>
    <t>HSRF3936266</t>
  </si>
  <si>
    <t>25473172933 RAFAEL BENAVIDES</t>
  </si>
  <si>
    <t>1905088553</t>
  </si>
  <si>
    <t>HSRF3936639</t>
  </si>
  <si>
    <t>1905088555</t>
  </si>
  <si>
    <t>HSRF3936885</t>
  </si>
  <si>
    <t>1905088559</t>
  </si>
  <si>
    <t>SALDO 25269172771 HANNA BELTRAN</t>
  </si>
  <si>
    <t>HSRF3940575</t>
  </si>
  <si>
    <t>25269172698 ANDREA ALVARADO</t>
  </si>
  <si>
    <t>1905088566</t>
  </si>
  <si>
    <t>HSRF3940586</t>
  </si>
  <si>
    <t>1905088568</t>
  </si>
  <si>
    <t>HSRF3940721</t>
  </si>
  <si>
    <t>25269172613 LAURA ORTIZ</t>
  </si>
  <si>
    <t>1905088569</t>
  </si>
  <si>
    <t>HSRF3943353</t>
  </si>
  <si>
    <t>25269172663 WILSON CASTILLO</t>
  </si>
  <si>
    <t>1905088570</t>
  </si>
  <si>
    <t>HSRF3943929</t>
  </si>
  <si>
    <t>25754132759 LUIS RODRIGUEZ</t>
  </si>
  <si>
    <t>1905088571</t>
  </si>
  <si>
    <t>7111308244</t>
  </si>
  <si>
    <t>HSRF3929896</t>
  </si>
  <si>
    <t>1904920156</t>
  </si>
  <si>
    <t>2000391141</t>
  </si>
  <si>
    <t>7111249557</t>
  </si>
  <si>
    <t>HSRF3926164</t>
  </si>
  <si>
    <t>47675393371 ANDRES JOVEN</t>
  </si>
  <si>
    <t>1905131682</t>
  </si>
  <si>
    <t>HSRF3939348</t>
  </si>
  <si>
    <t>1905131683</t>
  </si>
  <si>
    <t>HSRF3941421</t>
  </si>
  <si>
    <t>1905131685</t>
  </si>
  <si>
    <t>HSRF3942179</t>
  </si>
  <si>
    <t>1905131689</t>
  </si>
  <si>
    <t>HSRF3977733</t>
  </si>
  <si>
    <t>1905144061</t>
  </si>
  <si>
    <t>HSRF3977736</t>
  </si>
  <si>
    <t>1905144066</t>
  </si>
  <si>
    <t>HSRF3984906</t>
  </si>
  <si>
    <t>1905144086</t>
  </si>
  <si>
    <t>8110947472</t>
  </si>
  <si>
    <t>CM23646</t>
  </si>
  <si>
    <t>1905144125</t>
  </si>
  <si>
    <t>CM23765</t>
  </si>
  <si>
    <t>1905144130</t>
  </si>
  <si>
    <t>CM23843</t>
  </si>
  <si>
    <t>1905144138</t>
  </si>
  <si>
    <t>CM23853</t>
  </si>
  <si>
    <t>1905144144</t>
  </si>
  <si>
    <t>HSRF3983473</t>
  </si>
  <si>
    <t>1905144149</t>
  </si>
  <si>
    <t>HSRF3983714</t>
  </si>
  <si>
    <t>1905144153</t>
  </si>
  <si>
    <t>MPS SEPT/2020</t>
  </si>
  <si>
    <t>2000391142</t>
  </si>
  <si>
    <t>MPS SEPT/2020 OP370003</t>
  </si>
  <si>
    <t>SALDO FACT FEHF16280 47288309687 LILIA RETAMOZO</t>
  </si>
  <si>
    <t>MPS MAG-2212</t>
  </si>
  <si>
    <t>2000370003</t>
  </si>
  <si>
    <t>2000392488</t>
  </si>
  <si>
    <t>ABONO  FTRA  HSRF3969614 HOSPITAL SAN RAFAEL DE FA</t>
  </si>
  <si>
    <t>COMPENSACION PAGO EVENTO OCTUBRE 2020</t>
  </si>
  <si>
    <t>MPS ANT-2030</t>
  </si>
  <si>
    <t>2000385335</t>
  </si>
  <si>
    <t>20201020</t>
  </si>
  <si>
    <t>MPS CES-2035</t>
  </si>
  <si>
    <t>2000393920</t>
  </si>
  <si>
    <t>CP334643</t>
  </si>
  <si>
    <t>1905088541</t>
  </si>
  <si>
    <t>HSRF3938872</t>
  </si>
  <si>
    <t>20400358011 KATY CENTENO</t>
  </si>
  <si>
    <t>1905159707</t>
  </si>
  <si>
    <t>8101052347</t>
  </si>
  <si>
    <t>HSRF3988681</t>
  </si>
  <si>
    <t>1905144048</t>
  </si>
  <si>
    <t>HSRF3983209</t>
  </si>
  <si>
    <t>1905144085</t>
  </si>
  <si>
    <t>HSRF3984691</t>
  </si>
  <si>
    <t>1905144156</t>
  </si>
  <si>
    <t>FEHF10061</t>
  </si>
  <si>
    <t>1905239647</t>
  </si>
  <si>
    <t>FEHF3692</t>
  </si>
  <si>
    <t>1905239788</t>
  </si>
  <si>
    <t>2000385340</t>
  </si>
  <si>
    <t>HSRF3974168</t>
  </si>
  <si>
    <t>2000394043</t>
  </si>
  <si>
    <t>05495449697 FREDY MADRID</t>
  </si>
  <si>
    <t>1905088524</t>
  </si>
  <si>
    <t>HSRF3976854</t>
  </si>
  <si>
    <t>1905088525</t>
  </si>
  <si>
    <t>SALDO  FTRA  HSRF3969614 HOSPITAL SAN RAFAEL DE FA</t>
  </si>
  <si>
    <t>7091057800</t>
  </si>
  <si>
    <t>HSRF3971272</t>
  </si>
  <si>
    <t>1905043121</t>
  </si>
  <si>
    <t>CM14090</t>
  </si>
  <si>
    <t>1905088539</t>
  </si>
  <si>
    <t>CM15670</t>
  </si>
  <si>
    <t>1905088540</t>
  </si>
  <si>
    <t>HSRF3937575</t>
  </si>
  <si>
    <t>1905088560</t>
  </si>
  <si>
    <t>HSRF3981737</t>
  </si>
  <si>
    <t>1905144082</t>
  </si>
  <si>
    <t>MPS ATL-2031</t>
  </si>
  <si>
    <t>2000385336</t>
  </si>
  <si>
    <t>COMPENSACION MPS ATL -1431  MPS ATL-2031</t>
  </si>
  <si>
    <t>COMPENSACION MPS ATL -143</t>
  </si>
  <si>
    <t>20201111</t>
  </si>
  <si>
    <t>2000401730</t>
  </si>
  <si>
    <t>COMPENSACION PAGO EVENTO NOVIEMBRE 2020</t>
  </si>
  <si>
    <t>SALDO FTRA CM23471. HOSPITAL SAN RAFAEL DE FACA</t>
  </si>
  <si>
    <t>FEHF14161</t>
  </si>
  <si>
    <t>1905239678</t>
  </si>
  <si>
    <t>FEHF14890</t>
  </si>
  <si>
    <t>1905239686</t>
  </si>
  <si>
    <t>FEHF14957</t>
  </si>
  <si>
    <t>1905239691</t>
  </si>
  <si>
    <t>FEHF970</t>
  </si>
  <si>
    <t>ABONO FTRA  FEHF970  HOSPITAL SAN RAFAEL DE FACAT</t>
  </si>
  <si>
    <t>1905239824</t>
  </si>
  <si>
    <t>MPS ANT-2368</t>
  </si>
  <si>
    <t>2000401120</t>
  </si>
  <si>
    <t>2000404249</t>
  </si>
  <si>
    <t>9070755165</t>
  </si>
  <si>
    <t>FEHF12403</t>
  </si>
  <si>
    <t>1905239623</t>
  </si>
  <si>
    <t>FEHF12309</t>
  </si>
  <si>
    <t>1905239656</t>
  </si>
  <si>
    <t>FEHF1391</t>
  </si>
  <si>
    <t>1905239666</t>
  </si>
  <si>
    <t>FEHF2129</t>
  </si>
  <si>
    <t>1905239695</t>
  </si>
  <si>
    <t>FEHF2627</t>
  </si>
  <si>
    <t>1905239696</t>
  </si>
  <si>
    <t>FEHF6739</t>
  </si>
  <si>
    <t>1905239698</t>
  </si>
  <si>
    <t>SALDO ESS024-EVENTO CONTRATO</t>
  </si>
  <si>
    <t>20201124</t>
  </si>
  <si>
    <t>2000406003</t>
  </si>
  <si>
    <t>9070815968</t>
  </si>
  <si>
    <t>FEHF7483</t>
  </si>
  <si>
    <t>1905275637</t>
  </si>
  <si>
    <t>FEHF8083</t>
  </si>
  <si>
    <t>1905275638</t>
  </si>
  <si>
    <t>FEHF10522</t>
  </si>
  <si>
    <t>1905275639</t>
  </si>
  <si>
    <t>FEHF14956</t>
  </si>
  <si>
    <t>4767500167502 JULIA JIMENEZ</t>
  </si>
  <si>
    <t>1905275641</t>
  </si>
  <si>
    <t>10130840786</t>
  </si>
  <si>
    <t>FEHF28623</t>
  </si>
  <si>
    <t>2000408063</t>
  </si>
  <si>
    <t>70713115826 YOINER CORPAS</t>
  </si>
  <si>
    <t>1905266834</t>
  </si>
  <si>
    <t>20201203</t>
  </si>
  <si>
    <t>SALD FEHF28623</t>
  </si>
  <si>
    <t>SALD PEN X PAG $27.667</t>
  </si>
  <si>
    <t>MPS SUC-2378</t>
  </si>
  <si>
    <t>2000401130</t>
  </si>
  <si>
    <t>10130757544</t>
  </si>
  <si>
    <t>FEHF20186</t>
  </si>
  <si>
    <t>2000420772</t>
  </si>
  <si>
    <t>08001173190 LORENA FERNANDEZ</t>
  </si>
  <si>
    <t>1905413745</t>
  </si>
  <si>
    <t>10130816459</t>
  </si>
  <si>
    <t>FEHF20977</t>
  </si>
  <si>
    <t>08436483842 MARYELIS TORRES</t>
  </si>
  <si>
    <t>1905413746</t>
  </si>
  <si>
    <t>9070757879</t>
  </si>
  <si>
    <t>FEHF12638</t>
  </si>
  <si>
    <t>08078498837 ANA FRANCO</t>
  </si>
  <si>
    <t>1905295813</t>
  </si>
  <si>
    <t>9070924236</t>
  </si>
  <si>
    <t>FEHF13237</t>
  </si>
  <si>
    <t>1905295803</t>
  </si>
  <si>
    <t>MPS ATL-2369</t>
  </si>
  <si>
    <t>2000401121</t>
  </si>
  <si>
    <t>MPS SAN -1440</t>
  </si>
  <si>
    <t>2000422760</t>
  </si>
  <si>
    <t>MPS SAN .1440</t>
  </si>
  <si>
    <t>2000357122</t>
  </si>
  <si>
    <t>PG MPS 09/11 20</t>
  </si>
  <si>
    <t>2000422761</t>
  </si>
  <si>
    <t>7091030275</t>
  </si>
  <si>
    <t>HSRF3958055</t>
  </si>
  <si>
    <t>68271364880 VICTOR SIERRA</t>
  </si>
  <si>
    <t>1905051375</t>
  </si>
  <si>
    <t>HSRF3974100</t>
  </si>
  <si>
    <t>68190154517 JULIO MENDIETA</t>
  </si>
  <si>
    <t>1905051379</t>
  </si>
  <si>
    <t>SALDO COMP SEP 2020</t>
  </si>
  <si>
    <t>HSRF3938909</t>
  </si>
  <si>
    <t>68190160029 EDUER SUAREZ</t>
  </si>
  <si>
    <t>1905159712</t>
  </si>
  <si>
    <t>8101613804</t>
  </si>
  <si>
    <t>HSRF3986124</t>
  </si>
  <si>
    <t>68190000390 ARLEY CONTRERAS</t>
  </si>
  <si>
    <t>1905277372</t>
  </si>
  <si>
    <t>HSRF3986156</t>
  </si>
  <si>
    <t>68190002304 ANGIE TELLEZ</t>
  </si>
  <si>
    <t>1905277374</t>
  </si>
  <si>
    <t>8101614151</t>
  </si>
  <si>
    <t>HSRF3988001</t>
  </si>
  <si>
    <t>81736182389 JULIETH SILVA</t>
  </si>
  <si>
    <t>1905277468</t>
  </si>
  <si>
    <t>MPS ARA-2208</t>
  </si>
  <si>
    <t>2000369998</t>
  </si>
  <si>
    <t>MPS SAN-2377</t>
  </si>
  <si>
    <t>2000401129</t>
  </si>
  <si>
    <t>ABONO EVENTO</t>
  </si>
  <si>
    <t>2000425801</t>
  </si>
  <si>
    <t>SALD PEND X PAGAR FAC FEHF28623  EVENTO</t>
  </si>
  <si>
    <t>20201228</t>
  </si>
  <si>
    <t>SALD PEND X LEGA</t>
  </si>
  <si>
    <t>SALD X LEG EVE $4.883.009</t>
  </si>
  <si>
    <t>7081455156</t>
  </si>
  <si>
    <t>HSRF3974940</t>
  </si>
  <si>
    <t>70713191664 SAMARA APARICIO</t>
  </si>
  <si>
    <t>1905088526</t>
  </si>
  <si>
    <t>7091113131</t>
  </si>
  <si>
    <t>HSRF3971790</t>
  </si>
  <si>
    <t>70001109995 MARIA URZOLA</t>
  </si>
  <si>
    <t>1904999196</t>
  </si>
  <si>
    <t>MPS SUC -1441</t>
  </si>
  <si>
    <t>2000357123</t>
  </si>
  <si>
    <t>10130836437</t>
  </si>
  <si>
    <t>FEHF26139</t>
  </si>
  <si>
    <t>2000427040</t>
  </si>
  <si>
    <t>1905489469</t>
  </si>
  <si>
    <t>2000427045</t>
  </si>
  <si>
    <t>MPS OCT/2020</t>
  </si>
  <si>
    <t>MPS OCT/2020 OP385342</t>
  </si>
  <si>
    <t>MPS MAG-2037</t>
  </si>
  <si>
    <t>2000385342</t>
  </si>
  <si>
    <t>MPS NOV/2020</t>
  </si>
  <si>
    <t>2000427047</t>
  </si>
  <si>
    <t>MPS NOV/2020 OP401127</t>
  </si>
  <si>
    <t>MPS MAG-2375</t>
  </si>
  <si>
    <t>2000428596</t>
  </si>
  <si>
    <t>12101444522</t>
  </si>
  <si>
    <t>FEHF56578</t>
  </si>
  <si>
    <t>1905557068</t>
  </si>
  <si>
    <t>MPS CES-2372</t>
  </si>
  <si>
    <t>2000401124</t>
  </si>
  <si>
    <t>FEHF16401</t>
  </si>
  <si>
    <t>2000428602</t>
  </si>
  <si>
    <t>1905532069</t>
  </si>
  <si>
    <t>10130835130</t>
  </si>
  <si>
    <t>FEHF23115</t>
  </si>
  <si>
    <t>20001903993 JUAN ROJANO</t>
  </si>
  <si>
    <t>1905413525</t>
  </si>
  <si>
    <t>MPS CES -1435</t>
  </si>
  <si>
    <t>2000357117</t>
  </si>
  <si>
    <t>FEHF16321</t>
  </si>
  <si>
    <t>2000435397</t>
  </si>
  <si>
    <t>1905532068</t>
  </si>
  <si>
    <t>FEHF26876</t>
  </si>
  <si>
    <t>1905532081</t>
  </si>
  <si>
    <t>10130818432</t>
  </si>
  <si>
    <t>FEHF14959</t>
  </si>
  <si>
    <t>05895021403 DEIDER LOPEZ</t>
  </si>
  <si>
    <t>1905309998</t>
  </si>
  <si>
    <t>10130943803</t>
  </si>
  <si>
    <t>HSRF3942897</t>
  </si>
  <si>
    <t>05120441391 LUISA TAPIAS</t>
  </si>
  <si>
    <t>1905310747</t>
  </si>
  <si>
    <t>SALDO  FTRA  GLA308733 GLOBAL LIFE AMBULANCIAS S A</t>
  </si>
  <si>
    <t>ABONO FACTURA HSRF3932894 E.S.E. HOSPITAL SAN RAFA</t>
  </si>
  <si>
    <t>COMPENSACION PAGO EVENTO DICIEMBRE 2020</t>
  </si>
  <si>
    <t>PAGO EVENTO DICIEMBR 2020</t>
  </si>
  <si>
    <t>MPS ANT-2479</t>
  </si>
  <si>
    <t>2000412874</t>
  </si>
  <si>
    <t>2000435783</t>
  </si>
  <si>
    <t>COMPENSACIÓN FEHF21999 PAGO AGO 2020</t>
  </si>
  <si>
    <t>20201210</t>
  </si>
  <si>
    <t>MPS VAL AGO 2020</t>
  </si>
  <si>
    <t>COMP MPS VAL AGO 2020</t>
  </si>
  <si>
    <t>MPS VAL -1442</t>
  </si>
  <si>
    <t>2000357124</t>
  </si>
  <si>
    <t>2000437033</t>
  </si>
  <si>
    <t>FEHF18985</t>
  </si>
  <si>
    <t>13430089445 DEYSIS RAMIREZ</t>
  </si>
  <si>
    <t>1905532073</t>
  </si>
  <si>
    <t>FEHF28401</t>
  </si>
  <si>
    <t>1905532090</t>
  </si>
  <si>
    <t>10130740924</t>
  </si>
  <si>
    <t>FEHF25626</t>
  </si>
  <si>
    <t>1905532114</t>
  </si>
  <si>
    <t>6031408681</t>
  </si>
  <si>
    <t>HSRF3959588</t>
  </si>
  <si>
    <t>13430335525 YOHANA CORREA</t>
  </si>
  <si>
    <t>1905270901</t>
  </si>
  <si>
    <t>6080756409</t>
  </si>
  <si>
    <t>HSRF3963934</t>
  </si>
  <si>
    <t>1905189239</t>
  </si>
  <si>
    <t>FEHF12286</t>
  </si>
  <si>
    <t>1905239652</t>
  </si>
  <si>
    <t>FEHF2934</t>
  </si>
  <si>
    <t>13001373705 LEIDY CARMONA</t>
  </si>
  <si>
    <t>1905239785</t>
  </si>
  <si>
    <t>2000345098</t>
  </si>
  <si>
    <t>FEHF23694</t>
  </si>
  <si>
    <t>2000437497</t>
  </si>
  <si>
    <t>1905532078</t>
  </si>
  <si>
    <t>FEHF26952</t>
  </si>
  <si>
    <t>1905532083</t>
  </si>
  <si>
    <t>10130751886</t>
  </si>
  <si>
    <t>FEHF25471</t>
  </si>
  <si>
    <t>1905532115</t>
  </si>
  <si>
    <t>MPS DIC/2020</t>
  </si>
  <si>
    <t>MPS DIC/2020 OP412881</t>
  </si>
  <si>
    <t>MPS MAG-2486</t>
  </si>
  <si>
    <t>2000412881</t>
  </si>
  <si>
    <t>MPS BOY-2034</t>
  </si>
  <si>
    <t>2000440854</t>
  </si>
  <si>
    <t>2000385339</t>
  </si>
  <si>
    <t>2000440859</t>
  </si>
  <si>
    <t>MPS BOY-2371</t>
  </si>
  <si>
    <t>2000401123</t>
  </si>
  <si>
    <t>2000441012</t>
  </si>
  <si>
    <t>MPS BOY-2482</t>
  </si>
  <si>
    <t>SALDO FE FEHF765 15469154637 OSCAR ESPITIA</t>
  </si>
  <si>
    <t>2000412877</t>
  </si>
  <si>
    <t>11110829071</t>
  </si>
  <si>
    <t>FEHF43636</t>
  </si>
  <si>
    <t>2000441096</t>
  </si>
  <si>
    <t>1905647891</t>
  </si>
  <si>
    <t>08433558948 ELBA IBAÑEZ</t>
  </si>
  <si>
    <t>SALDO 68101175973 ALEANDRA ARIZA</t>
  </si>
  <si>
    <t>HSRF3978858</t>
  </si>
  <si>
    <t>25269172496 MARIA SILVA</t>
  </si>
  <si>
    <t>1905144040</t>
  </si>
  <si>
    <t>HSRF3982293</t>
  </si>
  <si>
    <t>1905144045</t>
  </si>
  <si>
    <t>8110950811</t>
  </si>
  <si>
    <t>HSRF3987501</t>
  </si>
  <si>
    <t>252695289 BALWYN CEDANO</t>
  </si>
  <si>
    <t>1905144178</t>
  </si>
  <si>
    <t>FEHF10497</t>
  </si>
  <si>
    <t>252694425 LUIS VARGAS</t>
  </si>
  <si>
    <t>1905239725</t>
  </si>
  <si>
    <t>FEHF13447</t>
  </si>
  <si>
    <t>25269172771 HANNA BELTRAN</t>
  </si>
  <si>
    <t>1905239776</t>
  </si>
  <si>
    <t>FEHF7035</t>
  </si>
  <si>
    <t>1905239797</t>
  </si>
  <si>
    <t>9070921766</t>
  </si>
  <si>
    <t>FEHF12108</t>
  </si>
  <si>
    <t>252693771 MARIA CORTES</t>
  </si>
  <si>
    <t>1905239912</t>
  </si>
  <si>
    <t>FEHF4861</t>
  </si>
  <si>
    <t>1905239917</t>
  </si>
  <si>
    <t>MPS ATL-2480</t>
  </si>
  <si>
    <t>2000412875</t>
  </si>
  <si>
    <t>COMPENSACIONMPS ATL-2480  EVENTO DIC_2020</t>
  </si>
  <si>
    <t>COMPENSA EVENTO DIC/20</t>
  </si>
  <si>
    <t>2000443680</t>
  </si>
  <si>
    <t>SALDO FEHF21999 PAGO AGO 2020</t>
  </si>
  <si>
    <t>MPS RIS DIC 2020</t>
  </si>
  <si>
    <t>COMP MPS RIS DIC 2020</t>
  </si>
  <si>
    <t>risaralda</t>
  </si>
  <si>
    <t>MPS RIS-2376</t>
  </si>
  <si>
    <t>2000401128</t>
  </si>
  <si>
    <t>PAGO EVENTO ENERO 2021</t>
  </si>
  <si>
    <t>6061237972</t>
  </si>
  <si>
    <t>2000462093</t>
  </si>
  <si>
    <t>MPS GUA-2374</t>
  </si>
  <si>
    <t>2000401126</t>
  </si>
  <si>
    <t>MPS BOG-2209</t>
  </si>
  <si>
    <t>2000462158</t>
  </si>
  <si>
    <t>CM13861</t>
  </si>
  <si>
    <t>1905158955</t>
  </si>
  <si>
    <t>CM14677</t>
  </si>
  <si>
    <t>1905158977</t>
  </si>
  <si>
    <t>CM15019</t>
  </si>
  <si>
    <t>1905159646</t>
  </si>
  <si>
    <t>CM15020</t>
  </si>
  <si>
    <t>1905159664</t>
  </si>
  <si>
    <t>HSRF3925978</t>
  </si>
  <si>
    <t>1905159683</t>
  </si>
  <si>
    <t>2000370000</t>
  </si>
  <si>
    <t>MPS BOG-2032</t>
  </si>
  <si>
    <t>2000462170</t>
  </si>
  <si>
    <t>CM16689</t>
  </si>
  <si>
    <t>1905159677</t>
  </si>
  <si>
    <t>2000385337</t>
  </si>
  <si>
    <t>12101511589</t>
  </si>
  <si>
    <t>FEHF27264</t>
  </si>
  <si>
    <t>2000462250</t>
  </si>
  <si>
    <t>1905532087</t>
  </si>
  <si>
    <t>FEHF31985</t>
  </si>
  <si>
    <t>1905532118</t>
  </si>
  <si>
    <t>10130759938</t>
  </si>
  <si>
    <t>FEHF23171</t>
  </si>
  <si>
    <t>1905532136</t>
  </si>
  <si>
    <t>FEHF24611</t>
  </si>
  <si>
    <t>1905532137</t>
  </si>
  <si>
    <t>FEHF25870</t>
  </si>
  <si>
    <t>1905532139</t>
  </si>
  <si>
    <t>252695548 ANGIE LEAL</t>
  </si>
  <si>
    <t>FEHF29898</t>
  </si>
  <si>
    <t>1905532142</t>
  </si>
  <si>
    <t>10130842049</t>
  </si>
  <si>
    <t>FEHF17419</t>
  </si>
  <si>
    <t>252693557 CARLOS MARTINEZ</t>
  </si>
  <si>
    <t>1905532162</t>
  </si>
  <si>
    <t>FEHF20475</t>
  </si>
  <si>
    <t>47189406111 BRAYAN RODRIGUEZ</t>
  </si>
  <si>
    <t>1905532163</t>
  </si>
  <si>
    <t>FEHF21003</t>
  </si>
  <si>
    <t>25269172743 DIANA MARIN</t>
  </si>
  <si>
    <t>1905532164</t>
  </si>
  <si>
    <t>FEHF25149</t>
  </si>
  <si>
    <t>252691816 INGRID QUEVEDO</t>
  </si>
  <si>
    <t>1905532165</t>
  </si>
  <si>
    <t>FEHF28056</t>
  </si>
  <si>
    <t>1905532167</t>
  </si>
  <si>
    <t>11101609974</t>
  </si>
  <si>
    <t>FEHF31421</t>
  </si>
  <si>
    <t>1905794040</t>
  </si>
  <si>
    <t>FEHF32592</t>
  </si>
  <si>
    <t>252694444 JESUS PADILLA</t>
  </si>
  <si>
    <t>1905794052</t>
  </si>
  <si>
    <t>FEHF33001</t>
  </si>
  <si>
    <t>1905794066</t>
  </si>
  <si>
    <t>FEHF35612</t>
  </si>
  <si>
    <t>25754132120 YULIETH MADERA</t>
  </si>
  <si>
    <t>1905794078</t>
  </si>
  <si>
    <t>FEHF42831</t>
  </si>
  <si>
    <t>1905794090</t>
  </si>
  <si>
    <t>FEHF46247</t>
  </si>
  <si>
    <t>1905794100</t>
  </si>
  <si>
    <t>FEHF44917</t>
  </si>
  <si>
    <t>1905886733</t>
  </si>
  <si>
    <t>FEHF46542</t>
  </si>
  <si>
    <t>1905886959</t>
  </si>
  <si>
    <t>FEHF50729</t>
  </si>
  <si>
    <t>252695571 RAFAELA GUZMAN</t>
  </si>
  <si>
    <t>1905887072</t>
  </si>
  <si>
    <t>FEHF51918</t>
  </si>
  <si>
    <t>1905887113</t>
  </si>
  <si>
    <t>FEHF55189</t>
  </si>
  <si>
    <t>25269172897 HARVEY SANCHEZ</t>
  </si>
  <si>
    <t>1905887199</t>
  </si>
  <si>
    <t>FEHF55237</t>
  </si>
  <si>
    <t>1905887261</t>
  </si>
  <si>
    <t>12101442707</t>
  </si>
  <si>
    <t>FEHF45044</t>
  </si>
  <si>
    <t>1905873164</t>
  </si>
  <si>
    <t>12101505959</t>
  </si>
  <si>
    <t>FEHF51872</t>
  </si>
  <si>
    <t>1905873203</t>
  </si>
  <si>
    <t>FEHF53497</t>
  </si>
  <si>
    <t>25754180573 ANA SEQUERA</t>
  </si>
  <si>
    <t>1905873206</t>
  </si>
  <si>
    <t>FEHF57349</t>
  </si>
  <si>
    <t>1905873211</t>
  </si>
  <si>
    <t>MPS CUN-2036</t>
  </si>
  <si>
    <t>HSRF3935898</t>
  </si>
  <si>
    <t>25754124890 OMAR GALINDO</t>
  </si>
  <si>
    <t>1905159696</t>
  </si>
  <si>
    <t>HSRF3933178</t>
  </si>
  <si>
    <t>25426123180 DIANA PINZON</t>
  </si>
  <si>
    <t>1905159724</t>
  </si>
  <si>
    <t>HSRF3981650</t>
  </si>
  <si>
    <t>1905144076</t>
  </si>
  <si>
    <t>FEHF11799</t>
  </si>
  <si>
    <t>25754144482 INGRID PINEDA</t>
  </si>
  <si>
    <t>1905239728</t>
  </si>
  <si>
    <t>FEHF13555</t>
  </si>
  <si>
    <t>252694600 LUZ ESCOBAR</t>
  </si>
  <si>
    <t>1905239732</t>
  </si>
  <si>
    <t>FEHF8375</t>
  </si>
  <si>
    <t>1905239815</t>
  </si>
  <si>
    <t>FEHF9913</t>
  </si>
  <si>
    <t>1905239836</t>
  </si>
  <si>
    <t>FEHF10527</t>
  </si>
  <si>
    <t>1905239901</t>
  </si>
  <si>
    <t>2000385341</t>
  </si>
  <si>
    <t>1120849280</t>
  </si>
  <si>
    <t>FEHF60896</t>
  </si>
  <si>
    <t>2000463312</t>
  </si>
  <si>
    <t>47053413416 BRAYAN CERBEÑO</t>
  </si>
  <si>
    <t>1906074683</t>
  </si>
  <si>
    <t>12101426750</t>
  </si>
  <si>
    <t>FEHF56376</t>
  </si>
  <si>
    <t>1905746817</t>
  </si>
  <si>
    <t>12101443657</t>
  </si>
  <si>
    <t>FEHF51949</t>
  </si>
  <si>
    <t>47288437293 MILEIDIS PATIÑO</t>
  </si>
  <si>
    <t>1905787950</t>
  </si>
  <si>
    <t>20210228</t>
  </si>
  <si>
    <t>SALDO CARTERA EVENTO</t>
  </si>
  <si>
    <t>10130846135</t>
  </si>
  <si>
    <t>12101507466</t>
  </si>
  <si>
    <t>13-jtatis Eurek</t>
  </si>
  <si>
    <t>20210206</t>
  </si>
  <si>
    <t>20210304</t>
  </si>
  <si>
    <t>7091115114</t>
  </si>
  <si>
    <t>9070817747</t>
  </si>
  <si>
    <t>9070913444</t>
  </si>
  <si>
    <t>10130758324</t>
  </si>
  <si>
    <t>68-mvega Eurek</t>
  </si>
  <si>
    <t>1120851636</t>
  </si>
  <si>
    <t>COMPENS MPS ATL-2185</t>
  </si>
  <si>
    <t>GL-085555558631656</t>
  </si>
  <si>
    <t>1120852525</t>
  </si>
  <si>
    <t>1120900968</t>
  </si>
  <si>
    <t>12101512724</t>
  </si>
  <si>
    <t>20210316</t>
  </si>
  <si>
    <t>COMPENSACIÓN</t>
  </si>
  <si>
    <t>2000479090</t>
  </si>
  <si>
    <t>1120850845</t>
  </si>
  <si>
    <t>FEHF60987</t>
  </si>
  <si>
    <t>25269172927 LUIS GAMBOA</t>
  </si>
  <si>
    <t>1906084448</t>
  </si>
  <si>
    <t>FEHF71609</t>
  </si>
  <si>
    <t>1906084460</t>
  </si>
  <si>
    <t>1120858905</t>
  </si>
  <si>
    <t>FEHF60013</t>
  </si>
  <si>
    <t>25473172775 YULIANA FANDIÑO</t>
  </si>
  <si>
    <t>1906084580</t>
  </si>
  <si>
    <t>FEHF62960</t>
  </si>
  <si>
    <t>252693946 ADRIANA LEAÑO</t>
  </si>
  <si>
    <t>1906084633</t>
  </si>
  <si>
    <t>FEHF69403</t>
  </si>
  <si>
    <t>1906084644</t>
  </si>
  <si>
    <t>FEHF70587</t>
  </si>
  <si>
    <t>1906084653</t>
  </si>
  <si>
    <t>1120912830</t>
  </si>
  <si>
    <t>FEHF59331</t>
  </si>
  <si>
    <t>252694022 MIGUEL GUZMAN</t>
  </si>
  <si>
    <t>1906085100</t>
  </si>
  <si>
    <t>FEHF59404</t>
  </si>
  <si>
    <t>1906085110</t>
  </si>
  <si>
    <t>FEHF60385</t>
  </si>
  <si>
    <t>1906085118</t>
  </si>
  <si>
    <t>FEHF61344</t>
  </si>
  <si>
    <t>1906085123</t>
  </si>
  <si>
    <t>FEHF61375</t>
  </si>
  <si>
    <t>1906085129</t>
  </si>
  <si>
    <t>FEHF61852</t>
  </si>
  <si>
    <t>252694068 SARA HURTADO</t>
  </si>
  <si>
    <t>1906085135</t>
  </si>
  <si>
    <t>FEHF61879</t>
  </si>
  <si>
    <t>1906085141</t>
  </si>
  <si>
    <t>FEHF63624</t>
  </si>
  <si>
    <t>1906085147</t>
  </si>
  <si>
    <t>FEHF64474</t>
  </si>
  <si>
    <t>1906085151</t>
  </si>
  <si>
    <t>FEHF64743</t>
  </si>
  <si>
    <t>1906085156</t>
  </si>
  <si>
    <t>FEHF65109</t>
  </si>
  <si>
    <t>1906085162</t>
  </si>
  <si>
    <t>FEHF65176</t>
  </si>
  <si>
    <t>1906085169</t>
  </si>
  <si>
    <t>FEHF68984</t>
  </si>
  <si>
    <t>1906085178</t>
  </si>
  <si>
    <t>FEHF70266</t>
  </si>
  <si>
    <t>1906085183</t>
  </si>
  <si>
    <t>SALDO 25754127280 MARLEN BELLACO</t>
  </si>
  <si>
    <t>MPS CUN-2484</t>
  </si>
  <si>
    <t>COMPENSACIÓN DICIEMBRE /2021 CUNDINAMARCA</t>
  </si>
  <si>
    <t>2000412879</t>
  </si>
  <si>
    <t>1120859379</t>
  </si>
  <si>
    <t>1120850618</t>
  </si>
  <si>
    <t>FEHF61047</t>
  </si>
  <si>
    <t>70429039617 YESSICA ARREOLA</t>
  </si>
  <si>
    <t>1906067241</t>
  </si>
  <si>
    <t>1120851408</t>
  </si>
  <si>
    <t>FEHF64596</t>
  </si>
  <si>
    <t>1906126360</t>
  </si>
  <si>
    <t>1120858173</t>
  </si>
  <si>
    <t>FEHF61209</t>
  </si>
  <si>
    <t>68081442604 MELISSA MANTILLA</t>
  </si>
  <si>
    <t>1906126546</t>
  </si>
  <si>
    <t>1120859972</t>
  </si>
  <si>
    <t>FEHF61311</t>
  </si>
  <si>
    <t>1906190746</t>
  </si>
  <si>
    <t>FEHF61326</t>
  </si>
  <si>
    <t>13430068327 CENITH PADILLA</t>
  </si>
  <si>
    <t>1906190758</t>
  </si>
  <si>
    <t>1120904811</t>
  </si>
  <si>
    <t>FEHF69783</t>
  </si>
  <si>
    <t>13001462744 WILSON GUTIERREZ</t>
  </si>
  <si>
    <t>1906194871</t>
  </si>
  <si>
    <t>20210328</t>
  </si>
  <si>
    <t>2110756171</t>
  </si>
  <si>
    <t>FEHF75484</t>
  </si>
  <si>
    <t>1906253905</t>
  </si>
  <si>
    <t>FEHF80213</t>
  </si>
  <si>
    <t>70713232512 YIREIDIS JIMENEZ</t>
  </si>
  <si>
    <t>1906260106</t>
  </si>
  <si>
    <t>70001236680 HIJO DE MENDOZA</t>
  </si>
  <si>
    <t>15135000244 ANA BRAVO</t>
  </si>
  <si>
    <t>2110812722</t>
  </si>
  <si>
    <t>FEHF78241</t>
  </si>
  <si>
    <t>4769200754401 WILLIAM VELAIDEZ</t>
  </si>
  <si>
    <t>1906253913</t>
  </si>
  <si>
    <t>HSRF3980548</t>
  </si>
  <si>
    <t>54001042399 LUIS ARIAS</t>
  </si>
  <si>
    <t>1905144071</t>
  </si>
  <si>
    <t>SALD PENDI X LEGALIZAR PAGO EVENTO AGOS 2020</t>
  </si>
  <si>
    <t>20210407</t>
  </si>
  <si>
    <t>54-jlpenaloza Eurek</t>
  </si>
  <si>
    <t>2110813661</t>
  </si>
  <si>
    <t>20210331</t>
  </si>
  <si>
    <t>2110810968</t>
  </si>
  <si>
    <t>20210311</t>
  </si>
  <si>
    <t>20210413</t>
  </si>
  <si>
    <t>2110733772</t>
  </si>
  <si>
    <t>3091436232</t>
  </si>
  <si>
    <t>2000500450</t>
  </si>
  <si>
    <t>3100718937</t>
  </si>
  <si>
    <t>FEHF89436</t>
  </si>
  <si>
    <t>47053476805 MARIANELA ALVARADO</t>
  </si>
  <si>
    <t>1906368131</t>
  </si>
  <si>
    <t>FEHF93162</t>
  </si>
  <si>
    <t>1906368141</t>
  </si>
  <si>
    <t>20210424</t>
  </si>
  <si>
    <t>2110755411</t>
  </si>
  <si>
    <t>20210430</t>
  </si>
  <si>
    <t>FEHF78465</t>
  </si>
  <si>
    <t>2000530448</t>
  </si>
  <si>
    <t>2110754204</t>
  </si>
  <si>
    <t>FEHF72270</t>
  </si>
  <si>
    <t>11001164317 DIANA ORJUELA</t>
  </si>
  <si>
    <t>1906633927</t>
  </si>
  <si>
    <t>2110757609</t>
  </si>
  <si>
    <t>FEHF75963</t>
  </si>
  <si>
    <t>76109158477 CINDY PUENTES</t>
  </si>
  <si>
    <t>1906495879</t>
  </si>
  <si>
    <t>76-dcasilimas Eurek</t>
  </si>
  <si>
    <t>2110812683</t>
  </si>
  <si>
    <t>1906562520</t>
  </si>
  <si>
    <t>MPS VAL-2379</t>
  </si>
  <si>
    <t>2000401131</t>
  </si>
  <si>
    <t>20210601</t>
  </si>
  <si>
    <t>FEHF84653</t>
  </si>
  <si>
    <t>2000531746</t>
  </si>
  <si>
    <t>3091500637</t>
  </si>
  <si>
    <t>1906744995</t>
  </si>
  <si>
    <t>SALDO PENDIENTE POR LEGALIZAR MARZO 2021</t>
  </si>
  <si>
    <t>FEHF84635</t>
  </si>
  <si>
    <t>2000531748</t>
  </si>
  <si>
    <t>2031150496</t>
  </si>
  <si>
    <t>FEHF38408</t>
  </si>
  <si>
    <t>1906501849</t>
  </si>
  <si>
    <t>2110732179</t>
  </si>
  <si>
    <t>FEHF72900</t>
  </si>
  <si>
    <t>1906501852</t>
  </si>
  <si>
    <t>FEHF74291</t>
  </si>
  <si>
    <t>1906501853</t>
  </si>
  <si>
    <t>FEHF74678</t>
  </si>
  <si>
    <t>1906501854</t>
  </si>
  <si>
    <t>FEHF75747</t>
  </si>
  <si>
    <t>1906501855</t>
  </si>
  <si>
    <t>FEHF77241</t>
  </si>
  <si>
    <t>1906501861</t>
  </si>
  <si>
    <t>FEHF77341</t>
  </si>
  <si>
    <t>1906501868</t>
  </si>
  <si>
    <t>2110738068</t>
  </si>
  <si>
    <t>FEHF72512</t>
  </si>
  <si>
    <t>1906501904</t>
  </si>
  <si>
    <t>FEHF73739</t>
  </si>
  <si>
    <t>1906501908</t>
  </si>
  <si>
    <t>FEHF73793</t>
  </si>
  <si>
    <t>1906501909</t>
  </si>
  <si>
    <t>FEHF73998</t>
  </si>
  <si>
    <t>1906501911</t>
  </si>
  <si>
    <t>FEHF74257</t>
  </si>
  <si>
    <t>1906501912</t>
  </si>
  <si>
    <t>FEHF74328</t>
  </si>
  <si>
    <t>1906501914</t>
  </si>
  <si>
    <t>FEHF75317</t>
  </si>
  <si>
    <t>1906501917</t>
  </si>
  <si>
    <t>FEHF77120</t>
  </si>
  <si>
    <t>1906501919</t>
  </si>
  <si>
    <t>FEHF78359</t>
  </si>
  <si>
    <t>1906501921</t>
  </si>
  <si>
    <t>FEHF78898</t>
  </si>
  <si>
    <t>1906501923</t>
  </si>
  <si>
    <t>2110753490</t>
  </si>
  <si>
    <t>FEHF71494</t>
  </si>
  <si>
    <t>1906501941</t>
  </si>
  <si>
    <t>FEHF72660</t>
  </si>
  <si>
    <t>1906501944</t>
  </si>
  <si>
    <t>FEHF73062</t>
  </si>
  <si>
    <t>20013360996 LUIS BENAVIDES</t>
  </si>
  <si>
    <t>1906501945</t>
  </si>
  <si>
    <t>FEHF77547</t>
  </si>
  <si>
    <t>252691509 DIANA MEDINA</t>
  </si>
  <si>
    <t>1906501947</t>
  </si>
  <si>
    <t>2110808057</t>
  </si>
  <si>
    <t>FEHF72503</t>
  </si>
  <si>
    <t>1906501949</t>
  </si>
  <si>
    <t>FEHF76846</t>
  </si>
  <si>
    <t>1906501950</t>
  </si>
  <si>
    <t>3091438414</t>
  </si>
  <si>
    <t>FEHF83835</t>
  </si>
  <si>
    <t>47460424338 MARIA GUERRA</t>
  </si>
  <si>
    <t>1906648136</t>
  </si>
  <si>
    <t>FEHF90869</t>
  </si>
  <si>
    <t>1906648141</t>
  </si>
  <si>
    <t>3091441186</t>
  </si>
  <si>
    <t>FEHF83015</t>
  </si>
  <si>
    <t>252694553 MARIA RIVERA</t>
  </si>
  <si>
    <t>1906744551</t>
  </si>
  <si>
    <t>FEHF87480</t>
  </si>
  <si>
    <t>25269172938 MIREYA BERNAL</t>
  </si>
  <si>
    <t>1906744554</t>
  </si>
  <si>
    <t>FEHF88389</t>
  </si>
  <si>
    <t>1906744556</t>
  </si>
  <si>
    <t>FEHF94879</t>
  </si>
  <si>
    <t>1906744563</t>
  </si>
  <si>
    <t>3091453940</t>
  </si>
  <si>
    <t>FEHF81096</t>
  </si>
  <si>
    <t>1906744653</t>
  </si>
  <si>
    <t>FEHF82272</t>
  </si>
  <si>
    <t>1906744661</t>
  </si>
  <si>
    <t>FEHF83009</t>
  </si>
  <si>
    <t>1906744668</t>
  </si>
  <si>
    <t>FEHF83010</t>
  </si>
  <si>
    <t>1906744676</t>
  </si>
  <si>
    <t>FEHF84110</t>
  </si>
  <si>
    <t>1906744682</t>
  </si>
  <si>
    <t>FEHF84177</t>
  </si>
  <si>
    <t>1906744691</t>
  </si>
  <si>
    <t>FEHF85172</t>
  </si>
  <si>
    <t>1906744698</t>
  </si>
  <si>
    <t>FEHF86054</t>
  </si>
  <si>
    <t>1906744704</t>
  </si>
  <si>
    <t>FEHF86711</t>
  </si>
  <si>
    <t>1906744735</t>
  </si>
  <si>
    <t>FEHF87187</t>
  </si>
  <si>
    <t>1906744752</t>
  </si>
  <si>
    <t>FEHF87364</t>
  </si>
  <si>
    <t>1906744760</t>
  </si>
  <si>
    <t>FEHF87673</t>
  </si>
  <si>
    <t>1906744774</t>
  </si>
  <si>
    <t>FEHF88293</t>
  </si>
  <si>
    <t>1906744780</t>
  </si>
  <si>
    <t>FEHF91862</t>
  </si>
  <si>
    <t>1906744790</t>
  </si>
  <si>
    <t>FEHF92369</t>
  </si>
  <si>
    <t>1906744802</t>
  </si>
  <si>
    <t>3091455850</t>
  </si>
  <si>
    <t>FEHF81926</t>
  </si>
  <si>
    <t>1906648373</t>
  </si>
  <si>
    <t>FEHF81930</t>
  </si>
  <si>
    <t>1906648382</t>
  </si>
  <si>
    <t>FEHF88974</t>
  </si>
  <si>
    <t>1906648384</t>
  </si>
  <si>
    <t>FEHF83514</t>
  </si>
  <si>
    <t>1906744899</t>
  </si>
  <si>
    <t>FEHF83972</t>
  </si>
  <si>
    <t>1906744913</t>
  </si>
  <si>
    <t>1906744975</t>
  </si>
  <si>
    <t>FEHF84636</t>
  </si>
  <si>
    <t>1906744985</t>
  </si>
  <si>
    <t>SALDO 254735631 ZORAIDA BENITEZ</t>
  </si>
  <si>
    <t>MPS CUN-2373</t>
  </si>
  <si>
    <t>2000401125</t>
  </si>
  <si>
    <t>FEHF87055</t>
  </si>
  <si>
    <t>1906745012</t>
  </si>
  <si>
    <t>FEHF87608</t>
  </si>
  <si>
    <t>1906745023</t>
  </si>
  <si>
    <t>FEHF89115</t>
  </si>
  <si>
    <t>1906745044</t>
  </si>
  <si>
    <t>FEHF89806</t>
  </si>
  <si>
    <t>1906745053</t>
  </si>
  <si>
    <t>FEHF89976</t>
  </si>
  <si>
    <t>1906745060</t>
  </si>
  <si>
    <t>FEHF92243</t>
  </si>
  <si>
    <t>25269172541 MATIAS MURILLO</t>
  </si>
  <si>
    <t>1906745065</t>
  </si>
  <si>
    <t>FEHF92507</t>
  </si>
  <si>
    <t>1906745071</t>
  </si>
  <si>
    <t>FEHF92818</t>
  </si>
  <si>
    <t>1906745077</t>
  </si>
  <si>
    <t>25307120426 BETSABE GARCIA</t>
  </si>
  <si>
    <t>3100719595</t>
  </si>
  <si>
    <t>FEHF90654</t>
  </si>
  <si>
    <t>1906648480</t>
  </si>
  <si>
    <t>MPS CUN-2485</t>
  </si>
  <si>
    <t>2000412880</t>
  </si>
  <si>
    <t>FEHF57409</t>
  </si>
  <si>
    <t>2000531755</t>
  </si>
  <si>
    <t>1905784455</t>
  </si>
  <si>
    <t>2905100206</t>
  </si>
  <si>
    <t>FEHF72644</t>
  </si>
  <si>
    <t>1906501906</t>
  </si>
  <si>
    <t>FEHF73678</t>
  </si>
  <si>
    <t>1906501907</t>
  </si>
  <si>
    <t>SALDO SALDO 08001166564 MARTHA AREVALO</t>
  </si>
  <si>
    <t>SALDO 15632173438 HECTOR SANCHEZ</t>
  </si>
  <si>
    <t>SALDO 15469183484 MERCEDES RODRIGUEZ</t>
  </si>
  <si>
    <t>SALDO 54001352759 BRAYAN PEREZ</t>
  </si>
  <si>
    <t>SALDO 47980059968 OLGA MANJARRES</t>
  </si>
  <si>
    <t>3091439700</t>
  </si>
  <si>
    <t>FEHF85492</t>
  </si>
  <si>
    <t>05250447405 YARLIDIS MEJIA</t>
  </si>
  <si>
    <t>1906639362</t>
  </si>
  <si>
    <t>47960155901 SIRLEY ESPITIA</t>
  </si>
  <si>
    <t>08433519518 JORGE JIMENEZ</t>
  </si>
  <si>
    <t>3091441665</t>
  </si>
  <si>
    <t>FEHF92970</t>
  </si>
  <si>
    <t>1906646757</t>
  </si>
  <si>
    <t>3091454745</t>
  </si>
  <si>
    <t>FEHF85978</t>
  </si>
  <si>
    <t>1906443608</t>
  </si>
  <si>
    <t>FEHF89053</t>
  </si>
  <si>
    <t>1906745038</t>
  </si>
  <si>
    <t>3091501350</t>
  </si>
  <si>
    <t>FEHF89072</t>
  </si>
  <si>
    <t>1906639365</t>
  </si>
  <si>
    <t>3100721256</t>
  </si>
  <si>
    <t>FEHF93393</t>
  </si>
  <si>
    <t>08436570981 IVIS SANDOVAL</t>
  </si>
  <si>
    <t>1906639659</t>
  </si>
  <si>
    <t>08560609368 ANGIE VIZCAINO</t>
  </si>
  <si>
    <t>4091000932</t>
  </si>
  <si>
    <t>FEHF100280</t>
  </si>
  <si>
    <t>54874490952 EDWARD LANDINEZ</t>
  </si>
  <si>
    <t>1906685510</t>
  </si>
  <si>
    <t>FEHF105736</t>
  </si>
  <si>
    <t>1906685513</t>
  </si>
  <si>
    <t>SALDO X LEGALIZAR EVENTO AGOSTO 2020</t>
  </si>
  <si>
    <t>4090845579</t>
  </si>
  <si>
    <t>4090920517</t>
  </si>
  <si>
    <t>23-seperez Eurek</t>
  </si>
  <si>
    <t>4091047214</t>
  </si>
  <si>
    <t>20210531</t>
  </si>
  <si>
    <t>2000552109</t>
  </si>
  <si>
    <t>4090847673</t>
  </si>
  <si>
    <t>FEHF95296</t>
  </si>
  <si>
    <t>1906783204</t>
  </si>
  <si>
    <t>FEHF103609</t>
  </si>
  <si>
    <t>1906783205</t>
  </si>
  <si>
    <t>4090957801</t>
  </si>
  <si>
    <t>FEHF103569</t>
  </si>
  <si>
    <t>1906783213</t>
  </si>
  <si>
    <t>FEHF109380</t>
  </si>
  <si>
    <t>08001394748 LORAINE BORRERO</t>
  </si>
  <si>
    <t>1906783214</t>
  </si>
  <si>
    <t>4091049262</t>
  </si>
  <si>
    <t>1906776928</t>
  </si>
  <si>
    <t>SALDO SALDO CARTERA EVENTO</t>
  </si>
  <si>
    <t>5101454829</t>
  </si>
  <si>
    <t>4081305532</t>
  </si>
  <si>
    <t>4081301506</t>
  </si>
  <si>
    <t>4090847663</t>
  </si>
  <si>
    <t>4090923613</t>
  </si>
  <si>
    <t>4090845569</t>
  </si>
  <si>
    <t>5110757086</t>
  </si>
  <si>
    <t>20210630</t>
  </si>
  <si>
    <t>4090920496</t>
  </si>
  <si>
    <t>4090956894</t>
  </si>
  <si>
    <t>5110812284</t>
  </si>
  <si>
    <t>5110814372</t>
  </si>
  <si>
    <t>2000564891</t>
  </si>
  <si>
    <t>SALDO 47551417550 MARIANA BOLIVAR</t>
  </si>
  <si>
    <t>SALDO 47460388378 MISHELLYS JARABA</t>
  </si>
  <si>
    <t>5071316700</t>
  </si>
  <si>
    <t>FEHF50326</t>
  </si>
  <si>
    <t>1907099661</t>
  </si>
  <si>
    <t>5071332000</t>
  </si>
  <si>
    <t>FEHF45801</t>
  </si>
  <si>
    <t>1907099756</t>
  </si>
  <si>
    <t>FEHF49608</t>
  </si>
  <si>
    <t>1907099803</t>
  </si>
  <si>
    <t>SALDO 47288416527 ELISEO BARROS</t>
  </si>
  <si>
    <t>FEHF113440</t>
  </si>
  <si>
    <t>1907101020</t>
  </si>
  <si>
    <t>FEHF114911</t>
  </si>
  <si>
    <t>1907101058</t>
  </si>
  <si>
    <t>FEHF115669</t>
  </si>
  <si>
    <t>1907101063</t>
  </si>
  <si>
    <t>FEHF117786</t>
  </si>
  <si>
    <t>1907101243</t>
  </si>
  <si>
    <t>20210729</t>
  </si>
  <si>
    <t>4090958330</t>
  </si>
  <si>
    <t>FEHF96761</t>
  </si>
  <si>
    <t>15218107831 AIDALYD DIAZ</t>
  </si>
  <si>
    <t>1907065485</t>
  </si>
  <si>
    <t>FEHF101691</t>
  </si>
  <si>
    <t>15580197819 JENNY DIAZ</t>
  </si>
  <si>
    <t>1907065493</t>
  </si>
  <si>
    <t>FEHF103807</t>
  </si>
  <si>
    <t>1907065510</t>
  </si>
  <si>
    <t>4090959748</t>
  </si>
  <si>
    <t>FEHF100166</t>
  </si>
  <si>
    <t>1906834192</t>
  </si>
  <si>
    <t>5101458478</t>
  </si>
  <si>
    <t>FEHF124510</t>
  </si>
  <si>
    <t>1907116167</t>
  </si>
  <si>
    <t>FEHF111895</t>
  </si>
  <si>
    <t>1907100382</t>
  </si>
  <si>
    <t>FEHF114952</t>
  </si>
  <si>
    <t>1907100427</t>
  </si>
  <si>
    <t>FEHF115534</t>
  </si>
  <si>
    <t>1907100474</t>
  </si>
  <si>
    <t>FEHF117245</t>
  </si>
  <si>
    <t>1907100516</t>
  </si>
  <si>
    <t>FEHF117588</t>
  </si>
  <si>
    <t>1907100551</t>
  </si>
  <si>
    <t>FEHF117778</t>
  </si>
  <si>
    <t>1907100556</t>
  </si>
  <si>
    <t>FEHF117779</t>
  </si>
  <si>
    <t>1907100563</t>
  </si>
  <si>
    <t>FEHF118193</t>
  </si>
  <si>
    <t>1907100566</t>
  </si>
  <si>
    <t>FEHF119061</t>
  </si>
  <si>
    <t>1907100578</t>
  </si>
  <si>
    <t>FEHF122329</t>
  </si>
  <si>
    <t>1907100585</t>
  </si>
  <si>
    <t>FEHF123339</t>
  </si>
  <si>
    <t>1907100642</t>
  </si>
  <si>
    <t>FEHF123818</t>
  </si>
  <si>
    <t>2526921331 HIJO DE LEGUIZAMON</t>
  </si>
  <si>
    <t>1907100692</t>
  </si>
  <si>
    <t>FEHF124120</t>
  </si>
  <si>
    <t>1907100697</t>
  </si>
  <si>
    <t>FEHF124124</t>
  </si>
  <si>
    <t>1907100715</t>
  </si>
  <si>
    <t>FEHF124125</t>
  </si>
  <si>
    <t>1907100732</t>
  </si>
  <si>
    <t>FEHF124612</t>
  </si>
  <si>
    <t>1907100753</t>
  </si>
  <si>
    <t>5101628001</t>
  </si>
  <si>
    <t>FEHF118511</t>
  </si>
  <si>
    <t>1907100808</t>
  </si>
  <si>
    <t>FEHF121107</t>
  </si>
  <si>
    <t>1907100839</t>
  </si>
  <si>
    <t>5110753528</t>
  </si>
  <si>
    <t>FEHF110731</t>
  </si>
  <si>
    <t>252694681 JOSE VARGAS</t>
  </si>
  <si>
    <t>1907100917</t>
  </si>
  <si>
    <t>FEHF113801</t>
  </si>
  <si>
    <t>1907100930</t>
  </si>
  <si>
    <t>FEHF122711</t>
  </si>
  <si>
    <t>1907100950</t>
  </si>
  <si>
    <t>FEHF111287</t>
  </si>
  <si>
    <t>1907100981</t>
  </si>
  <si>
    <t>FEHF111389</t>
  </si>
  <si>
    <t>1907100989</t>
  </si>
  <si>
    <t>FEHF114745</t>
  </si>
  <si>
    <t>1907101052</t>
  </si>
  <si>
    <t>FEHF116786</t>
  </si>
  <si>
    <t>1907101223</t>
  </si>
  <si>
    <t>FEHF117085</t>
  </si>
  <si>
    <t>1907101227</t>
  </si>
  <si>
    <t>FEHF117089</t>
  </si>
  <si>
    <t>1907101232</t>
  </si>
  <si>
    <t>FEHF117250</t>
  </si>
  <si>
    <t>1907101236</t>
  </si>
  <si>
    <t>FEHF117328</t>
  </si>
  <si>
    <t>1907101240</t>
  </si>
  <si>
    <t>FEHF118326</t>
  </si>
  <si>
    <t>1907101246</t>
  </si>
  <si>
    <t>FEHF118472</t>
  </si>
  <si>
    <t>1907101250</t>
  </si>
  <si>
    <t>FEHF119241</t>
  </si>
  <si>
    <t>1907101255</t>
  </si>
  <si>
    <t>FEHF119513</t>
  </si>
  <si>
    <t>1907101260</t>
  </si>
  <si>
    <t>1907101267</t>
  </si>
  <si>
    <t>FEHF120197</t>
  </si>
  <si>
    <t>1907101269</t>
  </si>
  <si>
    <t>FEHF120436</t>
  </si>
  <si>
    <t>1907101271</t>
  </si>
  <si>
    <t>FEHF120441</t>
  </si>
  <si>
    <t>1907101274</t>
  </si>
  <si>
    <t>FEHF120490</t>
  </si>
  <si>
    <t>1907101277</t>
  </si>
  <si>
    <t>FEHF120721</t>
  </si>
  <si>
    <t>1907101282</t>
  </si>
  <si>
    <t>FEHF120743</t>
  </si>
  <si>
    <t>1907101284</t>
  </si>
  <si>
    <t>FEHF121733</t>
  </si>
  <si>
    <t>1907101326</t>
  </si>
  <si>
    <t>FEHF122246</t>
  </si>
  <si>
    <t>1907101330</t>
  </si>
  <si>
    <t>FEHF122305</t>
  </si>
  <si>
    <t>1907101333</t>
  </si>
  <si>
    <t>FEHF124324</t>
  </si>
  <si>
    <t>1907101337</t>
  </si>
  <si>
    <t>MPS BOY -1434</t>
  </si>
  <si>
    <t>2000357116</t>
  </si>
  <si>
    <t>5071340352</t>
  </si>
  <si>
    <t>FEHF53111</t>
  </si>
  <si>
    <t>2000582008</t>
  </si>
  <si>
    <t>FEHF42137</t>
  </si>
  <si>
    <t>1907040500</t>
  </si>
  <si>
    <t>4090924084</t>
  </si>
  <si>
    <t>FEHF103791</t>
  </si>
  <si>
    <t>1907045268</t>
  </si>
  <si>
    <t>FEHF95131</t>
  </si>
  <si>
    <t>1907045452</t>
  </si>
  <si>
    <t>FEHF98645</t>
  </si>
  <si>
    <t>1907045469</t>
  </si>
  <si>
    <t>FEHF99860</t>
  </si>
  <si>
    <t>1907045480</t>
  </si>
  <si>
    <t>FEHF101028</t>
  </si>
  <si>
    <t>1907045500</t>
  </si>
  <si>
    <t>FEHF104299</t>
  </si>
  <si>
    <t>252694079 ENGELZ SILVA</t>
  </si>
  <si>
    <t>1907045595</t>
  </si>
  <si>
    <t>FEHF107216</t>
  </si>
  <si>
    <t>252695705 MARIA LOPEZ</t>
  </si>
  <si>
    <t>1907045609</t>
  </si>
  <si>
    <t>FEHF107488</t>
  </si>
  <si>
    <t>1907045693</t>
  </si>
  <si>
    <t>FEHF108819</t>
  </si>
  <si>
    <t>1907045752</t>
  </si>
  <si>
    <t>FEHF108882</t>
  </si>
  <si>
    <t>1907045761</t>
  </si>
  <si>
    <t>FEHF94700</t>
  </si>
  <si>
    <t>1907046374</t>
  </si>
  <si>
    <t>FEHF94805</t>
  </si>
  <si>
    <t>1907046390</t>
  </si>
  <si>
    <t>FEHF95489</t>
  </si>
  <si>
    <t>1907046426</t>
  </si>
  <si>
    <t>FEHF97653</t>
  </si>
  <si>
    <t>1907046454</t>
  </si>
  <si>
    <t>FEHF98401</t>
  </si>
  <si>
    <t>1907046466</t>
  </si>
  <si>
    <t>FEHF100164</t>
  </si>
  <si>
    <t>1907046500</t>
  </si>
  <si>
    <t>FEHF101740</t>
  </si>
  <si>
    <t>1907046524</t>
  </si>
  <si>
    <t>FEHF102015</t>
  </si>
  <si>
    <t>1907046534</t>
  </si>
  <si>
    <t>FEHF102778</t>
  </si>
  <si>
    <t>1907046541</t>
  </si>
  <si>
    <t>FEHF103494</t>
  </si>
  <si>
    <t>1907046550</t>
  </si>
  <si>
    <t>FEHF104675</t>
  </si>
  <si>
    <t>1907046558</t>
  </si>
  <si>
    <t>FEHF105305</t>
  </si>
  <si>
    <t>1907046627</t>
  </si>
  <si>
    <t>FEHF105858</t>
  </si>
  <si>
    <t>1907046638</t>
  </si>
  <si>
    <t>FEHF106701</t>
  </si>
  <si>
    <t>1907046696</t>
  </si>
  <si>
    <t>FEHF106922</t>
  </si>
  <si>
    <t>1907046716</t>
  </si>
  <si>
    <t>FEHF107561</t>
  </si>
  <si>
    <t>1907046739</t>
  </si>
  <si>
    <t>FEHF108566</t>
  </si>
  <si>
    <t>1907046784</t>
  </si>
  <si>
    <t>FEHF109322</t>
  </si>
  <si>
    <t>1907046792</t>
  </si>
  <si>
    <t>FEHF46443</t>
  </si>
  <si>
    <t>1907099354</t>
  </si>
  <si>
    <t>FEHF46633</t>
  </si>
  <si>
    <t>1907099395</t>
  </si>
  <si>
    <t>FEHF47581</t>
  </si>
  <si>
    <t>1907099521</t>
  </si>
  <si>
    <t>FEHF47883</t>
  </si>
  <si>
    <t>1907099558</t>
  </si>
  <si>
    <t>FEHF48946</t>
  </si>
  <si>
    <t>1907099578</t>
  </si>
  <si>
    <t>FEHF49868</t>
  </si>
  <si>
    <t>1907099618</t>
  </si>
  <si>
    <t>FEHF50121</t>
  </si>
  <si>
    <t>1907099645</t>
  </si>
  <si>
    <t>FEHF57681</t>
  </si>
  <si>
    <t>1907099685</t>
  </si>
  <si>
    <t>FEHF44294</t>
  </si>
  <si>
    <t>1907099738</t>
  </si>
  <si>
    <t>FEHF44396</t>
  </si>
  <si>
    <t>1907099747</t>
  </si>
  <si>
    <t>FEHF47448</t>
  </si>
  <si>
    <t>1907099773</t>
  </si>
  <si>
    <t>FEHF47633</t>
  </si>
  <si>
    <t>1907099781</t>
  </si>
  <si>
    <t>FEHF49261</t>
  </si>
  <si>
    <t>1907099787</t>
  </si>
  <si>
    <t>FEHF49266</t>
  </si>
  <si>
    <t>1907099795</t>
  </si>
  <si>
    <t>FEHF52554</t>
  </si>
  <si>
    <t>252693987 MARIA TORRES</t>
  </si>
  <si>
    <t>1907099808</t>
  </si>
  <si>
    <t>FEHF52945</t>
  </si>
  <si>
    <t>1907099812</t>
  </si>
  <si>
    <t>1907099820</t>
  </si>
  <si>
    <t>SALDO SALDO X LEGALIZAR EVENTO AGOSTO 2020</t>
  </si>
  <si>
    <t>FEHF38135</t>
  </si>
  <si>
    <t>2000582009</t>
  </si>
  <si>
    <t>FEHF38130</t>
  </si>
  <si>
    <t>1907041180</t>
  </si>
  <si>
    <t>252694353 LAURA GUZMAN</t>
  </si>
  <si>
    <t>1907041185</t>
  </si>
  <si>
    <t>SALDO PENDIENTE POR LEGALIZAR DICIEMBRE 2020</t>
  </si>
  <si>
    <t>4081315287</t>
  </si>
  <si>
    <t>5110755371</t>
  </si>
  <si>
    <t>20210730</t>
  </si>
  <si>
    <t>2000593636</t>
  </si>
  <si>
    <t>FEHF97312</t>
  </si>
  <si>
    <t>1907046441</t>
  </si>
  <si>
    <t>1907046766</t>
  </si>
  <si>
    <t>1907046775</t>
  </si>
  <si>
    <t>1907100971</t>
  </si>
  <si>
    <t>1907100976</t>
  </si>
  <si>
    <t>1907100996</t>
  </si>
  <si>
    <t>1907101005</t>
  </si>
  <si>
    <t>1907101258</t>
  </si>
  <si>
    <t>1907101296</t>
  </si>
  <si>
    <t>1907101303</t>
  </si>
  <si>
    <t>1907101309</t>
  </si>
  <si>
    <t>1907101314</t>
  </si>
  <si>
    <t>1907101318</t>
  </si>
  <si>
    <t>SALDO PAGO NOVIEMBRE 2020 EVENTO</t>
  </si>
  <si>
    <t>2000597426</t>
  </si>
  <si>
    <t>6081409280</t>
  </si>
  <si>
    <t>FEHF129763</t>
  </si>
  <si>
    <t>1907352951</t>
  </si>
  <si>
    <t>7091033441</t>
  </si>
  <si>
    <t>FEHF148439</t>
  </si>
  <si>
    <t>47551148661 ANDRES COLLAZOS</t>
  </si>
  <si>
    <t>1907597187</t>
  </si>
  <si>
    <t>FEHF153773</t>
  </si>
  <si>
    <t>1907597191</t>
  </si>
  <si>
    <t>FEHF158388</t>
  </si>
  <si>
    <t>47170171911 YARILSA ACOSTA</t>
  </si>
  <si>
    <t>1907597197</t>
  </si>
  <si>
    <t>7091136356</t>
  </si>
  <si>
    <t>FEHF149972</t>
  </si>
  <si>
    <t>1907629274</t>
  </si>
  <si>
    <t>20210810</t>
  </si>
  <si>
    <t>4090922505</t>
  </si>
  <si>
    <t>20210801</t>
  </si>
  <si>
    <t>2000607713</t>
  </si>
  <si>
    <t>3091437884</t>
  </si>
  <si>
    <t>FEHF93427</t>
  </si>
  <si>
    <t>13001285002 FRANCISCO GOMEZ</t>
  </si>
  <si>
    <t>1907226516</t>
  </si>
  <si>
    <t>FEHF103347</t>
  </si>
  <si>
    <t>1907044735</t>
  </si>
  <si>
    <t>FEHF106294</t>
  </si>
  <si>
    <t>1907044766</t>
  </si>
  <si>
    <t>FEHF106452</t>
  </si>
  <si>
    <t>1907044823</t>
  </si>
  <si>
    <t>FEHF113713</t>
  </si>
  <si>
    <t>1907100781</t>
  </si>
  <si>
    <t>5110756583</t>
  </si>
  <si>
    <t>FEHF117227</t>
  </si>
  <si>
    <t>1907052680</t>
  </si>
  <si>
    <t>FEHF118530</t>
  </si>
  <si>
    <t>1907052694</t>
  </si>
  <si>
    <t>6081350546</t>
  </si>
  <si>
    <t>FEHF130511</t>
  </si>
  <si>
    <t>68081441329 GIPSY TORRES</t>
  </si>
  <si>
    <t>1907600433</t>
  </si>
  <si>
    <t>FEHF137253</t>
  </si>
  <si>
    <t>1907600442</t>
  </si>
  <si>
    <t>FEHF128228</t>
  </si>
  <si>
    <t>68001393561 DANILO SANCHEZ</t>
  </si>
  <si>
    <t>1907691427</t>
  </si>
  <si>
    <t>FEHF129956</t>
  </si>
  <si>
    <t>68322160420 ANDREA RODRIGUEZ</t>
  </si>
  <si>
    <t>1907691435</t>
  </si>
  <si>
    <t>6081412007</t>
  </si>
  <si>
    <t>FEHF137548</t>
  </si>
  <si>
    <t>68745010338 SONIA CALA</t>
  </si>
  <si>
    <t>1907468830</t>
  </si>
  <si>
    <t>6081422489</t>
  </si>
  <si>
    <t>FEHF135964</t>
  </si>
  <si>
    <t>1907689948</t>
  </si>
  <si>
    <t>FEHF89412</t>
  </si>
  <si>
    <t>13873331416 EDWIN MUÑOZ</t>
  </si>
  <si>
    <t>1907226484</t>
  </si>
  <si>
    <t>SALDO 13001307979 YINA MUÑOZ</t>
  </si>
  <si>
    <t>FEHF29532</t>
  </si>
  <si>
    <t>1907039945</t>
  </si>
  <si>
    <t>FEHF29770</t>
  </si>
  <si>
    <t>1907039969</t>
  </si>
  <si>
    <t>FEHF34783</t>
  </si>
  <si>
    <t>1907040318</t>
  </si>
  <si>
    <t>FEHF43202</t>
  </si>
  <si>
    <t>1907040538</t>
  </si>
  <si>
    <t>SALDO 252694353 LAURA GUZMAN</t>
  </si>
  <si>
    <t>68190267325 LEONIDAS AYALA</t>
  </si>
  <si>
    <t>FEHF96152</t>
  </si>
  <si>
    <t>1907044482</t>
  </si>
  <si>
    <t>FEHF99985</t>
  </si>
  <si>
    <t>1907044676</t>
  </si>
  <si>
    <t>FEHF104841</t>
  </si>
  <si>
    <t>1907044744</t>
  </si>
  <si>
    <t>FEHF106798</t>
  </si>
  <si>
    <t>1907044833</t>
  </si>
  <si>
    <t>4090851568</t>
  </si>
  <si>
    <t>FEHF96102</t>
  </si>
  <si>
    <t>1906958198</t>
  </si>
  <si>
    <t>SALDO SALDO 13440544374 DANIS MIRANDA</t>
  </si>
  <si>
    <t>FEHF94285</t>
  </si>
  <si>
    <t>1906898599</t>
  </si>
  <si>
    <t>4091049661</t>
  </si>
  <si>
    <t>FEHF106479</t>
  </si>
  <si>
    <t>1906834202</t>
  </si>
  <si>
    <t>5071306750</t>
  </si>
  <si>
    <t>FEHF31964</t>
  </si>
  <si>
    <t>1907099125</t>
  </si>
  <si>
    <t>5071309300</t>
  </si>
  <si>
    <t>FEHF31481</t>
  </si>
  <si>
    <t>20001897921 SHARON GUTIERREZ</t>
  </si>
  <si>
    <t>1907164533</t>
  </si>
  <si>
    <t>FEHF45263</t>
  </si>
  <si>
    <t>1907099220</t>
  </si>
  <si>
    <t>SALDO 25269172647 LAURA QUINTERO</t>
  </si>
  <si>
    <t>5071335526</t>
  </si>
  <si>
    <t>FEHF50633</t>
  </si>
  <si>
    <t>1907256721</t>
  </si>
  <si>
    <t>08758545018 BRITHANI GARCIA</t>
  </si>
  <si>
    <t>MPS SAN-2487</t>
  </si>
  <si>
    <t>2000412882</t>
  </si>
  <si>
    <t>5101456715</t>
  </si>
  <si>
    <t>5101626886</t>
  </si>
  <si>
    <t>5110815544</t>
  </si>
  <si>
    <t>5110752487</t>
  </si>
  <si>
    <t>5110754994</t>
  </si>
  <si>
    <t>6081411380</t>
  </si>
  <si>
    <t>6081342517</t>
  </si>
  <si>
    <t>6081351730</t>
  </si>
  <si>
    <t>20210831</t>
  </si>
  <si>
    <t>4091050556</t>
  </si>
  <si>
    <t>2000632419</t>
  </si>
  <si>
    <t>6081353947</t>
  </si>
  <si>
    <t>FEHF139372</t>
  </si>
  <si>
    <t>54001145871 ALVARO ORTIZ</t>
  </si>
  <si>
    <t>1907240571</t>
  </si>
  <si>
    <t>SALDO X COMPENSAR OP AGO 2000357121 MPS NOR -1439</t>
  </si>
  <si>
    <t>7091205676</t>
  </si>
  <si>
    <t>20210920</t>
  </si>
  <si>
    <t>20210923</t>
  </si>
  <si>
    <t>7091108502</t>
  </si>
  <si>
    <t>2000647756</t>
  </si>
  <si>
    <t>54001519599 MARLY GARCIA</t>
  </si>
  <si>
    <t>1908183167</t>
  </si>
  <si>
    <t>GL-5492787314700</t>
  </si>
  <si>
    <t>ACEPTA EPS GLOS FE HSRF3931545 26/11/2020 C</t>
  </si>
  <si>
    <t>SALDO SALDO X COMPENSAR OP AGO 2000357121 MPS NOR</t>
  </si>
  <si>
    <t>NA</t>
  </si>
  <si>
    <t>Dg-055555564732978</t>
  </si>
  <si>
    <t>GL-055555564732780</t>
  </si>
  <si>
    <t>6081349083</t>
  </si>
  <si>
    <t>6081419552</t>
  </si>
  <si>
    <t>7091034482</t>
  </si>
  <si>
    <t>7091107852</t>
  </si>
  <si>
    <t>GL-255555564733287</t>
  </si>
  <si>
    <t>8091202702</t>
  </si>
  <si>
    <t>8091242106</t>
  </si>
  <si>
    <t>8091251779</t>
  </si>
  <si>
    <t>Dg-259261134006</t>
  </si>
  <si>
    <t>GL-055555564732287</t>
  </si>
  <si>
    <t>8101114208</t>
  </si>
  <si>
    <t>8101117646</t>
  </si>
  <si>
    <t>7091127945</t>
  </si>
  <si>
    <t>FEHF146597</t>
  </si>
  <si>
    <t>1907925809</t>
  </si>
  <si>
    <t>FEHF152012</t>
  </si>
  <si>
    <t>1907925814</t>
  </si>
  <si>
    <t>8091157643</t>
  </si>
  <si>
    <t>1908181738</t>
  </si>
  <si>
    <t>2000647842</t>
  </si>
  <si>
    <t>VR SALDO FACTURA MPS CES-2035</t>
  </si>
  <si>
    <t>Dg-259261133333</t>
  </si>
  <si>
    <t>ACEPTA EPS GLOS FE FEHF2839 26/11/2020 C</t>
  </si>
  <si>
    <t>GL-23399394966</t>
  </si>
  <si>
    <t>ACEPTA EPS GLOS FE HSRF3925515 26/11/2020 C</t>
  </si>
  <si>
    <t>GL-23399394967</t>
  </si>
  <si>
    <t>ACEPTA EPS GLOS FE HSRF3929500 26/11/2020 C</t>
  </si>
  <si>
    <t>GL-259261133316</t>
  </si>
  <si>
    <t>ACEPTA EPS GLOS FE HSRF3983089 26/11/2020 C</t>
  </si>
  <si>
    <t>GL-689251639046</t>
  </si>
  <si>
    <t>ACEPTA EPS GLOS FE HSRF3929920 26/11/2020 C</t>
  </si>
  <si>
    <t>GL-7612231311593</t>
  </si>
  <si>
    <t>ACEPTA EPS GLOS FE FEHF21999 18/03/2021 C</t>
  </si>
  <si>
    <t>2000647843</t>
  </si>
  <si>
    <t>08685615289 RICARDO DIAZ</t>
  </si>
  <si>
    <t>1908183060</t>
  </si>
  <si>
    <t>1908183113</t>
  </si>
  <si>
    <t>1908183138</t>
  </si>
  <si>
    <t>70708054458 FERNEY VARGAS</t>
  </si>
  <si>
    <t>1908183147</t>
  </si>
  <si>
    <t>SALDO SALDO PAGO NOVIEMBRE 2020 EVENTO</t>
  </si>
  <si>
    <t>2000647846</t>
  </si>
  <si>
    <t>FEHF132735</t>
  </si>
  <si>
    <t>1907758115</t>
  </si>
  <si>
    <t>MPS CES-2483</t>
  </si>
  <si>
    <t>2000412878</t>
  </si>
  <si>
    <t>GL-08555556623338</t>
  </si>
  <si>
    <t>ACEPTA EPS GLOS FE FEHF120566 28/06/2021 C</t>
  </si>
  <si>
    <t>GL-085555569231369</t>
  </si>
  <si>
    <t>ACEPTA EPS GLOS FE FEHF104089 28/06/2021 C</t>
  </si>
  <si>
    <t>GL-0892402311777</t>
  </si>
  <si>
    <t>ACEPTA EPS GLOS FE FEHF57408 18/03/2021 C</t>
  </si>
  <si>
    <t>GL-20765433333227</t>
  </si>
  <si>
    <t>ACEPTA EPS GLOS FE FEHF46607 28/06/2021 C</t>
  </si>
  <si>
    <t>GL-255555564733283</t>
  </si>
  <si>
    <t>ACEPTA EPS GLOS FE FEHF33877 28/06/2021 C</t>
  </si>
  <si>
    <t>SALDO ACEPTA EPS GLOS FE FEHF21999 18/03/2021 C</t>
  </si>
  <si>
    <t>7091202188</t>
  </si>
  <si>
    <t>68081485324 BRAJHAN SILVA</t>
  </si>
  <si>
    <t>1907677344</t>
  </si>
  <si>
    <t>SALDO SALDO 13001359471 LINA JULIO</t>
  </si>
  <si>
    <t>SALDO POR COMPENSAR MPS CES -1435</t>
  </si>
  <si>
    <t>2000647879</t>
  </si>
  <si>
    <t>7091030250</t>
  </si>
  <si>
    <t>FEHF139627</t>
  </si>
  <si>
    <t>1907850524</t>
  </si>
  <si>
    <t>FEHF144809</t>
  </si>
  <si>
    <t>1907850534</t>
  </si>
  <si>
    <t>FEHF147748</t>
  </si>
  <si>
    <t>1907850679</t>
  </si>
  <si>
    <t>7091036426</t>
  </si>
  <si>
    <t>FEHF144815</t>
  </si>
  <si>
    <t>1907677225</t>
  </si>
  <si>
    <t>SALDO SALDO SALDO 08078255330 GINA NEGRETE</t>
  </si>
  <si>
    <t>8091240556</t>
  </si>
  <si>
    <t>FEHF165417</t>
  </si>
  <si>
    <t>1908182133</t>
  </si>
  <si>
    <t>FEHF173128</t>
  </si>
  <si>
    <t>08758661303 EMMY DIAZ</t>
  </si>
  <si>
    <t>1908182136</t>
  </si>
  <si>
    <t>8091241599</t>
  </si>
  <si>
    <t>FEHF161496</t>
  </si>
  <si>
    <t>1908182149</t>
  </si>
  <si>
    <t>FEHF158592</t>
  </si>
  <si>
    <t>1908182214</t>
  </si>
  <si>
    <t>FEHF162302</t>
  </si>
  <si>
    <t>1908182240</t>
  </si>
  <si>
    <t>FEHF163237</t>
  </si>
  <si>
    <t>1908182243</t>
  </si>
  <si>
    <t>FEHF164850</t>
  </si>
  <si>
    <t>1908182245</t>
  </si>
  <si>
    <t>8091252157</t>
  </si>
  <si>
    <t>FEHF164896</t>
  </si>
  <si>
    <t>1908182721</t>
  </si>
  <si>
    <t>FEHF169407</t>
  </si>
  <si>
    <t>1908182725</t>
  </si>
  <si>
    <t>8091253384</t>
  </si>
  <si>
    <t>FEHF165715</t>
  </si>
  <si>
    <t>1908182756</t>
  </si>
  <si>
    <t>FEHF155343</t>
  </si>
  <si>
    <t>1908182816</t>
  </si>
  <si>
    <t>FEHF159007</t>
  </si>
  <si>
    <t>1908182822</t>
  </si>
  <si>
    <t>FEHF161524</t>
  </si>
  <si>
    <t>13430146069 LISBETH LAGUADO</t>
  </si>
  <si>
    <t>1908183092</t>
  </si>
  <si>
    <t>FEHF162227</t>
  </si>
  <si>
    <t>1908183101</t>
  </si>
  <si>
    <t>FEHF164758</t>
  </si>
  <si>
    <t>1908183157</t>
  </si>
  <si>
    <t>SALDO POR LEGALIZAR ESSC24-EVENTO ENERO 2021</t>
  </si>
  <si>
    <t>SALDO SALDO 68081485324 BRAJHAN SILVA</t>
  </si>
  <si>
    <t>80912014520</t>
  </si>
  <si>
    <t>FEHF158037</t>
  </si>
  <si>
    <t>1908041365</t>
  </si>
  <si>
    <t>FEHF155140</t>
  </si>
  <si>
    <t>1908181912</t>
  </si>
  <si>
    <t>FEHF159030</t>
  </si>
  <si>
    <t>1908181932</t>
  </si>
  <si>
    <t>FEHF160644</t>
  </si>
  <si>
    <t>1908181957</t>
  </si>
  <si>
    <t>FEHF162296</t>
  </si>
  <si>
    <t>1908181989</t>
  </si>
  <si>
    <t>FEHF163412</t>
  </si>
  <si>
    <t>1908182019</t>
  </si>
  <si>
    <t>FEHF165506</t>
  </si>
  <si>
    <t>1908182048</t>
  </si>
  <si>
    <t>FEHF167436</t>
  </si>
  <si>
    <t>47288310459 JESSICA RETAMOZO</t>
  </si>
  <si>
    <t>1908182063</t>
  </si>
  <si>
    <t>FEHF168656</t>
  </si>
  <si>
    <t>8421655926 ALJAIDA ORTIZ</t>
  </si>
  <si>
    <t>1908182083</t>
  </si>
  <si>
    <t>FEHF155681</t>
  </si>
  <si>
    <t>1908182126</t>
  </si>
  <si>
    <t>FEHF162086</t>
  </si>
  <si>
    <t>1908182129</t>
  </si>
  <si>
    <t>SALDO 252694203 LEONARDO SANCHEZ</t>
  </si>
  <si>
    <t>SALDO 08433519518 JORGE JIMENEZ</t>
  </si>
  <si>
    <t>SALDO 54001519599 MARLY GARCIA</t>
  </si>
  <si>
    <t>SALDO 08685615289 RICARDO DIAZ</t>
  </si>
  <si>
    <t>FEHF132407</t>
  </si>
  <si>
    <t>1908184059</t>
  </si>
  <si>
    <t>SALDO ACEPTA EPS GLOS FE FEHF33877 28/06/2021 C</t>
  </si>
  <si>
    <t>SALDO SALDO SALDO CARTERA EVENTO</t>
  </si>
  <si>
    <t>8091202672</t>
  </si>
  <si>
    <t>8091159443</t>
  </si>
  <si>
    <t>8101107700</t>
  </si>
  <si>
    <t>RISARALDA</t>
  </si>
  <si>
    <t>20211026</t>
  </si>
  <si>
    <t>Dg-7026837307</t>
  </si>
  <si>
    <t>20211030</t>
  </si>
  <si>
    <t>20211031</t>
  </si>
  <si>
    <t>2000681618</t>
  </si>
  <si>
    <t>2000681592</t>
  </si>
  <si>
    <t>10070809549</t>
  </si>
  <si>
    <t>9081416391</t>
  </si>
  <si>
    <t>20211125</t>
  </si>
  <si>
    <t>20211130</t>
  </si>
  <si>
    <t>9081404872</t>
  </si>
  <si>
    <t>10070729529</t>
  </si>
  <si>
    <t>20211124</t>
  </si>
  <si>
    <t>1908563247</t>
  </si>
  <si>
    <t>SALDO ESS024-EVENTO CSBGT2021ES2T00019214</t>
  </si>
  <si>
    <t>GL-134753142716</t>
  </si>
  <si>
    <t>10070750727</t>
  </si>
  <si>
    <t>GL-23399376607</t>
  </si>
  <si>
    <t>GL-7026837306</t>
  </si>
  <si>
    <t>SALDO ESS024-EVENTO</t>
  </si>
  <si>
    <t>GL-155555562531626</t>
  </si>
  <si>
    <t>ACEPTA EPS GLOS FE FEHF75998 06/05/2021 C</t>
  </si>
  <si>
    <t>GL-255555564733229</t>
  </si>
  <si>
    <t>GL-08765432783529</t>
  </si>
  <si>
    <t>GL-08765432783527</t>
  </si>
  <si>
    <t>GL-08765432783528</t>
  </si>
  <si>
    <t>11131047969</t>
  </si>
  <si>
    <t>11131340564</t>
  </si>
  <si>
    <t>11131404393</t>
  </si>
  <si>
    <t>11131457699</t>
  </si>
  <si>
    <t>11131503121</t>
  </si>
  <si>
    <t>11131504814</t>
  </si>
  <si>
    <t>20211223</t>
  </si>
  <si>
    <t>FEHF201191</t>
  </si>
  <si>
    <t>2000725020</t>
  </si>
  <si>
    <t>1908970957</t>
  </si>
  <si>
    <t>FEHF201496</t>
  </si>
  <si>
    <t>1908970959</t>
  </si>
  <si>
    <t>FEHF202463</t>
  </si>
  <si>
    <t>1908970964</t>
  </si>
  <si>
    <t>FEHF203843</t>
  </si>
  <si>
    <t>1908970967</t>
  </si>
  <si>
    <t>FEHF204283</t>
  </si>
  <si>
    <t>70429039611 IVAN ARREOLA</t>
  </si>
  <si>
    <t>1908970994</t>
  </si>
  <si>
    <t>FEHF205787</t>
  </si>
  <si>
    <t>1908970996</t>
  </si>
  <si>
    <t>FEHF206320</t>
  </si>
  <si>
    <t>20400343073 JOSE MEDINA</t>
  </si>
  <si>
    <t>1908971003</t>
  </si>
  <si>
    <t>FEHF206947</t>
  </si>
  <si>
    <t>1908971007</t>
  </si>
  <si>
    <t>70429104069 ABISAITH CASIANI</t>
  </si>
  <si>
    <t>FEHF209560</t>
  </si>
  <si>
    <t>1908971042</t>
  </si>
  <si>
    <t>FEHF210665</t>
  </si>
  <si>
    <t>1908971053</t>
  </si>
  <si>
    <t>FEHF211565</t>
  </si>
  <si>
    <t>1908971060</t>
  </si>
  <si>
    <t>FEHF212139</t>
  </si>
  <si>
    <t>1908971064</t>
  </si>
  <si>
    <t>FEHF213130</t>
  </si>
  <si>
    <t>1908971072</t>
  </si>
  <si>
    <t>FEHF213560</t>
  </si>
  <si>
    <t>08638562457 REISSON ESCORCIA</t>
  </si>
  <si>
    <t>1908971086</t>
  </si>
  <si>
    <t>11131013309</t>
  </si>
  <si>
    <t>FEHF200552</t>
  </si>
  <si>
    <t>1908970794</t>
  </si>
  <si>
    <t>FEHF200633</t>
  </si>
  <si>
    <t>1908970802</t>
  </si>
  <si>
    <t>FEHF201526</t>
  </si>
  <si>
    <t>1908970809</t>
  </si>
  <si>
    <t>FEHF201551</t>
  </si>
  <si>
    <t>1908970814</t>
  </si>
  <si>
    <t>FEHF201959</t>
  </si>
  <si>
    <t>1908970820</t>
  </si>
  <si>
    <t>FEHF203133</t>
  </si>
  <si>
    <t>1908970855</t>
  </si>
  <si>
    <t>FEHF204341</t>
  </si>
  <si>
    <t>1908970877</t>
  </si>
  <si>
    <t>FEHF204393</t>
  </si>
  <si>
    <t>1908970881</t>
  </si>
  <si>
    <t>FEHF204958</t>
  </si>
  <si>
    <t>1908970884</t>
  </si>
  <si>
    <t>FEHF205976</t>
  </si>
  <si>
    <t>1908970887</t>
  </si>
  <si>
    <t>FEHF206680</t>
  </si>
  <si>
    <t>25269193972 KILIAN VILLALBA</t>
  </si>
  <si>
    <t>1908970889</t>
  </si>
  <si>
    <t>FEHF207990</t>
  </si>
  <si>
    <t>1908970891</t>
  </si>
  <si>
    <t>FEHF208016</t>
  </si>
  <si>
    <t>1908970896</t>
  </si>
  <si>
    <t>FEHF208474</t>
  </si>
  <si>
    <t>68001436332 VALERIA BAEZ</t>
  </si>
  <si>
    <t>1908970899</t>
  </si>
  <si>
    <t>FEHF208550</t>
  </si>
  <si>
    <t>1908970903</t>
  </si>
  <si>
    <t>FEHF209233</t>
  </si>
  <si>
    <t>1908970909</t>
  </si>
  <si>
    <t>FEHF209363</t>
  </si>
  <si>
    <t>1908970915</t>
  </si>
  <si>
    <t>FEHF210012</t>
  </si>
  <si>
    <t>1908970919</t>
  </si>
  <si>
    <t>FEHF210205</t>
  </si>
  <si>
    <t>1908970924</t>
  </si>
  <si>
    <t>FEHF210287</t>
  </si>
  <si>
    <t>1908970927</t>
  </si>
  <si>
    <t>FEHF211144</t>
  </si>
  <si>
    <t>1908970929</t>
  </si>
  <si>
    <t>FEHF211723</t>
  </si>
  <si>
    <t>1908970932</t>
  </si>
  <si>
    <t>FEHF211753</t>
  </si>
  <si>
    <t>1908970935</t>
  </si>
  <si>
    <t>FEHF212177</t>
  </si>
  <si>
    <t>1908970939</t>
  </si>
  <si>
    <t>FEHF212244</t>
  </si>
  <si>
    <t>1908970944</t>
  </si>
  <si>
    <t>11131039879</t>
  </si>
  <si>
    <t>FEHF202459</t>
  </si>
  <si>
    <t>1908969860</t>
  </si>
  <si>
    <t>FEHF204505</t>
  </si>
  <si>
    <t>13001548186 JEREMIAS LARA</t>
  </si>
  <si>
    <t>1908970062</t>
  </si>
  <si>
    <t>FEHF204522</t>
  </si>
  <si>
    <t>1100114885 ADRIANA TRUJILLO</t>
  </si>
  <si>
    <t>1908970086</t>
  </si>
  <si>
    <t>FEHF204664</t>
  </si>
  <si>
    <t>1908970096</t>
  </si>
  <si>
    <t>FEHF204791</t>
  </si>
  <si>
    <t>54001432089 SAMUEL SILVA</t>
  </si>
  <si>
    <t>1908970118</t>
  </si>
  <si>
    <t>FEHF214434</t>
  </si>
  <si>
    <t>54344384978 FERNEL GUERRERO</t>
  </si>
  <si>
    <t>1908970675</t>
  </si>
  <si>
    <t>FEHF213842</t>
  </si>
  <si>
    <t>68406583153 YAMILE JEREZ</t>
  </si>
  <si>
    <t>1908970685</t>
  </si>
  <si>
    <t>FEHF211538</t>
  </si>
  <si>
    <t>15660196789 JORGE RIAÑO</t>
  </si>
  <si>
    <t>1908970691</t>
  </si>
  <si>
    <t>FEHF209803</t>
  </si>
  <si>
    <t>25426123177 ANA PINZON</t>
  </si>
  <si>
    <t>1908970696</t>
  </si>
  <si>
    <t>FEHF209531</t>
  </si>
  <si>
    <t>1908970704</t>
  </si>
  <si>
    <t>FEHF208250</t>
  </si>
  <si>
    <t>1908970707</t>
  </si>
  <si>
    <t>FEHF207055</t>
  </si>
  <si>
    <t>47288106459 ANGELICA ZUÑIGA</t>
  </si>
  <si>
    <t>1908970738</t>
  </si>
  <si>
    <t>FEHF206869</t>
  </si>
  <si>
    <t>1908970749</t>
  </si>
  <si>
    <t>FEHF206143</t>
  </si>
  <si>
    <t>1908970760</t>
  </si>
  <si>
    <t>FEHF205790</t>
  </si>
  <si>
    <t>15580079665 GABRIELA CASTIBLANCO</t>
  </si>
  <si>
    <t>1908970765</t>
  </si>
  <si>
    <t>FEHF205715</t>
  </si>
  <si>
    <t>1908970771</t>
  </si>
  <si>
    <t>FEHF211662</t>
  </si>
  <si>
    <t>1908969596</t>
  </si>
  <si>
    <t>FEHF212256</t>
  </si>
  <si>
    <t>1908969605</t>
  </si>
  <si>
    <t>FEHF212523</t>
  </si>
  <si>
    <t>1908969615</t>
  </si>
  <si>
    <t>FEHF212572</t>
  </si>
  <si>
    <t>1908969628</t>
  </si>
  <si>
    <t>11131458606</t>
  </si>
  <si>
    <t>11131502303</t>
  </si>
  <si>
    <t>2000725040</t>
  </si>
  <si>
    <t>SALDO SALDO 05154003570 YOLINDA JIMENEZ</t>
  </si>
  <si>
    <t>FEHF140105</t>
  </si>
  <si>
    <t>1908968787</t>
  </si>
  <si>
    <t>FEHF140447</t>
  </si>
  <si>
    <t>1908968791</t>
  </si>
  <si>
    <t>FEHF141590</t>
  </si>
  <si>
    <t>1908968797</t>
  </si>
  <si>
    <t>FEHF142841</t>
  </si>
  <si>
    <t>1908968801</t>
  </si>
  <si>
    <t>FEHF143083</t>
  </si>
  <si>
    <t>1908968806</t>
  </si>
  <si>
    <t>FEHF143310</t>
  </si>
  <si>
    <t>1908968810</t>
  </si>
  <si>
    <t>FEHF144296</t>
  </si>
  <si>
    <t>1908968814</t>
  </si>
  <si>
    <t>FEHF144428</t>
  </si>
  <si>
    <t>1908968819</t>
  </si>
  <si>
    <t>FEHF144944</t>
  </si>
  <si>
    <t>1908968823</t>
  </si>
  <si>
    <t>FEHF146480</t>
  </si>
  <si>
    <t>1908968827</t>
  </si>
  <si>
    <t>FEHF146827</t>
  </si>
  <si>
    <t>1908968832</t>
  </si>
  <si>
    <t>FEHF146836</t>
  </si>
  <si>
    <t>20001935172 JOHANNA DUARTE</t>
  </si>
  <si>
    <t>1908968875</t>
  </si>
  <si>
    <t>FEHF146859</t>
  </si>
  <si>
    <t>1908968888</t>
  </si>
  <si>
    <t>FEHF147043</t>
  </si>
  <si>
    <t>1908968900</t>
  </si>
  <si>
    <t>FEHF147945</t>
  </si>
  <si>
    <t>1908968924</t>
  </si>
  <si>
    <t>SALDO 252693905 ANGELIE VILLALOBOS</t>
  </si>
  <si>
    <t>11131406690</t>
  </si>
  <si>
    <t>FEHF158500</t>
  </si>
  <si>
    <t>1908968772</t>
  </si>
  <si>
    <t>FEHF163839</t>
  </si>
  <si>
    <t>08758441249 YURLEY RUIZ</t>
  </si>
  <si>
    <t>1908968775</t>
  </si>
  <si>
    <t>SALDO SALDO 47053136818 OLGA GONZALEZ</t>
  </si>
  <si>
    <t>2000731081</t>
  </si>
  <si>
    <t>SALDO 20001957122 YEIRIS LOPEZ</t>
  </si>
  <si>
    <t>2000730024</t>
  </si>
  <si>
    <t>20220114</t>
  </si>
  <si>
    <t>47189173092 SANDRITH SILGADO</t>
  </si>
  <si>
    <t>1909106776</t>
  </si>
  <si>
    <t>20211230</t>
  </si>
  <si>
    <t>SALDO SALDO EVENTO</t>
  </si>
  <si>
    <t>20211231</t>
  </si>
  <si>
    <t>1071030793</t>
  </si>
  <si>
    <t>12081451129</t>
  </si>
  <si>
    <t>20220131</t>
  </si>
  <si>
    <t>1071023454</t>
  </si>
  <si>
    <t>12081439678</t>
  </si>
  <si>
    <t>1071023260</t>
  </si>
  <si>
    <t>20013964942 GERONIMO CERVANTES</t>
  </si>
  <si>
    <t>1909441505</t>
  </si>
  <si>
    <t>20220222</t>
  </si>
  <si>
    <t>12081155575</t>
  </si>
  <si>
    <t>1071112144</t>
  </si>
  <si>
    <t>20220331</t>
  </si>
  <si>
    <t>2081434011</t>
  </si>
  <si>
    <t>2090837671</t>
  </si>
  <si>
    <t>2081422679</t>
  </si>
  <si>
    <t>2081425472</t>
  </si>
  <si>
    <t>68001591672 TERESA CUTA</t>
  </si>
  <si>
    <t>1909597135</t>
  </si>
  <si>
    <t>20220429</t>
  </si>
  <si>
    <t>3091134491</t>
  </si>
  <si>
    <t>20220422</t>
  </si>
  <si>
    <t>3091122634</t>
  </si>
  <si>
    <t>20220430</t>
  </si>
  <si>
    <t>20220420</t>
  </si>
  <si>
    <t>3091020012</t>
  </si>
  <si>
    <t>1910164716</t>
  </si>
  <si>
    <t>20180228</t>
  </si>
  <si>
    <t>KP</t>
  </si>
  <si>
    <t>4800001027</t>
  </si>
  <si>
    <t>TRASLADO MANDANTE 300</t>
  </si>
  <si>
    <t>MPS SAN NOV_2017</t>
  </si>
  <si>
    <t>EVENTO Nov_2017</t>
  </si>
  <si>
    <t>SB077086</t>
  </si>
  <si>
    <t>CP295333</t>
  </si>
  <si>
    <t>MB123227</t>
  </si>
  <si>
    <t>SB076273</t>
  </si>
  <si>
    <t>MB131411</t>
  </si>
  <si>
    <t>MB131500</t>
  </si>
  <si>
    <t>MB131750</t>
  </si>
  <si>
    <t>CP318345</t>
  </si>
  <si>
    <t>CP300934</t>
  </si>
  <si>
    <t>MB123569</t>
  </si>
  <si>
    <t>HSRF3716183</t>
  </si>
  <si>
    <t>HSRF3488080</t>
  </si>
  <si>
    <t>HSRF3589677</t>
  </si>
  <si>
    <t>HSRF3618279</t>
  </si>
  <si>
    <t>HSRF3618279.</t>
  </si>
  <si>
    <t>HSRF3650518</t>
  </si>
  <si>
    <t>HSRF3650518.</t>
  </si>
  <si>
    <t>HSRF3623602</t>
  </si>
  <si>
    <t>HSRF3623602.</t>
  </si>
  <si>
    <t>HSRF3684793.</t>
  </si>
  <si>
    <t>HSRF3684793</t>
  </si>
  <si>
    <t>HSRF3788384</t>
  </si>
  <si>
    <t>HSRF3750205</t>
  </si>
  <si>
    <t>HSRF3793638</t>
  </si>
  <si>
    <t>HSRF3768117</t>
  </si>
  <si>
    <t>HSRF3797749</t>
  </si>
  <si>
    <t>HSRF3633652</t>
  </si>
  <si>
    <t>HSRF3587820</t>
  </si>
  <si>
    <t>HSRF3594612.</t>
  </si>
  <si>
    <t>HSRF3640731</t>
  </si>
  <si>
    <t xml:space="preserve"> HSRF3640731</t>
  </si>
  <si>
    <t>HSRF3498951</t>
  </si>
  <si>
    <t>HSRF3701393</t>
  </si>
  <si>
    <t>HSRF3695354</t>
  </si>
  <si>
    <t>HSRF3625767.</t>
  </si>
  <si>
    <t>HSRF3448208</t>
  </si>
  <si>
    <t>HSRF3594377</t>
  </si>
  <si>
    <t>HSRF3680871</t>
  </si>
  <si>
    <t>HSRF3680871.</t>
  </si>
  <si>
    <t xml:space="preserve"> HSRF3686611</t>
  </si>
  <si>
    <t>HSRF3686611</t>
  </si>
  <si>
    <t>HSRF3601641</t>
  </si>
  <si>
    <t>HSRF3487648</t>
  </si>
  <si>
    <t>HSRF3487677</t>
  </si>
  <si>
    <t>HSRF3470861</t>
  </si>
  <si>
    <t>HSRF3481852</t>
  </si>
  <si>
    <t>HSRF3460398</t>
  </si>
  <si>
    <t>HSRF3508366</t>
  </si>
  <si>
    <t>HSRF3512405</t>
  </si>
  <si>
    <t>HSRF3517652</t>
  </si>
  <si>
    <t>HSRF3542575</t>
  </si>
  <si>
    <t>HSRF3525363</t>
  </si>
  <si>
    <t>HSRF3621232</t>
  </si>
  <si>
    <t>HSRF3616750</t>
  </si>
  <si>
    <t>HSRF3639847</t>
  </si>
  <si>
    <t>HSRF3567808</t>
  </si>
  <si>
    <t>HSRF3589702</t>
  </si>
  <si>
    <t>HSRF3653378</t>
  </si>
  <si>
    <t>HSRF3636277</t>
  </si>
  <si>
    <t>HSRF3639408</t>
  </si>
  <si>
    <t>HSRF3626289</t>
  </si>
  <si>
    <t>HSRF3636587</t>
  </si>
  <si>
    <t>HSRF3668310</t>
  </si>
  <si>
    <t>FACHSRF349889</t>
  </si>
  <si>
    <t>HSRF3452626</t>
  </si>
  <si>
    <t>HSRF3455703</t>
  </si>
  <si>
    <t>HSRF3484226</t>
  </si>
  <si>
    <t>HSRF3481955</t>
  </si>
  <si>
    <t>HSRF3497338</t>
  </si>
  <si>
    <t>HSRF3490875</t>
  </si>
  <si>
    <t>HSRF3497972</t>
  </si>
  <si>
    <t>HSRF3498892</t>
  </si>
  <si>
    <t>HSRF3514733</t>
  </si>
  <si>
    <t>HSRF3519482</t>
  </si>
  <si>
    <t>HSRF3527203</t>
  </si>
  <si>
    <t>HSRF3530818</t>
  </si>
  <si>
    <t>HSRF3646076</t>
  </si>
  <si>
    <t>HSRF3518387</t>
  </si>
  <si>
    <t>HSRF3518390</t>
  </si>
  <si>
    <t>HSRF3496951</t>
  </si>
  <si>
    <t>HSRF3590396</t>
  </si>
  <si>
    <t>HSRF3578923</t>
  </si>
  <si>
    <t>HSRF3573677</t>
  </si>
  <si>
    <t>HSRF3592633</t>
  </si>
  <si>
    <t>HSRF3554001</t>
  </si>
  <si>
    <t>HSRF3527300</t>
  </si>
  <si>
    <t>HSRF3532771</t>
  </si>
  <si>
    <t>HSRF3467897</t>
  </si>
  <si>
    <t>HSRF3467744</t>
  </si>
  <si>
    <t>HSRF3568814</t>
  </si>
  <si>
    <t>HSRF3587067</t>
  </si>
  <si>
    <t>HSRF3495413</t>
  </si>
  <si>
    <t>HSRF3525613</t>
  </si>
  <si>
    <t>HSRF3557225</t>
  </si>
  <si>
    <t>HSRF3561271</t>
  </si>
  <si>
    <t>HSRF3564853</t>
  </si>
  <si>
    <t>HSRF3442601</t>
  </si>
  <si>
    <t>HSRF3449385</t>
  </si>
  <si>
    <t>HSRF3602590</t>
  </si>
  <si>
    <t>HSRF3628853</t>
  </si>
  <si>
    <t>HSRF3487204</t>
  </si>
  <si>
    <t>HSRF3456549</t>
  </si>
  <si>
    <t>HSRF3544485</t>
  </si>
  <si>
    <t>HSRF3556285</t>
  </si>
  <si>
    <t>HSRF3531278</t>
  </si>
  <si>
    <t>HSRF3661214</t>
  </si>
  <si>
    <t>HSRF3635034</t>
  </si>
  <si>
    <t>HSRF3664755</t>
  </si>
  <si>
    <t>HSRF3723821</t>
  </si>
  <si>
    <t>HSRF3720608</t>
  </si>
  <si>
    <t>HSRF3720853</t>
  </si>
  <si>
    <t>HSRF3733198</t>
  </si>
  <si>
    <t>HSRF3736017</t>
  </si>
  <si>
    <t>HSRF3732938</t>
  </si>
  <si>
    <t>HSRF3735235</t>
  </si>
  <si>
    <t>HSRF3736730</t>
  </si>
  <si>
    <t>HSRF3699055</t>
  </si>
  <si>
    <t>HSRF3618367</t>
  </si>
  <si>
    <t>HSRF3602598</t>
  </si>
  <si>
    <t>HSRF3747123</t>
  </si>
  <si>
    <t>HSRF3749749</t>
  </si>
  <si>
    <t>HSRF3671924</t>
  </si>
  <si>
    <t>HSRF3672827</t>
  </si>
  <si>
    <t>HSRF3677368</t>
  </si>
  <si>
    <t>HSRF3686466</t>
  </si>
  <si>
    <t>HSRF3695107</t>
  </si>
  <si>
    <t>HSRF3583065</t>
  </si>
  <si>
    <t>HSRF3598207</t>
  </si>
  <si>
    <t>HSRF3641994</t>
  </si>
  <si>
    <t>HSRF3677440</t>
  </si>
  <si>
    <t>HSRF3679681</t>
  </si>
  <si>
    <t>HSRF3689089</t>
  </si>
  <si>
    <t>HSRF3648074</t>
  </si>
  <si>
    <t>HSRF3650466</t>
  </si>
  <si>
    <t>HSRF3692321</t>
  </si>
  <si>
    <t>HSRF3632788</t>
  </si>
  <si>
    <t>HSRF3580942</t>
  </si>
  <si>
    <t>HSRF3745764</t>
  </si>
  <si>
    <t>HSRF3780330</t>
  </si>
  <si>
    <t>HSRF3792039</t>
  </si>
  <si>
    <t>HSRF3794615</t>
  </si>
  <si>
    <t>HSRF3741149</t>
  </si>
  <si>
    <t>HSRF3754532</t>
  </si>
  <si>
    <t>HSRF3741867</t>
  </si>
  <si>
    <t>HSRF3750945</t>
  </si>
  <si>
    <t>HSRF3787423</t>
  </si>
  <si>
    <t>HSRF3795279</t>
  </si>
  <si>
    <t>HSRF3796799</t>
  </si>
  <si>
    <t>HSRF3483417</t>
  </si>
  <si>
    <t>HSRF3514738</t>
  </si>
  <si>
    <t>HSRF3756784</t>
  </si>
  <si>
    <t>HSRF3596399</t>
  </si>
  <si>
    <t>HSRF3752785</t>
  </si>
  <si>
    <t>HSRF3739525</t>
  </si>
  <si>
    <t>HSRF3799956</t>
  </si>
  <si>
    <t>HSRF3803692</t>
  </si>
  <si>
    <t>HSRF3816152</t>
  </si>
  <si>
    <t>HSRF3793581</t>
  </si>
  <si>
    <t>HSRF3744220</t>
  </si>
  <si>
    <t>HSRF3728214</t>
  </si>
  <si>
    <t>HSRF3701839</t>
  </si>
  <si>
    <t>HSRF3488191</t>
  </si>
  <si>
    <t>HSRF3663192</t>
  </si>
  <si>
    <t>HSRF3655611</t>
  </si>
  <si>
    <t>HSRF3656322</t>
  </si>
  <si>
    <t>HSRF3631629</t>
  </si>
  <si>
    <t>HSRF3650358</t>
  </si>
  <si>
    <t>HSRF3643428</t>
  </si>
  <si>
    <t>HSRF3645086</t>
  </si>
  <si>
    <t>HSRF3671192</t>
  </si>
  <si>
    <t>HSRF3672614</t>
  </si>
  <si>
    <t>HSRF3677469</t>
  </si>
  <si>
    <t>HSRF3697417</t>
  </si>
  <si>
    <t>HSRF3660522</t>
  </si>
  <si>
    <t>HSRF3707451</t>
  </si>
  <si>
    <t>HSRF3710042</t>
  </si>
  <si>
    <t>HSRF3713373</t>
  </si>
  <si>
    <t>HSRF3718745</t>
  </si>
  <si>
    <t>HSRF3681955</t>
  </si>
  <si>
    <t>HSRF3685758</t>
  </si>
  <si>
    <t>HSRF3707591</t>
  </si>
  <si>
    <t>HSRF3737651</t>
  </si>
  <si>
    <t>HSRF3509839</t>
  </si>
  <si>
    <t>HSRF3749689</t>
  </si>
  <si>
    <t>HSRF3749935</t>
  </si>
  <si>
    <t>HSRF3751102</t>
  </si>
  <si>
    <t>HSRF3754794</t>
  </si>
  <si>
    <t>HSRF3529999</t>
  </si>
  <si>
    <t>HSRF3569657</t>
  </si>
  <si>
    <t>HSRF3572317</t>
  </si>
  <si>
    <t>HSRF3472208</t>
  </si>
  <si>
    <t>HSRF3742120</t>
  </si>
  <si>
    <t>HSRF3749535</t>
  </si>
  <si>
    <t>HSRF3756920</t>
  </si>
  <si>
    <t>HSRF3745814</t>
  </si>
  <si>
    <t>HSRF3750106</t>
  </si>
  <si>
    <t>HSRF3752713</t>
  </si>
  <si>
    <t>HSRF3753590</t>
  </si>
  <si>
    <t>HSRF3755881</t>
  </si>
  <si>
    <t>HSRF3593354</t>
  </si>
  <si>
    <t>HSRF3594213</t>
  </si>
  <si>
    <t>HSRF3471239</t>
  </si>
  <si>
    <t>FEHF284</t>
  </si>
  <si>
    <t>FEHF249</t>
  </si>
  <si>
    <t>IPS REVISAR PAGOS APLICADOS A LA FACTURA</t>
  </si>
  <si>
    <t>PAGOS POR LEGALIZAR EPS</t>
  </si>
  <si>
    <t>Saldo Disponible a Favor  de COOSALUD A 31/03/2022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</si>
</sst>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_);_(* \(#,##0\);_(*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b/>
      <sz val="10"/>
      <name val="Arial"/>
      <family val="2"/>
    </font>
    <font>
      <b/>
      <sz val="10"/>
      <color theme="1"/>
      <name val="Arial"/>
      <family val="2"/>
    </font>
    <font>
      <sz val="10"/>
      <name val="Arial"/>
      <family val="2"/>
    </font>
    <font>
      <b/>
      <sz val="12"/>
      <color theme="1"/>
      <name val="Calibri"/>
      <family val="2"/>
      <scheme val="minor"/>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rgb="FFDDDDDD"/>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41" fontId="1" fillId="0" borderId="0" applyFont="0" applyFill="0" applyBorder="0" applyAlignment="0" applyProtection="0"/>
  </cellStyleXfs>
  <cellXfs count="45">
    <xf numFmtId="0" fontId="0" fillId="0" borderId="0" xfId="0"/>
    <xf numFmtId="14" fontId="0" fillId="0" borderId="0" xfId="0" applyNumberFormat="1"/>
    <xf numFmtId="0" fontId="0" fillId="0" borderId="0" xfId="0" applyAlignment="1">
      <alignment horizontal="center"/>
    </xf>
    <xf numFmtId="0" fontId="16" fillId="33" borderId="10" xfId="0" applyFont="1" applyFill="1" applyBorder="1" applyAlignment="1">
      <alignment horizontal="center"/>
    </xf>
    <xf numFmtId="14" fontId="16" fillId="33" borderId="10" xfId="0" applyNumberFormat="1" applyFont="1" applyFill="1" applyBorder="1" applyAlignment="1">
      <alignment horizontal="center"/>
    </xf>
    <xf numFmtId="164" fontId="16" fillId="33" borderId="10" xfId="1" applyNumberFormat="1" applyFont="1" applyFill="1" applyBorder="1" applyAlignment="1">
      <alignment horizontal="center"/>
    </xf>
    <xf numFmtId="0" fontId="0" fillId="0" borderId="10" xfId="0" applyBorder="1" applyAlignment="1">
      <alignment horizontal="center"/>
    </xf>
    <xf numFmtId="0" fontId="0" fillId="0" borderId="10" xfId="0" applyBorder="1"/>
    <xf numFmtId="14" fontId="0" fillId="0" borderId="10" xfId="0" applyNumberFormat="1" applyBorder="1"/>
    <xf numFmtId="164" fontId="0" fillId="0" borderId="10" xfId="1" applyNumberFormat="1" applyFont="1" applyBorder="1"/>
    <xf numFmtId="0" fontId="19" fillId="34" borderId="10" xfId="0" applyFont="1" applyFill="1" applyBorder="1" applyAlignment="1">
      <alignment horizontal="center" vertical="center"/>
    </xf>
    <xf numFmtId="165" fontId="19" fillId="34" borderId="10" xfId="0" applyNumberFormat="1" applyFont="1" applyFill="1" applyBorder="1" applyAlignment="1">
      <alignment horizontal="center" vertical="center"/>
    </xf>
    <xf numFmtId="165" fontId="20" fillId="34" borderId="10" xfId="0" applyNumberFormat="1" applyFont="1" applyFill="1" applyBorder="1" applyAlignment="1">
      <alignment horizontal="center" vertical="center"/>
    </xf>
    <xf numFmtId="164" fontId="20" fillId="35" borderId="10" xfId="1" applyNumberFormat="1" applyFont="1" applyFill="1" applyBorder="1" applyAlignment="1">
      <alignment horizontal="center" vertical="center"/>
    </xf>
    <xf numFmtId="164" fontId="20" fillId="35" borderId="10" xfId="1" applyNumberFormat="1" applyFont="1" applyFill="1" applyBorder="1" applyAlignment="1">
      <alignment horizontal="center" vertical="center" wrapText="1"/>
    </xf>
    <xf numFmtId="165" fontId="20" fillId="35" borderId="10" xfId="0" applyNumberFormat="1" applyFont="1" applyFill="1" applyBorder="1" applyAlignment="1">
      <alignment horizontal="center" vertical="center" wrapText="1"/>
    </xf>
    <xf numFmtId="0" fontId="20" fillId="35" borderId="10" xfId="0" applyFont="1" applyFill="1" applyBorder="1" applyAlignment="1">
      <alignment horizontal="center" vertical="center"/>
    </xf>
    <xf numFmtId="165" fontId="20" fillId="0" borderId="10" xfId="0" applyNumberFormat="1" applyFont="1" applyBorder="1" applyAlignment="1">
      <alignment horizontal="center" vertical="center" wrapText="1"/>
    </xf>
    <xf numFmtId="0" fontId="20" fillId="0" borderId="10" xfId="0" applyFont="1" applyBorder="1" applyAlignment="1">
      <alignment vertical="center"/>
    </xf>
    <xf numFmtId="0" fontId="20" fillId="0" borderId="0" xfId="0" applyFont="1"/>
    <xf numFmtId="164" fontId="16" fillId="0" borderId="10" xfId="1" applyNumberFormat="1" applyFont="1" applyBorder="1"/>
    <xf numFmtId="0" fontId="21" fillId="36" borderId="10" xfId="0" applyFont="1" applyFill="1" applyBorder="1"/>
    <xf numFmtId="0" fontId="21" fillId="0" borderId="0" xfId="0" applyFont="1"/>
    <xf numFmtId="3" fontId="21" fillId="0" borderId="0" xfId="0" applyNumberFormat="1" applyFont="1" applyAlignment="1">
      <alignment horizontal="right"/>
    </xf>
    <xf numFmtId="14" fontId="21" fillId="0" borderId="0" xfId="0" applyNumberFormat="1" applyFont="1" applyAlignment="1">
      <alignment horizontal="right"/>
    </xf>
    <xf numFmtId="0" fontId="22" fillId="0" borderId="0" xfId="0" applyFont="1"/>
    <xf numFmtId="3" fontId="0" fillId="0" borderId="0" xfId="0" applyNumberFormat="1"/>
    <xf numFmtId="0" fontId="22" fillId="0" borderId="0" xfId="0" applyFont="1" applyAlignment="1">
      <alignment wrapText="1"/>
    </xf>
    <xf numFmtId="0" fontId="0" fillId="0" borderId="0" xfId="0" applyAlignment="1">
      <alignment horizontal="center" vertical="center"/>
    </xf>
    <xf numFmtId="0" fontId="16" fillId="37" borderId="0" xfId="0" applyFont="1" applyFill="1" applyAlignment="1">
      <alignment vertical="center"/>
    </xf>
    <xf numFmtId="0" fontId="16" fillId="37" borderId="0" xfId="0" applyFont="1" applyFill="1"/>
    <xf numFmtId="3" fontId="16" fillId="37" borderId="0" xfId="0" applyNumberFormat="1" applyFont="1" applyFill="1"/>
    <xf numFmtId="3" fontId="23" fillId="0" borderId="0" xfId="0" applyNumberFormat="1" applyFont="1"/>
    <xf numFmtId="3" fontId="21" fillId="0" borderId="0" xfId="43" applyNumberFormat="1" applyAlignment="1">
      <alignment horizontal="right"/>
    </xf>
    <xf numFmtId="3" fontId="16" fillId="39" borderId="0" xfId="0" applyNumberFormat="1" applyFont="1" applyFill="1"/>
    <xf numFmtId="164" fontId="0" fillId="0" borderId="10" xfId="0" applyNumberFormat="1" applyBorder="1"/>
    <xf numFmtId="0" fontId="21" fillId="38" borderId="0" xfId="0" applyFont="1" applyFill="1"/>
    <xf numFmtId="3" fontId="21" fillId="38" borderId="0" xfId="0" applyNumberFormat="1" applyFont="1" applyFill="1" applyAlignment="1">
      <alignment horizontal="right"/>
    </xf>
    <xf numFmtId="14" fontId="21" fillId="38" borderId="0" xfId="0" applyNumberFormat="1" applyFont="1" applyFill="1" applyAlignment="1">
      <alignment horizontal="right"/>
    </xf>
    <xf numFmtId="0" fontId="0" fillId="38" borderId="0" xfId="0" applyFill="1"/>
    <xf numFmtId="41" fontId="0" fillId="0" borderId="10" xfId="44" applyFont="1" applyBorder="1"/>
    <xf numFmtId="41" fontId="16" fillId="0" borderId="10" xfId="44" applyFont="1" applyBorder="1"/>
    <xf numFmtId="41" fontId="0" fillId="0" borderId="0" xfId="44" applyFont="1"/>
    <xf numFmtId="0" fontId="18" fillId="33" borderId="10" xfId="0" applyFont="1" applyFill="1" applyBorder="1" applyAlignment="1">
      <alignment horizontal="center" vertical="center" wrapText="1"/>
    </xf>
    <xf numFmtId="3" fontId="16" fillId="38" borderId="0" xfId="0" applyNumberFormat="1" applyFont="1" applyFill="1" applyAlignment="1">
      <alignment horizontal="right" vertic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0]" xfId="44" builtinId="6"/>
    <cellStyle name="Neutral" xfId="9" builtinId="28" customBuiltin="1"/>
    <cellStyle name="Normal" xfId="0" builtinId="0"/>
    <cellStyle name="Normal 2 2" xfId="43" xr:uid="{00000000-0005-0000-0000-00002400000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9"/>
  <sheetViews>
    <sheetView workbookViewId="0">
      <selection activeCell="I10" sqref="I10"/>
    </sheetView>
  </sheetViews>
  <sheetFormatPr baseColWidth="10" defaultRowHeight="15" x14ac:dyDescent="0.25"/>
  <cols>
    <col min="1" max="1" width="11.42578125" style="2"/>
    <col min="2" max="3" width="17.85546875" customWidth="1"/>
    <col min="4" max="5" width="17.28515625" style="1" customWidth="1"/>
    <col min="6" max="6" width="18.140625" customWidth="1"/>
    <col min="9" max="9" width="17.85546875" customWidth="1"/>
    <col min="10" max="10" width="18.28515625" customWidth="1"/>
  </cols>
  <sheetData>
    <row r="1" spans="1:11" x14ac:dyDescent="0.25">
      <c r="A1" s="43" t="s">
        <v>2</v>
      </c>
      <c r="B1" s="43"/>
      <c r="C1" s="43"/>
      <c r="D1" s="43"/>
      <c r="E1" s="43"/>
      <c r="F1" s="43"/>
      <c r="G1" s="43"/>
      <c r="H1" s="43"/>
      <c r="I1" s="43"/>
      <c r="J1" s="43"/>
      <c r="K1" s="43"/>
    </row>
    <row r="2" spans="1:11" x14ac:dyDescent="0.25">
      <c r="A2" s="43"/>
      <c r="B2" s="43"/>
      <c r="C2" s="43"/>
      <c r="D2" s="43"/>
      <c r="E2" s="43"/>
      <c r="F2" s="43"/>
      <c r="G2" s="43"/>
      <c r="H2" s="43"/>
      <c r="I2" s="43"/>
      <c r="J2" s="43"/>
      <c r="K2" s="43"/>
    </row>
    <row r="3" spans="1:11" x14ac:dyDescent="0.25">
      <c r="A3" s="43"/>
      <c r="B3" s="43"/>
      <c r="C3" s="43"/>
      <c r="D3" s="43"/>
      <c r="E3" s="43"/>
      <c r="F3" s="43"/>
      <c r="G3" s="43"/>
      <c r="H3" s="43"/>
      <c r="I3" s="43"/>
      <c r="J3" s="43"/>
      <c r="K3" s="43"/>
    </row>
    <row r="4" spans="1:11" x14ac:dyDescent="0.25">
      <c r="A4" s="3" t="s">
        <v>0</v>
      </c>
      <c r="B4" s="3" t="s">
        <v>3</v>
      </c>
      <c r="C4" s="3" t="s">
        <v>11</v>
      </c>
      <c r="D4" s="4" t="s">
        <v>4</v>
      </c>
      <c r="E4" s="4" t="s">
        <v>5</v>
      </c>
      <c r="F4" s="5" t="s">
        <v>6</v>
      </c>
      <c r="G4" s="5" t="s">
        <v>7</v>
      </c>
      <c r="H4" s="5" t="s">
        <v>8</v>
      </c>
      <c r="I4" s="5" t="s">
        <v>9</v>
      </c>
      <c r="J4" s="5" t="s">
        <v>10</v>
      </c>
      <c r="K4" s="5" t="s">
        <v>1</v>
      </c>
    </row>
    <row r="5" spans="1:11" x14ac:dyDescent="0.25">
      <c r="A5" s="6">
        <v>36714</v>
      </c>
      <c r="B5" s="7" t="str">
        <f>"HSRF0003062852"</f>
        <v>HSRF0003062852</v>
      </c>
      <c r="C5" s="7">
        <v>800249241</v>
      </c>
      <c r="D5" s="8">
        <v>42309.733043981483</v>
      </c>
      <c r="E5" s="8">
        <v>42349</v>
      </c>
      <c r="F5" s="7">
        <v>3803932</v>
      </c>
      <c r="G5" s="7">
        <v>0</v>
      </c>
      <c r="H5" s="7">
        <v>0</v>
      </c>
      <c r="I5" s="7">
        <v>270242</v>
      </c>
      <c r="J5" s="7">
        <v>0</v>
      </c>
      <c r="K5" s="7">
        <v>3533690</v>
      </c>
    </row>
    <row r="6" spans="1:11" x14ac:dyDescent="0.25">
      <c r="A6" s="6">
        <v>36762</v>
      </c>
      <c r="B6" s="7" t="str">
        <f>"HSRF0003062896"</f>
        <v>HSRF0003062896</v>
      </c>
      <c r="C6" s="7">
        <v>800249241</v>
      </c>
      <c r="D6" s="8">
        <v>42310.380914351852</v>
      </c>
      <c r="E6" s="8">
        <v>42349</v>
      </c>
      <c r="F6" s="7">
        <v>2857082</v>
      </c>
      <c r="G6" s="7">
        <v>0</v>
      </c>
      <c r="H6" s="7">
        <v>0</v>
      </c>
      <c r="I6" s="7">
        <v>0</v>
      </c>
      <c r="J6" s="7">
        <v>0</v>
      </c>
      <c r="K6" s="7">
        <v>2857082</v>
      </c>
    </row>
    <row r="7" spans="1:11" x14ac:dyDescent="0.25">
      <c r="A7" s="6">
        <v>36762</v>
      </c>
      <c r="B7" s="7" t="str">
        <f>"HSRF0003076767"</f>
        <v>HSRF0003076767</v>
      </c>
      <c r="C7" s="7">
        <v>800249241</v>
      </c>
      <c r="D7" s="8">
        <v>42335.838865740741</v>
      </c>
      <c r="E7" s="8">
        <v>42349</v>
      </c>
      <c r="F7" s="7">
        <v>11231333</v>
      </c>
      <c r="G7" s="7">
        <v>0</v>
      </c>
      <c r="H7" s="7">
        <v>0</v>
      </c>
      <c r="I7" s="7">
        <v>0</v>
      </c>
      <c r="J7" s="7">
        <v>0</v>
      </c>
      <c r="K7" s="7">
        <v>11231333</v>
      </c>
    </row>
    <row r="8" spans="1:11" x14ac:dyDescent="0.25">
      <c r="A8" s="6">
        <v>36912</v>
      </c>
      <c r="B8" s="7" t="str">
        <f>"HSRF0003081657"</f>
        <v>HSRF0003081657</v>
      </c>
      <c r="C8" s="7">
        <v>800249241</v>
      </c>
      <c r="D8" s="8">
        <v>42347.430439814816</v>
      </c>
      <c r="E8" s="8">
        <v>42383</v>
      </c>
      <c r="F8" s="7">
        <v>6363217</v>
      </c>
      <c r="G8" s="7">
        <v>0</v>
      </c>
      <c r="H8" s="7">
        <v>0</v>
      </c>
      <c r="I8" s="7">
        <v>0</v>
      </c>
      <c r="J8" s="7">
        <v>0</v>
      </c>
      <c r="K8" s="7">
        <v>6363217</v>
      </c>
    </row>
    <row r="9" spans="1:11" x14ac:dyDescent="0.25">
      <c r="A9" s="6">
        <v>36905</v>
      </c>
      <c r="B9" s="7" t="str">
        <f>"HSRF0003085712"</f>
        <v>HSRF0003085712</v>
      </c>
      <c r="C9" s="7">
        <v>800249241</v>
      </c>
      <c r="D9" s="8">
        <v>42356.549386574072</v>
      </c>
      <c r="E9" s="8">
        <v>42383</v>
      </c>
      <c r="F9" s="7">
        <v>1019846</v>
      </c>
      <c r="G9" s="7">
        <v>0</v>
      </c>
      <c r="H9" s="7">
        <v>0</v>
      </c>
      <c r="I9" s="7">
        <v>814346</v>
      </c>
      <c r="J9" s="7">
        <v>0</v>
      </c>
      <c r="K9" s="7">
        <v>205500</v>
      </c>
    </row>
    <row r="10" spans="1:11" x14ac:dyDescent="0.25">
      <c r="A10" s="6">
        <v>36905</v>
      </c>
      <c r="B10" s="7" t="str">
        <f>"HSRF0003087741"</f>
        <v>HSRF0003087741</v>
      </c>
      <c r="C10" s="7">
        <v>800249241</v>
      </c>
      <c r="D10" s="8">
        <v>42364.655925925923</v>
      </c>
      <c r="E10" s="8">
        <v>42383</v>
      </c>
      <c r="F10" s="7">
        <v>3793940</v>
      </c>
      <c r="G10" s="7">
        <v>0</v>
      </c>
      <c r="H10" s="7">
        <v>0</v>
      </c>
      <c r="I10" s="7">
        <v>3168939</v>
      </c>
      <c r="J10" s="7">
        <v>0</v>
      </c>
      <c r="K10" s="7">
        <v>625001</v>
      </c>
    </row>
    <row r="11" spans="1:11" x14ac:dyDescent="0.25">
      <c r="A11" s="6">
        <v>36905</v>
      </c>
      <c r="B11" s="7" t="str">
        <f>"HSRF0003090191"</f>
        <v>HSRF0003090191</v>
      </c>
      <c r="C11" s="7">
        <v>800249241</v>
      </c>
      <c r="D11" s="8">
        <v>42374.522731481484</v>
      </c>
      <c r="E11" s="8">
        <v>42383</v>
      </c>
      <c r="F11" s="7">
        <v>1380629</v>
      </c>
      <c r="G11" s="7">
        <v>0</v>
      </c>
      <c r="H11" s="7">
        <v>0</v>
      </c>
      <c r="I11" s="7">
        <v>1322045</v>
      </c>
      <c r="J11" s="7">
        <v>0</v>
      </c>
      <c r="K11" s="7">
        <v>58584</v>
      </c>
    </row>
    <row r="12" spans="1:11" x14ac:dyDescent="0.25">
      <c r="A12" s="6">
        <v>37281</v>
      </c>
      <c r="B12" s="7" t="str">
        <f>"HSRF0003130699"</f>
        <v>HSRF0003130699</v>
      </c>
      <c r="C12" s="7">
        <v>800249241</v>
      </c>
      <c r="D12" s="8">
        <v>42439.98133101852</v>
      </c>
      <c r="E12" s="8">
        <v>42480</v>
      </c>
      <c r="F12" s="7">
        <v>181900</v>
      </c>
      <c r="G12" s="7">
        <v>0</v>
      </c>
      <c r="H12" s="7">
        <v>0</v>
      </c>
      <c r="I12" s="7">
        <v>0</v>
      </c>
      <c r="J12" s="7">
        <v>0</v>
      </c>
      <c r="K12" s="7">
        <v>181900</v>
      </c>
    </row>
    <row r="13" spans="1:11" x14ac:dyDescent="0.25">
      <c r="A13" s="6">
        <v>37281</v>
      </c>
      <c r="B13" s="7" t="str">
        <f>"HSRF0003131769"</f>
        <v>HSRF0003131769</v>
      </c>
      <c r="C13" s="7">
        <v>800249241</v>
      </c>
      <c r="D13" s="8">
        <v>42442.976134259261</v>
      </c>
      <c r="E13" s="8">
        <v>42480</v>
      </c>
      <c r="F13" s="7">
        <v>45300</v>
      </c>
      <c r="G13" s="7">
        <v>0</v>
      </c>
      <c r="H13" s="7">
        <v>0</v>
      </c>
      <c r="I13" s="7">
        <v>0</v>
      </c>
      <c r="J13" s="7">
        <v>0</v>
      </c>
      <c r="K13" s="7">
        <v>45300</v>
      </c>
    </row>
    <row r="14" spans="1:11" x14ac:dyDescent="0.25">
      <c r="A14" s="6">
        <v>37558</v>
      </c>
      <c r="B14" s="7" t="str">
        <f>"HSRF0003166591"</f>
        <v>HSRF0003166591</v>
      </c>
      <c r="C14" s="7">
        <v>800249241</v>
      </c>
      <c r="D14" s="8">
        <v>42500.809317129628</v>
      </c>
      <c r="E14" s="8">
        <v>42535</v>
      </c>
      <c r="F14" s="7">
        <v>2162662</v>
      </c>
      <c r="G14" s="7">
        <v>0</v>
      </c>
      <c r="H14" s="7">
        <v>0</v>
      </c>
      <c r="I14" s="7">
        <v>1837646</v>
      </c>
      <c r="J14" s="7">
        <v>0</v>
      </c>
      <c r="K14" s="7">
        <v>325016</v>
      </c>
    </row>
    <row r="15" spans="1:11" x14ac:dyDescent="0.25">
      <c r="A15" s="6">
        <v>37599</v>
      </c>
      <c r="B15" s="7" t="str">
        <f>"HSRF0003173757"</f>
        <v>HSRF0003173757</v>
      </c>
      <c r="C15" s="7">
        <v>800249241</v>
      </c>
      <c r="D15" s="8">
        <v>42513.666250000002</v>
      </c>
      <c r="E15" s="8">
        <v>42535</v>
      </c>
      <c r="F15" s="7">
        <v>3921248</v>
      </c>
      <c r="G15" s="7">
        <v>0</v>
      </c>
      <c r="H15" s="7">
        <v>0</v>
      </c>
      <c r="I15" s="7">
        <v>3651448</v>
      </c>
      <c r="J15" s="7">
        <v>0</v>
      </c>
      <c r="K15" s="7">
        <v>269800</v>
      </c>
    </row>
    <row r="16" spans="1:11" x14ac:dyDescent="0.25">
      <c r="A16" s="6">
        <v>37690</v>
      </c>
      <c r="B16" s="7" t="str">
        <f>"HSRF0003184820"</f>
        <v>HSRF0003184820</v>
      </c>
      <c r="C16" s="7">
        <v>800249241</v>
      </c>
      <c r="D16" s="8">
        <v>42534.479525462964</v>
      </c>
      <c r="E16" s="8">
        <v>42570</v>
      </c>
      <c r="F16" s="7">
        <v>9338592</v>
      </c>
      <c r="G16" s="7">
        <v>0</v>
      </c>
      <c r="H16" s="7">
        <v>0</v>
      </c>
      <c r="I16" s="7">
        <v>0</v>
      </c>
      <c r="J16" s="7">
        <v>0</v>
      </c>
      <c r="K16" s="7">
        <v>9338592</v>
      </c>
    </row>
    <row r="17" spans="1:11" x14ac:dyDescent="0.25">
      <c r="A17" s="6">
        <v>37714</v>
      </c>
      <c r="B17" s="7" t="str">
        <f>"HSRF0003190176"</f>
        <v>HSRF0003190176</v>
      </c>
      <c r="C17" s="7">
        <v>800249241</v>
      </c>
      <c r="D17" s="8">
        <v>42542.691886574074</v>
      </c>
      <c r="E17" s="8">
        <v>42570</v>
      </c>
      <c r="F17" s="7">
        <v>2840146</v>
      </c>
      <c r="G17" s="7">
        <v>0</v>
      </c>
      <c r="H17" s="7">
        <v>0</v>
      </c>
      <c r="I17" s="7">
        <v>2792390</v>
      </c>
      <c r="J17" s="7">
        <v>0</v>
      </c>
      <c r="K17" s="7">
        <v>47756</v>
      </c>
    </row>
    <row r="18" spans="1:11" x14ac:dyDescent="0.25">
      <c r="A18" s="6">
        <v>37785</v>
      </c>
      <c r="B18" s="7" t="str">
        <f>"HSRF0003198910"</f>
        <v>HSRF0003198910</v>
      </c>
      <c r="C18" s="7">
        <v>800249241</v>
      </c>
      <c r="D18" s="8">
        <v>42557.749606481484</v>
      </c>
      <c r="E18" s="8">
        <v>42599</v>
      </c>
      <c r="F18" s="7">
        <v>1845835</v>
      </c>
      <c r="G18" s="7">
        <v>0</v>
      </c>
      <c r="H18" s="7">
        <v>0</v>
      </c>
      <c r="I18" s="7">
        <v>1349905</v>
      </c>
      <c r="J18" s="7">
        <v>0</v>
      </c>
      <c r="K18" s="7">
        <v>495930</v>
      </c>
    </row>
    <row r="19" spans="1:11" x14ac:dyDescent="0.25">
      <c r="A19" s="6">
        <v>37852</v>
      </c>
      <c r="B19" s="7" t="str">
        <f>"HSRF0003209599"</f>
        <v>HSRF0003209599</v>
      </c>
      <c r="C19" s="7">
        <v>800249241</v>
      </c>
      <c r="D19" s="8">
        <v>42575.934525462966</v>
      </c>
      <c r="E19" s="8">
        <v>42599</v>
      </c>
      <c r="F19" s="7">
        <v>104011</v>
      </c>
      <c r="G19" s="7">
        <v>0</v>
      </c>
      <c r="H19" s="7">
        <v>0</v>
      </c>
      <c r="I19" s="7">
        <v>0</v>
      </c>
      <c r="J19" s="7">
        <v>0</v>
      </c>
      <c r="K19" s="7">
        <v>104011</v>
      </c>
    </row>
    <row r="20" spans="1:11" x14ac:dyDescent="0.25">
      <c r="A20" s="6">
        <v>37853</v>
      </c>
      <c r="B20" s="7" t="str">
        <f>"HSRF0003210456"</f>
        <v>HSRF0003210456</v>
      </c>
      <c r="C20" s="7">
        <v>800249241</v>
      </c>
      <c r="D20" s="8">
        <v>42576.76121527778</v>
      </c>
      <c r="E20" s="8">
        <v>42599</v>
      </c>
      <c r="F20" s="7">
        <v>16165453</v>
      </c>
      <c r="G20" s="7">
        <v>0</v>
      </c>
      <c r="H20" s="7">
        <v>0</v>
      </c>
      <c r="I20" s="7">
        <v>344699</v>
      </c>
      <c r="J20" s="7">
        <v>0</v>
      </c>
      <c r="K20" s="7">
        <v>15820754</v>
      </c>
    </row>
    <row r="21" spans="1:11" x14ac:dyDescent="0.25">
      <c r="A21" s="6">
        <v>38434</v>
      </c>
      <c r="B21" s="7" t="str">
        <f>"HSRF0003266746"</f>
        <v>HSRF0003266746</v>
      </c>
      <c r="C21" s="7">
        <v>800249241</v>
      </c>
      <c r="D21" s="8">
        <v>42707.458912037036</v>
      </c>
      <c r="E21" s="8">
        <v>42748</v>
      </c>
      <c r="F21" s="7">
        <v>796660</v>
      </c>
      <c r="G21" s="7">
        <v>0</v>
      </c>
      <c r="H21" s="7">
        <v>0</v>
      </c>
      <c r="I21" s="7">
        <v>209360</v>
      </c>
      <c r="J21" s="7">
        <v>0</v>
      </c>
      <c r="K21" s="7">
        <v>587300</v>
      </c>
    </row>
    <row r="22" spans="1:11" x14ac:dyDescent="0.25">
      <c r="A22" s="6">
        <v>38433</v>
      </c>
      <c r="B22" s="7" t="str">
        <f>"HSRF0003269025"</f>
        <v>HSRF0003269025</v>
      </c>
      <c r="C22" s="7">
        <v>800249241</v>
      </c>
      <c r="D22" s="8">
        <v>42715.649062500001</v>
      </c>
      <c r="E22" s="8">
        <v>42748</v>
      </c>
      <c r="F22" s="7">
        <v>23057307</v>
      </c>
      <c r="G22" s="7">
        <v>0</v>
      </c>
      <c r="H22" s="7">
        <v>0</v>
      </c>
      <c r="I22" s="7">
        <v>0</v>
      </c>
      <c r="J22" s="7">
        <v>0</v>
      </c>
      <c r="K22" s="7">
        <v>23057307</v>
      </c>
    </row>
    <row r="23" spans="1:11" x14ac:dyDescent="0.25">
      <c r="A23" s="6">
        <v>38529</v>
      </c>
      <c r="B23" s="7" t="str">
        <f>"HSRF0003272207"</f>
        <v>HSRF0003272207</v>
      </c>
      <c r="C23" s="7">
        <v>800249241</v>
      </c>
      <c r="D23" s="8">
        <v>42723.614317129628</v>
      </c>
      <c r="E23" s="8">
        <v>42748</v>
      </c>
      <c r="F23" s="7">
        <v>818065</v>
      </c>
      <c r="G23" s="7">
        <v>0</v>
      </c>
      <c r="H23" s="7">
        <v>0</v>
      </c>
      <c r="I23" s="7">
        <v>0</v>
      </c>
      <c r="J23" s="7">
        <v>0</v>
      </c>
      <c r="K23" s="7">
        <v>818065</v>
      </c>
    </row>
    <row r="24" spans="1:11" x14ac:dyDescent="0.25">
      <c r="A24" s="6">
        <v>38621</v>
      </c>
      <c r="B24" s="7" t="str">
        <f>"HSRF0003278535"</f>
        <v>HSRF0003278535</v>
      </c>
      <c r="C24" s="7">
        <v>800249241</v>
      </c>
      <c r="D24" s="8">
        <v>42742.830682870372</v>
      </c>
      <c r="E24" s="8">
        <v>42767</v>
      </c>
      <c r="F24" s="7">
        <v>461015</v>
      </c>
      <c r="G24" s="7">
        <v>0</v>
      </c>
      <c r="H24" s="7">
        <v>0</v>
      </c>
      <c r="I24" s="7">
        <v>372289</v>
      </c>
      <c r="J24" s="7">
        <v>0</v>
      </c>
      <c r="K24" s="7">
        <v>88726</v>
      </c>
    </row>
    <row r="25" spans="1:11" x14ac:dyDescent="0.25">
      <c r="A25" s="6">
        <v>38947</v>
      </c>
      <c r="B25" s="7" t="str">
        <f>"HSRF0003307363"</f>
        <v>HSRF0003307363</v>
      </c>
      <c r="C25" s="7">
        <v>800249241</v>
      </c>
      <c r="D25" s="8">
        <v>42798.561354166668</v>
      </c>
      <c r="E25" s="8">
        <v>42847</v>
      </c>
      <c r="F25" s="7">
        <v>1832195</v>
      </c>
      <c r="G25" s="7">
        <v>0</v>
      </c>
      <c r="H25" s="7">
        <v>0</v>
      </c>
      <c r="I25" s="7">
        <v>0</v>
      </c>
      <c r="J25" s="7">
        <v>0</v>
      </c>
      <c r="K25" s="7">
        <v>1832195</v>
      </c>
    </row>
    <row r="26" spans="1:11" x14ac:dyDescent="0.25">
      <c r="A26" s="6">
        <v>38945</v>
      </c>
      <c r="B26" s="7" t="str">
        <f>"HSRF0003314952"</f>
        <v>HSRF0003314952</v>
      </c>
      <c r="C26" s="7">
        <v>800249241</v>
      </c>
      <c r="D26" s="8">
        <v>42813.797847222224</v>
      </c>
      <c r="E26" s="8">
        <v>42847</v>
      </c>
      <c r="F26" s="7">
        <v>7064575</v>
      </c>
      <c r="G26" s="7">
        <v>0</v>
      </c>
      <c r="H26" s="7">
        <v>0</v>
      </c>
      <c r="I26" s="7">
        <v>0</v>
      </c>
      <c r="J26" s="7">
        <v>0</v>
      </c>
      <c r="K26" s="7">
        <v>7064575</v>
      </c>
    </row>
    <row r="27" spans="1:11" x14ac:dyDescent="0.25">
      <c r="A27" s="6">
        <v>39071</v>
      </c>
      <c r="B27" s="7" t="str">
        <f>"HSRF0003327921"</f>
        <v>HSRF0003327921</v>
      </c>
      <c r="C27" s="7">
        <v>800249241</v>
      </c>
      <c r="D27" s="8">
        <v>42835.395289351851</v>
      </c>
      <c r="E27" s="8">
        <v>42875</v>
      </c>
      <c r="F27" s="7">
        <v>5578255</v>
      </c>
      <c r="G27" s="7">
        <v>0</v>
      </c>
      <c r="H27" s="7">
        <v>0</v>
      </c>
      <c r="I27" s="7">
        <v>0</v>
      </c>
      <c r="J27" s="7">
        <v>0</v>
      </c>
      <c r="K27" s="7">
        <v>5578255</v>
      </c>
    </row>
    <row r="28" spans="1:11" x14ac:dyDescent="0.25">
      <c r="A28" s="6">
        <v>39100</v>
      </c>
      <c r="B28" s="7" t="str">
        <f>"HSRF0003334314"</f>
        <v>HSRF0003334314</v>
      </c>
      <c r="C28" s="7">
        <v>800249241</v>
      </c>
      <c r="D28" s="8">
        <v>42847.305312500001</v>
      </c>
      <c r="E28" s="8">
        <v>42875</v>
      </c>
      <c r="F28" s="7">
        <v>49125</v>
      </c>
      <c r="G28" s="7">
        <v>0</v>
      </c>
      <c r="H28" s="7">
        <v>0</v>
      </c>
      <c r="I28" s="7">
        <v>0</v>
      </c>
      <c r="J28" s="7">
        <v>0</v>
      </c>
      <c r="K28" s="7">
        <v>49125</v>
      </c>
    </row>
    <row r="29" spans="1:11" x14ac:dyDescent="0.25">
      <c r="A29" s="6">
        <v>39107</v>
      </c>
      <c r="B29" s="7" t="str">
        <f>"HSRF0003338423"</f>
        <v>HSRF0003338423</v>
      </c>
      <c r="C29" s="7">
        <v>800249241</v>
      </c>
      <c r="D29" s="8">
        <v>42853.884155092594</v>
      </c>
      <c r="E29" s="8">
        <v>42875</v>
      </c>
      <c r="F29" s="7">
        <v>95055</v>
      </c>
      <c r="G29" s="7">
        <v>0</v>
      </c>
      <c r="H29" s="7">
        <v>0</v>
      </c>
      <c r="I29" s="7">
        <v>91482</v>
      </c>
      <c r="J29" s="7">
        <v>0</v>
      </c>
      <c r="K29" s="7">
        <v>3573</v>
      </c>
    </row>
    <row r="30" spans="1:11" x14ac:dyDescent="0.25">
      <c r="A30" s="6">
        <v>39189</v>
      </c>
      <c r="B30" s="7" t="str">
        <f>"HSRF0003342515"</f>
        <v>HSRF0003342515</v>
      </c>
      <c r="C30" s="7">
        <v>800249241</v>
      </c>
      <c r="D30" s="8">
        <v>42863.139664351853</v>
      </c>
      <c r="E30" s="8">
        <v>42909</v>
      </c>
      <c r="F30" s="7">
        <v>125405</v>
      </c>
      <c r="G30" s="7">
        <v>0</v>
      </c>
      <c r="H30" s="7">
        <v>0</v>
      </c>
      <c r="I30" s="7">
        <v>49696</v>
      </c>
      <c r="J30" s="7">
        <v>0</v>
      </c>
      <c r="K30" s="7">
        <v>75709</v>
      </c>
    </row>
    <row r="31" spans="1:11" x14ac:dyDescent="0.25">
      <c r="A31" s="6">
        <v>39189</v>
      </c>
      <c r="B31" s="7" t="str">
        <f>"HSRF0003347782"</f>
        <v>HSRF0003347782</v>
      </c>
      <c r="C31" s="7">
        <v>800249241</v>
      </c>
      <c r="D31" s="8">
        <v>42871.440254629626</v>
      </c>
      <c r="E31" s="8">
        <v>42909</v>
      </c>
      <c r="F31" s="7">
        <v>2288290</v>
      </c>
      <c r="G31" s="7">
        <v>0</v>
      </c>
      <c r="H31" s="7">
        <v>0</v>
      </c>
      <c r="I31" s="7">
        <v>1967106</v>
      </c>
      <c r="J31" s="7">
        <v>0</v>
      </c>
      <c r="K31" s="7">
        <v>321184</v>
      </c>
    </row>
    <row r="32" spans="1:11" x14ac:dyDescent="0.25">
      <c r="A32" s="6">
        <v>39189</v>
      </c>
      <c r="B32" s="7" t="str">
        <f>"HSRF0003348076"</f>
        <v>HSRF0003348076</v>
      </c>
      <c r="C32" s="7">
        <v>800249241</v>
      </c>
      <c r="D32" s="8">
        <v>42871.769849537035</v>
      </c>
      <c r="E32" s="8">
        <v>42909</v>
      </c>
      <c r="F32" s="7">
        <v>440451</v>
      </c>
      <c r="G32" s="7">
        <v>0</v>
      </c>
      <c r="H32" s="7">
        <v>0</v>
      </c>
      <c r="I32" s="7">
        <v>352751</v>
      </c>
      <c r="J32" s="7">
        <v>0</v>
      </c>
      <c r="K32" s="7">
        <v>87700</v>
      </c>
    </row>
    <row r="33" spans="1:11" x14ac:dyDescent="0.25">
      <c r="A33" s="6">
        <v>39256</v>
      </c>
      <c r="B33" s="7" t="str">
        <f>"HSRF0003349589"</f>
        <v>HSRF0003349589</v>
      </c>
      <c r="C33" s="7">
        <v>800249241</v>
      </c>
      <c r="D33" s="8">
        <v>42873.614537037036</v>
      </c>
      <c r="E33" s="8">
        <v>42909</v>
      </c>
      <c r="F33" s="7">
        <v>834279</v>
      </c>
      <c r="G33" s="7">
        <v>0</v>
      </c>
      <c r="H33" s="7">
        <v>0</v>
      </c>
      <c r="I33" s="7">
        <v>479479</v>
      </c>
      <c r="J33" s="7">
        <v>0</v>
      </c>
      <c r="K33" s="7">
        <v>354800</v>
      </c>
    </row>
    <row r="34" spans="1:11" x14ac:dyDescent="0.25">
      <c r="A34" s="6">
        <v>39189</v>
      </c>
      <c r="B34" s="7" t="str">
        <f>"HSRF0003350968"</f>
        <v>HSRF0003350968</v>
      </c>
      <c r="C34" s="7">
        <v>800249241</v>
      </c>
      <c r="D34" s="8">
        <v>42876.809363425928</v>
      </c>
      <c r="E34" s="8">
        <v>42909</v>
      </c>
      <c r="F34" s="7">
        <v>1188239</v>
      </c>
      <c r="G34" s="7">
        <v>0</v>
      </c>
      <c r="H34" s="7">
        <v>0</v>
      </c>
      <c r="I34" s="7">
        <v>197600</v>
      </c>
      <c r="J34" s="7">
        <v>0</v>
      </c>
      <c r="K34" s="7">
        <v>990639</v>
      </c>
    </row>
    <row r="35" spans="1:11" x14ac:dyDescent="0.25">
      <c r="A35" s="6">
        <v>39189</v>
      </c>
      <c r="B35" s="7" t="str">
        <f>"HSRF0003355401"</f>
        <v>HSRF0003355401</v>
      </c>
      <c r="C35" s="7">
        <v>800249241</v>
      </c>
      <c r="D35" s="8">
        <v>42884.43172453704</v>
      </c>
      <c r="E35" s="8">
        <v>42909</v>
      </c>
      <c r="F35" s="7">
        <v>1607601</v>
      </c>
      <c r="G35" s="7">
        <v>0</v>
      </c>
      <c r="H35" s="7">
        <v>0</v>
      </c>
      <c r="I35" s="7">
        <v>632329</v>
      </c>
      <c r="J35" s="7">
        <v>0</v>
      </c>
      <c r="K35" s="7">
        <v>975272</v>
      </c>
    </row>
    <row r="36" spans="1:11" x14ac:dyDescent="0.25">
      <c r="A36" s="6">
        <v>39358</v>
      </c>
      <c r="B36" s="7" t="str">
        <f>"HSRF0003368937"</f>
        <v>HSRF0003368937</v>
      </c>
      <c r="C36" s="7">
        <v>800249241</v>
      </c>
      <c r="D36" s="8">
        <v>42907.522314814814</v>
      </c>
      <c r="E36" s="8">
        <v>42935</v>
      </c>
      <c r="F36" s="7">
        <v>48400</v>
      </c>
      <c r="G36" s="7">
        <v>0</v>
      </c>
      <c r="H36" s="7">
        <v>0</v>
      </c>
      <c r="I36" s="7">
        <v>0</v>
      </c>
      <c r="J36" s="7">
        <v>0</v>
      </c>
      <c r="K36" s="7">
        <v>48400</v>
      </c>
    </row>
    <row r="37" spans="1:11" x14ac:dyDescent="0.25">
      <c r="A37" s="6">
        <v>39479</v>
      </c>
      <c r="B37" s="7" t="str">
        <f>"HSRF0003381122"</f>
        <v>HSRF0003381122</v>
      </c>
      <c r="C37" s="7">
        <v>800249241</v>
      </c>
      <c r="D37" s="8">
        <v>42929.487488425926</v>
      </c>
      <c r="E37" s="8">
        <v>42963</v>
      </c>
      <c r="F37" s="7">
        <v>2057436</v>
      </c>
      <c r="G37" s="7">
        <v>0</v>
      </c>
      <c r="H37" s="7">
        <v>0</v>
      </c>
      <c r="I37" s="7">
        <v>0</v>
      </c>
      <c r="J37" s="7">
        <v>0</v>
      </c>
      <c r="K37" s="7">
        <v>2057436</v>
      </c>
    </row>
    <row r="38" spans="1:11" x14ac:dyDescent="0.25">
      <c r="A38" s="6">
        <v>39479</v>
      </c>
      <c r="B38" s="7" t="str">
        <f>"HSRF0003382090"</f>
        <v>HSRF0003382090</v>
      </c>
      <c r="C38" s="7">
        <v>800249241</v>
      </c>
      <c r="D38" s="8">
        <v>42930.684548611112</v>
      </c>
      <c r="E38" s="8">
        <v>42963</v>
      </c>
      <c r="F38" s="7">
        <v>2099787</v>
      </c>
      <c r="G38" s="7">
        <v>0</v>
      </c>
      <c r="H38" s="7">
        <v>0</v>
      </c>
      <c r="I38" s="7">
        <v>0</v>
      </c>
      <c r="J38" s="7">
        <v>0</v>
      </c>
      <c r="K38" s="7">
        <v>2099787</v>
      </c>
    </row>
    <row r="39" spans="1:11" x14ac:dyDescent="0.25">
      <c r="A39" s="6">
        <v>39524</v>
      </c>
      <c r="B39" s="7" t="str">
        <f>"HSRF0003382747"</f>
        <v>HSRF0003382747</v>
      </c>
      <c r="C39" s="7">
        <v>800249241</v>
      </c>
      <c r="D39" s="8">
        <v>42933.338796296295</v>
      </c>
      <c r="E39" s="8">
        <v>42963</v>
      </c>
      <c r="F39" s="7">
        <v>2276000</v>
      </c>
      <c r="G39" s="7">
        <v>0</v>
      </c>
      <c r="H39" s="7">
        <v>0</v>
      </c>
      <c r="I39" s="7">
        <v>2104700</v>
      </c>
      <c r="J39" s="7">
        <v>0</v>
      </c>
      <c r="K39" s="7">
        <v>171300</v>
      </c>
    </row>
    <row r="40" spans="1:11" x14ac:dyDescent="0.25">
      <c r="A40" s="6">
        <v>40562</v>
      </c>
      <c r="B40" s="7" t="str">
        <f>"HSRF0003485164"</f>
        <v>HSRF0003485164</v>
      </c>
      <c r="C40" s="7">
        <v>900226715</v>
      </c>
      <c r="D40" s="8">
        <v>43131.016446759262</v>
      </c>
      <c r="E40" s="8">
        <v>43147</v>
      </c>
      <c r="F40" s="7">
        <v>693618</v>
      </c>
      <c r="G40" s="7">
        <v>0</v>
      </c>
      <c r="H40" s="7">
        <v>0</v>
      </c>
      <c r="I40" s="7">
        <v>614500</v>
      </c>
      <c r="J40" s="7">
        <v>0</v>
      </c>
      <c r="K40" s="7">
        <v>79118</v>
      </c>
    </row>
    <row r="41" spans="1:11" x14ac:dyDescent="0.25">
      <c r="A41" s="6">
        <v>41627</v>
      </c>
      <c r="B41" s="7" t="str">
        <f>"HSRF0003594243"</f>
        <v>HSRF0003594243</v>
      </c>
      <c r="C41" s="7">
        <v>900226715</v>
      </c>
      <c r="D41" s="8">
        <v>43316.233368055553</v>
      </c>
      <c r="E41" s="8">
        <v>43353</v>
      </c>
      <c r="F41" s="7">
        <v>235976</v>
      </c>
      <c r="G41" s="7">
        <v>0</v>
      </c>
      <c r="H41" s="7">
        <v>0</v>
      </c>
      <c r="I41" s="7">
        <v>148324</v>
      </c>
      <c r="J41" s="7">
        <v>0</v>
      </c>
      <c r="K41" s="7">
        <v>87652</v>
      </c>
    </row>
    <row r="42" spans="1:11" x14ac:dyDescent="0.25">
      <c r="A42" s="6">
        <v>41627</v>
      </c>
      <c r="B42" s="7" t="str">
        <f>"HSRF0003594612"</f>
        <v>HSRF0003594612</v>
      </c>
      <c r="C42" s="7">
        <v>900226715</v>
      </c>
      <c r="D42" s="8">
        <v>43317.720462962963</v>
      </c>
      <c r="E42" s="8">
        <v>43353</v>
      </c>
      <c r="F42" s="7">
        <v>5695448</v>
      </c>
      <c r="G42" s="7">
        <v>0</v>
      </c>
      <c r="H42" s="7">
        <v>0</v>
      </c>
      <c r="I42" s="7">
        <v>4988348</v>
      </c>
      <c r="J42" s="7">
        <v>0</v>
      </c>
      <c r="K42" s="7">
        <v>707100</v>
      </c>
    </row>
    <row r="43" spans="1:11" x14ac:dyDescent="0.25">
      <c r="A43" s="6">
        <v>41832</v>
      </c>
      <c r="B43" s="7" t="str">
        <f>"HSRF0003625767"</f>
        <v>HSRF0003625767</v>
      </c>
      <c r="C43" s="7">
        <v>900226715</v>
      </c>
      <c r="D43" s="8">
        <v>43365.766967592594</v>
      </c>
      <c r="E43" s="8">
        <v>43385</v>
      </c>
      <c r="F43" s="7">
        <v>1385602</v>
      </c>
      <c r="G43" s="7">
        <v>0</v>
      </c>
      <c r="H43" s="7">
        <v>0</v>
      </c>
      <c r="I43" s="7">
        <v>770002</v>
      </c>
      <c r="J43" s="7">
        <v>0</v>
      </c>
      <c r="K43" s="7">
        <v>615600</v>
      </c>
    </row>
    <row r="44" spans="1:11" x14ac:dyDescent="0.25">
      <c r="A44" s="6">
        <v>42016</v>
      </c>
      <c r="B44" s="7" t="str">
        <f>"HSRF0003634928"</f>
        <v>HSRF0003634928</v>
      </c>
      <c r="C44" s="7">
        <v>900226715</v>
      </c>
      <c r="D44" s="8">
        <v>43378.478495370371</v>
      </c>
      <c r="E44" s="8">
        <v>43444</v>
      </c>
      <c r="F44" s="7">
        <v>1459205</v>
      </c>
      <c r="G44" s="7">
        <v>0</v>
      </c>
      <c r="H44" s="7">
        <v>0</v>
      </c>
      <c r="I44" s="7">
        <v>1431330</v>
      </c>
      <c r="J44" s="7">
        <v>0</v>
      </c>
      <c r="K44" s="7">
        <v>27875</v>
      </c>
    </row>
    <row r="45" spans="1:11" x14ac:dyDescent="0.25">
      <c r="A45" s="6">
        <v>42193</v>
      </c>
      <c r="B45" s="7" t="str">
        <f>"HSRF0003655924"</f>
        <v>HSRF0003655924</v>
      </c>
      <c r="C45" s="7">
        <v>900226715</v>
      </c>
      <c r="D45" s="8">
        <v>43414.377384259256</v>
      </c>
      <c r="E45" s="8">
        <v>43444</v>
      </c>
      <c r="F45" s="7">
        <v>2603203</v>
      </c>
      <c r="G45" s="7">
        <v>0</v>
      </c>
      <c r="H45" s="7">
        <v>0</v>
      </c>
      <c r="I45" s="7">
        <v>2023303</v>
      </c>
      <c r="J45" s="7">
        <v>0</v>
      </c>
      <c r="K45" s="7">
        <v>579900</v>
      </c>
    </row>
    <row r="46" spans="1:11" x14ac:dyDescent="0.25">
      <c r="A46" s="6">
        <v>42193</v>
      </c>
      <c r="B46" s="7" t="str">
        <f>"HSRF0003657905"</f>
        <v>HSRF0003657905</v>
      </c>
      <c r="C46" s="7">
        <v>900226715</v>
      </c>
      <c r="D46" s="8">
        <v>43418.731562499997</v>
      </c>
      <c r="E46" s="8">
        <v>43444</v>
      </c>
      <c r="F46" s="7">
        <v>1559154</v>
      </c>
      <c r="G46" s="7">
        <v>0</v>
      </c>
      <c r="H46" s="7">
        <v>0</v>
      </c>
      <c r="I46" s="7">
        <v>797379</v>
      </c>
      <c r="J46" s="7">
        <v>0</v>
      </c>
      <c r="K46" s="7">
        <v>761775</v>
      </c>
    </row>
    <row r="47" spans="1:11" x14ac:dyDescent="0.25">
      <c r="A47" s="6">
        <v>42399</v>
      </c>
      <c r="B47" s="7" t="str">
        <f>"HSRF0003676176"</f>
        <v>HSRF0003676176</v>
      </c>
      <c r="C47" s="7">
        <v>900226715</v>
      </c>
      <c r="D47" s="8">
        <v>43447.644212962965</v>
      </c>
      <c r="E47" s="8">
        <v>43507</v>
      </c>
      <c r="F47" s="7">
        <v>537739</v>
      </c>
      <c r="G47" s="7">
        <v>0</v>
      </c>
      <c r="H47" s="7">
        <v>0</v>
      </c>
      <c r="I47" s="7">
        <v>0</v>
      </c>
      <c r="J47" s="7">
        <v>0</v>
      </c>
      <c r="K47" s="7">
        <v>537739</v>
      </c>
    </row>
    <row r="48" spans="1:11" x14ac:dyDescent="0.25">
      <c r="A48" s="6">
        <v>42552</v>
      </c>
      <c r="B48" s="7" t="str">
        <f>"HSRF0003699496"</f>
        <v>HSRF0003699496</v>
      </c>
      <c r="C48" s="7">
        <v>900226715</v>
      </c>
      <c r="D48" s="8">
        <v>43493.114386574074</v>
      </c>
      <c r="E48" s="8">
        <v>43507</v>
      </c>
      <c r="F48" s="7">
        <v>677199</v>
      </c>
      <c r="G48" s="7">
        <v>0</v>
      </c>
      <c r="H48" s="7">
        <v>0</v>
      </c>
      <c r="I48" s="7">
        <v>599099</v>
      </c>
      <c r="J48" s="7">
        <v>0</v>
      </c>
      <c r="K48" s="7">
        <v>78100</v>
      </c>
    </row>
    <row r="49" spans="1:11" x14ac:dyDescent="0.25">
      <c r="A49" s="6">
        <v>43581</v>
      </c>
      <c r="B49" s="7" t="str">
        <f>"HSRF0003756811"</f>
        <v>HSRF0003756811</v>
      </c>
      <c r="C49" s="7">
        <v>900226715</v>
      </c>
      <c r="D49" s="8">
        <v>43585.709594907406</v>
      </c>
      <c r="E49" s="8">
        <v>44208</v>
      </c>
      <c r="F49" s="7">
        <v>3454909</v>
      </c>
      <c r="G49" s="7">
        <v>0</v>
      </c>
      <c r="H49" s="7">
        <v>0</v>
      </c>
      <c r="I49" s="7">
        <v>0</v>
      </c>
      <c r="J49" s="7">
        <v>0</v>
      </c>
      <c r="K49" s="7">
        <v>3454909</v>
      </c>
    </row>
    <row r="50" spans="1:11" x14ac:dyDescent="0.25">
      <c r="A50" s="6">
        <v>43581</v>
      </c>
      <c r="B50" s="7" t="str">
        <f>"HSRF0003756843"</f>
        <v>HSRF0003756843</v>
      </c>
      <c r="C50" s="7">
        <v>900226715</v>
      </c>
      <c r="D50" s="8">
        <v>43585.733483796299</v>
      </c>
      <c r="E50" s="8">
        <v>44208</v>
      </c>
      <c r="F50" s="7">
        <v>1064963</v>
      </c>
      <c r="G50" s="7">
        <v>0</v>
      </c>
      <c r="H50" s="7">
        <v>0</v>
      </c>
      <c r="I50" s="7">
        <v>0</v>
      </c>
      <c r="J50" s="7">
        <v>0</v>
      </c>
      <c r="K50" s="7">
        <v>1064963</v>
      </c>
    </row>
    <row r="51" spans="1:11" x14ac:dyDescent="0.25">
      <c r="A51" s="6">
        <v>43264</v>
      </c>
      <c r="B51" s="7" t="str">
        <f>"HSRF0003759939"</f>
        <v>HSRF0003759939</v>
      </c>
      <c r="C51" s="7">
        <v>900226715</v>
      </c>
      <c r="D51" s="8">
        <v>43591.687037037038</v>
      </c>
      <c r="E51" s="8">
        <v>43622</v>
      </c>
      <c r="F51" s="7">
        <v>952190</v>
      </c>
      <c r="G51" s="7">
        <v>0</v>
      </c>
      <c r="H51" s="7">
        <v>0</v>
      </c>
      <c r="I51" s="7">
        <v>0</v>
      </c>
      <c r="J51" s="7">
        <v>0</v>
      </c>
      <c r="K51" s="7">
        <v>952190</v>
      </c>
    </row>
    <row r="52" spans="1:11" x14ac:dyDescent="0.25">
      <c r="A52" s="6">
        <v>43264</v>
      </c>
      <c r="B52" s="7" t="str">
        <f>"HSRF0003762481"</f>
        <v>HSRF0003762481</v>
      </c>
      <c r="C52" s="7">
        <v>900226715</v>
      </c>
      <c r="D52" s="8">
        <v>43594.637569444443</v>
      </c>
      <c r="E52" s="8">
        <v>43622</v>
      </c>
      <c r="F52" s="7">
        <v>95608</v>
      </c>
      <c r="G52" s="7">
        <v>0</v>
      </c>
      <c r="H52" s="7">
        <v>0</v>
      </c>
      <c r="I52" s="7">
        <v>0</v>
      </c>
      <c r="J52" s="7">
        <v>0</v>
      </c>
      <c r="K52" s="7">
        <v>95608</v>
      </c>
    </row>
    <row r="53" spans="1:11" x14ac:dyDescent="0.25">
      <c r="A53" s="6">
        <v>43579</v>
      </c>
      <c r="B53" s="7" t="str">
        <f>"HSRF0003763863"</f>
        <v>HSRF0003763863</v>
      </c>
      <c r="C53" s="7">
        <v>900226715</v>
      </c>
      <c r="D53" s="8">
        <v>43598.243842592594</v>
      </c>
      <c r="E53" s="8">
        <v>44208</v>
      </c>
      <c r="F53" s="7">
        <v>614631</v>
      </c>
      <c r="G53" s="7">
        <v>0</v>
      </c>
      <c r="H53" s="7">
        <v>0</v>
      </c>
      <c r="I53" s="7">
        <v>0</v>
      </c>
      <c r="J53" s="7">
        <v>0</v>
      </c>
      <c r="K53" s="7">
        <v>614631</v>
      </c>
    </row>
    <row r="54" spans="1:11" x14ac:dyDescent="0.25">
      <c r="A54" s="6">
        <v>43265</v>
      </c>
      <c r="B54" s="7" t="str">
        <f>"HSRF0003772177"</f>
        <v>HSRF0003772177</v>
      </c>
      <c r="C54" s="7">
        <v>900226715</v>
      </c>
      <c r="D54" s="8">
        <v>43608.699120370373</v>
      </c>
      <c r="E54" s="8">
        <v>43661</v>
      </c>
      <c r="F54" s="7">
        <v>567686</v>
      </c>
      <c r="G54" s="7">
        <v>0</v>
      </c>
      <c r="H54" s="7">
        <v>0</v>
      </c>
      <c r="I54" s="7">
        <v>512446</v>
      </c>
      <c r="J54" s="7">
        <v>0</v>
      </c>
      <c r="K54" s="7">
        <v>55240</v>
      </c>
    </row>
    <row r="55" spans="1:11" x14ac:dyDescent="0.25">
      <c r="A55" s="6">
        <v>43579</v>
      </c>
      <c r="B55" s="7" t="str">
        <f>"HSRF0003773320"</f>
        <v>HSRF0003773320</v>
      </c>
      <c r="C55" s="7">
        <v>900226715</v>
      </c>
      <c r="D55" s="8">
        <v>43611.264652777776</v>
      </c>
      <c r="E55" s="8">
        <v>44208</v>
      </c>
      <c r="F55" s="7">
        <v>2593789</v>
      </c>
      <c r="G55" s="7">
        <v>0</v>
      </c>
      <c r="H55" s="7">
        <v>0</v>
      </c>
      <c r="I55" s="7">
        <v>0</v>
      </c>
      <c r="J55" s="7">
        <v>0</v>
      </c>
      <c r="K55" s="7">
        <v>2593789</v>
      </c>
    </row>
    <row r="56" spans="1:11" x14ac:dyDescent="0.25">
      <c r="A56" s="6">
        <v>43579</v>
      </c>
      <c r="B56" s="7" t="str">
        <f>"HSRF0003775229"</f>
        <v>HSRF0003775229</v>
      </c>
      <c r="C56" s="7">
        <v>900226715</v>
      </c>
      <c r="D56" s="8">
        <v>43613.70380787037</v>
      </c>
      <c r="E56" s="8">
        <v>44208</v>
      </c>
      <c r="F56" s="7">
        <v>1229806</v>
      </c>
      <c r="G56" s="7">
        <v>0</v>
      </c>
      <c r="H56" s="7">
        <v>0</v>
      </c>
      <c r="I56" s="7">
        <v>0</v>
      </c>
      <c r="J56" s="7">
        <v>0</v>
      </c>
      <c r="K56" s="7">
        <v>1229806</v>
      </c>
    </row>
    <row r="57" spans="1:11" x14ac:dyDescent="0.25">
      <c r="A57" s="6">
        <v>43579</v>
      </c>
      <c r="B57" s="7" t="str">
        <f>"HSRF0003778167"</f>
        <v>HSRF0003778167</v>
      </c>
      <c r="C57" s="7">
        <v>900226715</v>
      </c>
      <c r="D57" s="8">
        <v>43617.974027777775</v>
      </c>
      <c r="E57" s="8">
        <v>44208</v>
      </c>
      <c r="F57" s="7">
        <v>54400</v>
      </c>
      <c r="G57" s="7">
        <v>0</v>
      </c>
      <c r="H57" s="7">
        <v>0</v>
      </c>
      <c r="I57" s="7">
        <v>0</v>
      </c>
      <c r="J57" s="7">
        <v>0</v>
      </c>
      <c r="K57" s="7">
        <v>54400</v>
      </c>
    </row>
    <row r="58" spans="1:11" x14ac:dyDescent="0.25">
      <c r="A58" s="6">
        <v>43579</v>
      </c>
      <c r="B58" s="7" t="str">
        <f>"HSRF0003778497"</f>
        <v>HSRF0003778497</v>
      </c>
      <c r="C58" s="7">
        <v>900226715</v>
      </c>
      <c r="D58" s="8">
        <v>43619.647962962961</v>
      </c>
      <c r="E58" s="8">
        <v>44208</v>
      </c>
      <c r="F58" s="7">
        <v>866432</v>
      </c>
      <c r="G58" s="7">
        <v>0</v>
      </c>
      <c r="H58" s="7">
        <v>0</v>
      </c>
      <c r="I58" s="7">
        <v>0</v>
      </c>
      <c r="J58" s="7">
        <v>0</v>
      </c>
      <c r="K58" s="7">
        <v>866432</v>
      </c>
    </row>
    <row r="59" spans="1:11" x14ac:dyDescent="0.25">
      <c r="A59" s="6">
        <v>43265</v>
      </c>
      <c r="B59" s="7" t="str">
        <f>"HSRF0003779542"</f>
        <v>HSRF0003779542</v>
      </c>
      <c r="C59" s="7">
        <v>900226715</v>
      </c>
      <c r="D59" s="8">
        <v>43621.302673611113</v>
      </c>
      <c r="E59" s="8">
        <v>43661</v>
      </c>
      <c r="F59" s="7">
        <v>38565614</v>
      </c>
      <c r="G59" s="7">
        <v>0</v>
      </c>
      <c r="H59" s="7">
        <v>0</v>
      </c>
      <c r="I59" s="7">
        <v>0</v>
      </c>
      <c r="J59" s="7">
        <v>0</v>
      </c>
      <c r="K59" s="7">
        <v>38565614</v>
      </c>
    </row>
    <row r="60" spans="1:11" x14ac:dyDescent="0.25">
      <c r="A60" s="6">
        <v>43409</v>
      </c>
      <c r="B60" s="7" t="str">
        <f>"HSRF0003794525"</f>
        <v>HSRF0003794525</v>
      </c>
      <c r="C60" s="7">
        <v>900226715</v>
      </c>
      <c r="D60" s="8">
        <v>43642.755347222221</v>
      </c>
      <c r="E60" s="8">
        <v>43661</v>
      </c>
      <c r="F60" s="7">
        <v>54400</v>
      </c>
      <c r="G60" s="7">
        <v>0</v>
      </c>
      <c r="H60" s="7">
        <v>0</v>
      </c>
      <c r="I60" s="7">
        <v>0</v>
      </c>
      <c r="J60" s="7">
        <v>0</v>
      </c>
      <c r="K60" s="7">
        <v>54400</v>
      </c>
    </row>
    <row r="61" spans="1:11" x14ac:dyDescent="0.25">
      <c r="A61" s="6">
        <v>43580</v>
      </c>
      <c r="B61" s="7" t="str">
        <f>"HSRF0003794582"</f>
        <v>HSRF0003794582</v>
      </c>
      <c r="C61" s="7">
        <v>900226715</v>
      </c>
      <c r="D61" s="8">
        <v>43642.866967592592</v>
      </c>
      <c r="E61" s="8">
        <v>44208</v>
      </c>
      <c r="F61" s="7">
        <v>1282017</v>
      </c>
      <c r="G61" s="7">
        <v>0</v>
      </c>
      <c r="H61" s="7">
        <v>0</v>
      </c>
      <c r="I61" s="7">
        <v>0</v>
      </c>
      <c r="J61" s="7">
        <v>0</v>
      </c>
      <c r="K61" s="7">
        <v>1282017</v>
      </c>
    </row>
    <row r="62" spans="1:11" x14ac:dyDescent="0.25">
      <c r="A62" s="6">
        <v>43409</v>
      </c>
      <c r="B62" s="7" t="str">
        <f>"HSRF0003795697"</f>
        <v>HSRF0003795697</v>
      </c>
      <c r="C62" s="7">
        <v>900226715</v>
      </c>
      <c r="D62" s="8">
        <v>43644.285011574073</v>
      </c>
      <c r="E62" s="8">
        <v>43661</v>
      </c>
      <c r="F62" s="7">
        <v>237314</v>
      </c>
      <c r="G62" s="7">
        <v>0</v>
      </c>
      <c r="H62" s="7">
        <v>0</v>
      </c>
      <c r="I62" s="7">
        <v>0</v>
      </c>
      <c r="J62" s="7">
        <v>0</v>
      </c>
      <c r="K62" s="7">
        <v>237314</v>
      </c>
    </row>
    <row r="63" spans="1:11" x14ac:dyDescent="0.25">
      <c r="A63" s="6">
        <v>44528</v>
      </c>
      <c r="B63" s="7" t="str">
        <f>"HSRF0003800131"</f>
        <v>HSRF0003800131</v>
      </c>
      <c r="C63" s="7">
        <v>900226715</v>
      </c>
      <c r="D63" s="8">
        <v>43651.50917824074</v>
      </c>
      <c r="E63" s="8">
        <v>44208</v>
      </c>
      <c r="F63" s="7">
        <v>105000</v>
      </c>
      <c r="G63" s="7">
        <v>0</v>
      </c>
      <c r="H63" s="7">
        <v>0</v>
      </c>
      <c r="I63" s="7">
        <v>0</v>
      </c>
      <c r="J63" s="7">
        <v>0</v>
      </c>
      <c r="K63" s="7">
        <v>105000</v>
      </c>
    </row>
    <row r="64" spans="1:11" x14ac:dyDescent="0.25">
      <c r="A64" s="6">
        <v>44528</v>
      </c>
      <c r="B64" s="7" t="str">
        <f>"HSRF0003806081"</f>
        <v>HSRF0003806081</v>
      </c>
      <c r="C64" s="7">
        <v>900226715</v>
      </c>
      <c r="D64" s="8">
        <v>43661.676261574074</v>
      </c>
      <c r="E64" s="8">
        <v>44208</v>
      </c>
      <c r="F64" s="7">
        <v>54400</v>
      </c>
      <c r="G64" s="7">
        <v>0</v>
      </c>
      <c r="H64" s="7">
        <v>0</v>
      </c>
      <c r="I64" s="7">
        <v>0</v>
      </c>
      <c r="J64" s="7">
        <v>0</v>
      </c>
      <c r="K64" s="7">
        <v>54400</v>
      </c>
    </row>
    <row r="65" spans="1:11" x14ac:dyDescent="0.25">
      <c r="A65" s="6">
        <v>44528</v>
      </c>
      <c r="B65" s="7" t="str">
        <f>"HSRF0003806573"</f>
        <v>HSRF0003806573</v>
      </c>
      <c r="C65" s="7">
        <v>900226715</v>
      </c>
      <c r="D65" s="8">
        <v>43662.409456018519</v>
      </c>
      <c r="E65" s="8">
        <v>44208</v>
      </c>
      <c r="F65" s="7">
        <v>394171</v>
      </c>
      <c r="G65" s="7">
        <v>0</v>
      </c>
      <c r="H65" s="7">
        <v>0</v>
      </c>
      <c r="I65" s="7">
        <v>0</v>
      </c>
      <c r="J65" s="7">
        <v>0</v>
      </c>
      <c r="K65" s="7">
        <v>394171</v>
      </c>
    </row>
    <row r="66" spans="1:11" x14ac:dyDescent="0.25">
      <c r="A66" s="6">
        <v>43665</v>
      </c>
      <c r="B66" s="7" t="str">
        <f>"HSRF0003807568"</f>
        <v>HSRF0003807568</v>
      </c>
      <c r="C66" s="7">
        <v>900226715</v>
      </c>
      <c r="D66" s="8">
        <v>43663.489722222221</v>
      </c>
      <c r="E66" s="8">
        <v>44208</v>
      </c>
      <c r="F66" s="7">
        <v>641603</v>
      </c>
      <c r="G66" s="7">
        <v>0</v>
      </c>
      <c r="H66" s="7">
        <v>0</v>
      </c>
      <c r="I66" s="7">
        <v>0</v>
      </c>
      <c r="J66" s="7">
        <v>0</v>
      </c>
      <c r="K66" s="7">
        <v>641603</v>
      </c>
    </row>
    <row r="67" spans="1:11" x14ac:dyDescent="0.25">
      <c r="A67" s="6">
        <v>44528</v>
      </c>
      <c r="B67" s="7" t="str">
        <f>"HSRF0003807835"</f>
        <v>HSRF0003807835</v>
      </c>
      <c r="C67" s="7">
        <v>900226715</v>
      </c>
      <c r="D67" s="8">
        <v>43663.706504629627</v>
      </c>
      <c r="E67" s="8">
        <v>44208</v>
      </c>
      <c r="F67" s="7">
        <v>188868</v>
      </c>
      <c r="G67" s="7">
        <v>0</v>
      </c>
      <c r="H67" s="7">
        <v>0</v>
      </c>
      <c r="I67" s="7">
        <v>0</v>
      </c>
      <c r="J67" s="7">
        <v>0</v>
      </c>
      <c r="K67" s="7">
        <v>188868</v>
      </c>
    </row>
    <row r="68" spans="1:11" x14ac:dyDescent="0.25">
      <c r="A68" s="6">
        <v>44528</v>
      </c>
      <c r="B68" s="7" t="str">
        <f>"HSRF0003809555"</f>
        <v>HSRF0003809555</v>
      </c>
      <c r="C68" s="7">
        <v>900226715</v>
      </c>
      <c r="D68" s="8">
        <v>43665.695173611108</v>
      </c>
      <c r="E68" s="8">
        <v>44208</v>
      </c>
      <c r="F68" s="7">
        <v>57946</v>
      </c>
      <c r="G68" s="7">
        <v>0</v>
      </c>
      <c r="H68" s="7">
        <v>0</v>
      </c>
      <c r="I68" s="7">
        <v>0</v>
      </c>
      <c r="J68" s="7">
        <v>0</v>
      </c>
      <c r="K68" s="7">
        <v>57946</v>
      </c>
    </row>
    <row r="69" spans="1:11" x14ac:dyDescent="0.25">
      <c r="A69" s="6">
        <v>43613</v>
      </c>
      <c r="B69" s="7" t="str">
        <f>"HSRF0003811784"</f>
        <v>HSRF0003811784</v>
      </c>
      <c r="C69" s="7">
        <v>900226715</v>
      </c>
      <c r="D69" s="8">
        <v>43669.635127314818</v>
      </c>
      <c r="E69" s="8">
        <v>44208</v>
      </c>
      <c r="F69" s="7">
        <v>3227239</v>
      </c>
      <c r="G69" s="7">
        <v>0</v>
      </c>
      <c r="H69" s="7">
        <v>0</v>
      </c>
      <c r="I69" s="7">
        <v>0</v>
      </c>
      <c r="J69" s="7">
        <v>0</v>
      </c>
      <c r="K69" s="7">
        <v>3227239</v>
      </c>
    </row>
    <row r="70" spans="1:11" x14ac:dyDescent="0.25">
      <c r="A70" s="6">
        <v>44528</v>
      </c>
      <c r="B70" s="7" t="str">
        <f>"HSRF0003813633"</f>
        <v>HSRF0003813633</v>
      </c>
      <c r="C70" s="7">
        <v>900226715</v>
      </c>
      <c r="D70" s="8">
        <v>43671.860671296294</v>
      </c>
      <c r="E70" s="8">
        <v>44208</v>
      </c>
      <c r="F70" s="7">
        <v>54400</v>
      </c>
      <c r="G70" s="7">
        <v>0</v>
      </c>
      <c r="H70" s="7">
        <v>0</v>
      </c>
      <c r="I70" s="7">
        <v>0</v>
      </c>
      <c r="J70" s="7">
        <v>0</v>
      </c>
      <c r="K70" s="7">
        <v>54400</v>
      </c>
    </row>
    <row r="71" spans="1:11" x14ac:dyDescent="0.25">
      <c r="A71" s="6">
        <v>43665</v>
      </c>
      <c r="B71" s="7" t="str">
        <f>"HSRF0003814166"</f>
        <v>HSRF0003814166</v>
      </c>
      <c r="C71" s="7">
        <v>900226715</v>
      </c>
      <c r="D71" s="8">
        <v>43672.456678240742</v>
      </c>
      <c r="E71" s="8">
        <v>44208</v>
      </c>
      <c r="F71" s="7">
        <v>34018387</v>
      </c>
      <c r="G71" s="7">
        <v>0</v>
      </c>
      <c r="H71" s="7">
        <v>0</v>
      </c>
      <c r="I71" s="7">
        <v>0</v>
      </c>
      <c r="J71" s="7">
        <v>0</v>
      </c>
      <c r="K71" s="7">
        <v>34018387</v>
      </c>
    </row>
    <row r="72" spans="1:11" x14ac:dyDescent="0.25">
      <c r="A72" s="6">
        <v>44528</v>
      </c>
      <c r="B72" s="7" t="str">
        <f>"HSRF0003817765"</f>
        <v>HSRF0003817765</v>
      </c>
      <c r="C72" s="7">
        <v>900226715</v>
      </c>
      <c r="D72" s="8">
        <v>43677.785081018519</v>
      </c>
      <c r="E72" s="8">
        <v>44208</v>
      </c>
      <c r="F72" s="7">
        <v>103800</v>
      </c>
      <c r="G72" s="7">
        <v>0</v>
      </c>
      <c r="H72" s="7">
        <v>0</v>
      </c>
      <c r="I72" s="7">
        <v>0</v>
      </c>
      <c r="J72" s="7">
        <v>0</v>
      </c>
      <c r="K72" s="7">
        <v>103800</v>
      </c>
    </row>
    <row r="73" spans="1:11" x14ac:dyDescent="0.25">
      <c r="A73" s="6">
        <v>43664</v>
      </c>
      <c r="B73" s="7" t="str">
        <f>"HSRF0003817847"</f>
        <v>HSRF0003817847</v>
      </c>
      <c r="C73" s="7">
        <v>900226715</v>
      </c>
      <c r="D73" s="8">
        <v>43678.197557870371</v>
      </c>
      <c r="E73" s="8">
        <v>43689</v>
      </c>
      <c r="F73" s="7">
        <v>105064</v>
      </c>
      <c r="G73" s="7">
        <v>0</v>
      </c>
      <c r="H73" s="7">
        <v>0</v>
      </c>
      <c r="I73" s="7">
        <v>0</v>
      </c>
      <c r="J73" s="7">
        <v>0</v>
      </c>
      <c r="K73" s="7">
        <v>105064</v>
      </c>
    </row>
    <row r="74" spans="1:11" x14ac:dyDescent="0.25">
      <c r="A74" s="6">
        <v>44528</v>
      </c>
      <c r="B74" s="7" t="str">
        <f>"HSRF0003818595"</f>
        <v>HSRF0003818595</v>
      </c>
      <c r="C74" s="7">
        <v>900226715</v>
      </c>
      <c r="D74" s="8">
        <v>43678.704085648147</v>
      </c>
      <c r="E74" s="8">
        <v>44208</v>
      </c>
      <c r="F74" s="7">
        <v>105397</v>
      </c>
      <c r="G74" s="7">
        <v>0</v>
      </c>
      <c r="H74" s="7">
        <v>0</v>
      </c>
      <c r="I74" s="7">
        <v>0</v>
      </c>
      <c r="J74" s="7">
        <v>0</v>
      </c>
      <c r="K74" s="7">
        <v>105397</v>
      </c>
    </row>
    <row r="75" spans="1:11" x14ac:dyDescent="0.25">
      <c r="A75" s="6">
        <v>43775</v>
      </c>
      <c r="B75" s="7" t="str">
        <f>"HSRF0003818676"</f>
        <v>HSRF0003818676</v>
      </c>
      <c r="C75" s="7">
        <v>900226715</v>
      </c>
      <c r="D75" s="8">
        <v>43679.061712962961</v>
      </c>
      <c r="E75" s="8">
        <v>44045</v>
      </c>
      <c r="F75" s="7">
        <v>285950</v>
      </c>
      <c r="G75" s="7">
        <v>0</v>
      </c>
      <c r="H75" s="7">
        <v>0</v>
      </c>
      <c r="I75" s="7">
        <v>0</v>
      </c>
      <c r="J75" s="7">
        <v>0</v>
      </c>
      <c r="K75" s="7">
        <v>285950</v>
      </c>
    </row>
    <row r="76" spans="1:11" x14ac:dyDescent="0.25">
      <c r="A76" s="6">
        <v>43775</v>
      </c>
      <c r="B76" s="7" t="str">
        <f>"HSRF0003819338"</f>
        <v>HSRF0003819338</v>
      </c>
      <c r="C76" s="7">
        <v>900226715</v>
      </c>
      <c r="D76" s="8">
        <v>43679.693483796298</v>
      </c>
      <c r="E76" s="8">
        <v>44045</v>
      </c>
      <c r="F76" s="7">
        <v>54400</v>
      </c>
      <c r="G76" s="7">
        <v>0</v>
      </c>
      <c r="H76" s="7">
        <v>0</v>
      </c>
      <c r="I76" s="7">
        <v>0</v>
      </c>
      <c r="J76" s="7">
        <v>0</v>
      </c>
      <c r="K76" s="7">
        <v>54400</v>
      </c>
    </row>
    <row r="77" spans="1:11" x14ac:dyDescent="0.25">
      <c r="A77" s="6">
        <v>43775</v>
      </c>
      <c r="B77" s="7" t="str">
        <f>"HSRF0003821508"</f>
        <v>HSRF0003821508</v>
      </c>
      <c r="C77" s="7">
        <v>900226715</v>
      </c>
      <c r="D77" s="8">
        <v>43684.207476851851</v>
      </c>
      <c r="E77" s="8">
        <v>44045</v>
      </c>
      <c r="F77" s="7">
        <v>81540</v>
      </c>
      <c r="G77" s="7">
        <v>0</v>
      </c>
      <c r="H77" s="7">
        <v>0</v>
      </c>
      <c r="I77" s="7">
        <v>0</v>
      </c>
      <c r="J77" s="7">
        <v>0</v>
      </c>
      <c r="K77" s="7">
        <v>81540</v>
      </c>
    </row>
    <row r="78" spans="1:11" x14ac:dyDescent="0.25">
      <c r="A78" s="6">
        <v>43775</v>
      </c>
      <c r="B78" s="7" t="str">
        <f>"HSRF0003823250"</f>
        <v>HSRF0003823250</v>
      </c>
      <c r="C78" s="7">
        <v>900226715</v>
      </c>
      <c r="D78" s="8">
        <v>43686.652905092589</v>
      </c>
      <c r="E78" s="8">
        <v>44045</v>
      </c>
      <c r="F78" s="7">
        <v>1428161</v>
      </c>
      <c r="G78" s="7">
        <v>0</v>
      </c>
      <c r="H78" s="7">
        <v>0</v>
      </c>
      <c r="I78" s="7">
        <v>0</v>
      </c>
      <c r="J78" s="7">
        <v>0</v>
      </c>
      <c r="K78" s="7">
        <v>1428161</v>
      </c>
    </row>
    <row r="79" spans="1:11" x14ac:dyDescent="0.25">
      <c r="A79" s="6">
        <v>43775</v>
      </c>
      <c r="B79" s="7" t="str">
        <f>"HSRF0003823509"</f>
        <v>HSRF0003823509</v>
      </c>
      <c r="C79" s="7">
        <v>900226715</v>
      </c>
      <c r="D79" s="8">
        <v>43687.681828703702</v>
      </c>
      <c r="E79" s="8">
        <v>44045</v>
      </c>
      <c r="F79" s="7">
        <v>1151116</v>
      </c>
      <c r="G79" s="7">
        <v>0</v>
      </c>
      <c r="H79" s="7">
        <v>0</v>
      </c>
      <c r="I79" s="7">
        <v>0</v>
      </c>
      <c r="J79" s="7">
        <v>0</v>
      </c>
      <c r="K79" s="7">
        <v>1151116</v>
      </c>
    </row>
    <row r="80" spans="1:11" x14ac:dyDescent="0.25">
      <c r="A80" s="6">
        <v>43775</v>
      </c>
      <c r="B80" s="7" t="str">
        <f>"HSRF0003823584"</f>
        <v>HSRF0003823584</v>
      </c>
      <c r="C80" s="7">
        <v>900226715</v>
      </c>
      <c r="D80" s="8">
        <v>43688.034270833334</v>
      </c>
      <c r="E80" s="8">
        <v>44045</v>
      </c>
      <c r="F80" s="7">
        <v>187234</v>
      </c>
      <c r="G80" s="7">
        <v>0</v>
      </c>
      <c r="H80" s="7">
        <v>0</v>
      </c>
      <c r="I80" s="7">
        <v>0</v>
      </c>
      <c r="J80" s="7">
        <v>0</v>
      </c>
      <c r="K80" s="7">
        <v>187234</v>
      </c>
    </row>
    <row r="81" spans="1:11" x14ac:dyDescent="0.25">
      <c r="A81" s="6">
        <v>43775</v>
      </c>
      <c r="B81" s="7" t="str">
        <f>"HSRF0003823766"</f>
        <v>HSRF0003823766</v>
      </c>
      <c r="C81" s="7">
        <v>900226715</v>
      </c>
      <c r="D81" s="8">
        <v>43689.075694444444</v>
      </c>
      <c r="E81" s="8">
        <v>44045</v>
      </c>
      <c r="F81" s="7">
        <v>104208</v>
      </c>
      <c r="G81" s="7">
        <v>0</v>
      </c>
      <c r="H81" s="7">
        <v>0</v>
      </c>
      <c r="I81" s="7">
        <v>0</v>
      </c>
      <c r="J81" s="7">
        <v>0</v>
      </c>
      <c r="K81" s="7">
        <v>104208</v>
      </c>
    </row>
    <row r="82" spans="1:11" x14ac:dyDescent="0.25">
      <c r="A82" s="6">
        <v>43804</v>
      </c>
      <c r="B82" s="7" t="str">
        <f>"HSRF0003824427"</f>
        <v>HSRF0003824427</v>
      </c>
      <c r="C82" s="7">
        <v>900226715</v>
      </c>
      <c r="D82" s="8">
        <v>43689.619976851849</v>
      </c>
      <c r="E82" s="8">
        <v>44045</v>
      </c>
      <c r="F82" s="7">
        <v>54300</v>
      </c>
      <c r="G82" s="7">
        <v>0</v>
      </c>
      <c r="H82" s="7">
        <v>0</v>
      </c>
      <c r="I82" s="7">
        <v>0</v>
      </c>
      <c r="J82" s="7">
        <v>0</v>
      </c>
      <c r="K82" s="7">
        <v>54300</v>
      </c>
    </row>
    <row r="83" spans="1:11" x14ac:dyDescent="0.25">
      <c r="A83" s="6">
        <v>43775</v>
      </c>
      <c r="B83" s="7" t="str">
        <f>"HSRF0003825263"</f>
        <v>HSRF0003825263</v>
      </c>
      <c r="C83" s="7">
        <v>900226715</v>
      </c>
      <c r="D83" s="8">
        <v>43690.764872685184</v>
      </c>
      <c r="E83" s="8">
        <v>44045</v>
      </c>
      <c r="F83" s="7">
        <v>357903</v>
      </c>
      <c r="G83" s="7">
        <v>0</v>
      </c>
      <c r="H83" s="7">
        <v>0</v>
      </c>
      <c r="I83" s="7">
        <v>0</v>
      </c>
      <c r="J83" s="7">
        <v>0</v>
      </c>
      <c r="K83" s="7">
        <v>357903</v>
      </c>
    </row>
    <row r="84" spans="1:11" x14ac:dyDescent="0.25">
      <c r="A84" s="6">
        <v>43775</v>
      </c>
      <c r="B84" s="7" t="str">
        <f>"HSRF0003826691"</f>
        <v>HSRF0003826691</v>
      </c>
      <c r="C84" s="7">
        <v>900226715</v>
      </c>
      <c r="D84" s="8">
        <v>43692.625069444446</v>
      </c>
      <c r="E84" s="8">
        <v>44045</v>
      </c>
      <c r="F84" s="7">
        <v>1695262</v>
      </c>
      <c r="G84" s="7">
        <v>0</v>
      </c>
      <c r="H84" s="7">
        <v>0</v>
      </c>
      <c r="I84" s="7">
        <v>0</v>
      </c>
      <c r="J84" s="7">
        <v>0</v>
      </c>
      <c r="K84" s="7">
        <v>1695262</v>
      </c>
    </row>
    <row r="85" spans="1:11" x14ac:dyDescent="0.25">
      <c r="A85" s="6">
        <v>43775</v>
      </c>
      <c r="B85" s="7" t="str">
        <f>"SB0000078314"</f>
        <v>SB0000078314</v>
      </c>
      <c r="C85" s="7">
        <v>900226715</v>
      </c>
      <c r="D85" s="8">
        <v>43693.481828703705</v>
      </c>
      <c r="E85" s="8">
        <v>44045</v>
      </c>
      <c r="F85" s="7">
        <v>33100</v>
      </c>
      <c r="G85" s="7">
        <v>0</v>
      </c>
      <c r="H85" s="7">
        <v>0</v>
      </c>
      <c r="I85" s="7">
        <v>0</v>
      </c>
      <c r="J85" s="7">
        <v>0</v>
      </c>
      <c r="K85" s="7">
        <v>33100</v>
      </c>
    </row>
    <row r="86" spans="1:11" x14ac:dyDescent="0.25">
      <c r="A86" s="6">
        <v>43775</v>
      </c>
      <c r="B86" s="7" t="str">
        <f>"HSRF0003827998"</f>
        <v>HSRF0003827998</v>
      </c>
      <c r="C86" s="7">
        <v>900226715</v>
      </c>
      <c r="D86" s="8">
        <v>43695.898368055554</v>
      </c>
      <c r="E86" s="8">
        <v>44045</v>
      </c>
      <c r="F86" s="7">
        <v>227686</v>
      </c>
      <c r="G86" s="7">
        <v>0</v>
      </c>
      <c r="H86" s="7">
        <v>0</v>
      </c>
      <c r="I86" s="7">
        <v>0</v>
      </c>
      <c r="J86" s="7">
        <v>0</v>
      </c>
      <c r="K86" s="7">
        <v>227686</v>
      </c>
    </row>
    <row r="87" spans="1:11" x14ac:dyDescent="0.25">
      <c r="A87" s="6">
        <v>43775</v>
      </c>
      <c r="B87" s="7" t="str">
        <f>"HSRF0003828857"</f>
        <v>HSRF0003828857</v>
      </c>
      <c r="C87" s="7">
        <v>900226715</v>
      </c>
      <c r="D87" s="8">
        <v>43697.547615740739</v>
      </c>
      <c r="E87" s="8">
        <v>44045</v>
      </c>
      <c r="F87" s="7">
        <v>54400</v>
      </c>
      <c r="G87" s="7">
        <v>0</v>
      </c>
      <c r="H87" s="7">
        <v>0</v>
      </c>
      <c r="I87" s="7">
        <v>0</v>
      </c>
      <c r="J87" s="7">
        <v>0</v>
      </c>
      <c r="K87" s="7">
        <v>54400</v>
      </c>
    </row>
    <row r="88" spans="1:11" x14ac:dyDescent="0.25">
      <c r="A88" s="6">
        <v>43775</v>
      </c>
      <c r="B88" s="7" t="str">
        <f>"CM0000001476"</f>
        <v>CM0000001476</v>
      </c>
      <c r="C88" s="7">
        <v>900226715</v>
      </c>
      <c r="D88" s="8">
        <v>43698.41101851852</v>
      </c>
      <c r="E88" s="8">
        <v>44045</v>
      </c>
      <c r="F88" s="7">
        <v>33100</v>
      </c>
      <c r="G88" s="7">
        <v>0</v>
      </c>
      <c r="H88" s="7">
        <v>0</v>
      </c>
      <c r="I88" s="7">
        <v>0</v>
      </c>
      <c r="J88" s="7">
        <v>0</v>
      </c>
      <c r="K88" s="7">
        <v>33100</v>
      </c>
    </row>
    <row r="89" spans="1:11" x14ac:dyDescent="0.25">
      <c r="A89" s="6">
        <v>43775</v>
      </c>
      <c r="B89" s="7" t="str">
        <f>"HSRF0003832137"</f>
        <v>HSRF0003832137</v>
      </c>
      <c r="C89" s="7">
        <v>900226715</v>
      </c>
      <c r="D89" s="8">
        <v>43702.765567129631</v>
      </c>
      <c r="E89" s="8">
        <v>44045</v>
      </c>
      <c r="F89" s="7">
        <v>182499</v>
      </c>
      <c r="G89" s="7">
        <v>0</v>
      </c>
      <c r="H89" s="7">
        <v>0</v>
      </c>
      <c r="I89" s="7">
        <v>0</v>
      </c>
      <c r="J89" s="7">
        <v>0</v>
      </c>
      <c r="K89" s="7">
        <v>182499</v>
      </c>
    </row>
    <row r="90" spans="1:11" x14ac:dyDescent="0.25">
      <c r="A90" s="6">
        <v>43775</v>
      </c>
      <c r="B90" s="7" t="str">
        <f>"HSRF0003832562"</f>
        <v>HSRF0003832562</v>
      </c>
      <c r="C90" s="7">
        <v>900226715</v>
      </c>
      <c r="D90" s="8">
        <v>43703.45244212963</v>
      </c>
      <c r="E90" s="8">
        <v>44045</v>
      </c>
      <c r="F90" s="7">
        <v>2896685</v>
      </c>
      <c r="G90" s="7">
        <v>0</v>
      </c>
      <c r="H90" s="7">
        <v>0</v>
      </c>
      <c r="I90" s="7">
        <v>289700</v>
      </c>
      <c r="J90" s="7">
        <v>0</v>
      </c>
      <c r="K90" s="7">
        <v>2606985</v>
      </c>
    </row>
    <row r="91" spans="1:11" x14ac:dyDescent="0.25">
      <c r="A91" s="6">
        <v>43775</v>
      </c>
      <c r="B91" s="7" t="str">
        <f>"HSRF0003832601"</f>
        <v>HSRF0003832601</v>
      </c>
      <c r="C91" s="7">
        <v>900226715</v>
      </c>
      <c r="D91" s="8">
        <v>43703.476967592593</v>
      </c>
      <c r="E91" s="8">
        <v>44045</v>
      </c>
      <c r="F91" s="7">
        <v>274700</v>
      </c>
      <c r="G91" s="7">
        <v>0</v>
      </c>
      <c r="H91" s="7">
        <v>0</v>
      </c>
      <c r="I91" s="7">
        <v>0</v>
      </c>
      <c r="J91" s="7">
        <v>0</v>
      </c>
      <c r="K91" s="7">
        <v>274700</v>
      </c>
    </row>
    <row r="92" spans="1:11" x14ac:dyDescent="0.25">
      <c r="A92" s="6">
        <v>43775</v>
      </c>
      <c r="B92" s="7" t="str">
        <f>"HSRF0003832824"</f>
        <v>HSRF0003832824</v>
      </c>
      <c r="C92" s="7">
        <v>900226715</v>
      </c>
      <c r="D92" s="8">
        <v>43703.66609953704</v>
      </c>
      <c r="E92" s="8">
        <v>44045</v>
      </c>
      <c r="F92" s="7">
        <v>54805</v>
      </c>
      <c r="G92" s="7">
        <v>0</v>
      </c>
      <c r="H92" s="7">
        <v>0</v>
      </c>
      <c r="I92" s="7">
        <v>0</v>
      </c>
      <c r="J92" s="7">
        <v>0</v>
      </c>
      <c r="K92" s="7">
        <v>54805</v>
      </c>
    </row>
    <row r="93" spans="1:11" x14ac:dyDescent="0.25">
      <c r="A93" s="6">
        <v>43775</v>
      </c>
      <c r="B93" s="7" t="str">
        <f>"HSRF0003834274"</f>
        <v>HSRF0003834274</v>
      </c>
      <c r="C93" s="7">
        <v>900226715</v>
      </c>
      <c r="D93" s="8">
        <v>43705.534826388888</v>
      </c>
      <c r="E93" s="8">
        <v>44045</v>
      </c>
      <c r="F93" s="7">
        <v>55790</v>
      </c>
      <c r="G93" s="7">
        <v>0</v>
      </c>
      <c r="H93" s="7">
        <v>0</v>
      </c>
      <c r="I93" s="7">
        <v>0</v>
      </c>
      <c r="J93" s="7">
        <v>0</v>
      </c>
      <c r="K93" s="7">
        <v>55790</v>
      </c>
    </row>
    <row r="94" spans="1:11" x14ac:dyDescent="0.25">
      <c r="A94" s="6">
        <v>43775</v>
      </c>
      <c r="B94" s="7" t="str">
        <f>"HSRF0003834304"</f>
        <v>HSRF0003834304</v>
      </c>
      <c r="C94" s="7">
        <v>900226715</v>
      </c>
      <c r="D94" s="8">
        <v>43705.572511574072</v>
      </c>
      <c r="E94" s="8">
        <v>44045</v>
      </c>
      <c r="F94" s="7">
        <v>54400</v>
      </c>
      <c r="G94" s="7">
        <v>0</v>
      </c>
      <c r="H94" s="7">
        <v>0</v>
      </c>
      <c r="I94" s="7">
        <v>0</v>
      </c>
      <c r="J94" s="7">
        <v>0</v>
      </c>
      <c r="K94" s="7">
        <v>54400</v>
      </c>
    </row>
    <row r="95" spans="1:11" x14ac:dyDescent="0.25">
      <c r="A95" s="6">
        <v>43775</v>
      </c>
      <c r="B95" s="7" t="str">
        <f>"HSRF0003834485"</f>
        <v>HSRF0003834485</v>
      </c>
      <c r="C95" s="7">
        <v>900226715</v>
      </c>
      <c r="D95" s="8">
        <v>43706.051203703704</v>
      </c>
      <c r="E95" s="8">
        <v>44045</v>
      </c>
      <c r="F95" s="7">
        <v>208988</v>
      </c>
      <c r="G95" s="7">
        <v>0</v>
      </c>
      <c r="H95" s="7">
        <v>0</v>
      </c>
      <c r="I95" s="7">
        <v>0</v>
      </c>
      <c r="J95" s="7">
        <v>0</v>
      </c>
      <c r="K95" s="7">
        <v>208988</v>
      </c>
    </row>
    <row r="96" spans="1:11" x14ac:dyDescent="0.25">
      <c r="A96" s="6">
        <v>43775</v>
      </c>
      <c r="B96" s="7" t="str">
        <f>"CM0000002180"</f>
        <v>CM0000002180</v>
      </c>
      <c r="C96" s="7">
        <v>900226715</v>
      </c>
      <c r="D96" s="8">
        <v>43707.402604166666</v>
      </c>
      <c r="E96" s="8">
        <v>44045</v>
      </c>
      <c r="F96" s="7">
        <v>33100</v>
      </c>
      <c r="G96" s="7">
        <v>0</v>
      </c>
      <c r="H96" s="7">
        <v>0</v>
      </c>
      <c r="I96" s="7">
        <v>0</v>
      </c>
      <c r="J96" s="7">
        <v>0</v>
      </c>
      <c r="K96" s="7">
        <v>33100</v>
      </c>
    </row>
    <row r="97" spans="1:11" x14ac:dyDescent="0.25">
      <c r="A97" s="6">
        <v>43775</v>
      </c>
      <c r="B97" s="7" t="str">
        <f>"HSRF0003836181"</f>
        <v>HSRF0003836181</v>
      </c>
      <c r="C97" s="7">
        <v>900226715</v>
      </c>
      <c r="D97" s="8">
        <v>43708.203761574077</v>
      </c>
      <c r="E97" s="8">
        <v>44045</v>
      </c>
      <c r="F97" s="7">
        <v>209682</v>
      </c>
      <c r="G97" s="7">
        <v>0</v>
      </c>
      <c r="H97" s="7">
        <v>0</v>
      </c>
      <c r="I97" s="7">
        <v>0</v>
      </c>
      <c r="J97" s="7">
        <v>0</v>
      </c>
      <c r="K97" s="7">
        <v>209682</v>
      </c>
    </row>
    <row r="98" spans="1:11" x14ac:dyDescent="0.25">
      <c r="A98" s="6">
        <v>43775</v>
      </c>
      <c r="B98" s="7" t="str">
        <f>"HSRF0003836189"</f>
        <v>HSRF0003836189</v>
      </c>
      <c r="C98" s="7">
        <v>900226715</v>
      </c>
      <c r="D98" s="8">
        <v>43708.240752314814</v>
      </c>
      <c r="E98" s="8">
        <v>44045</v>
      </c>
      <c r="F98" s="7">
        <v>180587</v>
      </c>
      <c r="G98" s="7">
        <v>0</v>
      </c>
      <c r="H98" s="7">
        <v>0</v>
      </c>
      <c r="I98" s="7">
        <v>0</v>
      </c>
      <c r="J98" s="7">
        <v>0</v>
      </c>
      <c r="K98" s="7">
        <v>180587</v>
      </c>
    </row>
    <row r="99" spans="1:11" x14ac:dyDescent="0.25">
      <c r="A99" s="6">
        <v>43775</v>
      </c>
      <c r="B99" s="7" t="str">
        <f>"HSRF0003836432"</f>
        <v>HSRF0003836432</v>
      </c>
      <c r="C99" s="7">
        <v>900226715</v>
      </c>
      <c r="D99" s="8">
        <v>43708.563032407408</v>
      </c>
      <c r="E99" s="8">
        <v>44045</v>
      </c>
      <c r="F99" s="7">
        <v>191761</v>
      </c>
      <c r="G99" s="7">
        <v>0</v>
      </c>
      <c r="H99" s="7">
        <v>0</v>
      </c>
      <c r="I99" s="7">
        <v>0</v>
      </c>
      <c r="J99" s="7">
        <v>0</v>
      </c>
      <c r="K99" s="7">
        <v>191761</v>
      </c>
    </row>
    <row r="100" spans="1:11" x14ac:dyDescent="0.25">
      <c r="A100" s="6">
        <v>43936</v>
      </c>
      <c r="B100" s="7" t="str">
        <f>"HSRF0003836711"</f>
        <v>HSRF0003836711</v>
      </c>
      <c r="C100" s="7">
        <v>900226715</v>
      </c>
      <c r="D100" s="8">
        <v>43709.694513888891</v>
      </c>
      <c r="E100" s="8">
        <v>44208</v>
      </c>
      <c r="F100" s="7">
        <v>55698</v>
      </c>
      <c r="G100" s="7">
        <v>0</v>
      </c>
      <c r="H100" s="7">
        <v>0</v>
      </c>
      <c r="I100" s="7">
        <v>0</v>
      </c>
      <c r="J100" s="7">
        <v>0</v>
      </c>
      <c r="K100" s="7">
        <v>55698</v>
      </c>
    </row>
    <row r="101" spans="1:11" x14ac:dyDescent="0.25">
      <c r="A101" s="6">
        <v>43775</v>
      </c>
      <c r="B101" s="7" t="str">
        <f>"HSRF0003837420"</f>
        <v>HSRF0003837420</v>
      </c>
      <c r="C101" s="7">
        <v>900226715</v>
      </c>
      <c r="D101" s="8">
        <v>43710.659560185188</v>
      </c>
      <c r="E101" s="8">
        <v>44045</v>
      </c>
      <c r="F101" s="7">
        <v>54708</v>
      </c>
      <c r="G101" s="7">
        <v>0</v>
      </c>
      <c r="H101" s="7">
        <v>0</v>
      </c>
      <c r="I101" s="7">
        <v>0</v>
      </c>
      <c r="J101" s="7">
        <v>0</v>
      </c>
      <c r="K101" s="7">
        <v>54708</v>
      </c>
    </row>
    <row r="102" spans="1:11" x14ac:dyDescent="0.25">
      <c r="A102" s="6">
        <v>43936</v>
      </c>
      <c r="B102" s="7" t="str">
        <f>"HSRF0003838489"</f>
        <v>HSRF0003838489</v>
      </c>
      <c r="C102" s="7">
        <v>900226715</v>
      </c>
      <c r="D102" s="8">
        <v>43712.285462962966</v>
      </c>
      <c r="E102" s="8">
        <v>44208</v>
      </c>
      <c r="F102" s="7">
        <v>10200</v>
      </c>
      <c r="G102" s="7">
        <v>0</v>
      </c>
      <c r="H102" s="7">
        <v>0</v>
      </c>
      <c r="I102" s="7">
        <v>0</v>
      </c>
      <c r="J102" s="7">
        <v>0</v>
      </c>
      <c r="K102" s="7">
        <v>10200</v>
      </c>
    </row>
    <row r="103" spans="1:11" x14ac:dyDescent="0.25">
      <c r="A103" s="6">
        <v>43936</v>
      </c>
      <c r="B103" s="7" t="str">
        <f>"HSRF0003838539"</f>
        <v>HSRF0003838539</v>
      </c>
      <c r="C103" s="7">
        <v>900226715</v>
      </c>
      <c r="D103" s="8">
        <v>43712.308009259257</v>
      </c>
      <c r="E103" s="8">
        <v>44208</v>
      </c>
      <c r="F103" s="7">
        <v>537300</v>
      </c>
      <c r="G103" s="7">
        <v>0</v>
      </c>
      <c r="H103" s="7">
        <v>0</v>
      </c>
      <c r="I103" s="7">
        <v>0</v>
      </c>
      <c r="J103" s="7">
        <v>0</v>
      </c>
      <c r="K103" s="7">
        <v>537300</v>
      </c>
    </row>
    <row r="104" spans="1:11" x14ac:dyDescent="0.25">
      <c r="A104" s="6">
        <v>43936</v>
      </c>
      <c r="B104" s="7" t="str">
        <f>"HSRF0003839011"</f>
        <v>HSRF0003839011</v>
      </c>
      <c r="C104" s="7">
        <v>900226715</v>
      </c>
      <c r="D104" s="8">
        <v>43712.60052083333</v>
      </c>
      <c r="E104" s="8">
        <v>44208</v>
      </c>
      <c r="F104" s="7">
        <v>88600</v>
      </c>
      <c r="G104" s="7">
        <v>0</v>
      </c>
      <c r="H104" s="7">
        <v>0</v>
      </c>
      <c r="I104" s="7">
        <v>0</v>
      </c>
      <c r="J104" s="7">
        <v>0</v>
      </c>
      <c r="K104" s="7">
        <v>88600</v>
      </c>
    </row>
    <row r="105" spans="1:11" x14ac:dyDescent="0.25">
      <c r="A105" s="6">
        <v>43936</v>
      </c>
      <c r="B105" s="7" t="str">
        <f>"HSRF0003839782"</f>
        <v>HSRF0003839782</v>
      </c>
      <c r="C105" s="7">
        <v>900226715</v>
      </c>
      <c r="D105" s="8">
        <v>43713.577685185184</v>
      </c>
      <c r="E105" s="8">
        <v>44208</v>
      </c>
      <c r="F105" s="7">
        <v>54400</v>
      </c>
      <c r="G105" s="7">
        <v>0</v>
      </c>
      <c r="H105" s="7">
        <v>0</v>
      </c>
      <c r="I105" s="7">
        <v>0</v>
      </c>
      <c r="J105" s="7">
        <v>0</v>
      </c>
      <c r="K105" s="7">
        <v>54400</v>
      </c>
    </row>
    <row r="106" spans="1:11" x14ac:dyDescent="0.25">
      <c r="A106" s="6">
        <v>43936</v>
      </c>
      <c r="B106" s="7" t="str">
        <f>"HSRF0003840952"</f>
        <v>HSRF0003840952</v>
      </c>
      <c r="C106" s="7">
        <v>900226715</v>
      </c>
      <c r="D106" s="8">
        <v>43715.742280092592</v>
      </c>
      <c r="E106" s="8">
        <v>44208</v>
      </c>
      <c r="F106" s="7">
        <v>54400</v>
      </c>
      <c r="G106" s="7">
        <v>0</v>
      </c>
      <c r="H106" s="7">
        <v>0</v>
      </c>
      <c r="I106" s="7">
        <v>0</v>
      </c>
      <c r="J106" s="7">
        <v>0</v>
      </c>
      <c r="K106" s="7">
        <v>54400</v>
      </c>
    </row>
    <row r="107" spans="1:11" x14ac:dyDescent="0.25">
      <c r="A107" s="6">
        <v>43936</v>
      </c>
      <c r="B107" s="7" t="str">
        <f>"HSRF0003843062"</f>
        <v>HSRF0003843062</v>
      </c>
      <c r="C107" s="7">
        <v>900226715</v>
      </c>
      <c r="D107" s="8">
        <v>43719.401099537034</v>
      </c>
      <c r="E107" s="8">
        <v>44208</v>
      </c>
      <c r="F107" s="7">
        <v>455260</v>
      </c>
      <c r="G107" s="7">
        <v>0</v>
      </c>
      <c r="H107" s="7">
        <v>0</v>
      </c>
      <c r="I107" s="7">
        <v>0</v>
      </c>
      <c r="J107" s="7">
        <v>0</v>
      </c>
      <c r="K107" s="7">
        <v>455260</v>
      </c>
    </row>
    <row r="108" spans="1:11" x14ac:dyDescent="0.25">
      <c r="A108" s="6">
        <v>43936</v>
      </c>
      <c r="B108" s="7" t="str">
        <f>"HSRF0003845016"</f>
        <v>HSRF0003845016</v>
      </c>
      <c r="C108" s="7">
        <v>900226715</v>
      </c>
      <c r="D108" s="8">
        <v>43722.11136574074</v>
      </c>
      <c r="E108" s="8">
        <v>44208</v>
      </c>
      <c r="F108" s="7">
        <v>162898</v>
      </c>
      <c r="G108" s="7">
        <v>0</v>
      </c>
      <c r="H108" s="7">
        <v>0</v>
      </c>
      <c r="I108" s="7">
        <v>0</v>
      </c>
      <c r="J108" s="7">
        <v>0</v>
      </c>
      <c r="K108" s="7">
        <v>162898</v>
      </c>
    </row>
    <row r="109" spans="1:11" x14ac:dyDescent="0.25">
      <c r="A109" s="6">
        <v>43936</v>
      </c>
      <c r="B109" s="7" t="str">
        <f>"HSRF0003845262"</f>
        <v>HSRF0003845262</v>
      </c>
      <c r="C109" s="7">
        <v>900226715</v>
      </c>
      <c r="D109" s="8">
        <v>43722.764560185184</v>
      </c>
      <c r="E109" s="8">
        <v>44208</v>
      </c>
      <c r="F109" s="7">
        <v>154400</v>
      </c>
      <c r="G109" s="7">
        <v>0</v>
      </c>
      <c r="H109" s="7">
        <v>0</v>
      </c>
      <c r="I109" s="7">
        <v>0</v>
      </c>
      <c r="J109" s="7">
        <v>0</v>
      </c>
      <c r="K109" s="7">
        <v>154400</v>
      </c>
    </row>
    <row r="110" spans="1:11" x14ac:dyDescent="0.25">
      <c r="A110" s="6">
        <v>43936</v>
      </c>
      <c r="B110" s="7" t="str">
        <f>"HSRF0003846475"</f>
        <v>HSRF0003846475</v>
      </c>
      <c r="C110" s="7">
        <v>900226715</v>
      </c>
      <c r="D110" s="8">
        <v>43724.987268518518</v>
      </c>
      <c r="E110" s="8">
        <v>44208</v>
      </c>
      <c r="F110" s="7">
        <v>340836</v>
      </c>
      <c r="G110" s="7">
        <v>0</v>
      </c>
      <c r="H110" s="7">
        <v>0</v>
      </c>
      <c r="I110" s="7">
        <v>0</v>
      </c>
      <c r="J110" s="7">
        <v>0</v>
      </c>
      <c r="K110" s="7">
        <v>340836</v>
      </c>
    </row>
    <row r="111" spans="1:11" x14ac:dyDescent="0.25">
      <c r="A111" s="6">
        <v>43970</v>
      </c>
      <c r="B111" s="7" t="str">
        <f>"HSRF0003849206"</f>
        <v>HSRF0003849206</v>
      </c>
      <c r="C111" s="7">
        <v>900226715</v>
      </c>
      <c r="D111" s="8">
        <v>43728.161620370367</v>
      </c>
      <c r="E111" s="8">
        <v>44045</v>
      </c>
      <c r="F111" s="7">
        <v>182399</v>
      </c>
      <c r="G111" s="7">
        <v>0</v>
      </c>
      <c r="H111" s="7">
        <v>0</v>
      </c>
      <c r="I111" s="7">
        <v>0</v>
      </c>
      <c r="J111" s="7">
        <v>0</v>
      </c>
      <c r="K111" s="7">
        <v>182399</v>
      </c>
    </row>
    <row r="112" spans="1:11" x14ac:dyDescent="0.25">
      <c r="A112" s="6">
        <v>43936</v>
      </c>
      <c r="B112" s="7" t="str">
        <f>"HSRF0003849727"</f>
        <v>HSRF0003849727</v>
      </c>
      <c r="C112" s="7">
        <v>900226715</v>
      </c>
      <c r="D112" s="8">
        <v>43728.593946759262</v>
      </c>
      <c r="E112" s="8">
        <v>44208</v>
      </c>
      <c r="F112" s="7">
        <v>56811</v>
      </c>
      <c r="G112" s="7">
        <v>0</v>
      </c>
      <c r="H112" s="7">
        <v>0</v>
      </c>
      <c r="I112" s="7">
        <v>0</v>
      </c>
      <c r="J112" s="7">
        <v>0</v>
      </c>
      <c r="K112" s="7">
        <v>56811</v>
      </c>
    </row>
    <row r="113" spans="1:11" x14ac:dyDescent="0.25">
      <c r="A113" s="6">
        <v>43970</v>
      </c>
      <c r="B113" s="7" t="str">
        <f>"HSRF0003849889"</f>
        <v>HSRF0003849889</v>
      </c>
      <c r="C113" s="7">
        <v>900226715</v>
      </c>
      <c r="D113" s="8">
        <v>43728.762858796297</v>
      </c>
      <c r="E113" s="8">
        <v>44045</v>
      </c>
      <c r="F113" s="7">
        <v>1936540</v>
      </c>
      <c r="G113" s="7">
        <v>0</v>
      </c>
      <c r="H113" s="7">
        <v>0</v>
      </c>
      <c r="I113" s="7">
        <v>0</v>
      </c>
      <c r="J113" s="7">
        <v>0</v>
      </c>
      <c r="K113" s="7">
        <v>1936540</v>
      </c>
    </row>
    <row r="114" spans="1:11" x14ac:dyDescent="0.25">
      <c r="A114" s="6">
        <v>43936</v>
      </c>
      <c r="B114" s="7" t="str">
        <f>"HSRF0003849897"</f>
        <v>HSRF0003849897</v>
      </c>
      <c r="C114" s="7">
        <v>900226715</v>
      </c>
      <c r="D114" s="8">
        <v>43728.770636574074</v>
      </c>
      <c r="E114" s="8">
        <v>44208</v>
      </c>
      <c r="F114" s="7">
        <v>614482</v>
      </c>
      <c r="G114" s="7">
        <v>0</v>
      </c>
      <c r="H114" s="7">
        <v>0</v>
      </c>
      <c r="I114" s="7">
        <v>0</v>
      </c>
      <c r="J114" s="7">
        <v>0</v>
      </c>
      <c r="K114" s="7">
        <v>614482</v>
      </c>
    </row>
    <row r="115" spans="1:11" x14ac:dyDescent="0.25">
      <c r="A115" s="6">
        <v>43936</v>
      </c>
      <c r="B115" s="7" t="str">
        <f>"HSRF0003850278"</f>
        <v>HSRF0003850278</v>
      </c>
      <c r="C115" s="7">
        <v>900226715</v>
      </c>
      <c r="D115" s="8">
        <v>43730.009479166663</v>
      </c>
      <c r="E115" s="8">
        <v>44208</v>
      </c>
      <c r="F115" s="7">
        <v>55764</v>
      </c>
      <c r="G115" s="7">
        <v>0</v>
      </c>
      <c r="H115" s="7">
        <v>0</v>
      </c>
      <c r="I115" s="7">
        <v>0</v>
      </c>
      <c r="J115" s="7">
        <v>0</v>
      </c>
      <c r="K115" s="7">
        <v>55764</v>
      </c>
    </row>
    <row r="116" spans="1:11" x14ac:dyDescent="0.25">
      <c r="A116" s="6">
        <v>43936</v>
      </c>
      <c r="B116" s="7" t="str">
        <f>"HSRF0003850347"</f>
        <v>HSRF0003850347</v>
      </c>
      <c r="C116" s="7">
        <v>900226715</v>
      </c>
      <c r="D116" s="8">
        <v>43730.439108796294</v>
      </c>
      <c r="E116" s="8">
        <v>44208</v>
      </c>
      <c r="F116" s="7">
        <v>123386</v>
      </c>
      <c r="G116" s="7">
        <v>0</v>
      </c>
      <c r="H116" s="7">
        <v>0</v>
      </c>
      <c r="I116" s="7">
        <v>0</v>
      </c>
      <c r="J116" s="7">
        <v>0</v>
      </c>
      <c r="K116" s="7">
        <v>123386</v>
      </c>
    </row>
    <row r="117" spans="1:11" x14ac:dyDescent="0.25">
      <c r="A117" s="6">
        <v>43936</v>
      </c>
      <c r="B117" s="7" t="str">
        <f>"HSRF0003850992"</f>
        <v>HSRF0003850992</v>
      </c>
      <c r="C117" s="7">
        <v>900226715</v>
      </c>
      <c r="D117" s="8">
        <v>43731.560266203705</v>
      </c>
      <c r="E117" s="8">
        <v>44208</v>
      </c>
      <c r="F117" s="7">
        <v>24100</v>
      </c>
      <c r="G117" s="7">
        <v>0</v>
      </c>
      <c r="H117" s="7">
        <v>0</v>
      </c>
      <c r="I117" s="7">
        <v>0</v>
      </c>
      <c r="J117" s="7">
        <v>0</v>
      </c>
      <c r="K117" s="7">
        <v>24100</v>
      </c>
    </row>
    <row r="118" spans="1:11" x14ac:dyDescent="0.25">
      <c r="A118" s="6">
        <v>43936</v>
      </c>
      <c r="B118" s="7" t="str">
        <f>"HSRF0003851863"</f>
        <v>HSRF0003851863</v>
      </c>
      <c r="C118" s="7">
        <v>900226715</v>
      </c>
      <c r="D118" s="8">
        <v>43732.695671296293</v>
      </c>
      <c r="E118" s="8">
        <v>44208</v>
      </c>
      <c r="F118" s="7">
        <v>65600</v>
      </c>
      <c r="G118" s="7">
        <v>0</v>
      </c>
      <c r="H118" s="7">
        <v>0</v>
      </c>
      <c r="I118" s="7">
        <v>0</v>
      </c>
      <c r="J118" s="7">
        <v>0</v>
      </c>
      <c r="K118" s="7">
        <v>65600</v>
      </c>
    </row>
    <row r="119" spans="1:11" x14ac:dyDescent="0.25">
      <c r="A119" s="6">
        <v>43936</v>
      </c>
      <c r="B119" s="7" t="str">
        <f>"CM0000003974"</f>
        <v>CM0000003974</v>
      </c>
      <c r="C119" s="7">
        <v>900226715</v>
      </c>
      <c r="D119" s="8">
        <v>43733.343842592592</v>
      </c>
      <c r="E119" s="8">
        <v>44208</v>
      </c>
      <c r="F119" s="7">
        <v>22700</v>
      </c>
      <c r="G119" s="7">
        <v>0</v>
      </c>
      <c r="H119" s="7">
        <v>0</v>
      </c>
      <c r="I119" s="7">
        <v>0</v>
      </c>
      <c r="J119" s="7">
        <v>0</v>
      </c>
      <c r="K119" s="7">
        <v>22700</v>
      </c>
    </row>
    <row r="120" spans="1:11" x14ac:dyDescent="0.25">
      <c r="A120" s="6">
        <v>43936</v>
      </c>
      <c r="B120" s="7" t="str">
        <f>"CM0000003983"</f>
        <v>CM0000003983</v>
      </c>
      <c r="C120" s="7">
        <v>900226715</v>
      </c>
      <c r="D120" s="8">
        <v>43733.363506944443</v>
      </c>
      <c r="E120" s="8">
        <v>44208</v>
      </c>
      <c r="F120" s="7">
        <v>33100</v>
      </c>
      <c r="G120" s="7">
        <v>0</v>
      </c>
      <c r="H120" s="7">
        <v>0</v>
      </c>
      <c r="I120" s="7">
        <v>0</v>
      </c>
      <c r="J120" s="7">
        <v>0</v>
      </c>
      <c r="K120" s="7">
        <v>33100</v>
      </c>
    </row>
    <row r="121" spans="1:11" x14ac:dyDescent="0.25">
      <c r="A121" s="6">
        <v>43936</v>
      </c>
      <c r="B121" s="7" t="str">
        <f>"HSRF0003852476"</f>
        <v>HSRF0003852476</v>
      </c>
      <c r="C121" s="7">
        <v>900226715</v>
      </c>
      <c r="D121" s="8">
        <v>43733.538611111115</v>
      </c>
      <c r="E121" s="8">
        <v>44208</v>
      </c>
      <c r="F121" s="7">
        <v>1289250</v>
      </c>
      <c r="G121" s="7">
        <v>0</v>
      </c>
      <c r="H121" s="7">
        <v>0</v>
      </c>
      <c r="I121" s="7">
        <v>0</v>
      </c>
      <c r="J121" s="7">
        <v>0</v>
      </c>
      <c r="K121" s="7">
        <v>1289250</v>
      </c>
    </row>
    <row r="122" spans="1:11" x14ac:dyDescent="0.25">
      <c r="A122" s="6">
        <v>43936</v>
      </c>
      <c r="B122" s="7" t="str">
        <f>"HSRF0003852728"</f>
        <v>HSRF0003852728</v>
      </c>
      <c r="C122" s="7">
        <v>900226715</v>
      </c>
      <c r="D122" s="8">
        <v>43734.016145833331</v>
      </c>
      <c r="E122" s="8">
        <v>44208</v>
      </c>
      <c r="F122" s="7">
        <v>101000</v>
      </c>
      <c r="G122" s="7">
        <v>0</v>
      </c>
      <c r="H122" s="7">
        <v>0</v>
      </c>
      <c r="I122" s="7">
        <v>0</v>
      </c>
      <c r="J122" s="7">
        <v>0</v>
      </c>
      <c r="K122" s="7">
        <v>101000</v>
      </c>
    </row>
    <row r="123" spans="1:11" x14ac:dyDescent="0.25">
      <c r="A123" s="6">
        <v>43936</v>
      </c>
      <c r="B123" s="7" t="str">
        <f>"HSRF0003854636"</f>
        <v>HSRF0003854636</v>
      </c>
      <c r="C123" s="7">
        <v>900226715</v>
      </c>
      <c r="D123" s="8">
        <v>43736.165509259263</v>
      </c>
      <c r="E123" s="8">
        <v>44208</v>
      </c>
      <c r="F123" s="7">
        <v>236526</v>
      </c>
      <c r="G123" s="7">
        <v>0</v>
      </c>
      <c r="H123" s="7">
        <v>0</v>
      </c>
      <c r="I123" s="7">
        <v>0</v>
      </c>
      <c r="J123" s="7">
        <v>0</v>
      </c>
      <c r="K123" s="7">
        <v>236526</v>
      </c>
    </row>
    <row r="124" spans="1:11" x14ac:dyDescent="0.25">
      <c r="A124" s="6">
        <v>43936</v>
      </c>
      <c r="B124" s="7" t="str">
        <f>"HSRF0003855167"</f>
        <v>HSRF0003855167</v>
      </c>
      <c r="C124" s="7">
        <v>900226715</v>
      </c>
      <c r="D124" s="8">
        <v>43737.919745370367</v>
      </c>
      <c r="E124" s="8">
        <v>44208</v>
      </c>
      <c r="F124" s="7">
        <v>64629</v>
      </c>
      <c r="G124" s="7">
        <v>0</v>
      </c>
      <c r="H124" s="7">
        <v>0</v>
      </c>
      <c r="I124" s="7">
        <v>0</v>
      </c>
      <c r="J124" s="7">
        <v>0</v>
      </c>
      <c r="K124" s="7">
        <v>64629</v>
      </c>
    </row>
    <row r="125" spans="1:11" x14ac:dyDescent="0.25">
      <c r="A125" s="6">
        <v>43936</v>
      </c>
      <c r="B125" s="7" t="str">
        <f>"HSRF0003855205"</f>
        <v>HSRF0003855205</v>
      </c>
      <c r="C125" s="7">
        <v>900226715</v>
      </c>
      <c r="D125" s="8">
        <v>43738.083854166667</v>
      </c>
      <c r="E125" s="8">
        <v>44208</v>
      </c>
      <c r="F125" s="7">
        <v>104415</v>
      </c>
      <c r="G125" s="7">
        <v>0</v>
      </c>
      <c r="H125" s="7">
        <v>0</v>
      </c>
      <c r="I125" s="7">
        <v>0</v>
      </c>
      <c r="J125" s="7">
        <v>0</v>
      </c>
      <c r="K125" s="7">
        <v>104415</v>
      </c>
    </row>
    <row r="126" spans="1:11" x14ac:dyDescent="0.25">
      <c r="A126" s="6">
        <v>43936</v>
      </c>
      <c r="B126" s="7" t="str">
        <f>"HSRF0003856101"</f>
        <v>HSRF0003856101</v>
      </c>
      <c r="C126" s="7">
        <v>900226715</v>
      </c>
      <c r="D126" s="8">
        <v>43738.732638888891</v>
      </c>
      <c r="E126" s="8">
        <v>44208</v>
      </c>
      <c r="F126" s="7">
        <v>54456</v>
      </c>
      <c r="G126" s="7">
        <v>0</v>
      </c>
      <c r="H126" s="7">
        <v>0</v>
      </c>
      <c r="I126" s="7">
        <v>0</v>
      </c>
      <c r="J126" s="7">
        <v>0</v>
      </c>
      <c r="K126" s="7">
        <v>54456</v>
      </c>
    </row>
    <row r="127" spans="1:11" x14ac:dyDescent="0.25">
      <c r="A127" s="6">
        <v>43936</v>
      </c>
      <c r="B127" s="7" t="str">
        <f>"HSRF0003856208"</f>
        <v>HSRF0003856208</v>
      </c>
      <c r="C127" s="7">
        <v>900226715</v>
      </c>
      <c r="D127" s="8">
        <v>43738.830740740741</v>
      </c>
      <c r="E127" s="8">
        <v>44208</v>
      </c>
      <c r="F127" s="7">
        <v>122408</v>
      </c>
      <c r="G127" s="7">
        <v>0</v>
      </c>
      <c r="H127" s="7">
        <v>0</v>
      </c>
      <c r="I127" s="7">
        <v>0</v>
      </c>
      <c r="J127" s="7">
        <v>0</v>
      </c>
      <c r="K127" s="7">
        <v>122408</v>
      </c>
    </row>
    <row r="128" spans="1:11" x14ac:dyDescent="0.25">
      <c r="A128" s="6">
        <v>44084</v>
      </c>
      <c r="B128" s="7" t="str">
        <f>"HSRF0003857053"</f>
        <v>HSRF0003857053</v>
      </c>
      <c r="C128" s="7">
        <v>900226715</v>
      </c>
      <c r="D128" s="8">
        <v>43739.753298611111</v>
      </c>
      <c r="E128" s="8">
        <v>44045</v>
      </c>
      <c r="F128" s="7">
        <v>1418164</v>
      </c>
      <c r="G128" s="7">
        <v>0</v>
      </c>
      <c r="H128" s="7">
        <v>0</v>
      </c>
      <c r="I128" s="7">
        <v>0</v>
      </c>
      <c r="J128" s="7">
        <v>0</v>
      </c>
      <c r="K128" s="7">
        <v>1418164</v>
      </c>
    </row>
    <row r="129" spans="1:11" x14ac:dyDescent="0.25">
      <c r="A129" s="6">
        <v>43936</v>
      </c>
      <c r="B129" s="7" t="str">
        <f>"HSRF0003858399"</f>
        <v>HSRF0003858399</v>
      </c>
      <c r="C129" s="7">
        <v>900226715</v>
      </c>
      <c r="D129" s="8">
        <v>43741.525358796294</v>
      </c>
      <c r="E129" s="8">
        <v>44208</v>
      </c>
      <c r="F129" s="7">
        <v>181775</v>
      </c>
      <c r="G129" s="7">
        <v>0</v>
      </c>
      <c r="H129" s="7">
        <v>0</v>
      </c>
      <c r="I129" s="7">
        <v>0</v>
      </c>
      <c r="J129" s="7">
        <v>0</v>
      </c>
      <c r="K129" s="7">
        <v>181775</v>
      </c>
    </row>
    <row r="130" spans="1:11" x14ac:dyDescent="0.25">
      <c r="A130" s="6">
        <v>44084</v>
      </c>
      <c r="B130" s="7" t="str">
        <f>"CM0000004728"</f>
        <v>CM0000004728</v>
      </c>
      <c r="C130" s="7">
        <v>900226715</v>
      </c>
      <c r="D130" s="8">
        <v>43742.574571759258</v>
      </c>
      <c r="E130" s="8">
        <v>44045</v>
      </c>
      <c r="F130" s="7">
        <v>33100</v>
      </c>
      <c r="G130" s="7">
        <v>0</v>
      </c>
      <c r="H130" s="7">
        <v>0</v>
      </c>
      <c r="I130" s="7">
        <v>0</v>
      </c>
      <c r="J130" s="7">
        <v>0</v>
      </c>
      <c r="K130" s="7">
        <v>33100</v>
      </c>
    </row>
    <row r="131" spans="1:11" x14ac:dyDescent="0.25">
      <c r="A131" s="6">
        <v>44084</v>
      </c>
      <c r="B131" s="7" t="str">
        <f>"CM0000004729"</f>
        <v>CM0000004729</v>
      </c>
      <c r="C131" s="7">
        <v>900226715</v>
      </c>
      <c r="D131" s="8">
        <v>43742.576296296298</v>
      </c>
      <c r="E131" s="8">
        <v>44045</v>
      </c>
      <c r="F131" s="7">
        <v>33100</v>
      </c>
      <c r="G131" s="7">
        <v>0</v>
      </c>
      <c r="H131" s="7">
        <v>0</v>
      </c>
      <c r="I131" s="7">
        <v>0</v>
      </c>
      <c r="J131" s="7">
        <v>0</v>
      </c>
      <c r="K131" s="7">
        <v>33100</v>
      </c>
    </row>
    <row r="132" spans="1:11" x14ac:dyDescent="0.25">
      <c r="A132" s="6">
        <v>44084</v>
      </c>
      <c r="B132" s="7" t="str">
        <f>"HSRF0003859347"</f>
        <v>HSRF0003859347</v>
      </c>
      <c r="C132" s="7">
        <v>900226715</v>
      </c>
      <c r="D132" s="8">
        <v>43743.03565972222</v>
      </c>
      <c r="E132" s="8">
        <v>44045</v>
      </c>
      <c r="F132" s="7">
        <v>451408</v>
      </c>
      <c r="G132" s="7">
        <v>0</v>
      </c>
      <c r="H132" s="7">
        <v>0</v>
      </c>
      <c r="I132" s="7">
        <v>0</v>
      </c>
      <c r="J132" s="7">
        <v>0</v>
      </c>
      <c r="K132" s="7">
        <v>451408</v>
      </c>
    </row>
    <row r="133" spans="1:11" x14ac:dyDescent="0.25">
      <c r="A133" s="6">
        <v>44084</v>
      </c>
      <c r="B133" s="7" t="str">
        <f>"HSRF0003859732"</f>
        <v>HSRF0003859732</v>
      </c>
      <c r="C133" s="7">
        <v>900226715</v>
      </c>
      <c r="D133" s="8">
        <v>43744.75576388889</v>
      </c>
      <c r="E133" s="8">
        <v>44045</v>
      </c>
      <c r="F133" s="7">
        <v>177015</v>
      </c>
      <c r="G133" s="7">
        <v>0</v>
      </c>
      <c r="H133" s="7">
        <v>0</v>
      </c>
      <c r="I133" s="7">
        <v>0</v>
      </c>
      <c r="J133" s="7">
        <v>0</v>
      </c>
      <c r="K133" s="7">
        <v>177015</v>
      </c>
    </row>
    <row r="134" spans="1:11" x14ac:dyDescent="0.25">
      <c r="A134" s="6">
        <v>44084</v>
      </c>
      <c r="B134" s="7" t="str">
        <f>"HSRF0003859765"</f>
        <v>HSRF0003859765</v>
      </c>
      <c r="C134" s="7">
        <v>900226715</v>
      </c>
      <c r="D134" s="8">
        <v>43744.892291666663</v>
      </c>
      <c r="E134" s="8">
        <v>44045</v>
      </c>
      <c r="F134" s="7">
        <v>242406</v>
      </c>
      <c r="G134" s="7">
        <v>0</v>
      </c>
      <c r="H134" s="7">
        <v>0</v>
      </c>
      <c r="I134" s="7">
        <v>0</v>
      </c>
      <c r="J134" s="7">
        <v>0</v>
      </c>
      <c r="K134" s="7">
        <v>242406</v>
      </c>
    </row>
    <row r="135" spans="1:11" x14ac:dyDescent="0.25">
      <c r="A135" s="6">
        <v>44084</v>
      </c>
      <c r="B135" s="7" t="str">
        <f>"HSRF0003861420"</f>
        <v>HSRF0003861420</v>
      </c>
      <c r="C135" s="7">
        <v>900226715</v>
      </c>
      <c r="D135" s="8">
        <v>43746.761759259258</v>
      </c>
      <c r="E135" s="8">
        <v>44045</v>
      </c>
      <c r="F135" s="7">
        <v>60461</v>
      </c>
      <c r="G135" s="7">
        <v>0</v>
      </c>
      <c r="H135" s="7">
        <v>0</v>
      </c>
      <c r="I135" s="7">
        <v>0</v>
      </c>
      <c r="J135" s="7">
        <v>0</v>
      </c>
      <c r="K135" s="7">
        <v>60461</v>
      </c>
    </row>
    <row r="136" spans="1:11" x14ac:dyDescent="0.25">
      <c r="A136" s="6">
        <v>44084</v>
      </c>
      <c r="B136" s="7" t="str">
        <f>"HSRF0003862177"</f>
        <v>HSRF0003862177</v>
      </c>
      <c r="C136" s="7">
        <v>900226715</v>
      </c>
      <c r="D136" s="8">
        <v>43747.640497685185</v>
      </c>
      <c r="E136" s="8">
        <v>44045</v>
      </c>
      <c r="F136" s="7">
        <v>54400</v>
      </c>
      <c r="G136" s="7">
        <v>0</v>
      </c>
      <c r="H136" s="7">
        <v>0</v>
      </c>
      <c r="I136" s="7">
        <v>0</v>
      </c>
      <c r="J136" s="7">
        <v>0</v>
      </c>
      <c r="K136" s="7">
        <v>54400</v>
      </c>
    </row>
    <row r="137" spans="1:11" x14ac:dyDescent="0.25">
      <c r="A137" s="6">
        <v>44084</v>
      </c>
      <c r="B137" s="7" t="str">
        <f>"HSRF0003862424"</f>
        <v>HSRF0003862424</v>
      </c>
      <c r="C137" s="7">
        <v>900226715</v>
      </c>
      <c r="D137" s="8">
        <v>43748.289456018516</v>
      </c>
      <c r="E137" s="8">
        <v>44045</v>
      </c>
      <c r="F137" s="7">
        <v>1265468</v>
      </c>
      <c r="G137" s="7">
        <v>0</v>
      </c>
      <c r="H137" s="7">
        <v>0</v>
      </c>
      <c r="I137" s="7">
        <v>0</v>
      </c>
      <c r="J137" s="7">
        <v>121100</v>
      </c>
      <c r="K137" s="7">
        <v>1144368</v>
      </c>
    </row>
    <row r="138" spans="1:11" x14ac:dyDescent="0.25">
      <c r="A138" s="6">
        <v>44084</v>
      </c>
      <c r="B138" s="7" t="str">
        <f>"HSRF0003862952"</f>
        <v>HSRF0003862952</v>
      </c>
      <c r="C138" s="7">
        <v>900226715</v>
      </c>
      <c r="D138" s="8">
        <v>43748.589328703703</v>
      </c>
      <c r="E138" s="8">
        <v>44045</v>
      </c>
      <c r="F138" s="7">
        <v>1301016</v>
      </c>
      <c r="G138" s="7">
        <v>0</v>
      </c>
      <c r="H138" s="7">
        <v>0</v>
      </c>
      <c r="I138" s="7">
        <v>0</v>
      </c>
      <c r="J138" s="7">
        <v>0</v>
      </c>
      <c r="K138" s="7">
        <v>1301016</v>
      </c>
    </row>
    <row r="139" spans="1:11" x14ac:dyDescent="0.25">
      <c r="A139" s="6">
        <v>44084</v>
      </c>
      <c r="B139" s="7" t="str">
        <f>"HSRF0003862983"</f>
        <v>HSRF0003862983</v>
      </c>
      <c r="C139" s="7">
        <v>900226715</v>
      </c>
      <c r="D139" s="8">
        <v>43748.615162037036</v>
      </c>
      <c r="E139" s="8">
        <v>44045</v>
      </c>
      <c r="F139" s="7">
        <v>445007</v>
      </c>
      <c r="G139" s="7">
        <v>0</v>
      </c>
      <c r="H139" s="7">
        <v>0</v>
      </c>
      <c r="I139" s="7">
        <v>0</v>
      </c>
      <c r="J139" s="7">
        <v>0</v>
      </c>
      <c r="K139" s="7">
        <v>445007</v>
      </c>
    </row>
    <row r="140" spans="1:11" x14ac:dyDescent="0.25">
      <c r="A140" s="6">
        <v>44084</v>
      </c>
      <c r="B140" s="7" t="str">
        <f>"HSRF0003863858"</f>
        <v>HSRF0003863858</v>
      </c>
      <c r="C140" s="7">
        <v>900226715</v>
      </c>
      <c r="D140" s="8">
        <v>43749.643738425926</v>
      </c>
      <c r="E140" s="8">
        <v>44045</v>
      </c>
      <c r="F140" s="7">
        <v>115899</v>
      </c>
      <c r="G140" s="7">
        <v>0</v>
      </c>
      <c r="H140" s="7">
        <v>0</v>
      </c>
      <c r="I140" s="7">
        <v>0</v>
      </c>
      <c r="J140" s="7">
        <v>0</v>
      </c>
      <c r="K140" s="7">
        <v>115899</v>
      </c>
    </row>
    <row r="141" spans="1:11" x14ac:dyDescent="0.25">
      <c r="A141" s="6">
        <v>44084</v>
      </c>
      <c r="B141" s="7" t="str">
        <f>"HSRF0003864078"</f>
        <v>HSRF0003864078</v>
      </c>
      <c r="C141" s="7">
        <v>900226715</v>
      </c>
      <c r="D141" s="8">
        <v>43750.445810185185</v>
      </c>
      <c r="E141" s="8">
        <v>44045</v>
      </c>
      <c r="F141" s="7">
        <v>95200</v>
      </c>
      <c r="G141" s="7">
        <v>0</v>
      </c>
      <c r="H141" s="7">
        <v>0</v>
      </c>
      <c r="I141" s="7">
        <v>0</v>
      </c>
      <c r="J141" s="7">
        <v>0</v>
      </c>
      <c r="K141" s="7">
        <v>95200</v>
      </c>
    </row>
    <row r="142" spans="1:11" x14ac:dyDescent="0.25">
      <c r="A142" s="6">
        <v>44084</v>
      </c>
      <c r="B142" s="7" t="str">
        <f>"HSRF0003864156"</f>
        <v>HSRF0003864156</v>
      </c>
      <c r="C142" s="7">
        <v>900226715</v>
      </c>
      <c r="D142" s="8">
        <v>43750.665011574078</v>
      </c>
      <c r="E142" s="8">
        <v>44045</v>
      </c>
      <c r="F142" s="7">
        <v>233960</v>
      </c>
      <c r="G142" s="7">
        <v>0</v>
      </c>
      <c r="H142" s="7">
        <v>0</v>
      </c>
      <c r="I142" s="7">
        <v>0</v>
      </c>
      <c r="J142" s="7">
        <v>0</v>
      </c>
      <c r="K142" s="7">
        <v>233960</v>
      </c>
    </row>
    <row r="143" spans="1:11" x14ac:dyDescent="0.25">
      <c r="A143" s="6">
        <v>44084</v>
      </c>
      <c r="B143" s="7" t="str">
        <f>"HSRF0003865173"</f>
        <v>HSRF0003865173</v>
      </c>
      <c r="C143" s="7">
        <v>900226715</v>
      </c>
      <c r="D143" s="8">
        <v>43753.65084490741</v>
      </c>
      <c r="E143" s="8">
        <v>44045</v>
      </c>
      <c r="F143" s="7">
        <v>240615</v>
      </c>
      <c r="G143" s="7">
        <v>0</v>
      </c>
      <c r="H143" s="7">
        <v>0</v>
      </c>
      <c r="I143" s="7">
        <v>0</v>
      </c>
      <c r="J143" s="7">
        <v>0</v>
      </c>
      <c r="K143" s="7">
        <v>240615</v>
      </c>
    </row>
    <row r="144" spans="1:11" x14ac:dyDescent="0.25">
      <c r="A144" s="6">
        <v>44084</v>
      </c>
      <c r="B144" s="7" t="str">
        <f>"HSRF0003865243"</f>
        <v>HSRF0003865243</v>
      </c>
      <c r="C144" s="7">
        <v>900226715</v>
      </c>
      <c r="D144" s="8">
        <v>43753.766284722224</v>
      </c>
      <c r="E144" s="8">
        <v>44045</v>
      </c>
      <c r="F144" s="7">
        <v>148315</v>
      </c>
      <c r="G144" s="7">
        <v>0</v>
      </c>
      <c r="H144" s="7">
        <v>0</v>
      </c>
      <c r="I144" s="7">
        <v>0</v>
      </c>
      <c r="J144" s="7">
        <v>0</v>
      </c>
      <c r="K144" s="7">
        <v>148315</v>
      </c>
    </row>
    <row r="145" spans="1:11" x14ac:dyDescent="0.25">
      <c r="A145" s="6">
        <v>44084</v>
      </c>
      <c r="B145" s="7" t="str">
        <f>"HSRF0003866925"</f>
        <v>HSRF0003866925</v>
      </c>
      <c r="C145" s="7">
        <v>900226715</v>
      </c>
      <c r="D145" s="8">
        <v>43755.719189814816</v>
      </c>
      <c r="E145" s="8">
        <v>44045</v>
      </c>
      <c r="F145" s="7">
        <v>154400</v>
      </c>
      <c r="G145" s="7">
        <v>0</v>
      </c>
      <c r="H145" s="7">
        <v>0</v>
      </c>
      <c r="I145" s="7">
        <v>0</v>
      </c>
      <c r="J145" s="7">
        <v>0</v>
      </c>
      <c r="K145" s="7">
        <v>154400</v>
      </c>
    </row>
    <row r="146" spans="1:11" x14ac:dyDescent="0.25">
      <c r="A146" s="6">
        <v>44084</v>
      </c>
      <c r="B146" s="7" t="str">
        <f>"HSRF0003867905"</f>
        <v>HSRF0003867905</v>
      </c>
      <c r="C146" s="7">
        <v>900226715</v>
      </c>
      <c r="D146" s="8">
        <v>43757.324236111112</v>
      </c>
      <c r="E146" s="8">
        <v>44045</v>
      </c>
      <c r="F146" s="7">
        <v>2268646</v>
      </c>
      <c r="G146" s="7">
        <v>0</v>
      </c>
      <c r="H146" s="7">
        <v>0</v>
      </c>
      <c r="I146" s="7">
        <v>0</v>
      </c>
      <c r="J146" s="7">
        <v>0</v>
      </c>
      <c r="K146" s="7">
        <v>2268646</v>
      </c>
    </row>
    <row r="147" spans="1:11" x14ac:dyDescent="0.25">
      <c r="A147" s="6">
        <v>44084</v>
      </c>
      <c r="B147" s="7" t="str">
        <f>"HSRF0003867951"</f>
        <v>HSRF0003867951</v>
      </c>
      <c r="C147" s="7">
        <v>900226715</v>
      </c>
      <c r="D147" s="8">
        <v>43757.384351851855</v>
      </c>
      <c r="E147" s="8">
        <v>44045</v>
      </c>
      <c r="F147" s="7">
        <v>54400</v>
      </c>
      <c r="G147" s="7">
        <v>0</v>
      </c>
      <c r="H147" s="7">
        <v>0</v>
      </c>
      <c r="I147" s="7">
        <v>0</v>
      </c>
      <c r="J147" s="7">
        <v>0</v>
      </c>
      <c r="K147" s="7">
        <v>54400</v>
      </c>
    </row>
    <row r="148" spans="1:11" x14ac:dyDescent="0.25">
      <c r="A148" s="6">
        <v>44084</v>
      </c>
      <c r="B148" s="7" t="str">
        <f>"HSRF0003868359"</f>
        <v>HSRF0003868359</v>
      </c>
      <c r="C148" s="7">
        <v>900226715</v>
      </c>
      <c r="D148" s="8">
        <v>43759.186273148145</v>
      </c>
      <c r="E148" s="8">
        <v>44045</v>
      </c>
      <c r="F148" s="7">
        <v>54400</v>
      </c>
      <c r="G148" s="7">
        <v>0</v>
      </c>
      <c r="H148" s="7">
        <v>0</v>
      </c>
      <c r="I148" s="7">
        <v>0</v>
      </c>
      <c r="J148" s="7">
        <v>0</v>
      </c>
      <c r="K148" s="7">
        <v>54400</v>
      </c>
    </row>
    <row r="149" spans="1:11" x14ac:dyDescent="0.25">
      <c r="A149" s="6">
        <v>44084</v>
      </c>
      <c r="B149" s="7" t="str">
        <f>"HSRF0003868906"</f>
        <v>HSRF0003868906</v>
      </c>
      <c r="C149" s="7">
        <v>900226715</v>
      </c>
      <c r="D149" s="8">
        <v>43759.519884259258</v>
      </c>
      <c r="E149" s="8">
        <v>44045</v>
      </c>
      <c r="F149" s="7">
        <v>240615</v>
      </c>
      <c r="G149" s="7">
        <v>0</v>
      </c>
      <c r="H149" s="7">
        <v>0</v>
      </c>
      <c r="I149" s="7">
        <v>0</v>
      </c>
      <c r="J149" s="7">
        <v>0</v>
      </c>
      <c r="K149" s="7">
        <v>240615</v>
      </c>
    </row>
    <row r="150" spans="1:11" x14ac:dyDescent="0.25">
      <c r="A150" s="6">
        <v>44084</v>
      </c>
      <c r="B150" s="7" t="str">
        <f>"HSRF0003868932"</f>
        <v>HSRF0003868932</v>
      </c>
      <c r="C150" s="7">
        <v>900226715</v>
      </c>
      <c r="D150" s="8">
        <v>43759.556967592594</v>
      </c>
      <c r="E150" s="8">
        <v>44045</v>
      </c>
      <c r="F150" s="7">
        <v>1070308</v>
      </c>
      <c r="G150" s="7">
        <v>0</v>
      </c>
      <c r="H150" s="7">
        <v>0</v>
      </c>
      <c r="I150" s="7">
        <v>0</v>
      </c>
      <c r="J150" s="7">
        <v>0</v>
      </c>
      <c r="K150" s="7">
        <v>1070308</v>
      </c>
    </row>
    <row r="151" spans="1:11" x14ac:dyDescent="0.25">
      <c r="A151" s="6">
        <v>44084</v>
      </c>
      <c r="B151" s="7" t="str">
        <f>"HSRF0003869107"</f>
        <v>HSRF0003869107</v>
      </c>
      <c r="C151" s="7">
        <v>900226715</v>
      </c>
      <c r="D151" s="8">
        <v>43759.692280092589</v>
      </c>
      <c r="E151" s="8">
        <v>44045</v>
      </c>
      <c r="F151" s="7">
        <v>198351</v>
      </c>
      <c r="G151" s="7">
        <v>0</v>
      </c>
      <c r="H151" s="7">
        <v>0</v>
      </c>
      <c r="I151" s="7">
        <v>0</v>
      </c>
      <c r="J151" s="7">
        <v>0</v>
      </c>
      <c r="K151" s="7">
        <v>198351</v>
      </c>
    </row>
    <row r="152" spans="1:11" x14ac:dyDescent="0.25">
      <c r="A152" s="6">
        <v>44084</v>
      </c>
      <c r="B152" s="7" t="str">
        <f>"HSRF0003869992"</f>
        <v>HSRF0003869992</v>
      </c>
      <c r="C152" s="7">
        <v>900226715</v>
      </c>
      <c r="D152" s="8">
        <v>43760.664189814815</v>
      </c>
      <c r="E152" s="8">
        <v>44045</v>
      </c>
      <c r="F152" s="7">
        <v>107100</v>
      </c>
      <c r="G152" s="7">
        <v>0</v>
      </c>
      <c r="H152" s="7">
        <v>0</v>
      </c>
      <c r="I152" s="7">
        <v>0</v>
      </c>
      <c r="J152" s="7">
        <v>0</v>
      </c>
      <c r="K152" s="7">
        <v>107100</v>
      </c>
    </row>
    <row r="153" spans="1:11" x14ac:dyDescent="0.25">
      <c r="A153" s="6">
        <v>44084</v>
      </c>
      <c r="B153" s="7" t="str">
        <f>"HSRF0003870058"</f>
        <v>HSRF0003870058</v>
      </c>
      <c r="C153" s="7">
        <v>900226715</v>
      </c>
      <c r="D153" s="8">
        <v>43760.741863425923</v>
      </c>
      <c r="E153" s="8">
        <v>44045</v>
      </c>
      <c r="F153" s="7">
        <v>55015</v>
      </c>
      <c r="G153" s="7">
        <v>0</v>
      </c>
      <c r="H153" s="7">
        <v>0</v>
      </c>
      <c r="I153" s="7">
        <v>0</v>
      </c>
      <c r="J153" s="7">
        <v>0</v>
      </c>
      <c r="K153" s="7">
        <v>55015</v>
      </c>
    </row>
    <row r="154" spans="1:11" x14ac:dyDescent="0.25">
      <c r="A154" s="6">
        <v>44084</v>
      </c>
      <c r="B154" s="7" t="str">
        <f>"HSRF0003870101"</f>
        <v>HSRF0003870101</v>
      </c>
      <c r="C154" s="7">
        <v>900226715</v>
      </c>
      <c r="D154" s="8">
        <v>43760.88076388889</v>
      </c>
      <c r="E154" s="8">
        <v>44045</v>
      </c>
      <c r="F154" s="7">
        <v>2097681</v>
      </c>
      <c r="G154" s="7">
        <v>0</v>
      </c>
      <c r="H154" s="7">
        <v>0</v>
      </c>
      <c r="I154" s="7">
        <v>0</v>
      </c>
      <c r="J154" s="7">
        <v>0</v>
      </c>
      <c r="K154" s="7">
        <v>2097681</v>
      </c>
    </row>
    <row r="155" spans="1:11" x14ac:dyDescent="0.25">
      <c r="A155" s="6">
        <v>44084</v>
      </c>
      <c r="B155" s="7" t="str">
        <f>"CM0000006324"</f>
        <v>CM0000006324</v>
      </c>
      <c r="C155" s="7">
        <v>900226715</v>
      </c>
      <c r="D155" s="8">
        <v>43763.467372685183</v>
      </c>
      <c r="E155" s="8">
        <v>44045</v>
      </c>
      <c r="F155" s="7">
        <v>33100</v>
      </c>
      <c r="G155" s="7">
        <v>0</v>
      </c>
      <c r="H155" s="7">
        <v>0</v>
      </c>
      <c r="I155" s="7">
        <v>0</v>
      </c>
      <c r="J155" s="7">
        <v>0</v>
      </c>
      <c r="K155" s="7">
        <v>33100</v>
      </c>
    </row>
    <row r="156" spans="1:11" x14ac:dyDescent="0.25">
      <c r="A156" s="6">
        <v>44084</v>
      </c>
      <c r="B156" s="7" t="str">
        <f>"HSRF0003872839"</f>
        <v>HSRF0003872839</v>
      </c>
      <c r="C156" s="7">
        <v>900226715</v>
      </c>
      <c r="D156" s="8">
        <v>43764.683506944442</v>
      </c>
      <c r="E156" s="8">
        <v>44045</v>
      </c>
      <c r="F156" s="7">
        <v>106298</v>
      </c>
      <c r="G156" s="7">
        <v>0</v>
      </c>
      <c r="H156" s="7">
        <v>0</v>
      </c>
      <c r="I156" s="7">
        <v>0</v>
      </c>
      <c r="J156" s="7">
        <v>0</v>
      </c>
      <c r="K156" s="7">
        <v>106298</v>
      </c>
    </row>
    <row r="157" spans="1:11" x14ac:dyDescent="0.25">
      <c r="A157" s="6">
        <v>44084</v>
      </c>
      <c r="B157" s="7" t="str">
        <f>"HSRF0003873096"</f>
        <v>HSRF0003873096</v>
      </c>
      <c r="C157" s="7">
        <v>900226715</v>
      </c>
      <c r="D157" s="8">
        <v>43766.259444444448</v>
      </c>
      <c r="E157" s="8">
        <v>44045</v>
      </c>
      <c r="F157" s="7">
        <v>94600</v>
      </c>
      <c r="G157" s="7">
        <v>0</v>
      </c>
      <c r="H157" s="7">
        <v>0</v>
      </c>
      <c r="I157" s="7">
        <v>0</v>
      </c>
      <c r="J157" s="7">
        <v>0</v>
      </c>
      <c r="K157" s="7">
        <v>94600</v>
      </c>
    </row>
    <row r="158" spans="1:11" x14ac:dyDescent="0.25">
      <c r="A158" s="6">
        <v>44084</v>
      </c>
      <c r="B158" s="7" t="str">
        <f>"HSRF0003874546"</f>
        <v>HSRF0003874546</v>
      </c>
      <c r="C158" s="7">
        <v>900226715</v>
      </c>
      <c r="D158" s="8">
        <v>43767.608854166669</v>
      </c>
      <c r="E158" s="8">
        <v>44045</v>
      </c>
      <c r="F158" s="7">
        <v>105000</v>
      </c>
      <c r="G158" s="7">
        <v>0</v>
      </c>
      <c r="H158" s="7">
        <v>0</v>
      </c>
      <c r="I158" s="7">
        <v>0</v>
      </c>
      <c r="J158" s="7">
        <v>0</v>
      </c>
      <c r="K158" s="7">
        <v>105000</v>
      </c>
    </row>
    <row r="159" spans="1:11" x14ac:dyDescent="0.25">
      <c r="A159" s="6">
        <v>44084</v>
      </c>
      <c r="B159" s="7" t="str">
        <f>"HSRF0003875514"</f>
        <v>HSRF0003875514</v>
      </c>
      <c r="C159" s="7">
        <v>900226715</v>
      </c>
      <c r="D159" s="8">
        <v>43768.823368055557</v>
      </c>
      <c r="E159" s="8">
        <v>44045</v>
      </c>
      <c r="F159" s="7">
        <v>846224</v>
      </c>
      <c r="G159" s="7">
        <v>0</v>
      </c>
      <c r="H159" s="7">
        <v>0</v>
      </c>
      <c r="I159" s="7">
        <v>0</v>
      </c>
      <c r="J159" s="7">
        <v>0</v>
      </c>
      <c r="K159" s="7">
        <v>846224</v>
      </c>
    </row>
    <row r="160" spans="1:11" x14ac:dyDescent="0.25">
      <c r="A160" s="6">
        <v>44252</v>
      </c>
      <c r="B160" s="7" t="str">
        <f>"HSRF0003877282"</f>
        <v>HSRF0003877282</v>
      </c>
      <c r="C160" s="7">
        <v>900226715</v>
      </c>
      <c r="D160" s="8">
        <v>43771.161574074074</v>
      </c>
      <c r="E160" s="8">
        <v>44045</v>
      </c>
      <c r="F160" s="7">
        <v>55008</v>
      </c>
      <c r="G160" s="7">
        <v>0</v>
      </c>
      <c r="H160" s="7">
        <v>0</v>
      </c>
      <c r="I160" s="7">
        <v>0</v>
      </c>
      <c r="J160" s="7">
        <v>0</v>
      </c>
      <c r="K160" s="7">
        <v>55008</v>
      </c>
    </row>
    <row r="161" spans="1:11" x14ac:dyDescent="0.25">
      <c r="A161" s="6">
        <v>44253</v>
      </c>
      <c r="B161" s="7" t="str">
        <f>"HSRF0003877635"</f>
        <v>HSRF0003877635</v>
      </c>
      <c r="C161" s="7">
        <v>900226715</v>
      </c>
      <c r="D161" s="8">
        <v>43772.821087962962</v>
      </c>
      <c r="E161" s="8">
        <v>44045</v>
      </c>
      <c r="F161" s="7">
        <v>167800</v>
      </c>
      <c r="G161" s="7">
        <v>0</v>
      </c>
      <c r="H161" s="7">
        <v>0</v>
      </c>
      <c r="I161" s="7">
        <v>0</v>
      </c>
      <c r="J161" s="7">
        <v>0</v>
      </c>
      <c r="K161" s="7">
        <v>167800</v>
      </c>
    </row>
    <row r="162" spans="1:11" x14ac:dyDescent="0.25">
      <c r="A162" s="6">
        <v>44252</v>
      </c>
      <c r="B162" s="7" t="str">
        <f>"HSRF0003877857"</f>
        <v>HSRF0003877857</v>
      </c>
      <c r="C162" s="7">
        <v>900226715</v>
      </c>
      <c r="D162" s="8">
        <v>43773.7734837963</v>
      </c>
      <c r="E162" s="8">
        <v>44045</v>
      </c>
      <c r="F162" s="7">
        <v>318924</v>
      </c>
      <c r="G162" s="7">
        <v>0</v>
      </c>
      <c r="H162" s="7">
        <v>0</v>
      </c>
      <c r="I162" s="7">
        <v>0</v>
      </c>
      <c r="J162" s="7">
        <v>0</v>
      </c>
      <c r="K162" s="7">
        <v>318924</v>
      </c>
    </row>
    <row r="163" spans="1:11" x14ac:dyDescent="0.25">
      <c r="A163" s="6">
        <v>44253</v>
      </c>
      <c r="B163" s="7" t="str">
        <f>"HSRF0003878368"</f>
        <v>HSRF0003878368</v>
      </c>
      <c r="C163" s="7">
        <v>900226715</v>
      </c>
      <c r="D163" s="8">
        <v>43774.446469907409</v>
      </c>
      <c r="E163" s="8">
        <v>44045</v>
      </c>
      <c r="F163" s="7">
        <v>1941557</v>
      </c>
      <c r="G163" s="7">
        <v>0</v>
      </c>
      <c r="H163" s="7">
        <v>0</v>
      </c>
      <c r="I163" s="7">
        <v>0</v>
      </c>
      <c r="J163" s="7">
        <v>0</v>
      </c>
      <c r="K163" s="7">
        <v>1941557</v>
      </c>
    </row>
    <row r="164" spans="1:11" x14ac:dyDescent="0.25">
      <c r="A164" s="6">
        <v>44253</v>
      </c>
      <c r="B164" s="7" t="str">
        <f>"HSRF0003879397"</f>
        <v>HSRF0003879397</v>
      </c>
      <c r="C164" s="7">
        <v>900226715</v>
      </c>
      <c r="D164" s="8">
        <v>43775.63685185185</v>
      </c>
      <c r="E164" s="8">
        <v>44045</v>
      </c>
      <c r="F164" s="7">
        <v>123685</v>
      </c>
      <c r="G164" s="7">
        <v>0</v>
      </c>
      <c r="H164" s="7">
        <v>0</v>
      </c>
      <c r="I164" s="7">
        <v>0</v>
      </c>
      <c r="J164" s="7">
        <v>0</v>
      </c>
      <c r="K164" s="7">
        <v>123685</v>
      </c>
    </row>
    <row r="165" spans="1:11" x14ac:dyDescent="0.25">
      <c r="A165" s="6">
        <v>44253</v>
      </c>
      <c r="B165" s="7" t="str">
        <f>"LM0000305314"</f>
        <v>LM0000305314</v>
      </c>
      <c r="C165" s="7">
        <v>900226715</v>
      </c>
      <c r="D165" s="8">
        <v>43776.366944444446</v>
      </c>
      <c r="E165" s="8">
        <v>44045</v>
      </c>
      <c r="F165" s="7">
        <v>37900</v>
      </c>
      <c r="G165" s="7">
        <v>0</v>
      </c>
      <c r="H165" s="7">
        <v>0</v>
      </c>
      <c r="I165" s="7">
        <v>0</v>
      </c>
      <c r="J165" s="7">
        <v>0</v>
      </c>
      <c r="K165" s="7">
        <v>37900</v>
      </c>
    </row>
    <row r="166" spans="1:11" x14ac:dyDescent="0.25">
      <c r="A166" s="6">
        <v>44252</v>
      </c>
      <c r="B166" s="7" t="str">
        <f>"HSRF0003880142"</f>
        <v>HSRF0003880142</v>
      </c>
      <c r="C166" s="7">
        <v>900226715</v>
      </c>
      <c r="D166" s="8">
        <v>43776.564953703702</v>
      </c>
      <c r="E166" s="8">
        <v>44045</v>
      </c>
      <c r="F166" s="7">
        <v>322567</v>
      </c>
      <c r="G166" s="7">
        <v>0</v>
      </c>
      <c r="H166" s="7">
        <v>0</v>
      </c>
      <c r="I166" s="7">
        <v>0</v>
      </c>
      <c r="J166" s="7">
        <v>0</v>
      </c>
      <c r="K166" s="7">
        <v>322567</v>
      </c>
    </row>
    <row r="167" spans="1:11" x14ac:dyDescent="0.25">
      <c r="A167" s="6">
        <v>44253</v>
      </c>
      <c r="B167" s="7" t="str">
        <f>"HSRF0003880521"</f>
        <v>HSRF0003880521</v>
      </c>
      <c r="C167" s="7">
        <v>900226715</v>
      </c>
      <c r="D167" s="8">
        <v>43777.296516203707</v>
      </c>
      <c r="E167" s="8">
        <v>44045</v>
      </c>
      <c r="F167" s="7">
        <v>78100</v>
      </c>
      <c r="G167" s="7">
        <v>0</v>
      </c>
      <c r="H167" s="7">
        <v>0</v>
      </c>
      <c r="I167" s="7">
        <v>0</v>
      </c>
      <c r="J167" s="7">
        <v>0</v>
      </c>
      <c r="K167" s="7">
        <v>78100</v>
      </c>
    </row>
    <row r="168" spans="1:11" x14ac:dyDescent="0.25">
      <c r="A168" s="6">
        <v>44252</v>
      </c>
      <c r="B168" s="7" t="str">
        <f>"HSRF0003880888"</f>
        <v>HSRF0003880888</v>
      </c>
      <c r="C168" s="7">
        <v>900226715</v>
      </c>
      <c r="D168" s="8">
        <v>43777.428055555552</v>
      </c>
      <c r="E168" s="8">
        <v>44045</v>
      </c>
      <c r="F168" s="7">
        <v>148466</v>
      </c>
      <c r="G168" s="7">
        <v>0</v>
      </c>
      <c r="H168" s="7">
        <v>0</v>
      </c>
      <c r="I168" s="7">
        <v>0</v>
      </c>
      <c r="J168" s="7">
        <v>0</v>
      </c>
      <c r="K168" s="7">
        <v>148466</v>
      </c>
    </row>
    <row r="169" spans="1:11" x14ac:dyDescent="0.25">
      <c r="A169" s="6">
        <v>44253</v>
      </c>
      <c r="B169" s="7" t="str">
        <f>"HSRF0003881423"</f>
        <v>HSRF0003881423</v>
      </c>
      <c r="C169" s="7">
        <v>900226715</v>
      </c>
      <c r="D169" s="8">
        <v>43778.712048611109</v>
      </c>
      <c r="E169" s="8">
        <v>44045</v>
      </c>
      <c r="F169" s="7">
        <v>58477</v>
      </c>
      <c r="G169" s="7">
        <v>0</v>
      </c>
      <c r="H169" s="7">
        <v>0</v>
      </c>
      <c r="I169" s="7">
        <v>0</v>
      </c>
      <c r="J169" s="7">
        <v>0</v>
      </c>
      <c r="K169" s="7">
        <v>58477</v>
      </c>
    </row>
    <row r="170" spans="1:11" x14ac:dyDescent="0.25">
      <c r="A170" s="6">
        <v>44252</v>
      </c>
      <c r="B170" s="7" t="str">
        <f>"HSRF0003881822"</f>
        <v>HSRF0003881822</v>
      </c>
      <c r="C170" s="7">
        <v>900226715</v>
      </c>
      <c r="D170" s="8">
        <v>43781.02579861111</v>
      </c>
      <c r="E170" s="8">
        <v>44045</v>
      </c>
      <c r="F170" s="7">
        <v>152057</v>
      </c>
      <c r="G170" s="7">
        <v>0</v>
      </c>
      <c r="H170" s="7">
        <v>0</v>
      </c>
      <c r="I170" s="7">
        <v>0</v>
      </c>
      <c r="J170" s="7">
        <v>0</v>
      </c>
      <c r="K170" s="7">
        <v>152057</v>
      </c>
    </row>
    <row r="171" spans="1:11" x14ac:dyDescent="0.25">
      <c r="A171" s="6">
        <v>44253</v>
      </c>
      <c r="B171" s="7" t="str">
        <f>"HSRF0003882836"</f>
        <v>HSRF0003882836</v>
      </c>
      <c r="C171" s="7">
        <v>900226715</v>
      </c>
      <c r="D171" s="8">
        <v>43782.269120370373</v>
      </c>
      <c r="E171" s="8">
        <v>44045</v>
      </c>
      <c r="F171" s="7">
        <v>54400</v>
      </c>
      <c r="G171" s="7">
        <v>0</v>
      </c>
      <c r="H171" s="7">
        <v>0</v>
      </c>
      <c r="I171" s="7">
        <v>0</v>
      </c>
      <c r="J171" s="7">
        <v>0</v>
      </c>
      <c r="K171" s="7">
        <v>54400</v>
      </c>
    </row>
    <row r="172" spans="1:11" x14ac:dyDescent="0.25">
      <c r="A172" s="6">
        <v>44253</v>
      </c>
      <c r="B172" s="7" t="str">
        <f>"HSRF0003885473"</f>
        <v>HSRF0003885473</v>
      </c>
      <c r="C172" s="7">
        <v>900226715</v>
      </c>
      <c r="D172" s="8">
        <v>43785.514675925922</v>
      </c>
      <c r="E172" s="8">
        <v>44045</v>
      </c>
      <c r="F172" s="7">
        <v>55754</v>
      </c>
      <c r="G172" s="7">
        <v>0</v>
      </c>
      <c r="H172" s="7">
        <v>0</v>
      </c>
      <c r="I172" s="7">
        <v>0</v>
      </c>
      <c r="J172" s="7">
        <v>0</v>
      </c>
      <c r="K172" s="7">
        <v>55754</v>
      </c>
    </row>
    <row r="173" spans="1:11" x14ac:dyDescent="0.25">
      <c r="A173" s="6">
        <v>44253</v>
      </c>
      <c r="B173" s="7" t="str">
        <f>"HSRF0003886614"</f>
        <v>HSRF0003886614</v>
      </c>
      <c r="C173" s="7">
        <v>900226715</v>
      </c>
      <c r="D173" s="8">
        <v>43787.650335648148</v>
      </c>
      <c r="E173" s="8">
        <v>44045</v>
      </c>
      <c r="F173" s="7">
        <v>54808</v>
      </c>
      <c r="G173" s="7">
        <v>0</v>
      </c>
      <c r="H173" s="7">
        <v>0</v>
      </c>
      <c r="I173" s="7">
        <v>0</v>
      </c>
      <c r="J173" s="7">
        <v>0</v>
      </c>
      <c r="K173" s="7">
        <v>54808</v>
      </c>
    </row>
    <row r="174" spans="1:11" x14ac:dyDescent="0.25">
      <c r="A174" s="6">
        <v>44252</v>
      </c>
      <c r="B174" s="7" t="str">
        <f>"HSRF0003887161"</f>
        <v>HSRF0003887161</v>
      </c>
      <c r="C174" s="7">
        <v>900226715</v>
      </c>
      <c r="D174" s="8">
        <v>43788.393263888887</v>
      </c>
      <c r="E174" s="8">
        <v>44045</v>
      </c>
      <c r="F174" s="7">
        <v>447338</v>
      </c>
      <c r="G174" s="7">
        <v>0</v>
      </c>
      <c r="H174" s="7">
        <v>0</v>
      </c>
      <c r="I174" s="7">
        <v>0</v>
      </c>
      <c r="J174" s="7">
        <v>0</v>
      </c>
      <c r="K174" s="7">
        <v>447338</v>
      </c>
    </row>
    <row r="175" spans="1:11" x14ac:dyDescent="0.25">
      <c r="A175" s="6">
        <v>44253</v>
      </c>
      <c r="B175" s="7" t="str">
        <f>"HSRF0003888690"</f>
        <v>HSRF0003888690</v>
      </c>
      <c r="C175" s="7">
        <v>900226715</v>
      </c>
      <c r="D175" s="8">
        <v>43790.363171296296</v>
      </c>
      <c r="E175" s="8">
        <v>44045</v>
      </c>
      <c r="F175" s="7">
        <v>72600</v>
      </c>
      <c r="G175" s="7">
        <v>0</v>
      </c>
      <c r="H175" s="7">
        <v>0</v>
      </c>
      <c r="I175" s="7">
        <v>0</v>
      </c>
      <c r="J175" s="7">
        <v>0</v>
      </c>
      <c r="K175" s="7">
        <v>72600</v>
      </c>
    </row>
    <row r="176" spans="1:11" x14ac:dyDescent="0.25">
      <c r="A176" s="6">
        <v>44253</v>
      </c>
      <c r="B176" s="7" t="str">
        <f>"SB0000081730"</f>
        <v>SB0000081730</v>
      </c>
      <c r="C176" s="7">
        <v>900226715</v>
      </c>
      <c r="D176" s="8">
        <v>43790.436435185184</v>
      </c>
      <c r="E176" s="8">
        <v>44045</v>
      </c>
      <c r="F176" s="7">
        <v>47800</v>
      </c>
      <c r="G176" s="7">
        <v>0</v>
      </c>
      <c r="H176" s="7">
        <v>0</v>
      </c>
      <c r="I176" s="7">
        <v>0</v>
      </c>
      <c r="J176" s="7">
        <v>0</v>
      </c>
      <c r="K176" s="7">
        <v>47800</v>
      </c>
    </row>
    <row r="177" spans="1:11" x14ac:dyDescent="0.25">
      <c r="A177" s="6">
        <v>44253</v>
      </c>
      <c r="B177" s="7" t="str">
        <f>"HSRF0003889524"</f>
        <v>HSRF0003889524</v>
      </c>
      <c r="C177" s="7">
        <v>900226715</v>
      </c>
      <c r="D177" s="8">
        <v>43791.540069444447</v>
      </c>
      <c r="E177" s="8">
        <v>44045</v>
      </c>
      <c r="F177" s="7">
        <v>24100</v>
      </c>
      <c r="G177" s="7">
        <v>0</v>
      </c>
      <c r="H177" s="7">
        <v>0</v>
      </c>
      <c r="I177" s="7">
        <v>0</v>
      </c>
      <c r="J177" s="7">
        <v>0</v>
      </c>
      <c r="K177" s="7">
        <v>24100</v>
      </c>
    </row>
    <row r="178" spans="1:11" x14ac:dyDescent="0.25">
      <c r="A178" s="6">
        <v>44253</v>
      </c>
      <c r="B178" s="7" t="str">
        <f>"HSRF0003889683"</f>
        <v>HSRF0003889683</v>
      </c>
      <c r="C178" s="7">
        <v>900226715</v>
      </c>
      <c r="D178" s="8">
        <v>43791.826331018521</v>
      </c>
      <c r="E178" s="8">
        <v>44045</v>
      </c>
      <c r="F178" s="7">
        <v>105408</v>
      </c>
      <c r="G178" s="7">
        <v>0</v>
      </c>
      <c r="H178" s="7">
        <v>0</v>
      </c>
      <c r="I178" s="7">
        <v>0</v>
      </c>
      <c r="J178" s="7">
        <v>0</v>
      </c>
      <c r="K178" s="7">
        <v>105408</v>
      </c>
    </row>
    <row r="179" spans="1:11" x14ac:dyDescent="0.25">
      <c r="A179" s="6">
        <v>44253</v>
      </c>
      <c r="B179" s="7" t="str">
        <f>"CM0000008311"</f>
        <v>CM0000008311</v>
      </c>
      <c r="C179" s="7">
        <v>900226715</v>
      </c>
      <c r="D179" s="8">
        <v>43794.472939814812</v>
      </c>
      <c r="E179" s="8">
        <v>44045</v>
      </c>
      <c r="F179" s="7">
        <v>33100</v>
      </c>
      <c r="G179" s="7">
        <v>0</v>
      </c>
      <c r="H179" s="7">
        <v>0</v>
      </c>
      <c r="I179" s="7">
        <v>0</v>
      </c>
      <c r="J179" s="7">
        <v>0</v>
      </c>
      <c r="K179" s="7">
        <v>33100</v>
      </c>
    </row>
    <row r="180" spans="1:11" x14ac:dyDescent="0.25">
      <c r="A180" s="6">
        <v>44253</v>
      </c>
      <c r="B180" s="7" t="str">
        <f>"HSRF0003890915"</f>
        <v>HSRF0003890915</v>
      </c>
      <c r="C180" s="7">
        <v>900226715</v>
      </c>
      <c r="D180" s="8">
        <v>43794.674108796295</v>
      </c>
      <c r="E180" s="8">
        <v>44045</v>
      </c>
      <c r="F180" s="7">
        <v>107248</v>
      </c>
      <c r="G180" s="7">
        <v>0</v>
      </c>
      <c r="H180" s="7">
        <v>0</v>
      </c>
      <c r="I180" s="7">
        <v>0</v>
      </c>
      <c r="J180" s="7">
        <v>0</v>
      </c>
      <c r="K180" s="7">
        <v>107248</v>
      </c>
    </row>
    <row r="181" spans="1:11" x14ac:dyDescent="0.25">
      <c r="A181" s="6">
        <v>44253</v>
      </c>
      <c r="B181" s="7" t="str">
        <f>"HSRF0003891565"</f>
        <v>HSRF0003891565</v>
      </c>
      <c r="C181" s="7">
        <v>900226715</v>
      </c>
      <c r="D181" s="8">
        <v>43795.473402777781</v>
      </c>
      <c r="E181" s="8">
        <v>44045</v>
      </c>
      <c r="F181" s="7">
        <v>193391</v>
      </c>
      <c r="G181" s="7">
        <v>0</v>
      </c>
      <c r="H181" s="7">
        <v>0</v>
      </c>
      <c r="I181" s="7">
        <v>0</v>
      </c>
      <c r="J181" s="7">
        <v>0</v>
      </c>
      <c r="K181" s="7">
        <v>193391</v>
      </c>
    </row>
    <row r="182" spans="1:11" x14ac:dyDescent="0.25">
      <c r="A182" s="6">
        <v>44253</v>
      </c>
      <c r="B182" s="7" t="str">
        <f>"HSRF0003892654"</f>
        <v>HSRF0003892654</v>
      </c>
      <c r="C182" s="7">
        <v>900226715</v>
      </c>
      <c r="D182" s="8">
        <v>43796.79074074074</v>
      </c>
      <c r="E182" s="8">
        <v>44045</v>
      </c>
      <c r="F182" s="7">
        <v>54848</v>
      </c>
      <c r="G182" s="7">
        <v>0</v>
      </c>
      <c r="H182" s="7">
        <v>0</v>
      </c>
      <c r="I182" s="7">
        <v>0</v>
      </c>
      <c r="J182" s="7">
        <v>0</v>
      </c>
      <c r="K182" s="7">
        <v>54848</v>
      </c>
    </row>
    <row r="183" spans="1:11" x14ac:dyDescent="0.25">
      <c r="A183" s="6">
        <v>44253</v>
      </c>
      <c r="B183" s="7" t="str">
        <f>"HSRF0003892676"</f>
        <v>HSRF0003892676</v>
      </c>
      <c r="C183" s="7">
        <v>900226715</v>
      </c>
      <c r="D183" s="8">
        <v>43796.90221064815</v>
      </c>
      <c r="E183" s="8">
        <v>44045</v>
      </c>
      <c r="F183" s="7">
        <v>195131</v>
      </c>
      <c r="G183" s="7">
        <v>0</v>
      </c>
      <c r="H183" s="7">
        <v>0</v>
      </c>
      <c r="I183" s="7">
        <v>0</v>
      </c>
      <c r="J183" s="7">
        <v>0</v>
      </c>
      <c r="K183" s="7">
        <v>195131</v>
      </c>
    </row>
    <row r="184" spans="1:11" x14ac:dyDescent="0.25">
      <c r="A184" s="6">
        <v>44253</v>
      </c>
      <c r="B184" s="7" t="str">
        <f>"HSRF0003892722"</f>
        <v>HSRF0003892722</v>
      </c>
      <c r="C184" s="7">
        <v>900226715</v>
      </c>
      <c r="D184" s="8">
        <v>43797.186643518522</v>
      </c>
      <c r="E184" s="8">
        <v>44045</v>
      </c>
      <c r="F184" s="7">
        <v>808096</v>
      </c>
      <c r="G184" s="7">
        <v>0</v>
      </c>
      <c r="H184" s="7">
        <v>0</v>
      </c>
      <c r="I184" s="7">
        <v>0</v>
      </c>
      <c r="J184" s="7">
        <v>0</v>
      </c>
      <c r="K184" s="7">
        <v>808096</v>
      </c>
    </row>
    <row r="185" spans="1:11" x14ac:dyDescent="0.25">
      <c r="A185" s="6">
        <v>44253</v>
      </c>
      <c r="B185" s="7" t="str">
        <f>"HSRF0003893284"</f>
        <v>HSRF0003893284</v>
      </c>
      <c r="C185" s="7">
        <v>900226715</v>
      </c>
      <c r="D185" s="8">
        <v>43797.508252314816</v>
      </c>
      <c r="E185" s="8">
        <v>44045</v>
      </c>
      <c r="F185" s="7">
        <v>95200</v>
      </c>
      <c r="G185" s="7">
        <v>0</v>
      </c>
      <c r="H185" s="7">
        <v>0</v>
      </c>
      <c r="I185" s="7">
        <v>0</v>
      </c>
      <c r="J185" s="7">
        <v>0</v>
      </c>
      <c r="K185" s="7">
        <v>95200</v>
      </c>
    </row>
    <row r="186" spans="1:11" x14ac:dyDescent="0.25">
      <c r="A186" s="6">
        <v>44252</v>
      </c>
      <c r="B186" s="7" t="str">
        <f>"HSRF0003893468"</f>
        <v>HSRF0003893468</v>
      </c>
      <c r="C186" s="7">
        <v>900226715</v>
      </c>
      <c r="D186" s="8">
        <v>43797.655671296299</v>
      </c>
      <c r="E186" s="8">
        <v>44045</v>
      </c>
      <c r="F186" s="7">
        <v>99575</v>
      </c>
      <c r="G186" s="7">
        <v>0</v>
      </c>
      <c r="H186" s="7">
        <v>0</v>
      </c>
      <c r="I186" s="7">
        <v>0</v>
      </c>
      <c r="J186" s="7">
        <v>0</v>
      </c>
      <c r="K186" s="7">
        <v>99575</v>
      </c>
    </row>
    <row r="187" spans="1:11" x14ac:dyDescent="0.25">
      <c r="A187" s="6">
        <v>44252</v>
      </c>
      <c r="B187" s="7" t="str">
        <f>"HSRF0003893607"</f>
        <v>HSRF0003893607</v>
      </c>
      <c r="C187" s="7">
        <v>900226715</v>
      </c>
      <c r="D187" s="8">
        <v>43797.948009259257</v>
      </c>
      <c r="E187" s="8">
        <v>44045</v>
      </c>
      <c r="F187" s="7">
        <v>54981</v>
      </c>
      <c r="G187" s="7">
        <v>0</v>
      </c>
      <c r="H187" s="7">
        <v>0</v>
      </c>
      <c r="I187" s="7">
        <v>0</v>
      </c>
      <c r="J187" s="7">
        <v>0</v>
      </c>
      <c r="K187" s="7">
        <v>54981</v>
      </c>
    </row>
    <row r="188" spans="1:11" x14ac:dyDescent="0.25">
      <c r="A188" s="6">
        <v>44252</v>
      </c>
      <c r="B188" s="7" t="str">
        <f>"HSRF0003893608"</f>
        <v>HSRF0003893608</v>
      </c>
      <c r="C188" s="7">
        <v>900226715</v>
      </c>
      <c r="D188" s="8">
        <v>43797.95008101852</v>
      </c>
      <c r="E188" s="8">
        <v>44045</v>
      </c>
      <c r="F188" s="7">
        <v>284921</v>
      </c>
      <c r="G188" s="7">
        <v>0</v>
      </c>
      <c r="H188" s="7">
        <v>0</v>
      </c>
      <c r="I188" s="7">
        <v>0</v>
      </c>
      <c r="J188" s="7">
        <v>0</v>
      </c>
      <c r="K188" s="7">
        <v>284921</v>
      </c>
    </row>
    <row r="189" spans="1:11" x14ac:dyDescent="0.25">
      <c r="A189" s="6">
        <v>44253</v>
      </c>
      <c r="B189" s="7" t="str">
        <f>"HSRF0003894403"</f>
        <v>HSRF0003894403</v>
      </c>
      <c r="C189" s="7">
        <v>900226715</v>
      </c>
      <c r="D189" s="8">
        <v>43798.754131944443</v>
      </c>
      <c r="E189" s="8">
        <v>44045</v>
      </c>
      <c r="F189" s="7">
        <v>179910</v>
      </c>
      <c r="G189" s="7">
        <v>0</v>
      </c>
      <c r="H189" s="7">
        <v>0</v>
      </c>
      <c r="I189" s="7">
        <v>0</v>
      </c>
      <c r="J189" s="7">
        <v>0</v>
      </c>
      <c r="K189" s="7">
        <v>179910</v>
      </c>
    </row>
    <row r="190" spans="1:11" x14ac:dyDescent="0.25">
      <c r="A190" s="6">
        <v>44513</v>
      </c>
      <c r="B190" s="7" t="str">
        <f>"HSRF0003895058"</f>
        <v>HSRF0003895058</v>
      </c>
      <c r="C190" s="7">
        <v>900226715</v>
      </c>
      <c r="D190" s="8">
        <v>43801.01152777778</v>
      </c>
      <c r="E190" s="8">
        <v>44045</v>
      </c>
      <c r="F190" s="7">
        <v>287262</v>
      </c>
      <c r="G190" s="7">
        <v>0</v>
      </c>
      <c r="H190" s="7">
        <v>0</v>
      </c>
      <c r="I190" s="7">
        <v>0</v>
      </c>
      <c r="J190" s="7">
        <v>0</v>
      </c>
      <c r="K190" s="7">
        <v>287262</v>
      </c>
    </row>
    <row r="191" spans="1:11" x14ac:dyDescent="0.25">
      <c r="A191" s="6">
        <v>44253</v>
      </c>
      <c r="B191" s="7" t="str">
        <f>"HSRF0003897040"</f>
        <v>HSRF0003897040</v>
      </c>
      <c r="C191" s="7">
        <v>900226715</v>
      </c>
      <c r="D191" s="8">
        <v>43803.742581018516</v>
      </c>
      <c r="E191" s="8">
        <v>44045</v>
      </c>
      <c r="F191" s="7">
        <v>169098</v>
      </c>
      <c r="G191" s="7">
        <v>0</v>
      </c>
      <c r="H191" s="7">
        <v>0</v>
      </c>
      <c r="I191" s="7">
        <v>0</v>
      </c>
      <c r="J191" s="7">
        <v>0</v>
      </c>
      <c r="K191" s="7">
        <v>169098</v>
      </c>
    </row>
    <row r="192" spans="1:11" x14ac:dyDescent="0.25">
      <c r="A192" s="6">
        <v>44513</v>
      </c>
      <c r="B192" s="7" t="str">
        <f>"HSRF0003897552"</f>
        <v>HSRF0003897552</v>
      </c>
      <c r="C192" s="7">
        <v>900226715</v>
      </c>
      <c r="D192" s="8">
        <v>43804.519317129627</v>
      </c>
      <c r="E192" s="8">
        <v>44045</v>
      </c>
      <c r="F192" s="7">
        <v>54400</v>
      </c>
      <c r="G192" s="7">
        <v>0</v>
      </c>
      <c r="H192" s="7">
        <v>0</v>
      </c>
      <c r="I192" s="7">
        <v>0</v>
      </c>
      <c r="J192" s="7">
        <v>0</v>
      </c>
      <c r="K192" s="7">
        <v>54400</v>
      </c>
    </row>
    <row r="193" spans="1:11" x14ac:dyDescent="0.25">
      <c r="A193" s="6">
        <v>44513</v>
      </c>
      <c r="B193" s="7" t="str">
        <f>"HSRF0003897807"</f>
        <v>HSRF0003897807</v>
      </c>
      <c r="C193" s="7">
        <v>900226715</v>
      </c>
      <c r="D193" s="8">
        <v>43804.793437499997</v>
      </c>
      <c r="E193" s="8">
        <v>44045</v>
      </c>
      <c r="F193" s="7">
        <v>105098</v>
      </c>
      <c r="G193" s="7">
        <v>0</v>
      </c>
      <c r="H193" s="7">
        <v>0</v>
      </c>
      <c r="I193" s="7">
        <v>0</v>
      </c>
      <c r="J193" s="7">
        <v>0</v>
      </c>
      <c r="K193" s="7">
        <v>105098</v>
      </c>
    </row>
    <row r="194" spans="1:11" x14ac:dyDescent="0.25">
      <c r="A194" s="6">
        <v>44513</v>
      </c>
      <c r="B194" s="7" t="str">
        <f>"HSRF0003898799"</f>
        <v>HSRF0003898799</v>
      </c>
      <c r="C194" s="7">
        <v>900226715</v>
      </c>
      <c r="D194" s="8">
        <v>43807.956296296295</v>
      </c>
      <c r="E194" s="8">
        <v>44045</v>
      </c>
      <c r="F194" s="7">
        <v>167800</v>
      </c>
      <c r="G194" s="7">
        <v>0</v>
      </c>
      <c r="H194" s="7">
        <v>0</v>
      </c>
      <c r="I194" s="7">
        <v>0</v>
      </c>
      <c r="J194" s="7">
        <v>0</v>
      </c>
      <c r="K194" s="7">
        <v>167800</v>
      </c>
    </row>
    <row r="195" spans="1:11" x14ac:dyDescent="0.25">
      <c r="A195" s="6">
        <v>44512</v>
      </c>
      <c r="B195" s="7" t="str">
        <f>"HSRF0003899307"</f>
        <v>HSRF0003899307</v>
      </c>
      <c r="C195" s="7">
        <v>900226715</v>
      </c>
      <c r="D195" s="8">
        <v>43808.547974537039</v>
      </c>
      <c r="E195" s="8">
        <v>44045</v>
      </c>
      <c r="F195" s="7">
        <v>101308</v>
      </c>
      <c r="G195" s="7">
        <v>0</v>
      </c>
      <c r="H195" s="7">
        <v>0</v>
      </c>
      <c r="I195" s="7">
        <v>0</v>
      </c>
      <c r="J195" s="7">
        <v>0</v>
      </c>
      <c r="K195" s="7">
        <v>101308</v>
      </c>
    </row>
    <row r="196" spans="1:11" x14ac:dyDescent="0.25">
      <c r="A196" s="6">
        <v>44512</v>
      </c>
      <c r="B196" s="7" t="str">
        <f>"HSRF0003899966"</f>
        <v>HSRF0003899966</v>
      </c>
      <c r="C196" s="7">
        <v>900226715</v>
      </c>
      <c r="D196" s="8">
        <v>43809.442511574074</v>
      </c>
      <c r="E196" s="8">
        <v>44045</v>
      </c>
      <c r="F196" s="7">
        <v>284416</v>
      </c>
      <c r="G196" s="7">
        <v>0</v>
      </c>
      <c r="H196" s="7">
        <v>0</v>
      </c>
      <c r="I196" s="7">
        <v>0</v>
      </c>
      <c r="J196" s="7">
        <v>0</v>
      </c>
      <c r="K196" s="7">
        <v>284416</v>
      </c>
    </row>
    <row r="197" spans="1:11" x14ac:dyDescent="0.25">
      <c r="A197" s="6">
        <v>44513</v>
      </c>
      <c r="B197" s="7" t="str">
        <f>"HSRF0003901381"</f>
        <v>HSRF0003901381</v>
      </c>
      <c r="C197" s="7">
        <v>900226715</v>
      </c>
      <c r="D197" s="8">
        <v>43811.39435185185</v>
      </c>
      <c r="E197" s="8">
        <v>44045</v>
      </c>
      <c r="F197" s="7">
        <v>139348</v>
      </c>
      <c r="G197" s="7">
        <v>0</v>
      </c>
      <c r="H197" s="7">
        <v>0</v>
      </c>
      <c r="I197" s="7">
        <v>0</v>
      </c>
      <c r="J197" s="7">
        <v>0</v>
      </c>
      <c r="K197" s="7">
        <v>139348</v>
      </c>
    </row>
    <row r="198" spans="1:11" x14ac:dyDescent="0.25">
      <c r="A198" s="6">
        <v>44513</v>
      </c>
      <c r="B198" s="7" t="str">
        <f>"HSRF0003901741"</f>
        <v>HSRF0003901741</v>
      </c>
      <c r="C198" s="7">
        <v>900226715</v>
      </c>
      <c r="D198" s="8">
        <v>43811.678819444445</v>
      </c>
      <c r="E198" s="8">
        <v>44045</v>
      </c>
      <c r="F198" s="7">
        <v>280760</v>
      </c>
      <c r="G198" s="7">
        <v>0</v>
      </c>
      <c r="H198" s="7">
        <v>0</v>
      </c>
      <c r="I198" s="7">
        <v>0</v>
      </c>
      <c r="J198" s="7">
        <v>0</v>
      </c>
      <c r="K198" s="7">
        <v>280760</v>
      </c>
    </row>
    <row r="199" spans="1:11" x14ac:dyDescent="0.25">
      <c r="A199" s="6">
        <v>44513</v>
      </c>
      <c r="B199" s="7" t="str">
        <f>"HSRF0003902572"</f>
        <v>HSRF0003902572</v>
      </c>
      <c r="C199" s="7">
        <v>900226715</v>
      </c>
      <c r="D199" s="8">
        <v>43813.116307870368</v>
      </c>
      <c r="E199" s="8">
        <v>44045</v>
      </c>
      <c r="F199" s="7">
        <v>207343</v>
      </c>
      <c r="G199" s="7">
        <v>0</v>
      </c>
      <c r="H199" s="7">
        <v>0</v>
      </c>
      <c r="I199" s="7">
        <v>0</v>
      </c>
      <c r="J199" s="7">
        <v>0</v>
      </c>
      <c r="K199" s="7">
        <v>207343</v>
      </c>
    </row>
    <row r="200" spans="1:11" x14ac:dyDescent="0.25">
      <c r="A200" s="6">
        <v>44512</v>
      </c>
      <c r="B200" s="7" t="str">
        <f>"HSRF0003902743"</f>
        <v>HSRF0003902743</v>
      </c>
      <c r="C200" s="7">
        <v>900226715</v>
      </c>
      <c r="D200" s="8">
        <v>43813.638067129628</v>
      </c>
      <c r="E200" s="8">
        <v>44045</v>
      </c>
      <c r="F200" s="7">
        <v>54300</v>
      </c>
      <c r="G200" s="7">
        <v>0</v>
      </c>
      <c r="H200" s="7">
        <v>0</v>
      </c>
      <c r="I200" s="7">
        <v>0</v>
      </c>
      <c r="J200" s="7">
        <v>0</v>
      </c>
      <c r="K200" s="7">
        <v>54300</v>
      </c>
    </row>
    <row r="201" spans="1:11" x14ac:dyDescent="0.25">
      <c r="A201" s="6">
        <v>44513</v>
      </c>
      <c r="B201" s="7" t="str">
        <f>"HSRF0003902823"</f>
        <v>HSRF0003902823</v>
      </c>
      <c r="C201" s="7">
        <v>900226715</v>
      </c>
      <c r="D201" s="8">
        <v>43814.157361111109</v>
      </c>
      <c r="E201" s="8">
        <v>44045</v>
      </c>
      <c r="F201" s="7">
        <v>277681</v>
      </c>
      <c r="G201" s="7">
        <v>0</v>
      </c>
      <c r="H201" s="7">
        <v>0</v>
      </c>
      <c r="I201" s="7">
        <v>0</v>
      </c>
      <c r="J201" s="7">
        <v>0</v>
      </c>
      <c r="K201" s="7">
        <v>277681</v>
      </c>
    </row>
    <row r="202" spans="1:11" x14ac:dyDescent="0.25">
      <c r="A202" s="6">
        <v>44512</v>
      </c>
      <c r="B202" s="7" t="str">
        <f>"HSRF0003903237"</f>
        <v>HSRF0003903237</v>
      </c>
      <c r="C202" s="7">
        <v>900226715</v>
      </c>
      <c r="D202" s="8">
        <v>43815.355428240742</v>
      </c>
      <c r="E202" s="8">
        <v>44045</v>
      </c>
      <c r="F202" s="7">
        <v>303600</v>
      </c>
      <c r="G202" s="7">
        <v>0</v>
      </c>
      <c r="H202" s="7">
        <v>0</v>
      </c>
      <c r="I202" s="7">
        <v>0</v>
      </c>
      <c r="J202" s="7">
        <v>3200</v>
      </c>
      <c r="K202" s="7">
        <v>300400</v>
      </c>
    </row>
    <row r="203" spans="1:11" x14ac:dyDescent="0.25">
      <c r="A203" s="6">
        <v>44512</v>
      </c>
      <c r="B203" s="7" t="str">
        <f>"HSRF0003903398"</f>
        <v>HSRF0003903398</v>
      </c>
      <c r="C203" s="7">
        <v>900226715</v>
      </c>
      <c r="D203" s="8">
        <v>43815.42869212963</v>
      </c>
      <c r="E203" s="8">
        <v>44045</v>
      </c>
      <c r="F203" s="7">
        <v>148850</v>
      </c>
      <c r="G203" s="7">
        <v>0</v>
      </c>
      <c r="H203" s="7">
        <v>0</v>
      </c>
      <c r="I203" s="7">
        <v>0</v>
      </c>
      <c r="J203" s="7">
        <v>0</v>
      </c>
      <c r="K203" s="7">
        <v>148850</v>
      </c>
    </row>
    <row r="204" spans="1:11" x14ac:dyDescent="0.25">
      <c r="A204" s="6">
        <v>44513</v>
      </c>
      <c r="B204" s="7" t="str">
        <f>"HSRF0003903420"</f>
        <v>HSRF0003903420</v>
      </c>
      <c r="C204" s="7">
        <v>900226715</v>
      </c>
      <c r="D204" s="8">
        <v>43815.438298611109</v>
      </c>
      <c r="E204" s="8">
        <v>44045</v>
      </c>
      <c r="F204" s="7">
        <v>54874</v>
      </c>
      <c r="G204" s="7">
        <v>0</v>
      </c>
      <c r="H204" s="7">
        <v>0</v>
      </c>
      <c r="I204" s="7">
        <v>0</v>
      </c>
      <c r="J204" s="7">
        <v>0</v>
      </c>
      <c r="K204" s="7">
        <v>54874</v>
      </c>
    </row>
    <row r="205" spans="1:11" x14ac:dyDescent="0.25">
      <c r="A205" s="6">
        <v>44513</v>
      </c>
      <c r="B205" s="7" t="str">
        <f>"HSRF0003903661"</f>
        <v>HSRF0003903661</v>
      </c>
      <c r="C205" s="7">
        <v>900226715</v>
      </c>
      <c r="D205" s="8">
        <v>43815.66369212963</v>
      </c>
      <c r="E205" s="8">
        <v>44045</v>
      </c>
      <c r="F205" s="7">
        <v>105098</v>
      </c>
      <c r="G205" s="7">
        <v>0</v>
      </c>
      <c r="H205" s="7">
        <v>0</v>
      </c>
      <c r="I205" s="7">
        <v>0</v>
      </c>
      <c r="J205" s="7">
        <v>0</v>
      </c>
      <c r="K205" s="7">
        <v>105098</v>
      </c>
    </row>
    <row r="206" spans="1:11" x14ac:dyDescent="0.25">
      <c r="A206" s="6">
        <v>44512</v>
      </c>
      <c r="B206" s="7" t="str">
        <f>"HSRF0003904225"</f>
        <v>HSRF0003904225</v>
      </c>
      <c r="C206" s="7">
        <v>900226715</v>
      </c>
      <c r="D206" s="8">
        <v>43816.461782407408</v>
      </c>
      <c r="E206" s="8">
        <v>44045</v>
      </c>
      <c r="F206" s="7">
        <v>6573996</v>
      </c>
      <c r="G206" s="7">
        <v>0</v>
      </c>
      <c r="H206" s="7">
        <v>0</v>
      </c>
      <c r="I206" s="7">
        <v>200000</v>
      </c>
      <c r="J206" s="7">
        <v>0</v>
      </c>
      <c r="K206" s="7">
        <v>6373996</v>
      </c>
    </row>
    <row r="207" spans="1:11" x14ac:dyDescent="0.25">
      <c r="A207" s="6">
        <v>44512</v>
      </c>
      <c r="B207" s="7" t="str">
        <f>"HSRF0003904420"</f>
        <v>HSRF0003904420</v>
      </c>
      <c r="C207" s="7">
        <v>900226715</v>
      </c>
      <c r="D207" s="8">
        <v>43816.645092592589</v>
      </c>
      <c r="E207" s="8">
        <v>44045</v>
      </c>
      <c r="F207" s="7">
        <v>5795546</v>
      </c>
      <c r="G207" s="7">
        <v>0</v>
      </c>
      <c r="H207" s="7">
        <v>0</v>
      </c>
      <c r="I207" s="7">
        <v>0</v>
      </c>
      <c r="J207" s="7">
        <v>0</v>
      </c>
      <c r="K207" s="7">
        <v>5795546</v>
      </c>
    </row>
    <row r="208" spans="1:11" x14ac:dyDescent="0.25">
      <c r="A208" s="6">
        <v>44512</v>
      </c>
      <c r="B208" s="7" t="str">
        <f>"HSRF0003908811"</f>
        <v>HSRF0003908811</v>
      </c>
      <c r="C208" s="7">
        <v>900226715</v>
      </c>
      <c r="D208" s="8">
        <v>43825.425243055557</v>
      </c>
      <c r="E208" s="8">
        <v>44045</v>
      </c>
      <c r="F208" s="7">
        <v>491406</v>
      </c>
      <c r="G208" s="7">
        <v>0</v>
      </c>
      <c r="H208" s="7">
        <v>0</v>
      </c>
      <c r="I208" s="7">
        <v>0</v>
      </c>
      <c r="J208" s="7">
        <v>50300</v>
      </c>
      <c r="K208" s="7">
        <v>441106</v>
      </c>
    </row>
    <row r="209" spans="1:11" x14ac:dyDescent="0.25">
      <c r="A209" s="6">
        <v>44513</v>
      </c>
      <c r="B209" s="7" t="str">
        <f>"HSRF0003909005"</f>
        <v>HSRF0003909005</v>
      </c>
      <c r="C209" s="7">
        <v>900226715</v>
      </c>
      <c r="D209" s="8">
        <v>43825.653993055559</v>
      </c>
      <c r="E209" s="8">
        <v>44045</v>
      </c>
      <c r="F209" s="7">
        <v>47800</v>
      </c>
      <c r="G209" s="7">
        <v>0</v>
      </c>
      <c r="H209" s="7">
        <v>0</v>
      </c>
      <c r="I209" s="7">
        <v>0</v>
      </c>
      <c r="J209" s="7">
        <v>0</v>
      </c>
      <c r="K209" s="7">
        <v>47800</v>
      </c>
    </row>
    <row r="210" spans="1:11" x14ac:dyDescent="0.25">
      <c r="A210" s="6">
        <v>44513</v>
      </c>
      <c r="B210" s="7" t="str">
        <f>"HSRF0003909125"</f>
        <v>HSRF0003909125</v>
      </c>
      <c r="C210" s="7">
        <v>900226715</v>
      </c>
      <c r="D210" s="8">
        <v>43826.160914351851</v>
      </c>
      <c r="E210" s="8">
        <v>44045</v>
      </c>
      <c r="F210" s="7">
        <v>82137</v>
      </c>
      <c r="G210" s="7">
        <v>0</v>
      </c>
      <c r="H210" s="7">
        <v>0</v>
      </c>
      <c r="I210" s="7">
        <v>0</v>
      </c>
      <c r="J210" s="7">
        <v>0</v>
      </c>
      <c r="K210" s="7">
        <v>82137</v>
      </c>
    </row>
    <row r="211" spans="1:11" x14ac:dyDescent="0.25">
      <c r="A211" s="6">
        <v>44513</v>
      </c>
      <c r="B211" s="7" t="str">
        <f>"CM0000010358"</f>
        <v>CM0000010358</v>
      </c>
      <c r="C211" s="7">
        <v>900226715</v>
      </c>
      <c r="D211" s="8">
        <v>43826.325636574074</v>
      </c>
      <c r="E211" s="8">
        <v>44045</v>
      </c>
      <c r="F211" s="7">
        <v>33100</v>
      </c>
      <c r="G211" s="7">
        <v>0</v>
      </c>
      <c r="H211" s="7">
        <v>0</v>
      </c>
      <c r="I211" s="7">
        <v>0</v>
      </c>
      <c r="J211" s="7">
        <v>0</v>
      </c>
      <c r="K211" s="7">
        <v>33100</v>
      </c>
    </row>
    <row r="212" spans="1:11" x14ac:dyDescent="0.25">
      <c r="A212" s="6">
        <v>44512</v>
      </c>
      <c r="B212" s="7" t="str">
        <f>"HSRF0003909684"</f>
        <v>HSRF0003909684</v>
      </c>
      <c r="C212" s="7">
        <v>900226715</v>
      </c>
      <c r="D212" s="8">
        <v>43826.862476851849</v>
      </c>
      <c r="E212" s="8">
        <v>44045</v>
      </c>
      <c r="F212" s="7">
        <v>95200</v>
      </c>
      <c r="G212" s="7">
        <v>0</v>
      </c>
      <c r="H212" s="7">
        <v>0</v>
      </c>
      <c r="I212" s="7">
        <v>0</v>
      </c>
      <c r="J212" s="7">
        <v>0</v>
      </c>
      <c r="K212" s="7">
        <v>95200</v>
      </c>
    </row>
    <row r="213" spans="1:11" x14ac:dyDescent="0.25">
      <c r="A213" s="6">
        <v>44512</v>
      </c>
      <c r="B213" s="7" t="str">
        <f>"HSRF0003909859"</f>
        <v>HSRF0003909859</v>
      </c>
      <c r="C213" s="7">
        <v>900226715</v>
      </c>
      <c r="D213" s="8">
        <v>43827.632060185184</v>
      </c>
      <c r="E213" s="8">
        <v>44045</v>
      </c>
      <c r="F213" s="7">
        <v>185103</v>
      </c>
      <c r="G213" s="7">
        <v>0</v>
      </c>
      <c r="H213" s="7">
        <v>0</v>
      </c>
      <c r="I213" s="7">
        <v>0</v>
      </c>
      <c r="J213" s="7">
        <v>0</v>
      </c>
      <c r="K213" s="7">
        <v>185103</v>
      </c>
    </row>
    <row r="214" spans="1:11" x14ac:dyDescent="0.25">
      <c r="A214" s="6">
        <v>44512</v>
      </c>
      <c r="B214" s="7" t="str">
        <f>"HSRF0003909994"</f>
        <v>HSRF0003909994</v>
      </c>
      <c r="C214" s="7">
        <v>900226715</v>
      </c>
      <c r="D214" s="8">
        <v>43828.161377314813</v>
      </c>
      <c r="E214" s="8">
        <v>44045</v>
      </c>
      <c r="F214" s="7">
        <v>64898</v>
      </c>
      <c r="G214" s="7">
        <v>0</v>
      </c>
      <c r="H214" s="7">
        <v>0</v>
      </c>
      <c r="I214" s="7">
        <v>0</v>
      </c>
      <c r="J214" s="7">
        <v>0</v>
      </c>
      <c r="K214" s="7">
        <v>64898</v>
      </c>
    </row>
    <row r="215" spans="1:11" x14ac:dyDescent="0.25">
      <c r="A215" s="6">
        <v>44513</v>
      </c>
      <c r="B215" s="7" t="str">
        <f>"HSRF0003910133"</f>
        <v>HSRF0003910133</v>
      </c>
      <c r="C215" s="7">
        <v>900226715</v>
      </c>
      <c r="D215" s="8">
        <v>43828.718645833331</v>
      </c>
      <c r="E215" s="8">
        <v>44045</v>
      </c>
      <c r="F215" s="7">
        <v>3195119</v>
      </c>
      <c r="G215" s="7">
        <v>0</v>
      </c>
      <c r="H215" s="7">
        <v>0</v>
      </c>
      <c r="I215" s="7">
        <v>0</v>
      </c>
      <c r="J215" s="7">
        <v>0</v>
      </c>
      <c r="K215" s="7">
        <v>3195119</v>
      </c>
    </row>
    <row r="216" spans="1:11" x14ac:dyDescent="0.25">
      <c r="A216" s="6">
        <v>44512</v>
      </c>
      <c r="B216" s="7" t="str">
        <f>"HSRF0003910909"</f>
        <v>HSRF0003910909</v>
      </c>
      <c r="C216" s="7">
        <v>900226715</v>
      </c>
      <c r="D216" s="8">
        <v>43829.748599537037</v>
      </c>
      <c r="E216" s="8">
        <v>44045</v>
      </c>
      <c r="F216" s="7">
        <v>347897</v>
      </c>
      <c r="G216" s="7">
        <v>0</v>
      </c>
      <c r="H216" s="7">
        <v>0</v>
      </c>
      <c r="I216" s="7">
        <v>0</v>
      </c>
      <c r="J216" s="7">
        <v>0</v>
      </c>
      <c r="K216" s="7">
        <v>347897</v>
      </c>
    </row>
    <row r="217" spans="1:11" x14ac:dyDescent="0.25">
      <c r="A217" s="6">
        <v>44513</v>
      </c>
      <c r="B217" s="7" t="str">
        <f>"HSRF0003910950"</f>
        <v>HSRF0003910950</v>
      </c>
      <c r="C217" s="7">
        <v>900226715</v>
      </c>
      <c r="D217" s="8">
        <v>43829.783009259256</v>
      </c>
      <c r="E217" s="8">
        <v>44045</v>
      </c>
      <c r="F217" s="7">
        <v>1557993</v>
      </c>
      <c r="G217" s="7">
        <v>0</v>
      </c>
      <c r="H217" s="7">
        <v>0</v>
      </c>
      <c r="I217" s="7">
        <v>0</v>
      </c>
      <c r="J217" s="7">
        <v>0</v>
      </c>
      <c r="K217" s="7">
        <v>1557993</v>
      </c>
    </row>
    <row r="218" spans="1:11" x14ac:dyDescent="0.25">
      <c r="A218" s="6">
        <v>44641</v>
      </c>
      <c r="B218" s="7" t="str">
        <f>"HSRF0003912335"</f>
        <v>HSRF0003912335</v>
      </c>
      <c r="C218" s="7">
        <v>900226715</v>
      </c>
      <c r="D218" s="8">
        <v>43835.321412037039</v>
      </c>
      <c r="E218" s="8">
        <v>43910</v>
      </c>
      <c r="F218" s="7">
        <v>1592841</v>
      </c>
      <c r="G218" s="7">
        <v>0</v>
      </c>
      <c r="H218" s="7">
        <v>0</v>
      </c>
      <c r="I218" s="7">
        <v>0</v>
      </c>
      <c r="J218" s="7">
        <v>0</v>
      </c>
      <c r="K218" s="7">
        <v>1592841</v>
      </c>
    </row>
    <row r="219" spans="1:11" x14ac:dyDescent="0.25">
      <c r="A219" s="6">
        <v>44641</v>
      </c>
      <c r="B219" s="7" t="str">
        <f>"HSRF0003912428"</f>
        <v>HSRF0003912428</v>
      </c>
      <c r="C219" s="7">
        <v>900226715</v>
      </c>
      <c r="D219" s="8">
        <v>43835.703067129631</v>
      </c>
      <c r="E219" s="8">
        <v>43910</v>
      </c>
      <c r="F219" s="7">
        <v>2236469</v>
      </c>
      <c r="G219" s="7">
        <v>0</v>
      </c>
      <c r="H219" s="7">
        <v>0</v>
      </c>
      <c r="I219" s="7">
        <v>0</v>
      </c>
      <c r="J219" s="7">
        <v>0</v>
      </c>
      <c r="K219" s="7">
        <v>2236469</v>
      </c>
    </row>
    <row r="220" spans="1:11" x14ac:dyDescent="0.25">
      <c r="A220" s="6">
        <v>44641</v>
      </c>
      <c r="B220" s="7" t="str">
        <f>"HSRF0003912593"</f>
        <v>HSRF0003912593</v>
      </c>
      <c r="C220" s="7">
        <v>900226715</v>
      </c>
      <c r="D220" s="8">
        <v>43837.009398148148</v>
      </c>
      <c r="E220" s="8">
        <v>43910</v>
      </c>
      <c r="F220" s="7">
        <v>1418243</v>
      </c>
      <c r="G220" s="7">
        <v>0</v>
      </c>
      <c r="H220" s="7">
        <v>0</v>
      </c>
      <c r="I220" s="7">
        <v>0</v>
      </c>
      <c r="J220" s="7">
        <v>0</v>
      </c>
      <c r="K220" s="7">
        <v>1418243</v>
      </c>
    </row>
    <row r="221" spans="1:11" x14ac:dyDescent="0.25">
      <c r="A221" s="6">
        <v>44641</v>
      </c>
      <c r="B221" s="7" t="str">
        <f>"HSRF0003912599"</f>
        <v>HSRF0003912599</v>
      </c>
      <c r="C221" s="7">
        <v>900226715</v>
      </c>
      <c r="D221" s="8">
        <v>43837.038136574076</v>
      </c>
      <c r="E221" s="8">
        <v>43910</v>
      </c>
      <c r="F221" s="7">
        <v>72732</v>
      </c>
      <c r="G221" s="7">
        <v>0</v>
      </c>
      <c r="H221" s="7">
        <v>0</v>
      </c>
      <c r="I221" s="7">
        <v>0</v>
      </c>
      <c r="J221" s="7">
        <v>0</v>
      </c>
      <c r="K221" s="7">
        <v>72732</v>
      </c>
    </row>
    <row r="222" spans="1:11" x14ac:dyDescent="0.25">
      <c r="A222" s="6">
        <v>44640</v>
      </c>
      <c r="B222" s="7" t="str">
        <f>"HSRF0003912975"</f>
        <v>HSRF0003912975</v>
      </c>
      <c r="C222" s="7">
        <v>900226715</v>
      </c>
      <c r="D222" s="8">
        <v>43837.510844907411</v>
      </c>
      <c r="E222" s="8">
        <v>43910</v>
      </c>
      <c r="F222" s="7">
        <v>57600</v>
      </c>
      <c r="G222" s="7">
        <v>0</v>
      </c>
      <c r="H222" s="7">
        <v>0</v>
      </c>
      <c r="I222" s="7">
        <v>0</v>
      </c>
      <c r="J222" s="7">
        <v>0</v>
      </c>
      <c r="K222" s="7">
        <v>57600</v>
      </c>
    </row>
    <row r="223" spans="1:11" x14ac:dyDescent="0.25">
      <c r="A223" s="6">
        <v>44640</v>
      </c>
      <c r="B223" s="7" t="str">
        <f>"CM0000010784"</f>
        <v>CM0000010784</v>
      </c>
      <c r="C223" s="7">
        <v>900226715</v>
      </c>
      <c r="D223" s="8">
        <v>43837.654467592591</v>
      </c>
      <c r="E223" s="8">
        <v>43910</v>
      </c>
      <c r="F223" s="7">
        <v>35100</v>
      </c>
      <c r="G223" s="7">
        <v>0</v>
      </c>
      <c r="H223" s="7">
        <v>0</v>
      </c>
      <c r="I223" s="7">
        <v>0</v>
      </c>
      <c r="J223" s="7">
        <v>0</v>
      </c>
      <c r="K223" s="7">
        <v>35100</v>
      </c>
    </row>
    <row r="224" spans="1:11" x14ac:dyDescent="0.25">
      <c r="A224" s="6">
        <v>44641</v>
      </c>
      <c r="B224" s="7" t="str">
        <f>"CM0000010982"</f>
        <v>CM0000010982</v>
      </c>
      <c r="C224" s="7">
        <v>900226715</v>
      </c>
      <c r="D224" s="8">
        <v>43839.484918981485</v>
      </c>
      <c r="E224" s="8">
        <v>43910</v>
      </c>
      <c r="F224" s="7">
        <v>24000</v>
      </c>
      <c r="G224" s="7">
        <v>0</v>
      </c>
      <c r="H224" s="7">
        <v>0</v>
      </c>
      <c r="I224" s="7">
        <v>0</v>
      </c>
      <c r="J224" s="7">
        <v>3400</v>
      </c>
      <c r="K224" s="7">
        <v>20600</v>
      </c>
    </row>
    <row r="225" spans="1:11" x14ac:dyDescent="0.25">
      <c r="A225" s="6">
        <v>44641</v>
      </c>
      <c r="B225" s="7" t="str">
        <f>"HSRF0003913833"</f>
        <v>HSRF0003913833</v>
      </c>
      <c r="C225" s="7">
        <v>900226715</v>
      </c>
      <c r="D225" s="8">
        <v>43839.504363425927</v>
      </c>
      <c r="E225" s="8">
        <v>43910</v>
      </c>
      <c r="F225" s="7">
        <v>920928</v>
      </c>
      <c r="G225" s="7">
        <v>0</v>
      </c>
      <c r="H225" s="7">
        <v>0</v>
      </c>
      <c r="I225" s="7">
        <v>0</v>
      </c>
      <c r="J225" s="7">
        <v>0</v>
      </c>
      <c r="K225" s="7">
        <v>920928</v>
      </c>
    </row>
    <row r="226" spans="1:11" x14ac:dyDescent="0.25">
      <c r="A226" s="6">
        <v>44641</v>
      </c>
      <c r="B226" s="7" t="str">
        <f>"HSRF0003913934"</f>
        <v>HSRF0003913934</v>
      </c>
      <c r="C226" s="7">
        <v>900226715</v>
      </c>
      <c r="D226" s="8">
        <v>43839.649988425925</v>
      </c>
      <c r="E226" s="8">
        <v>43910</v>
      </c>
      <c r="F226" s="7">
        <v>1680126</v>
      </c>
      <c r="G226" s="7">
        <v>0</v>
      </c>
      <c r="H226" s="7">
        <v>0</v>
      </c>
      <c r="I226" s="7">
        <v>0</v>
      </c>
      <c r="J226" s="7">
        <v>0</v>
      </c>
      <c r="K226" s="7">
        <v>1680126</v>
      </c>
    </row>
    <row r="227" spans="1:11" x14ac:dyDescent="0.25">
      <c r="A227" s="6">
        <v>44641</v>
      </c>
      <c r="B227" s="7" t="str">
        <f>"HSRF0003913969"</f>
        <v>HSRF0003913969</v>
      </c>
      <c r="C227" s="7">
        <v>900226715</v>
      </c>
      <c r="D227" s="8">
        <v>43839.695034722223</v>
      </c>
      <c r="E227" s="8">
        <v>43910</v>
      </c>
      <c r="F227" s="7">
        <v>3338055</v>
      </c>
      <c r="G227" s="7">
        <v>0</v>
      </c>
      <c r="H227" s="7">
        <v>0</v>
      </c>
      <c r="I227" s="7">
        <v>0</v>
      </c>
      <c r="J227" s="7">
        <v>0</v>
      </c>
      <c r="K227" s="7">
        <v>3338055</v>
      </c>
    </row>
    <row r="228" spans="1:11" x14ac:dyDescent="0.25">
      <c r="A228" s="6">
        <v>44641</v>
      </c>
      <c r="B228" s="7" t="str">
        <f>"HSRF0003914744"</f>
        <v>HSRF0003914744</v>
      </c>
      <c r="C228" s="7">
        <v>900226715</v>
      </c>
      <c r="D228" s="8">
        <v>43841.728333333333</v>
      </c>
      <c r="E228" s="8">
        <v>43910</v>
      </c>
      <c r="F228" s="7">
        <v>58382</v>
      </c>
      <c r="G228" s="7">
        <v>0</v>
      </c>
      <c r="H228" s="7">
        <v>0</v>
      </c>
      <c r="I228" s="7">
        <v>0</v>
      </c>
      <c r="J228" s="7">
        <v>0</v>
      </c>
      <c r="K228" s="7">
        <v>58382</v>
      </c>
    </row>
    <row r="229" spans="1:11" x14ac:dyDescent="0.25">
      <c r="A229" s="6">
        <v>44641</v>
      </c>
      <c r="B229" s="7" t="str">
        <f>"HSRF0003914814"</f>
        <v>HSRF0003914814</v>
      </c>
      <c r="C229" s="7">
        <v>900226715</v>
      </c>
      <c r="D229" s="8">
        <v>43842.158182870371</v>
      </c>
      <c r="E229" s="8">
        <v>43910</v>
      </c>
      <c r="F229" s="7">
        <v>81900</v>
      </c>
      <c r="G229" s="7">
        <v>0</v>
      </c>
      <c r="H229" s="7">
        <v>0</v>
      </c>
      <c r="I229" s="7">
        <v>0</v>
      </c>
      <c r="J229" s="7">
        <v>0</v>
      </c>
      <c r="K229" s="7">
        <v>81900</v>
      </c>
    </row>
    <row r="230" spans="1:11" x14ac:dyDescent="0.25">
      <c r="A230" s="6">
        <v>44641</v>
      </c>
      <c r="B230" s="7" t="str">
        <f>"HSRF0003914889"</f>
        <v>HSRF0003914889</v>
      </c>
      <c r="C230" s="7">
        <v>900226715</v>
      </c>
      <c r="D230" s="8">
        <v>43842.655590277776</v>
      </c>
      <c r="E230" s="8">
        <v>43910</v>
      </c>
      <c r="F230" s="7">
        <v>173065</v>
      </c>
      <c r="G230" s="7">
        <v>0</v>
      </c>
      <c r="H230" s="7">
        <v>0</v>
      </c>
      <c r="I230" s="7">
        <v>0</v>
      </c>
      <c r="J230" s="7">
        <v>0</v>
      </c>
      <c r="K230" s="7">
        <v>173065</v>
      </c>
    </row>
    <row r="231" spans="1:11" x14ac:dyDescent="0.25">
      <c r="A231" s="6">
        <v>44641</v>
      </c>
      <c r="B231" s="7" t="str">
        <f>"HSRF0003915805"</f>
        <v>HSRF0003915805</v>
      </c>
      <c r="C231" s="7">
        <v>900226715</v>
      </c>
      <c r="D231" s="8">
        <v>43844.474710648145</v>
      </c>
      <c r="E231" s="8">
        <v>43910</v>
      </c>
      <c r="F231" s="7">
        <v>25500</v>
      </c>
      <c r="G231" s="7">
        <v>0</v>
      </c>
      <c r="H231" s="7">
        <v>0</v>
      </c>
      <c r="I231" s="7">
        <v>0</v>
      </c>
      <c r="J231" s="7">
        <v>0</v>
      </c>
      <c r="K231" s="7">
        <v>25500</v>
      </c>
    </row>
    <row r="232" spans="1:11" x14ac:dyDescent="0.25">
      <c r="A232" s="6">
        <v>44641</v>
      </c>
      <c r="B232" s="7" t="str">
        <f>"HSRF0003916111"</f>
        <v>HSRF0003916111</v>
      </c>
      <c r="C232" s="7">
        <v>900226715</v>
      </c>
      <c r="D232" s="8">
        <v>43845.29886574074</v>
      </c>
      <c r="E232" s="8">
        <v>43910</v>
      </c>
      <c r="F232" s="7">
        <v>10800</v>
      </c>
      <c r="G232" s="7">
        <v>0</v>
      </c>
      <c r="H232" s="7">
        <v>0</v>
      </c>
      <c r="I232" s="7">
        <v>0</v>
      </c>
      <c r="J232" s="7">
        <v>0</v>
      </c>
      <c r="K232" s="7">
        <v>10800</v>
      </c>
    </row>
    <row r="233" spans="1:11" x14ac:dyDescent="0.25">
      <c r="A233" s="6">
        <v>44641</v>
      </c>
      <c r="B233" s="7" t="str">
        <f>"HSRF0003916113"</f>
        <v>HSRF0003916113</v>
      </c>
      <c r="C233" s="7">
        <v>900226715</v>
      </c>
      <c r="D233" s="8">
        <v>43845.300393518519</v>
      </c>
      <c r="E233" s="8">
        <v>43910</v>
      </c>
      <c r="F233" s="7">
        <v>212900</v>
      </c>
      <c r="G233" s="7">
        <v>0</v>
      </c>
      <c r="H233" s="7">
        <v>0</v>
      </c>
      <c r="I233" s="7">
        <v>0</v>
      </c>
      <c r="J233" s="7">
        <v>0</v>
      </c>
      <c r="K233" s="7">
        <v>212900</v>
      </c>
    </row>
    <row r="234" spans="1:11" x14ac:dyDescent="0.25">
      <c r="A234" s="6">
        <v>44641</v>
      </c>
      <c r="B234" s="7" t="str">
        <f>"HSRF0003916134"</f>
        <v>HSRF0003916134</v>
      </c>
      <c r="C234" s="7">
        <v>900226715</v>
      </c>
      <c r="D234" s="8">
        <v>43845.314120370371</v>
      </c>
      <c r="E234" s="8">
        <v>43910</v>
      </c>
      <c r="F234" s="7">
        <v>2952455</v>
      </c>
      <c r="G234" s="7">
        <v>0</v>
      </c>
      <c r="H234" s="7">
        <v>0</v>
      </c>
      <c r="I234" s="7">
        <v>0</v>
      </c>
      <c r="J234" s="7">
        <v>0</v>
      </c>
      <c r="K234" s="7">
        <v>2952455</v>
      </c>
    </row>
    <row r="235" spans="1:11" x14ac:dyDescent="0.25">
      <c r="A235" s="6">
        <v>44641</v>
      </c>
      <c r="B235" s="7" t="str">
        <f>"HSRF0003916401"</f>
        <v>HSRF0003916401</v>
      </c>
      <c r="C235" s="7">
        <v>900226715</v>
      </c>
      <c r="D235" s="8">
        <v>43845.565057870372</v>
      </c>
      <c r="E235" s="8">
        <v>43910</v>
      </c>
      <c r="F235" s="7">
        <v>50700</v>
      </c>
      <c r="G235" s="7">
        <v>0</v>
      </c>
      <c r="H235" s="7">
        <v>0</v>
      </c>
      <c r="I235" s="7">
        <v>0</v>
      </c>
      <c r="J235" s="7">
        <v>0</v>
      </c>
      <c r="K235" s="7">
        <v>50700</v>
      </c>
    </row>
    <row r="236" spans="1:11" x14ac:dyDescent="0.25">
      <c r="A236" s="6">
        <v>44641</v>
      </c>
      <c r="B236" s="7" t="str">
        <f>"HSRF0003916437"</f>
        <v>HSRF0003916437</v>
      </c>
      <c r="C236" s="7">
        <v>900226715</v>
      </c>
      <c r="D236" s="8">
        <v>43845.640081018515</v>
      </c>
      <c r="E236" s="8">
        <v>43910</v>
      </c>
      <c r="F236" s="7">
        <v>108514</v>
      </c>
      <c r="G236" s="7">
        <v>0</v>
      </c>
      <c r="H236" s="7">
        <v>0</v>
      </c>
      <c r="I236" s="7">
        <v>0</v>
      </c>
      <c r="J236" s="7">
        <v>0</v>
      </c>
      <c r="K236" s="7">
        <v>108514</v>
      </c>
    </row>
    <row r="237" spans="1:11" x14ac:dyDescent="0.25">
      <c r="A237" s="6">
        <v>44640</v>
      </c>
      <c r="B237" s="7" t="str">
        <f>"HSRF0003916474"</f>
        <v>HSRF0003916474</v>
      </c>
      <c r="C237" s="7">
        <v>900226715</v>
      </c>
      <c r="D237" s="8">
        <v>43845.692847222221</v>
      </c>
      <c r="E237" s="8">
        <v>43910</v>
      </c>
      <c r="F237" s="7">
        <v>618008</v>
      </c>
      <c r="G237" s="7">
        <v>0</v>
      </c>
      <c r="H237" s="7">
        <v>0</v>
      </c>
      <c r="I237" s="7">
        <v>0</v>
      </c>
      <c r="J237" s="7">
        <v>0</v>
      </c>
      <c r="K237" s="7">
        <v>618008</v>
      </c>
    </row>
    <row r="238" spans="1:11" x14ac:dyDescent="0.25">
      <c r="A238" s="6">
        <v>44641</v>
      </c>
      <c r="B238" s="7" t="str">
        <f>"HSRF0003917078"</f>
        <v>HSRF0003917078</v>
      </c>
      <c r="C238" s="7">
        <v>900226715</v>
      </c>
      <c r="D238" s="8">
        <v>43846.769768518519</v>
      </c>
      <c r="E238" s="8">
        <v>43910</v>
      </c>
      <c r="F238" s="7">
        <v>215000</v>
      </c>
      <c r="G238" s="7">
        <v>0</v>
      </c>
      <c r="H238" s="7">
        <v>0</v>
      </c>
      <c r="I238" s="7">
        <v>0</v>
      </c>
      <c r="J238" s="7">
        <v>0</v>
      </c>
      <c r="K238" s="7">
        <v>215000</v>
      </c>
    </row>
    <row r="239" spans="1:11" x14ac:dyDescent="0.25">
      <c r="A239" s="6">
        <v>44640</v>
      </c>
      <c r="B239" s="7" t="str">
        <f>"HSRF0003917268"</f>
        <v>HSRF0003917268</v>
      </c>
      <c r="C239" s="7">
        <v>900226715</v>
      </c>
      <c r="D239" s="8">
        <v>43847.348587962966</v>
      </c>
      <c r="E239" s="8">
        <v>43910</v>
      </c>
      <c r="F239" s="7">
        <v>58573</v>
      </c>
      <c r="G239" s="7">
        <v>0</v>
      </c>
      <c r="H239" s="7">
        <v>0</v>
      </c>
      <c r="I239" s="7">
        <v>0</v>
      </c>
      <c r="J239" s="7">
        <v>0</v>
      </c>
      <c r="K239" s="7">
        <v>58573</v>
      </c>
    </row>
    <row r="240" spans="1:11" x14ac:dyDescent="0.25">
      <c r="A240" s="6">
        <v>44641</v>
      </c>
      <c r="B240" s="7" t="str">
        <f>"HSRF0003917532"</f>
        <v>HSRF0003917532</v>
      </c>
      <c r="C240" s="7">
        <v>900226715</v>
      </c>
      <c r="D240" s="8">
        <v>43847.51829861111</v>
      </c>
      <c r="E240" s="8">
        <v>43910</v>
      </c>
      <c r="F240" s="7">
        <v>100900</v>
      </c>
      <c r="G240" s="7">
        <v>0</v>
      </c>
      <c r="H240" s="7">
        <v>0</v>
      </c>
      <c r="I240" s="7">
        <v>0</v>
      </c>
      <c r="J240" s="7">
        <v>0</v>
      </c>
      <c r="K240" s="7">
        <v>100900</v>
      </c>
    </row>
    <row r="241" spans="1:11" x14ac:dyDescent="0.25">
      <c r="A241" s="6">
        <v>44641</v>
      </c>
      <c r="B241" s="7" t="str">
        <f>"HSRF0003918000"</f>
        <v>HSRF0003918000</v>
      </c>
      <c r="C241" s="7">
        <v>900226715</v>
      </c>
      <c r="D241" s="8">
        <v>43848.77784722222</v>
      </c>
      <c r="E241" s="8">
        <v>43910</v>
      </c>
      <c r="F241" s="7">
        <v>57600</v>
      </c>
      <c r="G241" s="7">
        <v>0</v>
      </c>
      <c r="H241" s="7">
        <v>0</v>
      </c>
      <c r="I241" s="7">
        <v>0</v>
      </c>
      <c r="J241" s="7">
        <v>0</v>
      </c>
      <c r="K241" s="7">
        <v>57600</v>
      </c>
    </row>
    <row r="242" spans="1:11" x14ac:dyDescent="0.25">
      <c r="A242" s="6">
        <v>44641</v>
      </c>
      <c r="B242" s="7" t="str">
        <f>"HSRF0003918035"</f>
        <v>HSRF0003918035</v>
      </c>
      <c r="C242" s="7">
        <v>900226715</v>
      </c>
      <c r="D242" s="8">
        <v>43848.909803240742</v>
      </c>
      <c r="E242" s="8">
        <v>43910</v>
      </c>
      <c r="F242" s="7">
        <v>60514</v>
      </c>
      <c r="G242" s="7">
        <v>0</v>
      </c>
      <c r="H242" s="7">
        <v>0</v>
      </c>
      <c r="I242" s="7">
        <v>0</v>
      </c>
      <c r="J242" s="7">
        <v>0</v>
      </c>
      <c r="K242" s="7">
        <v>60514</v>
      </c>
    </row>
    <row r="243" spans="1:11" x14ac:dyDescent="0.25">
      <c r="A243" s="6">
        <v>44641</v>
      </c>
      <c r="B243" s="7" t="str">
        <f>"HSRF0003918069"</f>
        <v>HSRF0003918069</v>
      </c>
      <c r="C243" s="7">
        <v>900226715</v>
      </c>
      <c r="D243" s="8">
        <v>43849.073206018518</v>
      </c>
      <c r="E243" s="8">
        <v>43910</v>
      </c>
      <c r="F243" s="7">
        <v>194353</v>
      </c>
      <c r="G243" s="7">
        <v>0</v>
      </c>
      <c r="H243" s="7">
        <v>0</v>
      </c>
      <c r="I243" s="7">
        <v>0</v>
      </c>
      <c r="J243" s="7">
        <v>0</v>
      </c>
      <c r="K243" s="7">
        <v>194353</v>
      </c>
    </row>
    <row r="244" spans="1:11" x14ac:dyDescent="0.25">
      <c r="A244" s="6">
        <v>44641</v>
      </c>
      <c r="B244" s="7" t="str">
        <f>"CP0000330808"</f>
        <v>CP0000330808</v>
      </c>
      <c r="C244" s="7">
        <v>900226715</v>
      </c>
      <c r="D244" s="8">
        <v>43850.676412037035</v>
      </c>
      <c r="E244" s="8">
        <v>43910</v>
      </c>
      <c r="F244" s="7">
        <v>35100</v>
      </c>
      <c r="G244" s="7">
        <v>0</v>
      </c>
      <c r="H244" s="7">
        <v>0</v>
      </c>
      <c r="I244" s="7">
        <v>0</v>
      </c>
      <c r="J244" s="7">
        <v>0</v>
      </c>
      <c r="K244" s="7">
        <v>35100</v>
      </c>
    </row>
    <row r="245" spans="1:11" x14ac:dyDescent="0.25">
      <c r="A245" s="6">
        <v>44640</v>
      </c>
      <c r="B245" s="7" t="str">
        <f>"HSRF0003918835"</f>
        <v>HSRF0003918835</v>
      </c>
      <c r="C245" s="7">
        <v>900226715</v>
      </c>
      <c r="D245" s="8">
        <v>43851.271944444445</v>
      </c>
      <c r="E245" s="8">
        <v>43910</v>
      </c>
      <c r="F245" s="7">
        <v>602500</v>
      </c>
      <c r="G245" s="7">
        <v>0</v>
      </c>
      <c r="H245" s="7">
        <v>0</v>
      </c>
      <c r="I245" s="7">
        <v>0</v>
      </c>
      <c r="J245" s="7">
        <v>0</v>
      </c>
      <c r="K245" s="7">
        <v>602500</v>
      </c>
    </row>
    <row r="246" spans="1:11" x14ac:dyDescent="0.25">
      <c r="A246" s="6">
        <v>44640</v>
      </c>
      <c r="B246" s="7" t="str">
        <f>"HSRF0003919708"</f>
        <v>HSRF0003919708</v>
      </c>
      <c r="C246" s="7">
        <v>900226715</v>
      </c>
      <c r="D246" s="8">
        <v>43852.440208333333</v>
      </c>
      <c r="E246" s="8">
        <v>43910</v>
      </c>
      <c r="F246" s="7">
        <v>130999</v>
      </c>
      <c r="G246" s="7">
        <v>0</v>
      </c>
      <c r="H246" s="7">
        <v>0</v>
      </c>
      <c r="I246" s="7">
        <v>0</v>
      </c>
      <c r="J246" s="7">
        <v>0</v>
      </c>
      <c r="K246" s="7">
        <v>130999</v>
      </c>
    </row>
    <row r="247" spans="1:11" x14ac:dyDescent="0.25">
      <c r="A247" s="6">
        <v>44641</v>
      </c>
      <c r="B247" s="7" t="str">
        <f>"HSRF0003919720"</f>
        <v>HSRF0003919720</v>
      </c>
      <c r="C247" s="7">
        <v>900226715</v>
      </c>
      <c r="D247" s="8">
        <v>43852.452847222223</v>
      </c>
      <c r="E247" s="8">
        <v>43910</v>
      </c>
      <c r="F247" s="7">
        <v>58085</v>
      </c>
      <c r="G247" s="7">
        <v>0</v>
      </c>
      <c r="H247" s="7">
        <v>0</v>
      </c>
      <c r="I247" s="7">
        <v>0</v>
      </c>
      <c r="J247" s="7">
        <v>0</v>
      </c>
      <c r="K247" s="7">
        <v>58085</v>
      </c>
    </row>
    <row r="248" spans="1:11" x14ac:dyDescent="0.25">
      <c r="A248" s="6">
        <v>44641</v>
      </c>
      <c r="B248" s="7" t="str">
        <f>"HSRF0003919867"</f>
        <v>HSRF0003919867</v>
      </c>
      <c r="C248" s="7">
        <v>900226715</v>
      </c>
      <c r="D248" s="8">
        <v>43852.711076388892</v>
      </c>
      <c r="E248" s="8">
        <v>43910</v>
      </c>
      <c r="F248" s="7">
        <v>1593882</v>
      </c>
      <c r="G248" s="7">
        <v>0</v>
      </c>
      <c r="H248" s="7">
        <v>0</v>
      </c>
      <c r="I248" s="7">
        <v>0</v>
      </c>
      <c r="J248" s="7">
        <v>0</v>
      </c>
      <c r="K248" s="7">
        <v>1593882</v>
      </c>
    </row>
    <row r="249" spans="1:11" x14ac:dyDescent="0.25">
      <c r="A249" s="6">
        <v>44641</v>
      </c>
      <c r="B249" s="7" t="str">
        <f>"HSRF0003920540"</f>
        <v>HSRF0003920540</v>
      </c>
      <c r="C249" s="7">
        <v>900226715</v>
      </c>
      <c r="D249" s="8">
        <v>43853.891458333332</v>
      </c>
      <c r="E249" s="8">
        <v>43910</v>
      </c>
      <c r="F249" s="7">
        <v>58964</v>
      </c>
      <c r="G249" s="7">
        <v>0</v>
      </c>
      <c r="H249" s="7">
        <v>0</v>
      </c>
      <c r="I249" s="7">
        <v>0</v>
      </c>
      <c r="J249" s="7">
        <v>0</v>
      </c>
      <c r="K249" s="7">
        <v>58964</v>
      </c>
    </row>
    <row r="250" spans="1:11" x14ac:dyDescent="0.25">
      <c r="A250" s="6">
        <v>44641</v>
      </c>
      <c r="B250" s="7" t="str">
        <f>"HSRF0003920541"</f>
        <v>HSRF0003920541</v>
      </c>
      <c r="C250" s="7">
        <v>900226715</v>
      </c>
      <c r="D250" s="8">
        <v>43853.897303240738</v>
      </c>
      <c r="E250" s="8">
        <v>43910</v>
      </c>
      <c r="F250" s="7">
        <v>242998</v>
      </c>
      <c r="G250" s="7">
        <v>0</v>
      </c>
      <c r="H250" s="7">
        <v>0</v>
      </c>
      <c r="I250" s="7">
        <v>0</v>
      </c>
      <c r="J250" s="7">
        <v>0</v>
      </c>
      <c r="K250" s="7">
        <v>242998</v>
      </c>
    </row>
    <row r="251" spans="1:11" x14ac:dyDescent="0.25">
      <c r="A251" s="6">
        <v>44641</v>
      </c>
      <c r="B251" s="7" t="str">
        <f>"HSRF0003920938"</f>
        <v>HSRF0003920938</v>
      </c>
      <c r="C251" s="7">
        <v>900226715</v>
      </c>
      <c r="D251" s="8">
        <v>43854.554803240739</v>
      </c>
      <c r="E251" s="8">
        <v>43910</v>
      </c>
      <c r="F251" s="7">
        <v>100900</v>
      </c>
      <c r="G251" s="7">
        <v>0</v>
      </c>
      <c r="H251" s="7">
        <v>0</v>
      </c>
      <c r="I251" s="7">
        <v>0</v>
      </c>
      <c r="J251" s="7">
        <v>0</v>
      </c>
      <c r="K251" s="7">
        <v>100900</v>
      </c>
    </row>
    <row r="252" spans="1:11" x14ac:dyDescent="0.25">
      <c r="A252" s="6">
        <v>44641</v>
      </c>
      <c r="B252" s="7" t="str">
        <f>"HSRF0003921496"</f>
        <v>HSRF0003921496</v>
      </c>
      <c r="C252" s="7">
        <v>900226715</v>
      </c>
      <c r="D252" s="8">
        <v>43856.677719907406</v>
      </c>
      <c r="E252" s="8">
        <v>43910</v>
      </c>
      <c r="F252" s="7">
        <v>187500</v>
      </c>
      <c r="G252" s="7">
        <v>0</v>
      </c>
      <c r="H252" s="7">
        <v>0</v>
      </c>
      <c r="I252" s="7">
        <v>0</v>
      </c>
      <c r="J252" s="7">
        <v>0</v>
      </c>
      <c r="K252" s="7">
        <v>187500</v>
      </c>
    </row>
    <row r="253" spans="1:11" x14ac:dyDescent="0.25">
      <c r="A253" s="6">
        <v>44641</v>
      </c>
      <c r="B253" s="7" t="str">
        <f>"CM0000012803"</f>
        <v>CM0000012803</v>
      </c>
      <c r="C253" s="7">
        <v>900226715</v>
      </c>
      <c r="D253" s="8">
        <v>43857.295717592591</v>
      </c>
      <c r="E253" s="8">
        <v>43910</v>
      </c>
      <c r="F253" s="7">
        <v>35100</v>
      </c>
      <c r="G253" s="7">
        <v>0</v>
      </c>
      <c r="H253" s="7">
        <v>0</v>
      </c>
      <c r="I253" s="7">
        <v>0</v>
      </c>
      <c r="J253" s="7">
        <v>0</v>
      </c>
      <c r="K253" s="7">
        <v>35100</v>
      </c>
    </row>
    <row r="254" spans="1:11" x14ac:dyDescent="0.25">
      <c r="A254" s="6">
        <v>44641</v>
      </c>
      <c r="B254" s="7" t="str">
        <f>"CM0000012941"</f>
        <v>CM0000012941</v>
      </c>
      <c r="C254" s="7">
        <v>900226715</v>
      </c>
      <c r="D254" s="8">
        <v>43857.616944444446</v>
      </c>
      <c r="E254" s="8">
        <v>43910</v>
      </c>
      <c r="F254" s="7">
        <v>35100</v>
      </c>
      <c r="G254" s="7">
        <v>0</v>
      </c>
      <c r="H254" s="7">
        <v>0</v>
      </c>
      <c r="I254" s="7">
        <v>0</v>
      </c>
      <c r="J254" s="7">
        <v>0</v>
      </c>
      <c r="K254" s="7">
        <v>35100</v>
      </c>
    </row>
    <row r="255" spans="1:11" x14ac:dyDescent="0.25">
      <c r="A255" s="6">
        <v>44641</v>
      </c>
      <c r="B255" s="7" t="str">
        <f>"CM0000012942"</f>
        <v>CM0000012942</v>
      </c>
      <c r="C255" s="7">
        <v>900226715</v>
      </c>
      <c r="D255" s="8">
        <v>43857.619606481479</v>
      </c>
      <c r="E255" s="8">
        <v>43910</v>
      </c>
      <c r="F255" s="7">
        <v>35100</v>
      </c>
      <c r="G255" s="7">
        <v>0</v>
      </c>
      <c r="H255" s="7">
        <v>0</v>
      </c>
      <c r="I255" s="7">
        <v>0</v>
      </c>
      <c r="J255" s="7">
        <v>0</v>
      </c>
      <c r="K255" s="7">
        <v>35100</v>
      </c>
    </row>
    <row r="256" spans="1:11" x14ac:dyDescent="0.25">
      <c r="A256" s="6">
        <v>44641</v>
      </c>
      <c r="B256" s="7" t="str">
        <f>"CM0000012943"</f>
        <v>CM0000012943</v>
      </c>
      <c r="C256" s="7">
        <v>900226715</v>
      </c>
      <c r="D256" s="8">
        <v>43857.623993055553</v>
      </c>
      <c r="E256" s="8">
        <v>43910</v>
      </c>
      <c r="F256" s="7">
        <v>35100</v>
      </c>
      <c r="G256" s="7">
        <v>0</v>
      </c>
      <c r="H256" s="7">
        <v>0</v>
      </c>
      <c r="I256" s="7">
        <v>0</v>
      </c>
      <c r="J256" s="7">
        <v>0</v>
      </c>
      <c r="K256" s="7">
        <v>35100</v>
      </c>
    </row>
    <row r="257" spans="1:11" x14ac:dyDescent="0.25">
      <c r="A257" s="6">
        <v>44641</v>
      </c>
      <c r="B257" s="7" t="str">
        <f>"HSRF0003922130"</f>
        <v>HSRF0003922130</v>
      </c>
      <c r="C257" s="7">
        <v>900226715</v>
      </c>
      <c r="D257" s="8">
        <v>43857.701331018521</v>
      </c>
      <c r="E257" s="8">
        <v>43910</v>
      </c>
      <c r="F257" s="7">
        <v>1894773</v>
      </c>
      <c r="G257" s="7">
        <v>0</v>
      </c>
      <c r="H257" s="7">
        <v>0</v>
      </c>
      <c r="I257" s="7">
        <v>0</v>
      </c>
      <c r="J257" s="7">
        <v>0</v>
      </c>
      <c r="K257" s="7">
        <v>1894773</v>
      </c>
    </row>
    <row r="258" spans="1:11" x14ac:dyDescent="0.25">
      <c r="A258" s="6">
        <v>44640</v>
      </c>
      <c r="B258" s="7" t="str">
        <f>"HSRF0003923217"</f>
        <v>HSRF0003923217</v>
      </c>
      <c r="C258" s="7">
        <v>900226715</v>
      </c>
      <c r="D258" s="8">
        <v>43859.52447916667</v>
      </c>
      <c r="E258" s="8">
        <v>43910</v>
      </c>
      <c r="F258" s="7">
        <v>112890</v>
      </c>
      <c r="G258" s="7">
        <v>0</v>
      </c>
      <c r="H258" s="7">
        <v>0</v>
      </c>
      <c r="I258" s="7">
        <v>0</v>
      </c>
      <c r="J258" s="7">
        <v>0</v>
      </c>
      <c r="K258" s="7">
        <v>112890</v>
      </c>
    </row>
    <row r="259" spans="1:11" x14ac:dyDescent="0.25">
      <c r="A259" s="6">
        <v>44640</v>
      </c>
      <c r="B259" s="7" t="str">
        <f>"HSRF0003924134"</f>
        <v>HSRF0003924134</v>
      </c>
      <c r="C259" s="7">
        <v>900226715</v>
      </c>
      <c r="D259" s="8">
        <v>43860.67895833333</v>
      </c>
      <c r="E259" s="8">
        <v>43910</v>
      </c>
      <c r="F259" s="7">
        <v>115552</v>
      </c>
      <c r="G259" s="7">
        <v>0</v>
      </c>
      <c r="H259" s="7">
        <v>0</v>
      </c>
      <c r="I259" s="7">
        <v>0</v>
      </c>
      <c r="J259" s="7">
        <v>0</v>
      </c>
      <c r="K259" s="7">
        <v>115552</v>
      </c>
    </row>
    <row r="260" spans="1:11" x14ac:dyDescent="0.25">
      <c r="A260" s="6">
        <v>44641</v>
      </c>
      <c r="B260" s="7" t="str">
        <f>"HSRF0003924169"</f>
        <v>HSRF0003924169</v>
      </c>
      <c r="C260" s="7">
        <v>900226715</v>
      </c>
      <c r="D260" s="8">
        <v>43860.699120370373</v>
      </c>
      <c r="E260" s="8">
        <v>43910</v>
      </c>
      <c r="F260" s="7">
        <v>253573</v>
      </c>
      <c r="G260" s="7">
        <v>0</v>
      </c>
      <c r="H260" s="7">
        <v>0</v>
      </c>
      <c r="I260" s="7">
        <v>0</v>
      </c>
      <c r="J260" s="7">
        <v>0</v>
      </c>
      <c r="K260" s="7">
        <v>253573</v>
      </c>
    </row>
    <row r="261" spans="1:11" x14ac:dyDescent="0.25">
      <c r="A261" s="6">
        <v>44641</v>
      </c>
      <c r="B261" s="7" t="str">
        <f>"HSRF0003924293"</f>
        <v>HSRF0003924293</v>
      </c>
      <c r="C261" s="7">
        <v>900226715</v>
      </c>
      <c r="D261" s="8">
        <v>43860.870972222219</v>
      </c>
      <c r="E261" s="8">
        <v>43910</v>
      </c>
      <c r="F261" s="7">
        <v>86250</v>
      </c>
      <c r="G261" s="7">
        <v>0</v>
      </c>
      <c r="H261" s="7">
        <v>0</v>
      </c>
      <c r="I261" s="7">
        <v>0</v>
      </c>
      <c r="J261" s="7">
        <v>0</v>
      </c>
      <c r="K261" s="7">
        <v>86250</v>
      </c>
    </row>
    <row r="262" spans="1:11" x14ac:dyDescent="0.25">
      <c r="A262" s="6">
        <v>44641</v>
      </c>
      <c r="B262" s="7" t="str">
        <f>"HSRF0003924387"</f>
        <v>HSRF0003924387</v>
      </c>
      <c r="C262" s="7">
        <v>900226715</v>
      </c>
      <c r="D262" s="8">
        <v>43861.309907407405</v>
      </c>
      <c r="E262" s="8">
        <v>43910</v>
      </c>
      <c r="F262" s="7">
        <v>138800</v>
      </c>
      <c r="G262" s="7">
        <v>0</v>
      </c>
      <c r="H262" s="7">
        <v>0</v>
      </c>
      <c r="I262" s="7">
        <v>0</v>
      </c>
      <c r="J262" s="7">
        <v>0</v>
      </c>
      <c r="K262" s="7">
        <v>138800</v>
      </c>
    </row>
    <row r="263" spans="1:11" x14ac:dyDescent="0.25">
      <c r="A263" s="6">
        <v>44640</v>
      </c>
      <c r="B263" s="7" t="str">
        <f>"HSRF0003924674"</f>
        <v>HSRF0003924674</v>
      </c>
      <c r="C263" s="7">
        <v>900226715</v>
      </c>
      <c r="D263" s="8">
        <v>43861.469907407409</v>
      </c>
      <c r="E263" s="8">
        <v>43910</v>
      </c>
      <c r="F263" s="7">
        <v>228147</v>
      </c>
      <c r="G263" s="7">
        <v>0</v>
      </c>
      <c r="H263" s="7">
        <v>0</v>
      </c>
      <c r="I263" s="7">
        <v>0</v>
      </c>
      <c r="J263" s="7">
        <v>0</v>
      </c>
      <c r="K263" s="7">
        <v>228147</v>
      </c>
    </row>
    <row r="264" spans="1:11" x14ac:dyDescent="0.25">
      <c r="A264" s="6">
        <v>44641</v>
      </c>
      <c r="B264" s="7" t="str">
        <f>"HSRF0003925016"</f>
        <v>HSRF0003925016</v>
      </c>
      <c r="C264" s="7">
        <v>900226715</v>
      </c>
      <c r="D264" s="8">
        <v>43861.732708333337</v>
      </c>
      <c r="E264" s="8">
        <v>43910</v>
      </c>
      <c r="F264" s="7">
        <v>125556</v>
      </c>
      <c r="G264" s="7">
        <v>0</v>
      </c>
      <c r="H264" s="7">
        <v>0</v>
      </c>
      <c r="I264" s="7">
        <v>0</v>
      </c>
      <c r="J264" s="7">
        <v>0</v>
      </c>
      <c r="K264" s="7">
        <v>125556</v>
      </c>
    </row>
    <row r="265" spans="1:11" x14ac:dyDescent="0.25">
      <c r="A265" s="6">
        <v>44640</v>
      </c>
      <c r="B265" s="7" t="str">
        <f>"HSRF0003925045"</f>
        <v>HSRF0003925045</v>
      </c>
      <c r="C265" s="7">
        <v>900226715</v>
      </c>
      <c r="D265" s="8">
        <v>43861.750254629631</v>
      </c>
      <c r="E265" s="8">
        <v>43910</v>
      </c>
      <c r="F265" s="7">
        <v>189967</v>
      </c>
      <c r="G265" s="7">
        <v>0</v>
      </c>
      <c r="H265" s="7">
        <v>0</v>
      </c>
      <c r="I265" s="7">
        <v>0</v>
      </c>
      <c r="J265" s="7">
        <v>0</v>
      </c>
      <c r="K265" s="7">
        <v>189967</v>
      </c>
    </row>
    <row r="266" spans="1:11" x14ac:dyDescent="0.25">
      <c r="A266" s="6">
        <v>44820</v>
      </c>
      <c r="B266" s="7" t="str">
        <f>"HSRF0003935594"</f>
        <v>HSRF0003935594</v>
      </c>
      <c r="C266" s="7">
        <v>900226715</v>
      </c>
      <c r="D266" s="8">
        <v>43882.311412037037</v>
      </c>
      <c r="E266" s="8">
        <v>43941</v>
      </c>
      <c r="F266" s="7">
        <v>50700</v>
      </c>
      <c r="G266" s="7">
        <v>0</v>
      </c>
      <c r="H266" s="7">
        <v>0</v>
      </c>
      <c r="I266" s="7">
        <v>43300</v>
      </c>
      <c r="J266" s="7">
        <v>3400</v>
      </c>
      <c r="K266" s="7">
        <v>4000</v>
      </c>
    </row>
    <row r="267" spans="1:11" x14ac:dyDescent="0.25">
      <c r="A267" s="6">
        <v>44888</v>
      </c>
      <c r="B267" s="7" t="str">
        <f>"HSRF0003945910"</f>
        <v>HSRF0003945910</v>
      </c>
      <c r="C267" s="7">
        <v>900226715</v>
      </c>
      <c r="D267" s="8">
        <v>43898.497939814813</v>
      </c>
      <c r="E267" s="8">
        <v>43965</v>
      </c>
      <c r="F267" s="7">
        <v>119620</v>
      </c>
      <c r="G267" s="7">
        <v>0</v>
      </c>
      <c r="H267" s="7">
        <v>0</v>
      </c>
      <c r="I267" s="7">
        <v>0</v>
      </c>
      <c r="J267" s="7">
        <v>0</v>
      </c>
      <c r="K267" s="7">
        <v>119620</v>
      </c>
    </row>
    <row r="268" spans="1:11" x14ac:dyDescent="0.25">
      <c r="A268" s="6">
        <v>44889</v>
      </c>
      <c r="B268" s="7" t="str">
        <f>"HSRF0003946032"</f>
        <v>HSRF0003946032</v>
      </c>
      <c r="C268" s="7">
        <v>900226715</v>
      </c>
      <c r="D268" s="8">
        <v>43899.207928240743</v>
      </c>
      <c r="E268" s="8">
        <v>43965</v>
      </c>
      <c r="F268" s="7">
        <v>122008</v>
      </c>
      <c r="G268" s="7">
        <v>0</v>
      </c>
      <c r="H268" s="7">
        <v>0</v>
      </c>
      <c r="I268" s="7">
        <v>0</v>
      </c>
      <c r="J268" s="7">
        <v>0</v>
      </c>
      <c r="K268" s="7">
        <v>122008</v>
      </c>
    </row>
    <row r="269" spans="1:11" x14ac:dyDescent="0.25">
      <c r="A269" s="6">
        <v>44889</v>
      </c>
      <c r="B269" s="7" t="str">
        <f>"HSRF0003946625"</f>
        <v>HSRF0003946625</v>
      </c>
      <c r="C269" s="7">
        <v>900226715</v>
      </c>
      <c r="D269" s="8">
        <v>43899.590520833335</v>
      </c>
      <c r="E269" s="8">
        <v>43965</v>
      </c>
      <c r="F269" s="7">
        <v>58898</v>
      </c>
      <c r="G269" s="7">
        <v>0</v>
      </c>
      <c r="H269" s="7">
        <v>0</v>
      </c>
      <c r="I269" s="7">
        <v>0</v>
      </c>
      <c r="J269" s="7">
        <v>0</v>
      </c>
      <c r="K269" s="7">
        <v>58898</v>
      </c>
    </row>
    <row r="270" spans="1:11" x14ac:dyDescent="0.25">
      <c r="A270" s="6">
        <v>44888</v>
      </c>
      <c r="B270" s="7" t="str">
        <f>"HSRF0003947282"</f>
        <v>HSRF0003947282</v>
      </c>
      <c r="C270" s="7">
        <v>900226715</v>
      </c>
      <c r="D270" s="8">
        <v>43900.433993055558</v>
      </c>
      <c r="E270" s="8">
        <v>43965</v>
      </c>
      <c r="F270" s="7">
        <v>57600</v>
      </c>
      <c r="G270" s="7">
        <v>0</v>
      </c>
      <c r="H270" s="7">
        <v>0</v>
      </c>
      <c r="I270" s="7">
        <v>0</v>
      </c>
      <c r="J270" s="7">
        <v>0</v>
      </c>
      <c r="K270" s="7">
        <v>57600</v>
      </c>
    </row>
    <row r="271" spans="1:11" x14ac:dyDescent="0.25">
      <c r="A271" s="6">
        <v>44888</v>
      </c>
      <c r="B271" s="7" t="str">
        <f>"SB0000085643"</f>
        <v>SB0000085643</v>
      </c>
      <c r="C271" s="7">
        <v>900226715</v>
      </c>
      <c r="D271" s="8">
        <v>43901.495520833334</v>
      </c>
      <c r="E271" s="8">
        <v>43965</v>
      </c>
      <c r="F271" s="7">
        <v>35100</v>
      </c>
      <c r="G271" s="7">
        <v>0</v>
      </c>
      <c r="H271" s="7">
        <v>0</v>
      </c>
      <c r="I271" s="7">
        <v>0</v>
      </c>
      <c r="J271" s="7">
        <v>0</v>
      </c>
      <c r="K271" s="7">
        <v>35100</v>
      </c>
    </row>
    <row r="272" spans="1:11" x14ac:dyDescent="0.25">
      <c r="A272" s="6">
        <v>45070</v>
      </c>
      <c r="B272" s="7" t="str">
        <f>"HSRF0003950990"</f>
        <v>HSRF0003950990</v>
      </c>
      <c r="C272" s="7">
        <v>900226715</v>
      </c>
      <c r="D272" s="8">
        <v>43907.30300925926</v>
      </c>
      <c r="E272" s="8">
        <v>43965</v>
      </c>
      <c r="F272" s="7">
        <v>537500</v>
      </c>
      <c r="G272" s="7">
        <v>0</v>
      </c>
      <c r="H272" s="7">
        <v>0</v>
      </c>
      <c r="I272" s="7">
        <v>0</v>
      </c>
      <c r="J272" s="7">
        <v>0</v>
      </c>
      <c r="K272" s="7">
        <v>537500</v>
      </c>
    </row>
    <row r="273" spans="1:11" x14ac:dyDescent="0.25">
      <c r="A273" s="6">
        <v>44889</v>
      </c>
      <c r="B273" s="7" t="str">
        <f>"HSRF0003952143"</f>
        <v>HSRF0003952143</v>
      </c>
      <c r="C273" s="7">
        <v>900226715</v>
      </c>
      <c r="D273" s="8">
        <v>43908.69902777778</v>
      </c>
      <c r="E273" s="8">
        <v>43965</v>
      </c>
      <c r="F273" s="7">
        <v>58898</v>
      </c>
      <c r="G273" s="7">
        <v>0</v>
      </c>
      <c r="H273" s="7">
        <v>0</v>
      </c>
      <c r="I273" s="7">
        <v>0</v>
      </c>
      <c r="J273" s="7">
        <v>0</v>
      </c>
      <c r="K273" s="7">
        <v>58898</v>
      </c>
    </row>
    <row r="274" spans="1:11" x14ac:dyDescent="0.25">
      <c r="A274" s="6">
        <v>44889</v>
      </c>
      <c r="B274" s="7" t="str">
        <f>"HSRF0003953921"</f>
        <v>HSRF0003953921</v>
      </c>
      <c r="C274" s="7">
        <v>900226715</v>
      </c>
      <c r="D274" s="8">
        <v>43914.740578703706</v>
      </c>
      <c r="E274" s="8">
        <v>43965</v>
      </c>
      <c r="F274" s="7">
        <v>96400</v>
      </c>
      <c r="G274" s="7">
        <v>0</v>
      </c>
      <c r="H274" s="7">
        <v>0</v>
      </c>
      <c r="I274" s="7">
        <v>0</v>
      </c>
      <c r="J274" s="7">
        <v>0</v>
      </c>
      <c r="K274" s="7">
        <v>96400</v>
      </c>
    </row>
    <row r="275" spans="1:11" x14ac:dyDescent="0.25">
      <c r="A275" s="6">
        <v>44888</v>
      </c>
      <c r="B275" s="7" t="str">
        <f>"HSRF0003954062"</f>
        <v>HSRF0003954062</v>
      </c>
      <c r="C275" s="7">
        <v>900226715</v>
      </c>
      <c r="D275" s="8">
        <v>43915.205254629633</v>
      </c>
      <c r="E275" s="8">
        <v>43965</v>
      </c>
      <c r="F275" s="7">
        <v>209697</v>
      </c>
      <c r="G275" s="7">
        <v>0</v>
      </c>
      <c r="H275" s="7">
        <v>0</v>
      </c>
      <c r="I275" s="7">
        <v>0</v>
      </c>
      <c r="J275" s="7">
        <v>0</v>
      </c>
      <c r="K275" s="7">
        <v>209697</v>
      </c>
    </row>
    <row r="276" spans="1:11" x14ac:dyDescent="0.25">
      <c r="A276" s="6">
        <v>44888</v>
      </c>
      <c r="B276" s="7" t="str">
        <f>"HSRF0003954230"</f>
        <v>HSRF0003954230</v>
      </c>
      <c r="C276" s="7">
        <v>900226715</v>
      </c>
      <c r="D276" s="8">
        <v>43915.524942129632</v>
      </c>
      <c r="E276" s="8">
        <v>43965</v>
      </c>
      <c r="F276" s="7">
        <v>57600</v>
      </c>
      <c r="G276" s="7">
        <v>0</v>
      </c>
      <c r="H276" s="7">
        <v>0</v>
      </c>
      <c r="I276" s="7">
        <v>0</v>
      </c>
      <c r="J276" s="7">
        <v>0</v>
      </c>
      <c r="K276" s="7">
        <v>57600</v>
      </c>
    </row>
    <row r="277" spans="1:11" x14ac:dyDescent="0.25">
      <c r="A277" s="6">
        <v>44889</v>
      </c>
      <c r="B277" s="7" t="str">
        <f>"HSRF0003954708"</f>
        <v>HSRF0003954708</v>
      </c>
      <c r="C277" s="7">
        <v>900226715</v>
      </c>
      <c r="D277" s="8">
        <v>43916.746631944443</v>
      </c>
      <c r="E277" s="8">
        <v>43965</v>
      </c>
      <c r="F277" s="7">
        <v>367100</v>
      </c>
      <c r="G277" s="7">
        <v>0</v>
      </c>
      <c r="H277" s="7">
        <v>0</v>
      </c>
      <c r="I277" s="7">
        <v>0</v>
      </c>
      <c r="J277" s="7">
        <v>0</v>
      </c>
      <c r="K277" s="7">
        <v>367100</v>
      </c>
    </row>
    <row r="278" spans="1:11" x14ac:dyDescent="0.25">
      <c r="A278" s="6">
        <v>44889</v>
      </c>
      <c r="B278" s="7" t="str">
        <f>"HSRF0003954976"</f>
        <v>HSRF0003954976</v>
      </c>
      <c r="C278" s="7">
        <v>900226715</v>
      </c>
      <c r="D278" s="8">
        <v>43917.581365740742</v>
      </c>
      <c r="E278" s="8">
        <v>43965</v>
      </c>
      <c r="F278" s="7">
        <v>57600</v>
      </c>
      <c r="G278" s="7">
        <v>0</v>
      </c>
      <c r="H278" s="7">
        <v>0</v>
      </c>
      <c r="I278" s="7">
        <v>0</v>
      </c>
      <c r="J278" s="7">
        <v>0</v>
      </c>
      <c r="K278" s="7">
        <v>57600</v>
      </c>
    </row>
    <row r="279" spans="1:11" x14ac:dyDescent="0.25">
      <c r="A279" s="6">
        <v>44889</v>
      </c>
      <c r="B279" s="7" t="str">
        <f>"HSRF0003955318"</f>
        <v>HSRF0003955318</v>
      </c>
      <c r="C279" s="7">
        <v>900226715</v>
      </c>
      <c r="D279" s="8">
        <v>43919.486597222225</v>
      </c>
      <c r="E279" s="8">
        <v>43965</v>
      </c>
      <c r="F279" s="7">
        <v>175600</v>
      </c>
      <c r="G279" s="7">
        <v>0</v>
      </c>
      <c r="H279" s="7">
        <v>0</v>
      </c>
      <c r="I279" s="7">
        <v>0</v>
      </c>
      <c r="J279" s="7">
        <v>0</v>
      </c>
      <c r="K279" s="7">
        <v>175600</v>
      </c>
    </row>
    <row r="280" spans="1:11" x14ac:dyDescent="0.25">
      <c r="A280" s="6">
        <v>44889</v>
      </c>
      <c r="B280" s="7" t="str">
        <f>"HSRF0003955960"</f>
        <v>HSRF0003955960</v>
      </c>
      <c r="C280" s="7">
        <v>900226715</v>
      </c>
      <c r="D280" s="8">
        <v>43921.626145833332</v>
      </c>
      <c r="E280" s="8">
        <v>43965</v>
      </c>
      <c r="F280" s="7">
        <v>178371</v>
      </c>
      <c r="G280" s="7">
        <v>0</v>
      </c>
      <c r="H280" s="7">
        <v>0</v>
      </c>
      <c r="I280" s="7">
        <v>0</v>
      </c>
      <c r="J280" s="7">
        <v>0</v>
      </c>
      <c r="K280" s="7">
        <v>178371</v>
      </c>
    </row>
    <row r="281" spans="1:11" x14ac:dyDescent="0.25">
      <c r="A281" s="6">
        <v>44995</v>
      </c>
      <c r="B281" s="7" t="str">
        <f>"HSRF0003956336"</f>
        <v>HSRF0003956336</v>
      </c>
      <c r="C281" s="7">
        <v>900226715</v>
      </c>
      <c r="D281" s="8">
        <v>43923.364432870374</v>
      </c>
      <c r="E281" s="8">
        <v>44045</v>
      </c>
      <c r="F281" s="7">
        <v>57600</v>
      </c>
      <c r="G281" s="7">
        <v>0</v>
      </c>
      <c r="H281" s="7">
        <v>0</v>
      </c>
      <c r="I281" s="7">
        <v>23400</v>
      </c>
      <c r="J281" s="7">
        <v>0</v>
      </c>
      <c r="K281" s="7">
        <v>34200</v>
      </c>
    </row>
    <row r="282" spans="1:11" x14ac:dyDescent="0.25">
      <c r="A282" s="6">
        <v>45000</v>
      </c>
      <c r="B282" s="7" t="str">
        <f>"HSRF0003958920"</f>
        <v>HSRF0003958920</v>
      </c>
      <c r="C282" s="7">
        <v>900226715</v>
      </c>
      <c r="D282" s="8">
        <v>43940.977696759262</v>
      </c>
      <c r="E282" s="8">
        <v>43965</v>
      </c>
      <c r="F282" s="7">
        <v>70000</v>
      </c>
      <c r="G282" s="7">
        <v>0</v>
      </c>
      <c r="H282" s="7">
        <v>0</v>
      </c>
      <c r="I282" s="7">
        <v>0</v>
      </c>
      <c r="J282" s="7">
        <v>0</v>
      </c>
      <c r="K282" s="7">
        <v>70000</v>
      </c>
    </row>
    <row r="283" spans="1:11" x14ac:dyDescent="0.25">
      <c r="A283" s="6">
        <v>45182</v>
      </c>
      <c r="B283" s="7" t="str">
        <f>"HSRF0003968835"</f>
        <v>HSRF0003968835</v>
      </c>
      <c r="C283" s="7">
        <v>900226715</v>
      </c>
      <c r="D283" s="8">
        <v>43983.552881944444</v>
      </c>
      <c r="E283" s="8">
        <v>44023</v>
      </c>
      <c r="F283" s="7">
        <v>7667976</v>
      </c>
      <c r="G283" s="7">
        <v>0</v>
      </c>
      <c r="H283" s="7">
        <v>0</v>
      </c>
      <c r="I283" s="7">
        <v>0</v>
      </c>
      <c r="J283" s="7">
        <v>0</v>
      </c>
      <c r="K283" s="7">
        <v>7667976</v>
      </c>
    </row>
    <row r="284" spans="1:11" x14ac:dyDescent="0.25">
      <c r="A284" s="6">
        <v>45306</v>
      </c>
      <c r="B284" s="7" t="str">
        <f>"HSRF0003972161"</f>
        <v>HSRF0003972161</v>
      </c>
      <c r="C284" s="7">
        <v>900226715</v>
      </c>
      <c r="D284" s="8">
        <v>43994.299513888887</v>
      </c>
      <c r="E284" s="8">
        <v>44023</v>
      </c>
      <c r="F284" s="7">
        <v>10800</v>
      </c>
      <c r="G284" s="7">
        <v>0</v>
      </c>
      <c r="H284" s="7">
        <v>0</v>
      </c>
      <c r="I284" s="7">
        <v>0</v>
      </c>
      <c r="J284" s="7">
        <v>3400</v>
      </c>
      <c r="K284" s="7">
        <v>7400</v>
      </c>
    </row>
    <row r="285" spans="1:11" x14ac:dyDescent="0.25">
      <c r="A285" s="6">
        <v>45311</v>
      </c>
      <c r="B285" s="7" t="str">
        <f>"HSRF0003977481"</f>
        <v>HSRF0003977481</v>
      </c>
      <c r="C285" s="7">
        <v>900226715</v>
      </c>
      <c r="D285" s="8">
        <v>44013.319907407407</v>
      </c>
      <c r="E285" s="8">
        <v>44023</v>
      </c>
      <c r="F285" s="7">
        <v>1990979</v>
      </c>
      <c r="G285" s="7">
        <v>0</v>
      </c>
      <c r="H285" s="7">
        <v>0</v>
      </c>
      <c r="I285" s="7">
        <v>1900672</v>
      </c>
      <c r="J285" s="7">
        <v>0</v>
      </c>
      <c r="K285" s="7">
        <v>90307</v>
      </c>
    </row>
    <row r="286" spans="1:11" x14ac:dyDescent="0.25">
      <c r="A286" s="6">
        <v>45426</v>
      </c>
      <c r="B286" s="7" t="str">
        <f>"HSRF0003983089"</f>
        <v>HSRF0003983089</v>
      </c>
      <c r="C286" s="7">
        <v>900226715</v>
      </c>
      <c r="D286" s="8">
        <v>44028.429756944446</v>
      </c>
      <c r="E286" s="8">
        <v>44058</v>
      </c>
      <c r="F286" s="7">
        <v>83400</v>
      </c>
      <c r="G286" s="7">
        <v>0</v>
      </c>
      <c r="H286" s="7">
        <v>0</v>
      </c>
      <c r="I286" s="7">
        <v>0</v>
      </c>
      <c r="J286" s="7">
        <v>0</v>
      </c>
      <c r="K286" s="7">
        <v>83400</v>
      </c>
    </row>
    <row r="287" spans="1:11" x14ac:dyDescent="0.25">
      <c r="A287" s="6">
        <v>45427</v>
      </c>
      <c r="B287" s="7" t="str">
        <f>"HSRF0003988456"</f>
        <v>HSRF0003988456</v>
      </c>
      <c r="C287" s="7">
        <v>900226715</v>
      </c>
      <c r="D287" s="8">
        <v>44043.718634259261</v>
      </c>
      <c r="E287" s="8">
        <v>44058</v>
      </c>
      <c r="F287" s="7">
        <v>160764</v>
      </c>
      <c r="G287" s="7">
        <v>0</v>
      </c>
      <c r="H287" s="7">
        <v>0</v>
      </c>
      <c r="I287" s="7">
        <v>0</v>
      </c>
      <c r="J287" s="7">
        <v>0</v>
      </c>
      <c r="K287" s="7">
        <v>160764</v>
      </c>
    </row>
    <row r="288" spans="1:11" x14ac:dyDescent="0.25">
      <c r="A288" s="6">
        <v>45556</v>
      </c>
      <c r="B288" s="7" t="str">
        <f>"FEHF0000005559"</f>
        <v>FEHF0000005559</v>
      </c>
      <c r="C288" s="7">
        <v>900226715</v>
      </c>
      <c r="D288" s="8">
        <v>44062.204513888886</v>
      </c>
      <c r="E288" s="8">
        <v>44082</v>
      </c>
      <c r="F288" s="7">
        <v>69600</v>
      </c>
      <c r="G288" s="7">
        <v>0</v>
      </c>
      <c r="H288" s="7">
        <v>0</v>
      </c>
      <c r="I288" s="7">
        <v>0</v>
      </c>
      <c r="J288" s="7">
        <v>0</v>
      </c>
      <c r="K288" s="7">
        <v>69600</v>
      </c>
    </row>
    <row r="289" spans="1:11" x14ac:dyDescent="0.25">
      <c r="A289" s="6">
        <v>45557</v>
      </c>
      <c r="B289" s="7" t="str">
        <f>"FEHF0000006700"</f>
        <v>FEHF0000006700</v>
      </c>
      <c r="C289" s="7">
        <v>900226715</v>
      </c>
      <c r="D289" s="8">
        <v>44063.496064814812</v>
      </c>
      <c r="E289" s="8">
        <v>44082</v>
      </c>
      <c r="F289" s="7">
        <v>1297453</v>
      </c>
      <c r="G289" s="7">
        <v>0</v>
      </c>
      <c r="H289" s="7">
        <v>0</v>
      </c>
      <c r="I289" s="7">
        <v>0</v>
      </c>
      <c r="J289" s="7">
        <v>0</v>
      </c>
      <c r="K289" s="7">
        <v>1297453</v>
      </c>
    </row>
    <row r="290" spans="1:11" x14ac:dyDescent="0.25">
      <c r="A290" s="6">
        <v>45520</v>
      </c>
      <c r="B290" s="7" t="str">
        <f>"FEHF0000006936"</f>
        <v>FEHF0000006936</v>
      </c>
      <c r="C290" s="7">
        <v>900226715</v>
      </c>
      <c r="D290" s="8">
        <v>44063.911365740743</v>
      </c>
      <c r="E290" s="8">
        <v>44082</v>
      </c>
      <c r="F290" s="7">
        <v>426474</v>
      </c>
      <c r="G290" s="7">
        <v>0</v>
      </c>
      <c r="H290" s="7">
        <v>0</v>
      </c>
      <c r="I290" s="7">
        <v>0</v>
      </c>
      <c r="J290" s="7">
        <v>0</v>
      </c>
      <c r="K290" s="7">
        <v>426474</v>
      </c>
    </row>
    <row r="291" spans="1:11" x14ac:dyDescent="0.25">
      <c r="A291" s="6">
        <v>45520</v>
      </c>
      <c r="B291" s="7" t="str">
        <f>"FEHF0000008009"</f>
        <v>FEHF0000008009</v>
      </c>
      <c r="C291" s="7">
        <v>900226715</v>
      </c>
      <c r="D291" s="8">
        <v>44065.746238425927</v>
      </c>
      <c r="E291" s="8">
        <v>44082</v>
      </c>
      <c r="F291" s="7">
        <v>18135655</v>
      </c>
      <c r="G291" s="7">
        <v>0</v>
      </c>
      <c r="H291" s="7">
        <v>0</v>
      </c>
      <c r="I291" s="7">
        <v>0</v>
      </c>
      <c r="J291" s="7">
        <v>0</v>
      </c>
      <c r="K291" s="7">
        <v>18135655</v>
      </c>
    </row>
    <row r="292" spans="1:11" x14ac:dyDescent="0.25">
      <c r="A292" s="6">
        <v>45567</v>
      </c>
      <c r="B292" s="7" t="str">
        <f>"FEHF0000008010"</f>
        <v>FEHF0000008010</v>
      </c>
      <c r="C292" s="7">
        <v>900226715</v>
      </c>
      <c r="D292" s="8">
        <v>44065.746238425927</v>
      </c>
      <c r="E292" s="8">
        <v>44082</v>
      </c>
      <c r="F292" s="7">
        <v>82635</v>
      </c>
      <c r="G292" s="7">
        <v>0</v>
      </c>
      <c r="H292" s="7">
        <v>0</v>
      </c>
      <c r="I292" s="7">
        <v>0</v>
      </c>
      <c r="J292" s="7">
        <v>0</v>
      </c>
      <c r="K292" s="7">
        <v>82635</v>
      </c>
    </row>
    <row r="293" spans="1:11" x14ac:dyDescent="0.25">
      <c r="A293" s="6">
        <v>45519</v>
      </c>
      <c r="B293" s="7" t="str">
        <f>"FEHF0000008082"</f>
        <v>FEHF0000008082</v>
      </c>
      <c r="C293" s="7">
        <v>900226715</v>
      </c>
      <c r="D293" s="8">
        <v>44066.31827546296</v>
      </c>
      <c r="E293" s="8">
        <v>44082</v>
      </c>
      <c r="F293" s="7">
        <v>259415</v>
      </c>
      <c r="G293" s="7">
        <v>0</v>
      </c>
      <c r="H293" s="7">
        <v>0</v>
      </c>
      <c r="I293" s="7">
        <v>0</v>
      </c>
      <c r="J293" s="7">
        <v>0</v>
      </c>
      <c r="K293" s="7">
        <v>259415</v>
      </c>
    </row>
    <row r="294" spans="1:11" x14ac:dyDescent="0.25">
      <c r="A294" s="6">
        <v>45520</v>
      </c>
      <c r="B294" s="7" t="str">
        <f>"FEHF0000008807"</f>
        <v>FEHF0000008807</v>
      </c>
      <c r="C294" s="7">
        <v>900226715</v>
      </c>
      <c r="D294" s="8">
        <v>44067.82949074074</v>
      </c>
      <c r="E294" s="8">
        <v>44082</v>
      </c>
      <c r="F294" s="7">
        <v>1314330</v>
      </c>
      <c r="G294" s="7">
        <v>0</v>
      </c>
      <c r="H294" s="7">
        <v>0</v>
      </c>
      <c r="I294" s="7">
        <v>0</v>
      </c>
      <c r="J294" s="7">
        <v>0</v>
      </c>
      <c r="K294" s="7">
        <v>1314330</v>
      </c>
    </row>
    <row r="295" spans="1:11" x14ac:dyDescent="0.25">
      <c r="A295" s="6">
        <v>45683</v>
      </c>
      <c r="B295" s="7" t="str">
        <f>"FEHF0000015285"</f>
        <v>FEHF0000015285</v>
      </c>
      <c r="C295" s="7">
        <v>900226715</v>
      </c>
      <c r="D295" s="8">
        <v>44076.372418981482</v>
      </c>
      <c r="E295" s="8">
        <v>44114</v>
      </c>
      <c r="F295" s="7">
        <v>749800</v>
      </c>
      <c r="G295" s="7">
        <v>0</v>
      </c>
      <c r="H295" s="7">
        <v>0</v>
      </c>
      <c r="I295" s="7">
        <v>0</v>
      </c>
      <c r="J295" s="7">
        <v>3400</v>
      </c>
      <c r="K295" s="7">
        <v>746400</v>
      </c>
    </row>
    <row r="296" spans="1:11" x14ac:dyDescent="0.25">
      <c r="A296" s="6">
        <v>45583</v>
      </c>
      <c r="B296" s="7" t="str">
        <f>"FEHF0000016280"</f>
        <v>FEHF0000016280</v>
      </c>
      <c r="C296" s="7">
        <v>900226715</v>
      </c>
      <c r="D296" s="8">
        <v>44077.614675925928</v>
      </c>
      <c r="E296" s="8">
        <v>44082</v>
      </c>
      <c r="F296" s="7">
        <v>2253949</v>
      </c>
      <c r="G296" s="7">
        <v>0</v>
      </c>
      <c r="H296" s="7">
        <v>0</v>
      </c>
      <c r="I296" s="7">
        <v>0</v>
      </c>
      <c r="J296" s="7">
        <v>0</v>
      </c>
      <c r="K296" s="7">
        <v>2253949</v>
      </c>
    </row>
    <row r="297" spans="1:11" x14ac:dyDescent="0.25">
      <c r="A297" s="6">
        <v>45749</v>
      </c>
      <c r="B297" s="7" t="str">
        <f>"FEHF0000019539"</f>
        <v>FEHF0000019539</v>
      </c>
      <c r="C297" s="7">
        <v>900226715</v>
      </c>
      <c r="D297" s="8">
        <v>44084.494791666664</v>
      </c>
      <c r="E297" s="8">
        <v>44114</v>
      </c>
      <c r="F297" s="7">
        <v>3354891</v>
      </c>
      <c r="G297" s="7">
        <v>0</v>
      </c>
      <c r="H297" s="7">
        <v>0</v>
      </c>
      <c r="I297" s="7">
        <v>0</v>
      </c>
      <c r="J297" s="7">
        <v>0</v>
      </c>
      <c r="K297" s="7">
        <v>3354891</v>
      </c>
    </row>
    <row r="298" spans="1:11" x14ac:dyDescent="0.25">
      <c r="A298" s="6">
        <v>45680</v>
      </c>
      <c r="B298" s="7" t="str">
        <f>"FEHF0000020467"</f>
        <v>FEHF0000020467</v>
      </c>
      <c r="C298" s="7">
        <v>900226715</v>
      </c>
      <c r="D298" s="8">
        <v>44087.524826388886</v>
      </c>
      <c r="E298" s="8">
        <v>44114</v>
      </c>
      <c r="F298" s="7">
        <v>1268198</v>
      </c>
      <c r="G298" s="7">
        <v>0</v>
      </c>
      <c r="H298" s="7">
        <v>0</v>
      </c>
      <c r="I298" s="7">
        <v>0</v>
      </c>
      <c r="J298" s="7">
        <v>0</v>
      </c>
      <c r="K298" s="7">
        <v>1268198</v>
      </c>
    </row>
    <row r="299" spans="1:11" x14ac:dyDescent="0.25">
      <c r="A299" s="6">
        <v>45683</v>
      </c>
      <c r="B299" s="7" t="str">
        <f>"FEHF0000022602"</f>
        <v>FEHF0000022602</v>
      </c>
      <c r="C299" s="7">
        <v>900226715</v>
      </c>
      <c r="D299" s="8">
        <v>44091.720023148147</v>
      </c>
      <c r="E299" s="8">
        <v>44114</v>
      </c>
      <c r="F299" s="7">
        <v>162328</v>
      </c>
      <c r="G299" s="7">
        <v>0</v>
      </c>
      <c r="H299" s="7">
        <v>0</v>
      </c>
      <c r="I299" s="7">
        <v>0</v>
      </c>
      <c r="J299" s="7">
        <v>0</v>
      </c>
      <c r="K299" s="7">
        <v>162328</v>
      </c>
    </row>
    <row r="300" spans="1:11" x14ac:dyDescent="0.25">
      <c r="A300" s="6">
        <v>45747</v>
      </c>
      <c r="B300" s="7" t="str">
        <f>"FEHF0000028043"</f>
        <v>FEHF0000028043</v>
      </c>
      <c r="C300" s="7">
        <v>900226715</v>
      </c>
      <c r="D300" s="8">
        <v>44103.830613425926</v>
      </c>
      <c r="E300" s="8">
        <v>44114</v>
      </c>
      <c r="F300" s="7">
        <v>5569878</v>
      </c>
      <c r="G300" s="7">
        <v>0</v>
      </c>
      <c r="H300" s="7">
        <v>0</v>
      </c>
      <c r="I300" s="7">
        <v>251900</v>
      </c>
      <c r="J300" s="7">
        <v>0</v>
      </c>
      <c r="K300" s="7">
        <v>5317978</v>
      </c>
    </row>
    <row r="301" spans="1:11" x14ac:dyDescent="0.25">
      <c r="A301" s="6">
        <v>45680</v>
      </c>
      <c r="B301" s="7" t="str">
        <f>"FEHF0000030256"</f>
        <v>FEHF0000030256</v>
      </c>
      <c r="C301" s="7">
        <v>900226715</v>
      </c>
      <c r="D301" s="8">
        <v>44107.76358796296</v>
      </c>
      <c r="E301" s="8">
        <v>44114</v>
      </c>
      <c r="F301" s="7">
        <v>21784170</v>
      </c>
      <c r="G301" s="7">
        <v>0</v>
      </c>
      <c r="H301" s="7">
        <v>0</v>
      </c>
      <c r="I301" s="7">
        <v>3141684</v>
      </c>
      <c r="J301" s="7">
        <v>0</v>
      </c>
      <c r="K301" s="7">
        <v>18642486</v>
      </c>
    </row>
    <row r="302" spans="1:11" x14ac:dyDescent="0.25">
      <c r="A302" s="6">
        <v>45874</v>
      </c>
      <c r="B302" s="7" t="str">
        <f>"FEHF0000031907"</f>
        <v>FEHF0000031907</v>
      </c>
      <c r="C302" s="7">
        <v>900226715</v>
      </c>
      <c r="D302" s="8">
        <v>44111.616608796299</v>
      </c>
      <c r="E302" s="8">
        <v>44172</v>
      </c>
      <c r="F302" s="7">
        <v>51900</v>
      </c>
      <c r="G302" s="7">
        <v>0</v>
      </c>
      <c r="H302" s="7">
        <v>0</v>
      </c>
      <c r="I302" s="7">
        <v>0</v>
      </c>
      <c r="J302" s="7">
        <v>0</v>
      </c>
      <c r="K302" s="7">
        <v>51900</v>
      </c>
    </row>
    <row r="303" spans="1:11" x14ac:dyDescent="0.25">
      <c r="A303" s="6">
        <v>45876</v>
      </c>
      <c r="B303" s="7" t="str">
        <f>"FEHF0000033155"</f>
        <v>FEHF0000033155</v>
      </c>
      <c r="C303" s="7">
        <v>900226715</v>
      </c>
      <c r="D303" s="8">
        <v>44113.697222222225</v>
      </c>
      <c r="E303" s="8">
        <v>44172</v>
      </c>
      <c r="F303" s="7">
        <v>1341676</v>
      </c>
      <c r="G303" s="7">
        <v>0</v>
      </c>
      <c r="H303" s="7">
        <v>0</v>
      </c>
      <c r="I303" s="7">
        <v>0</v>
      </c>
      <c r="J303" s="7">
        <v>0</v>
      </c>
      <c r="K303" s="7">
        <v>1341676</v>
      </c>
    </row>
    <row r="304" spans="1:11" x14ac:dyDescent="0.25">
      <c r="A304" s="6">
        <v>45876</v>
      </c>
      <c r="B304" s="7" t="str">
        <f>"FEHF0000033877"</f>
        <v>FEHF0000033877</v>
      </c>
      <c r="C304" s="7">
        <v>900226715</v>
      </c>
      <c r="D304" s="8">
        <v>44117.470578703702</v>
      </c>
      <c r="E304" s="8">
        <v>44172</v>
      </c>
      <c r="F304" s="7">
        <v>4519101</v>
      </c>
      <c r="G304" s="7">
        <v>0</v>
      </c>
      <c r="H304" s="7">
        <v>0</v>
      </c>
      <c r="I304" s="7">
        <v>0</v>
      </c>
      <c r="J304" s="7">
        <v>0</v>
      </c>
      <c r="K304" s="7">
        <v>4519101</v>
      </c>
    </row>
    <row r="305" spans="1:11" x14ac:dyDescent="0.25">
      <c r="A305" s="6">
        <v>45874</v>
      </c>
      <c r="B305" s="7" t="str">
        <f>"FEHF0000034165"</f>
        <v>FEHF0000034165</v>
      </c>
      <c r="C305" s="7">
        <v>900226715</v>
      </c>
      <c r="D305" s="8">
        <v>44118.305439814816</v>
      </c>
      <c r="E305" s="8">
        <v>44172</v>
      </c>
      <c r="F305" s="7">
        <v>146444</v>
      </c>
      <c r="G305" s="7">
        <v>0</v>
      </c>
      <c r="H305" s="7">
        <v>0</v>
      </c>
      <c r="I305" s="7">
        <v>0</v>
      </c>
      <c r="J305" s="7">
        <v>0</v>
      </c>
      <c r="K305" s="7">
        <v>146444</v>
      </c>
    </row>
    <row r="306" spans="1:11" x14ac:dyDescent="0.25">
      <c r="A306" s="6">
        <v>45874</v>
      </c>
      <c r="B306" s="7" t="str">
        <f>"FEHF0000034801"</f>
        <v>FEHF0000034801</v>
      </c>
      <c r="C306" s="7">
        <v>900226715</v>
      </c>
      <c r="D306" s="8">
        <v>44119.372430555559</v>
      </c>
      <c r="E306" s="8">
        <v>44172</v>
      </c>
      <c r="F306" s="7">
        <v>168762</v>
      </c>
      <c r="G306" s="7">
        <v>0</v>
      </c>
      <c r="H306" s="7">
        <v>0</v>
      </c>
      <c r="I306" s="7">
        <v>0</v>
      </c>
      <c r="J306" s="7">
        <v>0</v>
      </c>
      <c r="K306" s="7">
        <v>168762</v>
      </c>
    </row>
    <row r="307" spans="1:11" x14ac:dyDescent="0.25">
      <c r="A307" s="6">
        <v>45874</v>
      </c>
      <c r="B307" s="7" t="str">
        <f>"FEHF0000035268"</f>
        <v>FEHF0000035268</v>
      </c>
      <c r="C307" s="7">
        <v>900226715</v>
      </c>
      <c r="D307" s="8">
        <v>44120.284201388888</v>
      </c>
      <c r="E307" s="8">
        <v>44172</v>
      </c>
      <c r="F307" s="7">
        <v>142434</v>
      </c>
      <c r="G307" s="7">
        <v>0</v>
      </c>
      <c r="H307" s="7">
        <v>0</v>
      </c>
      <c r="I307" s="7">
        <v>0</v>
      </c>
      <c r="J307" s="7">
        <v>0</v>
      </c>
      <c r="K307" s="7">
        <v>142434</v>
      </c>
    </row>
    <row r="308" spans="1:11" x14ac:dyDescent="0.25">
      <c r="A308" s="6">
        <v>45876</v>
      </c>
      <c r="B308" s="7" t="str">
        <f>"FEHF0000036052"</f>
        <v>FEHF0000036052</v>
      </c>
      <c r="C308" s="7">
        <v>900226715</v>
      </c>
      <c r="D308" s="8">
        <v>44121.750462962962</v>
      </c>
      <c r="E308" s="8">
        <v>44172</v>
      </c>
      <c r="F308" s="7">
        <v>1295397</v>
      </c>
      <c r="G308" s="7">
        <v>0</v>
      </c>
      <c r="H308" s="7">
        <v>0</v>
      </c>
      <c r="I308" s="7">
        <v>0</v>
      </c>
      <c r="J308" s="7">
        <v>0</v>
      </c>
      <c r="K308" s="7">
        <v>1295397</v>
      </c>
    </row>
    <row r="309" spans="1:11" x14ac:dyDescent="0.25">
      <c r="A309" s="6">
        <v>45874</v>
      </c>
      <c r="B309" s="7" t="str">
        <f>"FEHF0000036172"</f>
        <v>FEHF0000036172</v>
      </c>
      <c r="C309" s="7">
        <v>900226715</v>
      </c>
      <c r="D309" s="8">
        <v>44122.732476851852</v>
      </c>
      <c r="E309" s="8">
        <v>44172</v>
      </c>
      <c r="F309" s="7">
        <v>2608089</v>
      </c>
      <c r="G309" s="7">
        <v>0</v>
      </c>
      <c r="H309" s="7">
        <v>0</v>
      </c>
      <c r="I309" s="7">
        <v>0</v>
      </c>
      <c r="J309" s="7">
        <v>0</v>
      </c>
      <c r="K309" s="7">
        <v>2608089</v>
      </c>
    </row>
    <row r="310" spans="1:11" x14ac:dyDescent="0.25">
      <c r="A310" s="6">
        <v>45876</v>
      </c>
      <c r="B310" s="7" t="str">
        <f>"FEHF0000036775"</f>
        <v>FEHF0000036775</v>
      </c>
      <c r="C310" s="7">
        <v>900226715</v>
      </c>
      <c r="D310" s="8">
        <v>44123.649328703701</v>
      </c>
      <c r="E310" s="8">
        <v>44172</v>
      </c>
      <c r="F310" s="7">
        <v>1318681</v>
      </c>
      <c r="G310" s="7">
        <v>0</v>
      </c>
      <c r="H310" s="7">
        <v>0</v>
      </c>
      <c r="I310" s="7">
        <v>0</v>
      </c>
      <c r="J310" s="7">
        <v>0</v>
      </c>
      <c r="K310" s="7">
        <v>1318681</v>
      </c>
    </row>
    <row r="311" spans="1:11" x14ac:dyDescent="0.25">
      <c r="A311" s="6">
        <v>45874</v>
      </c>
      <c r="B311" s="7" t="str">
        <f>"FEHF0000036812"</f>
        <v>FEHF0000036812</v>
      </c>
      <c r="C311" s="7">
        <v>900226715</v>
      </c>
      <c r="D311" s="8">
        <v>44123.693159722221</v>
      </c>
      <c r="E311" s="8">
        <v>44172</v>
      </c>
      <c r="F311" s="7">
        <v>225569</v>
      </c>
      <c r="G311" s="7">
        <v>0</v>
      </c>
      <c r="H311" s="7">
        <v>0</v>
      </c>
      <c r="I311" s="7">
        <v>0</v>
      </c>
      <c r="J311" s="7">
        <v>0</v>
      </c>
      <c r="K311" s="7">
        <v>225569</v>
      </c>
    </row>
    <row r="312" spans="1:11" x14ac:dyDescent="0.25">
      <c r="A312" s="6">
        <v>45875</v>
      </c>
      <c r="B312" s="7" t="str">
        <f>"FEHF0000038135"</f>
        <v>FEHF0000038135</v>
      </c>
      <c r="C312" s="7">
        <v>900226715</v>
      </c>
      <c r="D312" s="8">
        <v>44126.289571759262</v>
      </c>
      <c r="E312" s="8">
        <v>44172</v>
      </c>
      <c r="F312" s="7">
        <v>31700</v>
      </c>
      <c r="G312" s="7">
        <v>0</v>
      </c>
      <c r="H312" s="7">
        <v>0</v>
      </c>
      <c r="I312" s="7">
        <v>0</v>
      </c>
      <c r="J312" s="7">
        <v>0</v>
      </c>
      <c r="K312" s="7">
        <v>31700</v>
      </c>
    </row>
    <row r="313" spans="1:11" x14ac:dyDescent="0.25">
      <c r="A313" s="6">
        <v>45810</v>
      </c>
      <c r="B313" s="7" t="str">
        <f>"FEHF0000039350"</f>
        <v>FEHF0000039350</v>
      </c>
      <c r="C313" s="7">
        <v>900226715</v>
      </c>
      <c r="D313" s="8">
        <v>44127.628611111111</v>
      </c>
      <c r="E313" s="8">
        <v>44172</v>
      </c>
      <c r="F313" s="7">
        <v>23000</v>
      </c>
      <c r="G313" s="7">
        <v>0</v>
      </c>
      <c r="H313" s="7">
        <v>0</v>
      </c>
      <c r="I313" s="7">
        <v>0</v>
      </c>
      <c r="J313" s="7">
        <v>3400</v>
      </c>
      <c r="K313" s="7">
        <v>19600</v>
      </c>
    </row>
    <row r="314" spans="1:11" x14ac:dyDescent="0.25">
      <c r="A314" s="6">
        <v>45876</v>
      </c>
      <c r="B314" s="7" t="str">
        <f>"FEHF0000040583"</f>
        <v>FEHF0000040583</v>
      </c>
      <c r="C314" s="7">
        <v>900226715</v>
      </c>
      <c r="D314" s="8">
        <v>44130.719490740739</v>
      </c>
      <c r="E314" s="8">
        <v>44172</v>
      </c>
      <c r="F314" s="7">
        <v>1419329</v>
      </c>
      <c r="G314" s="7">
        <v>0</v>
      </c>
      <c r="H314" s="7">
        <v>0</v>
      </c>
      <c r="I314" s="7">
        <v>136700</v>
      </c>
      <c r="J314" s="7">
        <v>0</v>
      </c>
      <c r="K314" s="7">
        <v>1282629</v>
      </c>
    </row>
    <row r="315" spans="1:11" x14ac:dyDescent="0.25">
      <c r="A315" s="6">
        <v>45928</v>
      </c>
      <c r="B315" s="7" t="str">
        <f>"FEHF0000045747"</f>
        <v>FEHF0000045747</v>
      </c>
      <c r="C315" s="7">
        <v>900226715</v>
      </c>
      <c r="D315" s="8">
        <v>44140.332476851851</v>
      </c>
      <c r="E315" s="8">
        <v>44208</v>
      </c>
      <c r="F315" s="7">
        <v>895600</v>
      </c>
      <c r="G315" s="7">
        <v>0</v>
      </c>
      <c r="H315" s="7">
        <v>0</v>
      </c>
      <c r="I315" s="7">
        <v>261800</v>
      </c>
      <c r="J315" s="7">
        <v>3400</v>
      </c>
      <c r="K315" s="7">
        <v>630400</v>
      </c>
    </row>
    <row r="316" spans="1:11" x14ac:dyDescent="0.25">
      <c r="A316" s="6">
        <v>45874</v>
      </c>
      <c r="B316" s="7" t="str">
        <f>"FEHF0000046607"</f>
        <v>FEHF0000046607</v>
      </c>
      <c r="C316" s="7">
        <v>900226715</v>
      </c>
      <c r="D316" s="8">
        <v>44141.386620370373</v>
      </c>
      <c r="E316" s="8">
        <v>44172</v>
      </c>
      <c r="F316" s="7">
        <v>291188</v>
      </c>
      <c r="G316" s="7">
        <v>0</v>
      </c>
      <c r="H316" s="7">
        <v>0</v>
      </c>
      <c r="I316" s="7">
        <v>266092</v>
      </c>
      <c r="J316" s="7">
        <v>0</v>
      </c>
      <c r="K316" s="7">
        <v>25096</v>
      </c>
    </row>
    <row r="317" spans="1:11" x14ac:dyDescent="0.25">
      <c r="A317" s="6">
        <v>45876</v>
      </c>
      <c r="B317" s="7" t="str">
        <f>"FEHF0000046946"</f>
        <v>FEHF0000046946</v>
      </c>
      <c r="C317" s="7">
        <v>900226715</v>
      </c>
      <c r="D317" s="8">
        <v>44141.596331018518</v>
      </c>
      <c r="E317" s="8">
        <v>44172</v>
      </c>
      <c r="F317" s="7">
        <v>6062342</v>
      </c>
      <c r="G317" s="7">
        <v>0</v>
      </c>
      <c r="H317" s="7">
        <v>0</v>
      </c>
      <c r="I317" s="7">
        <v>0</v>
      </c>
      <c r="J317" s="7">
        <v>0</v>
      </c>
      <c r="K317" s="7">
        <v>6062342</v>
      </c>
    </row>
    <row r="318" spans="1:11" x14ac:dyDescent="0.25">
      <c r="A318" s="6">
        <v>45921</v>
      </c>
      <c r="B318" s="7" t="str">
        <f>"FEHF0000049181"</f>
        <v>FEHF0000049181</v>
      </c>
      <c r="C318" s="7">
        <v>900226715</v>
      </c>
      <c r="D318" s="8">
        <v>44146.789861111109</v>
      </c>
      <c r="E318" s="8">
        <v>44208</v>
      </c>
      <c r="F318" s="7">
        <v>2001501</v>
      </c>
      <c r="G318" s="7">
        <v>0</v>
      </c>
      <c r="H318" s="7">
        <v>0</v>
      </c>
      <c r="I318" s="7">
        <v>0</v>
      </c>
      <c r="J318" s="7">
        <v>0</v>
      </c>
      <c r="K318" s="7">
        <v>2001501</v>
      </c>
    </row>
    <row r="319" spans="1:11" x14ac:dyDescent="0.25">
      <c r="A319" s="6">
        <v>45928</v>
      </c>
      <c r="B319" s="7" t="str">
        <f>"FEHF0000050730"</f>
        <v>FEHF0000050730</v>
      </c>
      <c r="C319" s="7">
        <v>900226715</v>
      </c>
      <c r="D319" s="8">
        <v>44151.571203703701</v>
      </c>
      <c r="E319" s="8">
        <v>44208</v>
      </c>
      <c r="F319" s="7">
        <v>99423</v>
      </c>
      <c r="G319" s="7">
        <v>0</v>
      </c>
      <c r="H319" s="7">
        <v>0</v>
      </c>
      <c r="I319" s="7">
        <v>0</v>
      </c>
      <c r="J319" s="7">
        <v>0</v>
      </c>
      <c r="K319" s="7">
        <v>99423</v>
      </c>
    </row>
    <row r="320" spans="1:11" x14ac:dyDescent="0.25">
      <c r="A320" s="6">
        <v>45943</v>
      </c>
      <c r="B320" s="7" t="str">
        <f>"FEHF0000051425"</f>
        <v>FEHF0000051425</v>
      </c>
      <c r="C320" s="7">
        <v>900226715</v>
      </c>
      <c r="D320" s="8">
        <v>44152.745243055557</v>
      </c>
      <c r="E320" s="8">
        <v>44208</v>
      </c>
      <c r="F320" s="7">
        <v>13505052</v>
      </c>
      <c r="G320" s="7">
        <v>0</v>
      </c>
      <c r="H320" s="7">
        <v>0</v>
      </c>
      <c r="I320" s="7">
        <v>0</v>
      </c>
      <c r="J320" s="7">
        <v>0</v>
      </c>
      <c r="K320" s="7">
        <v>13505052</v>
      </c>
    </row>
    <row r="321" spans="1:11" x14ac:dyDescent="0.25">
      <c r="A321" s="6">
        <v>45980</v>
      </c>
      <c r="B321" s="7" t="str">
        <f>"FEHF0000051426"</f>
        <v>FEHF0000051426</v>
      </c>
      <c r="C321" s="7">
        <v>900226715</v>
      </c>
      <c r="D321" s="8">
        <v>44152.745243055557</v>
      </c>
      <c r="E321" s="8">
        <v>44208</v>
      </c>
      <c r="F321" s="7">
        <v>168412</v>
      </c>
      <c r="G321" s="7">
        <v>0</v>
      </c>
      <c r="H321" s="7">
        <v>0</v>
      </c>
      <c r="I321" s="7">
        <v>0</v>
      </c>
      <c r="J321" s="7">
        <v>0</v>
      </c>
      <c r="K321" s="7">
        <v>168412</v>
      </c>
    </row>
    <row r="322" spans="1:11" x14ac:dyDescent="0.25">
      <c r="A322" s="6">
        <v>45929</v>
      </c>
      <c r="B322" s="7" t="str">
        <f>"FEHF0000053111"</f>
        <v>FEHF0000053111</v>
      </c>
      <c r="C322" s="7">
        <v>900226715</v>
      </c>
      <c r="D322" s="8">
        <v>44155.420023148145</v>
      </c>
      <c r="E322" s="8">
        <v>44208</v>
      </c>
      <c r="F322" s="7">
        <v>31600</v>
      </c>
      <c r="G322" s="7">
        <v>0</v>
      </c>
      <c r="H322" s="7">
        <v>0</v>
      </c>
      <c r="I322" s="7">
        <v>0</v>
      </c>
      <c r="J322" s="7">
        <v>0</v>
      </c>
      <c r="K322" s="7">
        <v>31600</v>
      </c>
    </row>
    <row r="323" spans="1:11" x14ac:dyDescent="0.25">
      <c r="A323" s="6">
        <v>45943</v>
      </c>
      <c r="B323" s="7" t="str">
        <f>"FEHF0000056389"</f>
        <v>FEHF0000056389</v>
      </c>
      <c r="C323" s="7">
        <v>900226715</v>
      </c>
      <c r="D323" s="8">
        <v>44161.748784722222</v>
      </c>
      <c r="E323" s="8">
        <v>44208</v>
      </c>
      <c r="F323" s="7">
        <v>38914675</v>
      </c>
      <c r="G323" s="7">
        <v>0</v>
      </c>
      <c r="H323" s="7">
        <v>0</v>
      </c>
      <c r="I323" s="7">
        <v>0</v>
      </c>
      <c r="J323" s="7">
        <v>0</v>
      </c>
      <c r="K323" s="7">
        <v>38914675</v>
      </c>
    </row>
    <row r="324" spans="1:11" x14ac:dyDescent="0.25">
      <c r="A324" s="6">
        <v>45980</v>
      </c>
      <c r="B324" s="7" t="str">
        <f>"FEHF0000056390"</f>
        <v>FEHF0000056390</v>
      </c>
      <c r="C324" s="7">
        <v>900226715</v>
      </c>
      <c r="D324" s="8">
        <v>44161.748784722222</v>
      </c>
      <c r="E324" s="8">
        <v>44208</v>
      </c>
      <c r="F324" s="7">
        <v>26983</v>
      </c>
      <c r="G324" s="7">
        <v>0</v>
      </c>
      <c r="H324" s="7">
        <v>0</v>
      </c>
      <c r="I324" s="7">
        <v>0</v>
      </c>
      <c r="J324" s="7">
        <v>0</v>
      </c>
      <c r="K324" s="7">
        <v>26983</v>
      </c>
    </row>
    <row r="325" spans="1:11" x14ac:dyDescent="0.25">
      <c r="A325" s="6">
        <v>46013</v>
      </c>
      <c r="B325" s="7" t="str">
        <f>"FEHF0000056394"</f>
        <v>FEHF0000056394</v>
      </c>
      <c r="C325" s="7">
        <v>900226715</v>
      </c>
      <c r="D325" s="8">
        <v>44161.755115740743</v>
      </c>
      <c r="E325" s="8">
        <v>44208</v>
      </c>
      <c r="F325" s="7">
        <v>99423</v>
      </c>
      <c r="G325" s="7">
        <v>0</v>
      </c>
      <c r="H325" s="7">
        <v>0</v>
      </c>
      <c r="I325" s="7">
        <v>0</v>
      </c>
      <c r="J325" s="7">
        <v>0</v>
      </c>
      <c r="K325" s="7">
        <v>99423</v>
      </c>
    </row>
    <row r="326" spans="1:11" x14ac:dyDescent="0.25">
      <c r="A326" s="6">
        <v>45943</v>
      </c>
      <c r="B326" s="7" t="str">
        <f>"FEHF0000057408"</f>
        <v>FEHF0000057408</v>
      </c>
      <c r="C326" s="7">
        <v>900226715</v>
      </c>
      <c r="D326" s="8">
        <v>44164.418587962966</v>
      </c>
      <c r="E326" s="8">
        <v>44208</v>
      </c>
      <c r="F326" s="7">
        <v>719947</v>
      </c>
      <c r="G326" s="7">
        <v>0</v>
      </c>
      <c r="H326" s="7">
        <v>0</v>
      </c>
      <c r="I326" s="7">
        <v>0</v>
      </c>
      <c r="J326" s="7">
        <v>0</v>
      </c>
      <c r="K326" s="7">
        <v>719947</v>
      </c>
    </row>
    <row r="327" spans="1:11" x14ac:dyDescent="0.25">
      <c r="A327" s="6">
        <v>45921</v>
      </c>
      <c r="B327" s="7" t="str">
        <f>"FEHF0000058763"</f>
        <v>FEHF0000058763</v>
      </c>
      <c r="C327" s="7">
        <v>900226715</v>
      </c>
      <c r="D327" s="8">
        <v>44166.791493055556</v>
      </c>
      <c r="E327" s="8">
        <v>44208</v>
      </c>
      <c r="F327" s="7">
        <v>2159313</v>
      </c>
      <c r="G327" s="7">
        <v>0</v>
      </c>
      <c r="H327" s="7">
        <v>0</v>
      </c>
      <c r="I327" s="7">
        <v>0</v>
      </c>
      <c r="J327" s="7">
        <v>0</v>
      </c>
      <c r="K327" s="7">
        <v>2159313</v>
      </c>
    </row>
    <row r="328" spans="1:11" x14ac:dyDescent="0.25">
      <c r="A328" s="6">
        <v>46090</v>
      </c>
      <c r="B328" s="7" t="str">
        <f>"FEHF0000068728"</f>
        <v>FEHF0000068728</v>
      </c>
      <c r="C328" s="7">
        <v>900226715</v>
      </c>
      <c r="D328" s="8">
        <v>44191.76761574074</v>
      </c>
      <c r="E328" s="8">
        <v>44208</v>
      </c>
      <c r="F328" s="7">
        <v>51900</v>
      </c>
      <c r="G328" s="7">
        <v>0</v>
      </c>
      <c r="H328" s="7">
        <v>0</v>
      </c>
      <c r="I328" s="7">
        <v>0</v>
      </c>
      <c r="J328" s="7">
        <v>0</v>
      </c>
      <c r="K328" s="7">
        <v>51900</v>
      </c>
    </row>
    <row r="329" spans="1:11" x14ac:dyDescent="0.25">
      <c r="A329" s="6">
        <v>46228</v>
      </c>
      <c r="B329" s="7" t="str">
        <f>"FEHF0000073212"</f>
        <v>FEHF0000073212</v>
      </c>
      <c r="C329" s="7">
        <v>900226715</v>
      </c>
      <c r="D329" s="8">
        <v>44205.173182870371</v>
      </c>
      <c r="E329" s="8">
        <v>44237</v>
      </c>
      <c r="F329" s="7">
        <v>216724</v>
      </c>
      <c r="G329" s="7">
        <v>0</v>
      </c>
      <c r="H329" s="7">
        <v>0</v>
      </c>
      <c r="I329" s="7">
        <v>199250</v>
      </c>
      <c r="J329" s="7">
        <v>0</v>
      </c>
      <c r="K329" s="7">
        <v>17474</v>
      </c>
    </row>
    <row r="330" spans="1:11" x14ac:dyDescent="0.25">
      <c r="A330" s="6">
        <v>46288</v>
      </c>
      <c r="B330" s="7" t="str">
        <f>"FEHF0000074848"</f>
        <v>FEHF0000074848</v>
      </c>
      <c r="C330" s="7">
        <v>900226715</v>
      </c>
      <c r="D330" s="8">
        <v>44211.471006944441</v>
      </c>
      <c r="E330" s="8">
        <v>44236.708333333336</v>
      </c>
      <c r="F330" s="7">
        <v>99423</v>
      </c>
      <c r="G330" s="7">
        <v>0</v>
      </c>
      <c r="H330" s="7">
        <v>0</v>
      </c>
      <c r="I330" s="7">
        <v>0</v>
      </c>
      <c r="J330" s="7">
        <v>0</v>
      </c>
      <c r="K330" s="7">
        <v>99423</v>
      </c>
    </row>
    <row r="331" spans="1:11" x14ac:dyDescent="0.25">
      <c r="A331" s="6">
        <v>46231</v>
      </c>
      <c r="B331" s="7" t="str">
        <f>"FEHF0000075631"</f>
        <v>FEHF0000075631</v>
      </c>
      <c r="C331" s="7">
        <v>900226715</v>
      </c>
      <c r="D331" s="8">
        <v>44214.721192129633</v>
      </c>
      <c r="E331" s="8">
        <v>44252.638888888891</v>
      </c>
      <c r="F331" s="7">
        <v>2015441</v>
      </c>
      <c r="G331" s="7">
        <v>0</v>
      </c>
      <c r="H331" s="7">
        <v>0</v>
      </c>
      <c r="I331" s="7">
        <v>0</v>
      </c>
      <c r="J331" s="7">
        <v>0</v>
      </c>
      <c r="K331" s="7">
        <v>2015441</v>
      </c>
    </row>
    <row r="332" spans="1:11" x14ac:dyDescent="0.25">
      <c r="A332" s="6">
        <v>46231</v>
      </c>
      <c r="B332" s="7" t="str">
        <f>"FEHF0000075998"</f>
        <v>FEHF0000075998</v>
      </c>
      <c r="C332" s="7">
        <v>900226715</v>
      </c>
      <c r="D332" s="8">
        <v>44215.589328703703</v>
      </c>
      <c r="E332" s="8">
        <v>44252.638888888891</v>
      </c>
      <c r="F332" s="7">
        <v>7287704</v>
      </c>
      <c r="G332" s="7">
        <v>0</v>
      </c>
      <c r="H332" s="7">
        <v>0</v>
      </c>
      <c r="I332" s="7">
        <v>4124243</v>
      </c>
      <c r="J332" s="7">
        <v>0</v>
      </c>
      <c r="K332" s="7">
        <v>3163461</v>
      </c>
    </row>
    <row r="333" spans="1:11" x14ac:dyDescent="0.25">
      <c r="A333" s="6">
        <v>46288</v>
      </c>
      <c r="B333" s="7" t="str">
        <f>"FEHF0000075999"</f>
        <v>FEHF0000075999</v>
      </c>
      <c r="C333" s="7">
        <v>900226715</v>
      </c>
      <c r="D333" s="8">
        <v>44215.591365740744</v>
      </c>
      <c r="E333" s="8">
        <v>44236.708333333336</v>
      </c>
      <c r="F333" s="7">
        <v>99423</v>
      </c>
      <c r="G333" s="7">
        <v>0</v>
      </c>
      <c r="H333" s="7">
        <v>0</v>
      </c>
      <c r="I333" s="7">
        <v>0</v>
      </c>
      <c r="J333" s="7">
        <v>0</v>
      </c>
      <c r="K333" s="7">
        <v>99423</v>
      </c>
    </row>
    <row r="334" spans="1:11" x14ac:dyDescent="0.25">
      <c r="A334" s="6">
        <v>46231</v>
      </c>
      <c r="B334" s="7" t="str">
        <f>"FEHF0000076471"</f>
        <v>FEHF0000076471</v>
      </c>
      <c r="C334" s="7">
        <v>900226715</v>
      </c>
      <c r="D334" s="8">
        <v>44216.750752314816</v>
      </c>
      <c r="E334" s="8">
        <v>44252.638888888891</v>
      </c>
      <c r="F334" s="7">
        <v>2329355</v>
      </c>
      <c r="G334" s="7">
        <v>0</v>
      </c>
      <c r="H334" s="7">
        <v>0</v>
      </c>
      <c r="I334" s="7">
        <v>1007721</v>
      </c>
      <c r="J334" s="7">
        <v>0</v>
      </c>
      <c r="K334" s="7">
        <v>1321634</v>
      </c>
    </row>
    <row r="335" spans="1:11" x14ac:dyDescent="0.25">
      <c r="A335" s="6">
        <v>46231</v>
      </c>
      <c r="B335" s="7" t="str">
        <f>"FEHF0000078173"</f>
        <v>FEHF0000078173</v>
      </c>
      <c r="C335" s="7">
        <v>900226715</v>
      </c>
      <c r="D335" s="8">
        <v>44221.680474537039</v>
      </c>
      <c r="E335" s="8">
        <v>44252.638888888891</v>
      </c>
      <c r="F335" s="7">
        <v>128733</v>
      </c>
      <c r="G335" s="7">
        <v>0</v>
      </c>
      <c r="H335" s="7">
        <v>0</v>
      </c>
      <c r="I335" s="7">
        <v>25950</v>
      </c>
      <c r="J335" s="7">
        <v>0</v>
      </c>
      <c r="K335" s="7">
        <v>102783</v>
      </c>
    </row>
    <row r="336" spans="1:11" x14ac:dyDescent="0.25">
      <c r="A336" s="6">
        <v>46231</v>
      </c>
      <c r="B336" s="7" t="str">
        <f>"FEHF0000078465"</f>
        <v>FEHF0000078465</v>
      </c>
      <c r="C336" s="7">
        <v>900226715</v>
      </c>
      <c r="D336" s="8">
        <v>44222.404097222221</v>
      </c>
      <c r="E336" s="8">
        <v>44252.638888888891</v>
      </c>
      <c r="F336" s="7">
        <v>1227871</v>
      </c>
      <c r="G336" s="7">
        <v>0</v>
      </c>
      <c r="H336" s="7">
        <v>0</v>
      </c>
      <c r="I336" s="7">
        <v>0</v>
      </c>
      <c r="J336" s="7">
        <v>0</v>
      </c>
      <c r="K336" s="7">
        <v>1227871</v>
      </c>
    </row>
    <row r="337" spans="1:11" x14ac:dyDescent="0.25">
      <c r="A337" s="6">
        <v>46231</v>
      </c>
      <c r="B337" s="7" t="str">
        <f>"FEHF0000078722"</f>
        <v>FEHF0000078722</v>
      </c>
      <c r="C337" s="7">
        <v>900226715</v>
      </c>
      <c r="D337" s="8">
        <v>44222.67224537037</v>
      </c>
      <c r="E337" s="8">
        <v>44252.638888888891</v>
      </c>
      <c r="F337" s="7">
        <v>54724</v>
      </c>
      <c r="G337" s="7">
        <v>0</v>
      </c>
      <c r="H337" s="7">
        <v>0</v>
      </c>
      <c r="I337" s="7">
        <v>31151</v>
      </c>
      <c r="J337" s="7">
        <v>0</v>
      </c>
      <c r="K337" s="7">
        <v>23573</v>
      </c>
    </row>
    <row r="338" spans="1:11" x14ac:dyDescent="0.25">
      <c r="A338" s="6">
        <v>46231</v>
      </c>
      <c r="B338" s="7" t="str">
        <f>"FEHF0000079577"</f>
        <v>FEHF0000079577</v>
      </c>
      <c r="C338" s="7">
        <v>900226715</v>
      </c>
      <c r="D338" s="8">
        <v>44224.5547337963</v>
      </c>
      <c r="E338" s="8">
        <v>44252.638888888891</v>
      </c>
      <c r="F338" s="7">
        <v>76000</v>
      </c>
      <c r="G338" s="7">
        <v>0</v>
      </c>
      <c r="H338" s="7">
        <v>0</v>
      </c>
      <c r="I338" s="7">
        <v>0</v>
      </c>
      <c r="J338" s="7">
        <v>0</v>
      </c>
      <c r="K338" s="7">
        <v>76000</v>
      </c>
    </row>
    <row r="339" spans="1:11" x14ac:dyDescent="0.25">
      <c r="A339" s="6">
        <v>46289</v>
      </c>
      <c r="B339" s="7" t="str">
        <f>"FEHF0000080779"</f>
        <v>FEHF0000080779</v>
      </c>
      <c r="C339" s="7">
        <v>900226715</v>
      </c>
      <c r="D339" s="8">
        <v>44227.784363425926</v>
      </c>
      <c r="E339" s="8">
        <v>44236.708333333336</v>
      </c>
      <c r="F339" s="7">
        <v>99423</v>
      </c>
      <c r="G339" s="7">
        <v>0</v>
      </c>
      <c r="H339" s="7">
        <v>0</v>
      </c>
      <c r="I339" s="7">
        <v>0</v>
      </c>
      <c r="J339" s="7">
        <v>0</v>
      </c>
      <c r="K339" s="7">
        <v>99423</v>
      </c>
    </row>
    <row r="340" spans="1:11" x14ac:dyDescent="0.25">
      <c r="A340" s="6">
        <v>46228</v>
      </c>
      <c r="B340" s="7" t="str">
        <f>"FEHF0000080815"</f>
        <v>FEHF0000080815</v>
      </c>
      <c r="C340" s="7">
        <v>900226715</v>
      </c>
      <c r="D340" s="8">
        <v>44227.895138888889</v>
      </c>
      <c r="E340" s="8">
        <v>44237</v>
      </c>
      <c r="F340" s="7">
        <v>3216929</v>
      </c>
      <c r="G340" s="7">
        <v>0</v>
      </c>
      <c r="H340" s="7">
        <v>0</v>
      </c>
      <c r="I340" s="7">
        <v>2127690</v>
      </c>
      <c r="J340" s="7">
        <v>0</v>
      </c>
      <c r="K340" s="7">
        <v>1089239</v>
      </c>
    </row>
    <row r="341" spans="1:11" x14ac:dyDescent="0.25">
      <c r="A341" s="6">
        <v>46346</v>
      </c>
      <c r="B341" s="7" t="str">
        <f>"FEHF0000081273"</f>
        <v>FEHF0000081273</v>
      </c>
      <c r="C341" s="7">
        <v>900226715</v>
      </c>
      <c r="D341" s="8">
        <v>44228.9687037037</v>
      </c>
      <c r="E341" s="8">
        <v>44263</v>
      </c>
      <c r="F341" s="7">
        <v>54578</v>
      </c>
      <c r="G341" s="7">
        <v>0</v>
      </c>
      <c r="H341" s="7">
        <v>0</v>
      </c>
      <c r="I341" s="7">
        <v>53818</v>
      </c>
      <c r="J341" s="7">
        <v>0</v>
      </c>
      <c r="K341" s="7">
        <v>760</v>
      </c>
    </row>
    <row r="342" spans="1:11" x14ac:dyDescent="0.25">
      <c r="A342" s="6">
        <v>46346</v>
      </c>
      <c r="B342" s="7" t="str">
        <f>"FEHF0000082027"</f>
        <v>FEHF0000082027</v>
      </c>
      <c r="C342" s="7">
        <v>900226715</v>
      </c>
      <c r="D342" s="8">
        <v>44230.666284722225</v>
      </c>
      <c r="E342" s="8">
        <v>44263</v>
      </c>
      <c r="F342" s="7">
        <v>242166</v>
      </c>
      <c r="G342" s="7">
        <v>0</v>
      </c>
      <c r="H342" s="7">
        <v>0</v>
      </c>
      <c r="I342" s="7">
        <v>0</v>
      </c>
      <c r="J342" s="7">
        <v>0</v>
      </c>
      <c r="K342" s="7">
        <v>242166</v>
      </c>
    </row>
    <row r="343" spans="1:11" x14ac:dyDescent="0.25">
      <c r="A343" s="6">
        <v>46228</v>
      </c>
      <c r="B343" s="7" t="str">
        <f>"FEHF0000083103"</f>
        <v>FEHF0000083103</v>
      </c>
      <c r="C343" s="7">
        <v>900226715</v>
      </c>
      <c r="D343" s="8">
        <v>44232.650543981479</v>
      </c>
      <c r="E343" s="8">
        <v>44237</v>
      </c>
      <c r="F343" s="7">
        <v>7327704</v>
      </c>
      <c r="G343" s="7">
        <v>0</v>
      </c>
      <c r="H343" s="7">
        <v>0</v>
      </c>
      <c r="I343" s="7">
        <v>6594934</v>
      </c>
      <c r="J343" s="7">
        <v>0</v>
      </c>
      <c r="K343" s="7">
        <v>732770</v>
      </c>
    </row>
    <row r="344" spans="1:11" x14ac:dyDescent="0.25">
      <c r="A344" s="6">
        <v>46231</v>
      </c>
      <c r="B344" s="7" t="str">
        <f>"FEHF0000083178"</f>
        <v>FEHF0000083178</v>
      </c>
      <c r="C344" s="7">
        <v>900226715</v>
      </c>
      <c r="D344" s="8">
        <v>44232.791608796295</v>
      </c>
      <c r="E344" s="8">
        <v>44252.638888888891</v>
      </c>
      <c r="F344" s="7">
        <v>3074013</v>
      </c>
      <c r="G344" s="7">
        <v>0</v>
      </c>
      <c r="H344" s="7">
        <v>0</v>
      </c>
      <c r="I344" s="7">
        <v>1334824</v>
      </c>
      <c r="J344" s="7">
        <v>0</v>
      </c>
      <c r="K344" s="7">
        <v>1739189</v>
      </c>
    </row>
    <row r="345" spans="1:11" x14ac:dyDescent="0.25">
      <c r="A345" s="6">
        <v>46330</v>
      </c>
      <c r="B345" s="7" t="str">
        <f>"FEHF0000084635"</f>
        <v>FEHF0000084635</v>
      </c>
      <c r="C345" s="7">
        <v>900226715</v>
      </c>
      <c r="D345" s="8">
        <v>44237.507349537038</v>
      </c>
      <c r="E345" s="8">
        <v>44263</v>
      </c>
      <c r="F345" s="7">
        <v>109000</v>
      </c>
      <c r="G345" s="7">
        <v>0</v>
      </c>
      <c r="H345" s="7">
        <v>0</v>
      </c>
      <c r="I345" s="7">
        <v>0</v>
      </c>
      <c r="J345" s="7">
        <v>3500</v>
      </c>
      <c r="K345" s="7">
        <v>105500</v>
      </c>
    </row>
    <row r="346" spans="1:11" x14ac:dyDescent="0.25">
      <c r="A346" s="6">
        <v>46330</v>
      </c>
      <c r="B346" s="7" t="str">
        <f>"FEHF0000084653"</f>
        <v>FEHF0000084653</v>
      </c>
      <c r="C346" s="7">
        <v>900226715</v>
      </c>
      <c r="D346" s="8">
        <v>44237.557812500003</v>
      </c>
      <c r="E346" s="8">
        <v>44263</v>
      </c>
      <c r="F346" s="7">
        <v>191600</v>
      </c>
      <c r="G346" s="7">
        <v>0</v>
      </c>
      <c r="H346" s="7">
        <v>0</v>
      </c>
      <c r="I346" s="7">
        <v>188967</v>
      </c>
      <c r="J346" s="7">
        <v>0</v>
      </c>
      <c r="K346" s="7">
        <v>2633</v>
      </c>
    </row>
    <row r="347" spans="1:11" x14ac:dyDescent="0.25">
      <c r="A347" s="6">
        <v>46357</v>
      </c>
      <c r="B347" s="7" t="str">
        <f>"FEHF0000086220"</f>
        <v>FEHF0000086220</v>
      </c>
      <c r="C347" s="7">
        <v>900226715</v>
      </c>
      <c r="D347" s="8">
        <v>44240.392939814818</v>
      </c>
      <c r="E347" s="8">
        <v>44261</v>
      </c>
      <c r="F347" s="7">
        <v>99423</v>
      </c>
      <c r="G347" s="7">
        <v>0</v>
      </c>
      <c r="H347" s="7">
        <v>0</v>
      </c>
      <c r="I347" s="7">
        <v>0</v>
      </c>
      <c r="J347" s="7">
        <v>0</v>
      </c>
      <c r="K347" s="7">
        <v>99423</v>
      </c>
    </row>
    <row r="348" spans="1:11" x14ac:dyDescent="0.25">
      <c r="A348" s="6">
        <v>46347</v>
      </c>
      <c r="B348" s="7" t="str">
        <f>"FEHF0000086488"</f>
        <v>FEHF0000086488</v>
      </c>
      <c r="C348" s="7">
        <v>900226715</v>
      </c>
      <c r="D348" s="8">
        <v>44242.037002314813</v>
      </c>
      <c r="E348" s="8">
        <v>44263</v>
      </c>
      <c r="F348" s="7">
        <v>80307</v>
      </c>
      <c r="G348" s="7">
        <v>0</v>
      </c>
      <c r="H348" s="7">
        <v>0</v>
      </c>
      <c r="I348" s="7">
        <v>0</v>
      </c>
      <c r="J348" s="7">
        <v>0</v>
      </c>
      <c r="K348" s="7">
        <v>80307</v>
      </c>
    </row>
    <row r="349" spans="1:11" x14ac:dyDescent="0.25">
      <c r="A349" s="6">
        <v>46346</v>
      </c>
      <c r="B349" s="7" t="str">
        <f>"FEHF0000088712"</f>
        <v>FEHF0000088712</v>
      </c>
      <c r="C349" s="7">
        <v>900226715</v>
      </c>
      <c r="D349" s="8">
        <v>44245.737199074072</v>
      </c>
      <c r="E349" s="8">
        <v>44263</v>
      </c>
      <c r="F349" s="7">
        <v>56378</v>
      </c>
      <c r="G349" s="7">
        <v>0</v>
      </c>
      <c r="H349" s="7">
        <v>0</v>
      </c>
      <c r="I349" s="7">
        <v>39163</v>
      </c>
      <c r="J349" s="7">
        <v>0</v>
      </c>
      <c r="K349" s="7">
        <v>17215</v>
      </c>
    </row>
    <row r="350" spans="1:11" x14ac:dyDescent="0.25">
      <c r="A350" s="6">
        <v>46347</v>
      </c>
      <c r="B350" s="7" t="str">
        <f>"FEHF0000088887"</f>
        <v>FEHF0000088887</v>
      </c>
      <c r="C350" s="7">
        <v>900226715</v>
      </c>
      <c r="D350" s="8">
        <v>44246.34778935185</v>
      </c>
      <c r="E350" s="8">
        <v>44263</v>
      </c>
      <c r="F350" s="7">
        <v>17489288</v>
      </c>
      <c r="G350" s="7">
        <v>0</v>
      </c>
      <c r="H350" s="7">
        <v>0</v>
      </c>
      <c r="I350" s="7">
        <v>3551640</v>
      </c>
      <c r="J350" s="7">
        <v>0</v>
      </c>
      <c r="K350" s="7">
        <v>13937648</v>
      </c>
    </row>
    <row r="351" spans="1:11" x14ac:dyDescent="0.25">
      <c r="A351" s="6">
        <v>46346</v>
      </c>
      <c r="B351" s="7" t="str">
        <f>"FEHF0000089699"</f>
        <v>FEHF0000089699</v>
      </c>
      <c r="C351" s="7">
        <v>900226715</v>
      </c>
      <c r="D351" s="8">
        <v>44248.66747685185</v>
      </c>
      <c r="E351" s="8">
        <v>44263</v>
      </c>
      <c r="F351" s="7">
        <v>147925</v>
      </c>
      <c r="G351" s="7">
        <v>0</v>
      </c>
      <c r="H351" s="7">
        <v>0</v>
      </c>
      <c r="I351" s="7">
        <v>68029</v>
      </c>
      <c r="J351" s="7">
        <v>0</v>
      </c>
      <c r="K351" s="7">
        <v>79896</v>
      </c>
    </row>
    <row r="352" spans="1:11" x14ac:dyDescent="0.25">
      <c r="A352" s="6">
        <v>46325</v>
      </c>
      <c r="B352" s="7" t="str">
        <f>"FEHF0000090464"</f>
        <v>FEHF0000090464</v>
      </c>
      <c r="C352" s="7">
        <v>900226715</v>
      </c>
      <c r="D352" s="8">
        <v>44250.331365740742</v>
      </c>
      <c r="E352" s="8">
        <v>44263</v>
      </c>
      <c r="F352" s="7">
        <v>894500</v>
      </c>
      <c r="G352" s="7">
        <v>0</v>
      </c>
      <c r="H352" s="7">
        <v>0</v>
      </c>
      <c r="I352" s="7">
        <v>0</v>
      </c>
      <c r="J352" s="7">
        <v>0</v>
      </c>
      <c r="K352" s="7">
        <v>894500</v>
      </c>
    </row>
    <row r="353" spans="1:11" x14ac:dyDescent="0.25">
      <c r="A353" s="6">
        <v>46346</v>
      </c>
      <c r="B353" s="7" t="str">
        <f>"FEHF0000092647"</f>
        <v>FEHF0000092647</v>
      </c>
      <c r="C353" s="7">
        <v>900226715</v>
      </c>
      <c r="D353" s="8">
        <v>44253.513969907406</v>
      </c>
      <c r="E353" s="8">
        <v>44263</v>
      </c>
      <c r="F353" s="7">
        <v>54724</v>
      </c>
      <c r="G353" s="7">
        <v>0</v>
      </c>
      <c r="H353" s="7">
        <v>0</v>
      </c>
      <c r="I353" s="7">
        <v>39163</v>
      </c>
      <c r="J353" s="7">
        <v>0</v>
      </c>
      <c r="K353" s="7">
        <v>15561</v>
      </c>
    </row>
    <row r="354" spans="1:11" x14ac:dyDescent="0.25">
      <c r="A354" s="6">
        <v>46347</v>
      </c>
      <c r="B354" s="7" t="str">
        <f>"FEHF0000092971"</f>
        <v>FEHF0000092971</v>
      </c>
      <c r="C354" s="7">
        <v>900226715</v>
      </c>
      <c r="D354" s="8">
        <v>44253.966145833336</v>
      </c>
      <c r="E354" s="8">
        <v>44263</v>
      </c>
      <c r="F354" s="7">
        <v>4379799</v>
      </c>
      <c r="G354" s="7">
        <v>0</v>
      </c>
      <c r="H354" s="7">
        <v>0</v>
      </c>
      <c r="I354" s="7">
        <v>3585239</v>
      </c>
      <c r="J354" s="7">
        <v>0</v>
      </c>
      <c r="K354" s="7">
        <v>794560</v>
      </c>
    </row>
    <row r="355" spans="1:11" x14ac:dyDescent="0.25">
      <c r="A355" s="6">
        <v>46347</v>
      </c>
      <c r="B355" s="7" t="str">
        <f>"FEHF0000093195"</f>
        <v>FEHF0000093195</v>
      </c>
      <c r="C355" s="7">
        <v>900226715</v>
      </c>
      <c r="D355" s="8">
        <v>44254.71292824074</v>
      </c>
      <c r="E355" s="8">
        <v>44263</v>
      </c>
      <c r="F355" s="7">
        <v>268624</v>
      </c>
      <c r="G355" s="7">
        <v>0</v>
      </c>
      <c r="H355" s="7">
        <v>0</v>
      </c>
      <c r="I355" s="7">
        <v>0</v>
      </c>
      <c r="J355" s="7">
        <v>0</v>
      </c>
      <c r="K355" s="7">
        <v>268624</v>
      </c>
    </row>
    <row r="356" spans="1:11" x14ac:dyDescent="0.25">
      <c r="A356" s="6">
        <v>46347</v>
      </c>
      <c r="B356" s="7" t="str">
        <f>"FEHF0000093400"</f>
        <v>FEHF0000093400</v>
      </c>
      <c r="C356" s="7">
        <v>900226715</v>
      </c>
      <c r="D356" s="8">
        <v>44255.770636574074</v>
      </c>
      <c r="E356" s="8">
        <v>44263</v>
      </c>
      <c r="F356" s="7">
        <v>1933298</v>
      </c>
      <c r="G356" s="7">
        <v>0</v>
      </c>
      <c r="H356" s="7">
        <v>0</v>
      </c>
      <c r="I356" s="7">
        <v>102400</v>
      </c>
      <c r="J356" s="7">
        <v>0</v>
      </c>
      <c r="K356" s="7">
        <v>1830898</v>
      </c>
    </row>
    <row r="357" spans="1:11" x14ac:dyDescent="0.25">
      <c r="A357" s="6">
        <v>46347</v>
      </c>
      <c r="B357" s="7" t="str">
        <f>"FEHF0000094875"</f>
        <v>FEHF0000094875</v>
      </c>
      <c r="C357" s="7">
        <v>900226715</v>
      </c>
      <c r="D357" s="8">
        <v>44258.457986111112</v>
      </c>
      <c r="E357" s="8">
        <v>44263</v>
      </c>
      <c r="F357" s="7">
        <v>1159658</v>
      </c>
      <c r="G357" s="7">
        <v>0</v>
      </c>
      <c r="H357" s="7">
        <v>0</v>
      </c>
      <c r="I357" s="7">
        <v>144000</v>
      </c>
      <c r="J357" s="7">
        <v>0</v>
      </c>
      <c r="K357" s="7">
        <v>1015658</v>
      </c>
    </row>
    <row r="358" spans="1:11" x14ac:dyDescent="0.25">
      <c r="A358" s="6">
        <v>46447</v>
      </c>
      <c r="B358" s="7" t="str">
        <f>"FEHF0000097312"</f>
        <v>FEHF0000097312</v>
      </c>
      <c r="C358" s="7">
        <v>900226715</v>
      </c>
      <c r="D358" s="8">
        <v>44263.564363425925</v>
      </c>
      <c r="E358" s="8">
        <v>44292</v>
      </c>
      <c r="F358" s="7">
        <v>32700</v>
      </c>
      <c r="G358" s="7">
        <v>0</v>
      </c>
      <c r="H358" s="7">
        <v>0</v>
      </c>
      <c r="I358" s="7">
        <v>0</v>
      </c>
      <c r="J358" s="7">
        <v>0</v>
      </c>
      <c r="K358" s="7">
        <v>32700</v>
      </c>
    </row>
    <row r="359" spans="1:11" x14ac:dyDescent="0.25">
      <c r="A359" s="6">
        <v>46471</v>
      </c>
      <c r="B359" s="7" t="str">
        <f>"FEHF0000100302"</f>
        <v>FEHF0000100302</v>
      </c>
      <c r="C359" s="7">
        <v>900226715</v>
      </c>
      <c r="D359" s="8">
        <v>44268.789571759262</v>
      </c>
      <c r="E359" s="8">
        <v>44292</v>
      </c>
      <c r="F359" s="7">
        <v>262506</v>
      </c>
      <c r="G359" s="7">
        <v>0</v>
      </c>
      <c r="H359" s="7">
        <v>0</v>
      </c>
      <c r="I359" s="7">
        <v>0</v>
      </c>
      <c r="J359" s="7">
        <v>0</v>
      </c>
      <c r="K359" s="7">
        <v>262506</v>
      </c>
    </row>
    <row r="360" spans="1:11" x14ac:dyDescent="0.25">
      <c r="A360" s="6">
        <v>46471</v>
      </c>
      <c r="B360" s="7" t="str">
        <f>"FEHF0000100431"</f>
        <v>FEHF0000100431</v>
      </c>
      <c r="C360" s="7">
        <v>900226715</v>
      </c>
      <c r="D360" s="8">
        <v>44269.819120370368</v>
      </c>
      <c r="E360" s="8">
        <v>44292</v>
      </c>
      <c r="F360" s="7">
        <v>2616130</v>
      </c>
      <c r="G360" s="7">
        <v>0</v>
      </c>
      <c r="H360" s="7">
        <v>0</v>
      </c>
      <c r="I360" s="7">
        <v>1668962</v>
      </c>
      <c r="J360" s="7">
        <v>0</v>
      </c>
      <c r="K360" s="7">
        <v>947168</v>
      </c>
    </row>
    <row r="361" spans="1:11" x14ac:dyDescent="0.25">
      <c r="A361" s="6">
        <v>46447</v>
      </c>
      <c r="B361" s="7" t="str">
        <f>"FEHF0000100880"</f>
        <v>FEHF0000100880</v>
      </c>
      <c r="C361" s="7">
        <v>900226715</v>
      </c>
      <c r="D361" s="8">
        <v>44270.501388888886</v>
      </c>
      <c r="E361" s="8">
        <v>44292</v>
      </c>
      <c r="F361" s="7">
        <v>47200</v>
      </c>
      <c r="G361" s="7">
        <v>0</v>
      </c>
      <c r="H361" s="7">
        <v>0</v>
      </c>
      <c r="I361" s="7">
        <v>0</v>
      </c>
      <c r="J361" s="7">
        <v>0</v>
      </c>
      <c r="K361" s="7">
        <v>47200</v>
      </c>
    </row>
    <row r="362" spans="1:11" x14ac:dyDescent="0.25">
      <c r="A362" s="6">
        <v>46471</v>
      </c>
      <c r="B362" s="7" t="str">
        <f>"FEHF0000104089"</f>
        <v>FEHF0000104089</v>
      </c>
      <c r="C362" s="7">
        <v>900226715</v>
      </c>
      <c r="D362" s="8">
        <v>44276.488495370373</v>
      </c>
      <c r="E362" s="8">
        <v>44292</v>
      </c>
      <c r="F362" s="7">
        <v>177632</v>
      </c>
      <c r="G362" s="7">
        <v>0</v>
      </c>
      <c r="H362" s="7">
        <v>0</v>
      </c>
      <c r="I362" s="7">
        <v>0</v>
      </c>
      <c r="J362" s="7">
        <v>0</v>
      </c>
      <c r="K362" s="7">
        <v>177632</v>
      </c>
    </row>
    <row r="363" spans="1:11" x14ac:dyDescent="0.25">
      <c r="A363" s="6">
        <v>46449</v>
      </c>
      <c r="B363" s="7" t="str">
        <f>"FEHF0000104288"</f>
        <v>FEHF0000104288</v>
      </c>
      <c r="C363" s="7">
        <v>900226715</v>
      </c>
      <c r="D363" s="8">
        <v>44277.685254629629</v>
      </c>
      <c r="E363" s="8">
        <v>44292</v>
      </c>
      <c r="F363" s="7">
        <v>2221367</v>
      </c>
      <c r="G363" s="7">
        <v>0</v>
      </c>
      <c r="H363" s="7">
        <v>0</v>
      </c>
      <c r="I363" s="7">
        <v>111500</v>
      </c>
      <c r="J363" s="7">
        <v>0</v>
      </c>
      <c r="K363" s="7">
        <v>2109867</v>
      </c>
    </row>
    <row r="364" spans="1:11" x14ac:dyDescent="0.25">
      <c r="A364" s="6">
        <v>46447</v>
      </c>
      <c r="B364" s="7" t="str">
        <f>"FEHF0000105921"</f>
        <v>FEHF0000105921</v>
      </c>
      <c r="C364" s="7">
        <v>900226715</v>
      </c>
      <c r="D364" s="8">
        <v>44280.361817129633</v>
      </c>
      <c r="E364" s="8">
        <v>44292</v>
      </c>
      <c r="F364" s="7">
        <v>32700</v>
      </c>
      <c r="G364" s="7">
        <v>0</v>
      </c>
      <c r="H364" s="7">
        <v>0</v>
      </c>
      <c r="I364" s="7">
        <v>30202</v>
      </c>
      <c r="J364" s="7">
        <v>0</v>
      </c>
      <c r="K364" s="7">
        <v>2498</v>
      </c>
    </row>
    <row r="365" spans="1:11" x14ac:dyDescent="0.25">
      <c r="A365" s="6">
        <v>46471</v>
      </c>
      <c r="B365" s="7" t="str">
        <f>"FEHF0000107346"</f>
        <v>FEHF0000107346</v>
      </c>
      <c r="C365" s="7">
        <v>900226715</v>
      </c>
      <c r="D365" s="8">
        <v>44283.078541666669</v>
      </c>
      <c r="E365" s="8">
        <v>44292</v>
      </c>
      <c r="F365" s="7">
        <v>54511</v>
      </c>
      <c r="G365" s="7">
        <v>0</v>
      </c>
      <c r="H365" s="7">
        <v>0</v>
      </c>
      <c r="I365" s="7">
        <v>0</v>
      </c>
      <c r="J365" s="7">
        <v>0</v>
      </c>
      <c r="K365" s="7">
        <v>54511</v>
      </c>
    </row>
    <row r="366" spans="1:11" x14ac:dyDescent="0.25">
      <c r="A366" s="6">
        <v>46447</v>
      </c>
      <c r="B366" s="7" t="str">
        <f>"FEHF0000108346"</f>
        <v>FEHF0000108346</v>
      </c>
      <c r="C366" s="7">
        <v>900226715</v>
      </c>
      <c r="D366" s="8">
        <v>44285.324282407404</v>
      </c>
      <c r="E366" s="8">
        <v>44292</v>
      </c>
      <c r="F366" s="7">
        <v>22600</v>
      </c>
      <c r="G366" s="7">
        <v>0</v>
      </c>
      <c r="H366" s="7">
        <v>0</v>
      </c>
      <c r="I366" s="7">
        <v>0</v>
      </c>
      <c r="J366" s="7">
        <v>0</v>
      </c>
      <c r="K366" s="7">
        <v>22600</v>
      </c>
    </row>
    <row r="367" spans="1:11" x14ac:dyDescent="0.25">
      <c r="A367" s="6">
        <v>46447</v>
      </c>
      <c r="B367" s="7" t="str">
        <f>"FEHF0000108427"</f>
        <v>FEHF0000108427</v>
      </c>
      <c r="C367" s="7">
        <v>900226715</v>
      </c>
      <c r="D367" s="8">
        <v>44285.354317129626</v>
      </c>
      <c r="E367" s="8">
        <v>44292</v>
      </c>
      <c r="F367" s="7">
        <v>44200</v>
      </c>
      <c r="G367" s="7">
        <v>0</v>
      </c>
      <c r="H367" s="7">
        <v>0</v>
      </c>
      <c r="I367" s="7">
        <v>0</v>
      </c>
      <c r="J367" s="7">
        <v>0</v>
      </c>
      <c r="K367" s="7">
        <v>44200</v>
      </c>
    </row>
    <row r="368" spans="1:11" x14ac:dyDescent="0.25">
      <c r="A368" s="6">
        <v>46449</v>
      </c>
      <c r="B368" s="7" t="str">
        <f>"FEHF0000109727"</f>
        <v>FEHF0000109727</v>
      </c>
      <c r="C368" s="7">
        <v>900226715</v>
      </c>
      <c r="D368" s="8">
        <v>44286.921180555553</v>
      </c>
      <c r="E368" s="8">
        <v>44292</v>
      </c>
      <c r="F368" s="7">
        <v>153144</v>
      </c>
      <c r="G368" s="7">
        <v>0</v>
      </c>
      <c r="H368" s="7">
        <v>0</v>
      </c>
      <c r="I368" s="7">
        <v>0</v>
      </c>
      <c r="J368" s="7">
        <v>0</v>
      </c>
      <c r="K368" s="7">
        <v>153144</v>
      </c>
    </row>
    <row r="369" spans="1:11" x14ac:dyDescent="0.25">
      <c r="A369" s="6">
        <v>46586</v>
      </c>
      <c r="B369" s="7" t="str">
        <f>"FEHF0000110373"</f>
        <v>FEHF0000110373</v>
      </c>
      <c r="C369" s="7">
        <v>900226715</v>
      </c>
      <c r="D369" s="8">
        <v>44291.314201388886</v>
      </c>
      <c r="E369" s="8">
        <v>44323</v>
      </c>
      <c r="F369" s="7">
        <v>22300</v>
      </c>
      <c r="G369" s="7">
        <v>0</v>
      </c>
      <c r="H369" s="7">
        <v>0</v>
      </c>
      <c r="I369" s="7">
        <v>0</v>
      </c>
      <c r="J369" s="7">
        <v>0</v>
      </c>
      <c r="K369" s="7">
        <v>22300</v>
      </c>
    </row>
    <row r="370" spans="1:11" x14ac:dyDescent="0.25">
      <c r="A370" s="6">
        <v>46586</v>
      </c>
      <c r="B370" s="7" t="str">
        <f>"FEHF0000110382"</f>
        <v>FEHF0000110382</v>
      </c>
      <c r="C370" s="7">
        <v>900226715</v>
      </c>
      <c r="D370" s="8">
        <v>44291.317175925928</v>
      </c>
      <c r="E370" s="8">
        <v>44323</v>
      </c>
      <c r="F370" s="7">
        <v>22300</v>
      </c>
      <c r="G370" s="7">
        <v>0</v>
      </c>
      <c r="H370" s="7">
        <v>0</v>
      </c>
      <c r="I370" s="7">
        <v>0</v>
      </c>
      <c r="J370" s="7">
        <v>0</v>
      </c>
      <c r="K370" s="7">
        <v>22300</v>
      </c>
    </row>
    <row r="371" spans="1:11" x14ac:dyDescent="0.25">
      <c r="A371" s="6">
        <v>46585</v>
      </c>
      <c r="B371" s="7" t="str">
        <f>"FEHF0000111288"</f>
        <v>FEHF0000111288</v>
      </c>
      <c r="C371" s="7">
        <v>900226715</v>
      </c>
      <c r="D371" s="8">
        <v>44292.361863425926</v>
      </c>
      <c r="E371" s="8">
        <v>44323</v>
      </c>
      <c r="F371" s="7">
        <v>47200</v>
      </c>
      <c r="G371" s="7">
        <v>0</v>
      </c>
      <c r="H371" s="7">
        <v>0</v>
      </c>
      <c r="I371" s="7">
        <v>0</v>
      </c>
      <c r="J371" s="7">
        <v>3500</v>
      </c>
      <c r="K371" s="7">
        <v>43700</v>
      </c>
    </row>
    <row r="372" spans="1:11" x14ac:dyDescent="0.25">
      <c r="A372" s="6">
        <v>46593</v>
      </c>
      <c r="B372" s="7" t="str">
        <f>"FEHF0000111724"</f>
        <v>FEHF0000111724</v>
      </c>
      <c r="C372" s="7">
        <v>900226715</v>
      </c>
      <c r="D372" s="8">
        <v>44292.64234953704</v>
      </c>
      <c r="E372" s="8">
        <v>44323</v>
      </c>
      <c r="F372" s="7">
        <v>53700</v>
      </c>
      <c r="G372" s="7">
        <v>0</v>
      </c>
      <c r="H372" s="7">
        <v>0</v>
      </c>
      <c r="I372" s="7">
        <v>0</v>
      </c>
      <c r="J372" s="7">
        <v>0</v>
      </c>
      <c r="K372" s="7">
        <v>53700</v>
      </c>
    </row>
    <row r="373" spans="1:11" x14ac:dyDescent="0.25">
      <c r="A373" s="6">
        <v>46586</v>
      </c>
      <c r="B373" s="7" t="str">
        <f>"FEHF0000112093"</f>
        <v>FEHF0000112093</v>
      </c>
      <c r="C373" s="7">
        <v>900226715</v>
      </c>
      <c r="D373" s="8">
        <v>44293.393217592595</v>
      </c>
      <c r="E373" s="8">
        <v>44323</v>
      </c>
      <c r="F373" s="7">
        <v>47200</v>
      </c>
      <c r="G373" s="7">
        <v>0</v>
      </c>
      <c r="H373" s="7">
        <v>0</v>
      </c>
      <c r="I373" s="7">
        <v>0</v>
      </c>
      <c r="J373" s="7">
        <v>0</v>
      </c>
      <c r="K373" s="7">
        <v>47200</v>
      </c>
    </row>
    <row r="374" spans="1:11" x14ac:dyDescent="0.25">
      <c r="A374" s="6">
        <v>46586</v>
      </c>
      <c r="B374" s="7" t="str">
        <f>"FEHF0000112151"</f>
        <v>FEHF0000112151</v>
      </c>
      <c r="C374" s="7">
        <v>900226715</v>
      </c>
      <c r="D374" s="8">
        <v>44293.432812500003</v>
      </c>
      <c r="E374" s="8">
        <v>44323</v>
      </c>
      <c r="F374" s="7">
        <v>32700</v>
      </c>
      <c r="G374" s="7">
        <v>0</v>
      </c>
      <c r="H374" s="7">
        <v>0</v>
      </c>
      <c r="I374" s="7">
        <v>0</v>
      </c>
      <c r="J374" s="7">
        <v>0</v>
      </c>
      <c r="K374" s="7">
        <v>32700</v>
      </c>
    </row>
    <row r="375" spans="1:11" x14ac:dyDescent="0.25">
      <c r="A375" s="6">
        <v>46593</v>
      </c>
      <c r="B375" s="7" t="str">
        <f>"FEHF0000114834"</f>
        <v>FEHF0000114834</v>
      </c>
      <c r="C375" s="7">
        <v>900226715</v>
      </c>
      <c r="D375" s="8">
        <v>44298.749305555553</v>
      </c>
      <c r="E375" s="8">
        <v>44323</v>
      </c>
      <c r="F375" s="7">
        <v>3115738</v>
      </c>
      <c r="G375" s="7">
        <v>0</v>
      </c>
      <c r="H375" s="7">
        <v>0</v>
      </c>
      <c r="I375" s="7">
        <v>0</v>
      </c>
      <c r="J375" s="7">
        <v>0</v>
      </c>
      <c r="K375" s="7">
        <v>3115738</v>
      </c>
    </row>
    <row r="376" spans="1:11" x14ac:dyDescent="0.25">
      <c r="A376" s="6">
        <v>46593</v>
      </c>
      <c r="B376" s="7" t="str">
        <f>"FEHF0000117758"</f>
        <v>FEHF0000117758</v>
      </c>
      <c r="C376" s="7">
        <v>900226715</v>
      </c>
      <c r="D376" s="8">
        <v>44303.197708333333</v>
      </c>
      <c r="E376" s="8">
        <v>44323</v>
      </c>
      <c r="F376" s="7">
        <v>161741</v>
      </c>
      <c r="G376" s="7">
        <v>0</v>
      </c>
      <c r="H376" s="7">
        <v>0</v>
      </c>
      <c r="I376" s="7">
        <v>0</v>
      </c>
      <c r="J376" s="7">
        <v>0</v>
      </c>
      <c r="K376" s="7">
        <v>161741</v>
      </c>
    </row>
    <row r="377" spans="1:11" x14ac:dyDescent="0.25">
      <c r="A377" s="6">
        <v>46595</v>
      </c>
      <c r="B377" s="7" t="str">
        <f>"FEHF0000118106"</f>
        <v>FEHF0000118106</v>
      </c>
      <c r="C377" s="7">
        <v>900226715</v>
      </c>
      <c r="D377" s="8">
        <v>44304.609664351854</v>
      </c>
      <c r="E377" s="8">
        <v>44323</v>
      </c>
      <c r="F377" s="7">
        <v>674374</v>
      </c>
      <c r="G377" s="7">
        <v>0</v>
      </c>
      <c r="H377" s="7">
        <v>0</v>
      </c>
      <c r="I377" s="7">
        <v>220690</v>
      </c>
      <c r="J377" s="7">
        <v>0</v>
      </c>
      <c r="K377" s="7">
        <v>453684</v>
      </c>
    </row>
    <row r="378" spans="1:11" x14ac:dyDescent="0.25">
      <c r="A378" s="6">
        <v>46586</v>
      </c>
      <c r="B378" s="7" t="str">
        <f>"FEHF0000119453"</f>
        <v>FEHF0000119453</v>
      </c>
      <c r="C378" s="7">
        <v>900226715</v>
      </c>
      <c r="D378" s="8">
        <v>44306.574861111112</v>
      </c>
      <c r="E378" s="8">
        <v>44323</v>
      </c>
      <c r="F378" s="7">
        <v>109000</v>
      </c>
      <c r="G378" s="7">
        <v>0</v>
      </c>
      <c r="H378" s="7">
        <v>0</v>
      </c>
      <c r="I378" s="7">
        <v>0</v>
      </c>
      <c r="J378" s="7">
        <v>0</v>
      </c>
      <c r="K378" s="7">
        <v>109000</v>
      </c>
    </row>
    <row r="379" spans="1:11" x14ac:dyDescent="0.25">
      <c r="A379" s="6">
        <v>46586</v>
      </c>
      <c r="B379" s="7" t="str">
        <f>"FEHF0000120166"</f>
        <v>FEHF0000120166</v>
      </c>
      <c r="C379" s="7">
        <v>900226715</v>
      </c>
      <c r="D379" s="8">
        <v>44307.558923611112</v>
      </c>
      <c r="E379" s="8">
        <v>44323</v>
      </c>
      <c r="F379" s="7">
        <v>37600</v>
      </c>
      <c r="G379" s="7">
        <v>0</v>
      </c>
      <c r="H379" s="7">
        <v>0</v>
      </c>
      <c r="I379" s="7">
        <v>18098</v>
      </c>
      <c r="J379" s="7">
        <v>0</v>
      </c>
      <c r="K379" s="7">
        <v>19502</v>
      </c>
    </row>
    <row r="380" spans="1:11" x14ac:dyDescent="0.25">
      <c r="A380" s="6">
        <v>46593</v>
      </c>
      <c r="B380" s="7" t="str">
        <f>"FEHF0000120566"</f>
        <v>FEHF0000120566</v>
      </c>
      <c r="C380" s="7">
        <v>900226715</v>
      </c>
      <c r="D380" s="8">
        <v>44308.36645833333</v>
      </c>
      <c r="E380" s="8">
        <v>44323</v>
      </c>
      <c r="F380" s="7">
        <v>1013062</v>
      </c>
      <c r="G380" s="7">
        <v>0</v>
      </c>
      <c r="H380" s="7">
        <v>0</v>
      </c>
      <c r="I380" s="7">
        <v>107087</v>
      </c>
      <c r="J380" s="7">
        <v>0</v>
      </c>
      <c r="K380" s="7">
        <v>905975</v>
      </c>
    </row>
    <row r="381" spans="1:11" x14ac:dyDescent="0.25">
      <c r="A381" s="6">
        <v>46586</v>
      </c>
      <c r="B381" s="7" t="str">
        <f>"FEHF0000120906"</f>
        <v>FEHF0000120906</v>
      </c>
      <c r="C381" s="7">
        <v>900226715</v>
      </c>
      <c r="D381" s="8">
        <v>44308.609918981485</v>
      </c>
      <c r="E381" s="8">
        <v>44323</v>
      </c>
      <c r="F381" s="7">
        <v>32700</v>
      </c>
      <c r="G381" s="7">
        <v>0</v>
      </c>
      <c r="H381" s="7">
        <v>0</v>
      </c>
      <c r="I381" s="7">
        <v>0</v>
      </c>
      <c r="J381" s="7">
        <v>0</v>
      </c>
      <c r="K381" s="7">
        <v>32700</v>
      </c>
    </row>
    <row r="382" spans="1:11" x14ac:dyDescent="0.25">
      <c r="A382" s="6">
        <v>46585</v>
      </c>
      <c r="B382" s="7" t="str">
        <f>"FEHF0000120941"</f>
        <v>FEHF0000120941</v>
      </c>
      <c r="C382" s="7">
        <v>900226715</v>
      </c>
      <c r="D382" s="8">
        <v>44308.639270833337</v>
      </c>
      <c r="E382" s="8">
        <v>44323</v>
      </c>
      <c r="F382" s="7">
        <v>119200</v>
      </c>
      <c r="G382" s="7">
        <v>0</v>
      </c>
      <c r="H382" s="7">
        <v>0</v>
      </c>
      <c r="I382" s="7">
        <v>0</v>
      </c>
      <c r="J382" s="7">
        <v>3500</v>
      </c>
      <c r="K382" s="7">
        <v>115700</v>
      </c>
    </row>
    <row r="383" spans="1:11" x14ac:dyDescent="0.25">
      <c r="A383" s="6">
        <v>46586</v>
      </c>
      <c r="B383" s="7" t="str">
        <f>"FEHF0000120993"</f>
        <v>FEHF0000120993</v>
      </c>
      <c r="C383" s="7">
        <v>900226715</v>
      </c>
      <c r="D383" s="8">
        <v>44308.69253472222</v>
      </c>
      <c r="E383" s="8">
        <v>44323</v>
      </c>
      <c r="F383" s="7">
        <v>109000</v>
      </c>
      <c r="G383" s="7">
        <v>0</v>
      </c>
      <c r="H383" s="7">
        <v>0</v>
      </c>
      <c r="I383" s="7">
        <v>0</v>
      </c>
      <c r="J383" s="7">
        <v>0</v>
      </c>
      <c r="K383" s="7">
        <v>109000</v>
      </c>
    </row>
    <row r="384" spans="1:11" x14ac:dyDescent="0.25">
      <c r="A384" s="6">
        <v>46586</v>
      </c>
      <c r="B384" s="7" t="str">
        <f>"FEHF0000121114"</f>
        <v>FEHF0000121114</v>
      </c>
      <c r="C384" s="7">
        <v>900226715</v>
      </c>
      <c r="D384" s="8">
        <v>44309.284270833334</v>
      </c>
      <c r="E384" s="8">
        <v>44323</v>
      </c>
      <c r="F384" s="7">
        <v>32700</v>
      </c>
      <c r="G384" s="7">
        <v>0</v>
      </c>
      <c r="H384" s="7">
        <v>0</v>
      </c>
      <c r="I384" s="7">
        <v>0</v>
      </c>
      <c r="J384" s="7">
        <v>0</v>
      </c>
      <c r="K384" s="7">
        <v>32700</v>
      </c>
    </row>
    <row r="385" spans="1:11" x14ac:dyDescent="0.25">
      <c r="A385" s="6">
        <v>46586</v>
      </c>
      <c r="B385" s="7" t="str">
        <f>"FEHF0000121116"</f>
        <v>FEHF0000121116</v>
      </c>
      <c r="C385" s="7">
        <v>900226715</v>
      </c>
      <c r="D385" s="8">
        <v>44309.285057870373</v>
      </c>
      <c r="E385" s="8">
        <v>44323</v>
      </c>
      <c r="F385" s="7">
        <v>32700</v>
      </c>
      <c r="G385" s="7">
        <v>0</v>
      </c>
      <c r="H385" s="7">
        <v>0</v>
      </c>
      <c r="I385" s="7">
        <v>0</v>
      </c>
      <c r="J385" s="7">
        <v>0</v>
      </c>
      <c r="K385" s="7">
        <v>32700</v>
      </c>
    </row>
    <row r="386" spans="1:11" x14ac:dyDescent="0.25">
      <c r="A386" s="6">
        <v>46586</v>
      </c>
      <c r="B386" s="7" t="str">
        <f>"FEHF0000121429"</f>
        <v>FEHF0000121429</v>
      </c>
      <c r="C386" s="7">
        <v>900226715</v>
      </c>
      <c r="D386" s="8">
        <v>44309.42627314815</v>
      </c>
      <c r="E386" s="8">
        <v>44323</v>
      </c>
      <c r="F386" s="7">
        <v>22300</v>
      </c>
      <c r="G386" s="7">
        <v>0</v>
      </c>
      <c r="H386" s="7">
        <v>0</v>
      </c>
      <c r="I386" s="7">
        <v>0</v>
      </c>
      <c r="J386" s="7">
        <v>0</v>
      </c>
      <c r="K386" s="7">
        <v>22300</v>
      </c>
    </row>
    <row r="387" spans="1:11" x14ac:dyDescent="0.25">
      <c r="A387" s="6">
        <v>46585</v>
      </c>
      <c r="B387" s="7" t="str">
        <f>"FEHF0000123628"</f>
        <v>FEHF0000123628</v>
      </c>
      <c r="C387" s="7">
        <v>900226715</v>
      </c>
      <c r="D387" s="8">
        <v>44314.295636574076</v>
      </c>
      <c r="E387" s="8">
        <v>44323</v>
      </c>
      <c r="F387" s="7">
        <v>639900</v>
      </c>
      <c r="G387" s="7">
        <v>0</v>
      </c>
      <c r="H387" s="7">
        <v>0</v>
      </c>
      <c r="I387" s="7">
        <v>0</v>
      </c>
      <c r="J387" s="7">
        <v>3500</v>
      </c>
      <c r="K387" s="7">
        <v>636400</v>
      </c>
    </row>
    <row r="388" spans="1:11" x14ac:dyDescent="0.25">
      <c r="A388" s="6">
        <v>46593</v>
      </c>
      <c r="B388" s="7" t="str">
        <f>"FEHF0000123709"</f>
        <v>FEHF0000123709</v>
      </c>
      <c r="C388" s="7">
        <v>900226715</v>
      </c>
      <c r="D388" s="8">
        <v>44314.346712962964</v>
      </c>
      <c r="E388" s="8">
        <v>44323</v>
      </c>
      <c r="F388" s="7">
        <v>2168631</v>
      </c>
      <c r="G388" s="7">
        <v>0</v>
      </c>
      <c r="H388" s="7">
        <v>0</v>
      </c>
      <c r="I388" s="7">
        <v>0</v>
      </c>
      <c r="J388" s="7">
        <v>0</v>
      </c>
      <c r="K388" s="7">
        <v>2168631</v>
      </c>
    </row>
    <row r="389" spans="1:11" x14ac:dyDescent="0.25">
      <c r="A389" s="6">
        <v>46593</v>
      </c>
      <c r="B389" s="7" t="str">
        <f>"FEHF0000124055"</f>
        <v>FEHF0000124055</v>
      </c>
      <c r="C389" s="7">
        <v>900226715</v>
      </c>
      <c r="D389" s="8">
        <v>44314.715648148151</v>
      </c>
      <c r="E389" s="8">
        <v>44323</v>
      </c>
      <c r="F389" s="7">
        <v>2035785</v>
      </c>
      <c r="G389" s="7">
        <v>0</v>
      </c>
      <c r="H389" s="7">
        <v>0</v>
      </c>
      <c r="I389" s="7">
        <v>1986540</v>
      </c>
      <c r="J389" s="7">
        <v>0</v>
      </c>
      <c r="K389" s="7">
        <v>49245</v>
      </c>
    </row>
    <row r="390" spans="1:11" x14ac:dyDescent="0.25">
      <c r="A390" s="6">
        <v>46585</v>
      </c>
      <c r="B390" s="7" t="str">
        <f>"FEHF0000124234"</f>
        <v>FEHF0000124234</v>
      </c>
      <c r="C390" s="7">
        <v>900226715</v>
      </c>
      <c r="D390" s="8">
        <v>44315.426527777781</v>
      </c>
      <c r="E390" s="8">
        <v>44323</v>
      </c>
      <c r="F390" s="7">
        <v>65400</v>
      </c>
      <c r="G390" s="7">
        <v>0</v>
      </c>
      <c r="H390" s="7">
        <v>0</v>
      </c>
      <c r="I390" s="7">
        <v>3500</v>
      </c>
      <c r="J390" s="7">
        <v>0</v>
      </c>
      <c r="K390" s="7">
        <v>61900</v>
      </c>
    </row>
    <row r="391" spans="1:11" x14ac:dyDescent="0.25">
      <c r="A391" s="6">
        <v>46585</v>
      </c>
      <c r="B391" s="7" t="str">
        <f>"FEHF0000124237"</f>
        <v>FEHF0000124237</v>
      </c>
      <c r="C391" s="7">
        <v>900226715</v>
      </c>
      <c r="D391" s="8">
        <v>44315.428668981483</v>
      </c>
      <c r="E391" s="8">
        <v>44323</v>
      </c>
      <c r="F391" s="7">
        <v>33800</v>
      </c>
      <c r="G391" s="7">
        <v>0</v>
      </c>
      <c r="H391" s="7">
        <v>0</v>
      </c>
      <c r="I391" s="7">
        <v>3500</v>
      </c>
      <c r="J391" s="7">
        <v>0</v>
      </c>
      <c r="K391" s="7">
        <v>30300</v>
      </c>
    </row>
    <row r="392" spans="1:11" x14ac:dyDescent="0.25">
      <c r="A392" s="6">
        <v>46713</v>
      </c>
      <c r="B392" s="7" t="str">
        <f>"FEHF0000125686"</f>
        <v>FEHF0000125686</v>
      </c>
      <c r="C392" s="7">
        <v>900226715</v>
      </c>
      <c r="D392" s="8">
        <v>44319.97960648148</v>
      </c>
      <c r="E392" s="8">
        <v>44357</v>
      </c>
      <c r="F392" s="7">
        <v>323168</v>
      </c>
      <c r="G392" s="7">
        <v>0</v>
      </c>
      <c r="H392" s="7">
        <v>0</v>
      </c>
      <c r="I392" s="7">
        <v>70363</v>
      </c>
      <c r="J392" s="7">
        <v>0</v>
      </c>
      <c r="K392" s="7">
        <v>252805</v>
      </c>
    </row>
    <row r="393" spans="1:11" x14ac:dyDescent="0.25">
      <c r="A393" s="6">
        <v>46797</v>
      </c>
      <c r="B393" s="7" t="str">
        <f>"FEHF0000128177"</f>
        <v>FEHF0000128177</v>
      </c>
      <c r="C393" s="7">
        <v>900226715</v>
      </c>
      <c r="D393" s="8">
        <v>44325.535196759258</v>
      </c>
      <c r="E393" s="8">
        <v>44357</v>
      </c>
      <c r="F393" s="7">
        <v>80832</v>
      </c>
      <c r="G393" s="7">
        <v>0</v>
      </c>
      <c r="H393" s="7">
        <v>0</v>
      </c>
      <c r="I393" s="7">
        <v>0</v>
      </c>
      <c r="J393" s="7">
        <v>0</v>
      </c>
      <c r="K393" s="7">
        <v>80832</v>
      </c>
    </row>
    <row r="394" spans="1:11" x14ac:dyDescent="0.25">
      <c r="A394" s="6">
        <v>46711</v>
      </c>
      <c r="B394" s="7" t="str">
        <f>"FEHF0000128674"</f>
        <v>FEHF0000128674</v>
      </c>
      <c r="C394" s="7">
        <v>900226715</v>
      </c>
      <c r="D394" s="8">
        <v>44326.596180555556</v>
      </c>
      <c r="E394" s="8">
        <v>44357</v>
      </c>
      <c r="F394" s="7">
        <v>5447984</v>
      </c>
      <c r="G394" s="7">
        <v>0</v>
      </c>
      <c r="H394" s="7">
        <v>0</v>
      </c>
      <c r="I394" s="7">
        <v>3304310</v>
      </c>
      <c r="J394" s="7">
        <v>0</v>
      </c>
      <c r="K394" s="7">
        <v>2143674</v>
      </c>
    </row>
    <row r="395" spans="1:11" x14ac:dyDescent="0.25">
      <c r="A395" s="6">
        <v>46713</v>
      </c>
      <c r="B395" s="7" t="str">
        <f>"FEHF0000131233"</f>
        <v>FEHF0000131233</v>
      </c>
      <c r="C395" s="7">
        <v>900226715</v>
      </c>
      <c r="D395" s="8">
        <v>44332.488437499997</v>
      </c>
      <c r="E395" s="8">
        <v>44357</v>
      </c>
      <c r="F395" s="7">
        <v>1732930</v>
      </c>
      <c r="G395" s="7">
        <v>0</v>
      </c>
      <c r="H395" s="7">
        <v>0</v>
      </c>
      <c r="I395" s="7">
        <v>0</v>
      </c>
      <c r="J395" s="7">
        <v>0</v>
      </c>
      <c r="K395" s="7">
        <v>1732930</v>
      </c>
    </row>
    <row r="396" spans="1:11" x14ac:dyDescent="0.25">
      <c r="A396" s="6">
        <v>46727</v>
      </c>
      <c r="B396" s="7" t="str">
        <f>"FEHF0000131715"</f>
        <v>FEHF0000131715</v>
      </c>
      <c r="C396" s="7">
        <v>900226715</v>
      </c>
      <c r="D396" s="8">
        <v>44334.378460648149</v>
      </c>
      <c r="E396" s="8">
        <v>44357</v>
      </c>
      <c r="F396" s="7">
        <v>895100</v>
      </c>
      <c r="G396" s="7">
        <v>0</v>
      </c>
      <c r="H396" s="7">
        <v>0</v>
      </c>
      <c r="I396" s="7">
        <v>0</v>
      </c>
      <c r="J396" s="7">
        <v>0</v>
      </c>
      <c r="K396" s="7">
        <v>895100</v>
      </c>
    </row>
    <row r="397" spans="1:11" x14ac:dyDescent="0.25">
      <c r="A397" s="6">
        <v>46712</v>
      </c>
      <c r="B397" s="7" t="str">
        <f>"FEHF0000133628"</f>
        <v>FEHF0000133628</v>
      </c>
      <c r="C397" s="7">
        <v>900226715</v>
      </c>
      <c r="D397" s="8">
        <v>44336.713969907411</v>
      </c>
      <c r="E397" s="8">
        <v>44357</v>
      </c>
      <c r="F397" s="7">
        <v>47200</v>
      </c>
      <c r="G397" s="7">
        <v>0</v>
      </c>
      <c r="H397" s="7">
        <v>0</v>
      </c>
      <c r="I397" s="7">
        <v>0</v>
      </c>
      <c r="J397" s="7">
        <v>5400</v>
      </c>
      <c r="K397" s="7">
        <v>41800</v>
      </c>
    </row>
    <row r="398" spans="1:11" x14ac:dyDescent="0.25">
      <c r="A398" s="6">
        <v>46711</v>
      </c>
      <c r="B398" s="7" t="str">
        <f>"FEHF0000135511"</f>
        <v>FEHF0000135511</v>
      </c>
      <c r="C398" s="7">
        <v>900226715</v>
      </c>
      <c r="D398" s="8">
        <v>44340.885393518518</v>
      </c>
      <c r="E398" s="8">
        <v>44357</v>
      </c>
      <c r="F398" s="7">
        <v>213315</v>
      </c>
      <c r="G398" s="7">
        <v>0</v>
      </c>
      <c r="H398" s="7">
        <v>0</v>
      </c>
      <c r="I398" s="7">
        <v>0</v>
      </c>
      <c r="J398" s="7">
        <v>0</v>
      </c>
      <c r="K398" s="7">
        <v>213315</v>
      </c>
    </row>
    <row r="399" spans="1:11" x14ac:dyDescent="0.25">
      <c r="A399" s="6">
        <v>46797</v>
      </c>
      <c r="B399" s="7" t="str">
        <f>"FEHF0000135512"</f>
        <v>FEHF0000135512</v>
      </c>
      <c r="C399" s="7">
        <v>900226715</v>
      </c>
      <c r="D399" s="8">
        <v>44340.890300925923</v>
      </c>
      <c r="E399" s="8">
        <v>44357</v>
      </c>
      <c r="F399" s="7">
        <v>80832</v>
      </c>
      <c r="G399" s="7">
        <v>0</v>
      </c>
      <c r="H399" s="7">
        <v>0</v>
      </c>
      <c r="I399" s="7">
        <v>0</v>
      </c>
      <c r="J399" s="7">
        <v>0</v>
      </c>
      <c r="K399" s="7">
        <v>80832</v>
      </c>
    </row>
    <row r="400" spans="1:11" x14ac:dyDescent="0.25">
      <c r="A400" s="6">
        <v>46798</v>
      </c>
      <c r="B400" s="7" t="str">
        <f>"FEHF0000137018"</f>
        <v>FEHF0000137018</v>
      </c>
      <c r="C400" s="7">
        <v>900226715</v>
      </c>
      <c r="D400" s="8">
        <v>44342.789166666669</v>
      </c>
      <c r="E400" s="8">
        <v>44357</v>
      </c>
      <c r="F400" s="7">
        <v>80832</v>
      </c>
      <c r="G400" s="7">
        <v>0</v>
      </c>
      <c r="H400" s="7">
        <v>0</v>
      </c>
      <c r="I400" s="7">
        <v>0</v>
      </c>
      <c r="J400" s="7">
        <v>0</v>
      </c>
      <c r="K400" s="7">
        <v>80832</v>
      </c>
    </row>
    <row r="401" spans="1:11" x14ac:dyDescent="0.25">
      <c r="A401" s="6">
        <v>46727</v>
      </c>
      <c r="B401" s="7" t="str">
        <f>"FEHF0000137848"</f>
        <v>FEHF0000137848</v>
      </c>
      <c r="C401" s="7">
        <v>900226715</v>
      </c>
      <c r="D401" s="8">
        <v>44344.375092592592</v>
      </c>
      <c r="E401" s="8">
        <v>44357</v>
      </c>
      <c r="F401" s="7">
        <v>894500</v>
      </c>
      <c r="G401" s="7">
        <v>0</v>
      </c>
      <c r="H401" s="7">
        <v>0</v>
      </c>
      <c r="I401" s="7">
        <v>742200</v>
      </c>
      <c r="J401" s="7">
        <v>0</v>
      </c>
      <c r="K401" s="7">
        <v>152300</v>
      </c>
    </row>
    <row r="402" spans="1:11" x14ac:dyDescent="0.25">
      <c r="A402" s="6">
        <v>46713</v>
      </c>
      <c r="B402" s="7" t="str">
        <f>"FEHF0000138880"</f>
        <v>FEHF0000138880</v>
      </c>
      <c r="C402" s="7">
        <v>900226715</v>
      </c>
      <c r="D402" s="8">
        <v>44347.592303240737</v>
      </c>
      <c r="E402" s="8">
        <v>44357</v>
      </c>
      <c r="F402" s="7">
        <v>195017</v>
      </c>
      <c r="G402" s="7">
        <v>0</v>
      </c>
      <c r="H402" s="7">
        <v>0</v>
      </c>
      <c r="I402" s="7">
        <v>0</v>
      </c>
      <c r="J402" s="7">
        <v>0</v>
      </c>
      <c r="K402" s="7">
        <v>195017</v>
      </c>
    </row>
    <row r="403" spans="1:11" x14ac:dyDescent="0.25">
      <c r="A403" s="6">
        <v>46831</v>
      </c>
      <c r="B403" s="7" t="str">
        <f>"FEHF0000144237"</f>
        <v>FEHF0000144237</v>
      </c>
      <c r="C403" s="7">
        <v>900226715</v>
      </c>
      <c r="D403" s="8">
        <v>44358.154189814813</v>
      </c>
      <c r="E403" s="8">
        <v>44389</v>
      </c>
      <c r="F403" s="7">
        <v>53762</v>
      </c>
      <c r="G403" s="7">
        <v>0</v>
      </c>
      <c r="H403" s="7">
        <v>0</v>
      </c>
      <c r="I403" s="7">
        <v>14599</v>
      </c>
      <c r="J403" s="7">
        <v>0</v>
      </c>
      <c r="K403" s="7">
        <v>39163</v>
      </c>
    </row>
    <row r="404" spans="1:11" x14ac:dyDescent="0.25">
      <c r="A404" s="6">
        <v>46830</v>
      </c>
      <c r="B404" s="7" t="str">
        <f>"FEHF0000144529"</f>
        <v>FEHF0000144529</v>
      </c>
      <c r="C404" s="7">
        <v>900226715</v>
      </c>
      <c r="D404" s="8">
        <v>44358.437777777777</v>
      </c>
      <c r="E404" s="8">
        <v>44389</v>
      </c>
      <c r="F404" s="7">
        <v>238842</v>
      </c>
      <c r="G404" s="7">
        <v>0</v>
      </c>
      <c r="H404" s="7">
        <v>0</v>
      </c>
      <c r="I404" s="7">
        <v>70057</v>
      </c>
      <c r="J404" s="7">
        <v>0</v>
      </c>
      <c r="K404" s="7">
        <v>168785</v>
      </c>
    </row>
    <row r="405" spans="1:11" x14ac:dyDescent="0.25">
      <c r="A405" s="6">
        <v>46930</v>
      </c>
      <c r="B405" s="7" t="str">
        <f>"FEHF0000144811"</f>
        <v>FEHF0000144811</v>
      </c>
      <c r="C405" s="7">
        <v>900226715</v>
      </c>
      <c r="D405" s="8">
        <v>44358.668657407405</v>
      </c>
      <c r="E405" s="8">
        <v>44389</v>
      </c>
      <c r="F405" s="7">
        <v>80832</v>
      </c>
      <c r="G405" s="7">
        <v>0</v>
      </c>
      <c r="H405" s="7">
        <v>0</v>
      </c>
      <c r="I405" s="7">
        <v>0</v>
      </c>
      <c r="J405" s="7">
        <v>0</v>
      </c>
      <c r="K405" s="7">
        <v>80832</v>
      </c>
    </row>
    <row r="406" spans="1:11" x14ac:dyDescent="0.25">
      <c r="A406" s="6">
        <v>46831</v>
      </c>
      <c r="B406" s="7" t="str">
        <f>"FEHF0000148452"</f>
        <v>FEHF0000148452</v>
      </c>
      <c r="C406" s="7">
        <v>900226715</v>
      </c>
      <c r="D406" s="8">
        <v>44366.608460648145</v>
      </c>
      <c r="E406" s="8">
        <v>44389</v>
      </c>
      <c r="F406" s="7">
        <v>171172</v>
      </c>
      <c r="G406" s="7">
        <v>0</v>
      </c>
      <c r="H406" s="7">
        <v>0</v>
      </c>
      <c r="I406" s="7">
        <v>0</v>
      </c>
      <c r="J406" s="7">
        <v>0</v>
      </c>
      <c r="K406" s="7">
        <v>171172</v>
      </c>
    </row>
    <row r="407" spans="1:11" x14ac:dyDescent="0.25">
      <c r="A407" s="6">
        <v>46830</v>
      </c>
      <c r="B407" s="7" t="str">
        <f>"FEHF0000150119"</f>
        <v>FEHF0000150119</v>
      </c>
      <c r="C407" s="7">
        <v>900226715</v>
      </c>
      <c r="D407" s="8">
        <v>44370.251458333332</v>
      </c>
      <c r="E407" s="8">
        <v>44389</v>
      </c>
      <c r="F407" s="7">
        <v>155901</v>
      </c>
      <c r="G407" s="7">
        <v>0</v>
      </c>
      <c r="H407" s="7">
        <v>0</v>
      </c>
      <c r="I407" s="7">
        <v>0</v>
      </c>
      <c r="J407" s="7">
        <v>0</v>
      </c>
      <c r="K407" s="7">
        <v>155901</v>
      </c>
    </row>
    <row r="408" spans="1:11" x14ac:dyDescent="0.25">
      <c r="A408" s="6">
        <v>46830</v>
      </c>
      <c r="B408" s="7" t="str">
        <f>"FEHF0000152019"</f>
        <v>FEHF0000152019</v>
      </c>
      <c r="C408" s="7">
        <v>900226715</v>
      </c>
      <c r="D408" s="8">
        <v>44372.549004629633</v>
      </c>
      <c r="E408" s="8">
        <v>44389</v>
      </c>
      <c r="F408" s="7">
        <v>100824</v>
      </c>
      <c r="G408" s="7">
        <v>0</v>
      </c>
      <c r="H408" s="7">
        <v>0</v>
      </c>
      <c r="I408" s="7">
        <v>32795</v>
      </c>
      <c r="J408" s="7">
        <v>0</v>
      </c>
      <c r="K408" s="7">
        <v>68029</v>
      </c>
    </row>
    <row r="409" spans="1:11" x14ac:dyDescent="0.25">
      <c r="A409" s="6">
        <v>46924</v>
      </c>
      <c r="B409" s="7" t="str">
        <f>"FEHF0000152493"</f>
        <v>FEHF0000152493</v>
      </c>
      <c r="C409" s="7">
        <v>900226715</v>
      </c>
      <c r="D409" s="8">
        <v>44373.674722222226</v>
      </c>
      <c r="E409" s="8">
        <v>44389</v>
      </c>
      <c r="F409" s="7">
        <v>80832</v>
      </c>
      <c r="G409" s="7">
        <v>0</v>
      </c>
      <c r="H409" s="7">
        <v>0</v>
      </c>
      <c r="I409" s="7">
        <v>0</v>
      </c>
      <c r="J409" s="7">
        <v>0</v>
      </c>
      <c r="K409" s="7">
        <v>80832</v>
      </c>
    </row>
    <row r="410" spans="1:11" x14ac:dyDescent="0.25">
      <c r="A410" s="6">
        <v>46924</v>
      </c>
      <c r="B410" s="7" t="str">
        <f>"FEHF0000153020"</f>
        <v>FEHF0000153020</v>
      </c>
      <c r="C410" s="7">
        <v>900226715</v>
      </c>
      <c r="D410" s="8">
        <v>44375.391099537039</v>
      </c>
      <c r="E410" s="8">
        <v>44389</v>
      </c>
      <c r="F410" s="7">
        <v>80832</v>
      </c>
      <c r="G410" s="7">
        <v>0</v>
      </c>
      <c r="H410" s="7">
        <v>0</v>
      </c>
      <c r="I410" s="7">
        <v>0</v>
      </c>
      <c r="J410" s="7">
        <v>0</v>
      </c>
      <c r="K410" s="7">
        <v>80832</v>
      </c>
    </row>
    <row r="411" spans="1:11" x14ac:dyDescent="0.25">
      <c r="A411" s="6">
        <v>46831</v>
      </c>
      <c r="B411" s="7" t="str">
        <f>"FEHF0000155977"</f>
        <v>FEHF0000155977</v>
      </c>
      <c r="C411" s="7">
        <v>900226715</v>
      </c>
      <c r="D411" s="8">
        <v>44379.401574074072</v>
      </c>
      <c r="E411" s="8">
        <v>44389</v>
      </c>
      <c r="F411" s="7">
        <v>8760319</v>
      </c>
      <c r="G411" s="7">
        <v>0</v>
      </c>
      <c r="H411" s="7">
        <v>0</v>
      </c>
      <c r="I411" s="7">
        <v>8671475</v>
      </c>
      <c r="J411" s="7">
        <v>0</v>
      </c>
      <c r="K411" s="7">
        <v>88844</v>
      </c>
    </row>
    <row r="412" spans="1:11" x14ac:dyDescent="0.25">
      <c r="A412" s="6">
        <v>46924</v>
      </c>
      <c r="B412" s="7" t="str">
        <f>"FEHF0000156144"</f>
        <v>FEHF0000156144</v>
      </c>
      <c r="C412" s="7">
        <v>900226715</v>
      </c>
      <c r="D412" s="8">
        <v>44379.48060185185</v>
      </c>
      <c r="E412" s="8">
        <v>44389</v>
      </c>
      <c r="F412" s="7">
        <v>80832</v>
      </c>
      <c r="G412" s="7">
        <v>0</v>
      </c>
      <c r="H412" s="7">
        <v>0</v>
      </c>
      <c r="I412" s="7">
        <v>0</v>
      </c>
      <c r="J412" s="7">
        <v>0</v>
      </c>
      <c r="K412" s="7">
        <v>80832</v>
      </c>
    </row>
    <row r="413" spans="1:11" x14ac:dyDescent="0.25">
      <c r="A413" s="6">
        <v>47070</v>
      </c>
      <c r="B413" s="7" t="str">
        <f>"FEHF0000156914"</f>
        <v>FEHF0000156914</v>
      </c>
      <c r="C413" s="7">
        <v>900226715</v>
      </c>
      <c r="D413" s="8">
        <v>44382.529780092591</v>
      </c>
      <c r="E413" s="8">
        <v>44415</v>
      </c>
      <c r="F413" s="7">
        <v>80832</v>
      </c>
      <c r="G413" s="7">
        <v>0</v>
      </c>
      <c r="H413" s="7">
        <v>0</v>
      </c>
      <c r="I413" s="7">
        <v>0</v>
      </c>
      <c r="J413" s="7">
        <v>0</v>
      </c>
      <c r="K413" s="7">
        <v>80832</v>
      </c>
    </row>
    <row r="414" spans="1:11" x14ac:dyDescent="0.25">
      <c r="A414" s="6">
        <v>46831</v>
      </c>
      <c r="B414" s="7" t="str">
        <f>"FEHF0000156931"</f>
        <v>FEHF0000156931</v>
      </c>
      <c r="C414" s="7">
        <v>900226715</v>
      </c>
      <c r="D414" s="8">
        <v>44382.578182870369</v>
      </c>
      <c r="E414" s="8">
        <v>44389</v>
      </c>
      <c r="F414" s="7">
        <v>3329584</v>
      </c>
      <c r="G414" s="7">
        <v>0</v>
      </c>
      <c r="H414" s="7">
        <v>0</v>
      </c>
      <c r="I414" s="7">
        <v>3064510</v>
      </c>
      <c r="J414" s="7">
        <v>0</v>
      </c>
      <c r="K414" s="7">
        <v>265074</v>
      </c>
    </row>
    <row r="415" spans="1:11" x14ac:dyDescent="0.25">
      <c r="A415" s="6">
        <v>46831</v>
      </c>
      <c r="B415" s="7" t="str">
        <f>"FEHF0000156948"</f>
        <v>FEHF0000156948</v>
      </c>
      <c r="C415" s="7">
        <v>900226715</v>
      </c>
      <c r="D415" s="8">
        <v>44382.62641203704</v>
      </c>
      <c r="E415" s="8">
        <v>44389</v>
      </c>
      <c r="F415" s="7">
        <v>4727037</v>
      </c>
      <c r="G415" s="7">
        <v>0</v>
      </c>
      <c r="H415" s="7">
        <v>0</v>
      </c>
      <c r="I415" s="7">
        <v>2128938</v>
      </c>
      <c r="J415" s="7">
        <v>0</v>
      </c>
      <c r="K415" s="7">
        <v>2598099</v>
      </c>
    </row>
    <row r="416" spans="1:11" x14ac:dyDescent="0.25">
      <c r="A416" s="6">
        <v>46831</v>
      </c>
      <c r="B416" s="7" t="str">
        <f>"FEHF0000157476"</f>
        <v>FEHF0000157476</v>
      </c>
      <c r="C416" s="7">
        <v>900226715</v>
      </c>
      <c r="D416" s="8">
        <v>44383.467048611114</v>
      </c>
      <c r="E416" s="8">
        <v>44389</v>
      </c>
      <c r="F416" s="7">
        <v>7616420</v>
      </c>
      <c r="G416" s="7">
        <v>0</v>
      </c>
      <c r="H416" s="7">
        <v>0</v>
      </c>
      <c r="I416" s="7">
        <v>5117420</v>
      </c>
      <c r="J416" s="7">
        <v>0</v>
      </c>
      <c r="K416" s="7">
        <v>2499000</v>
      </c>
    </row>
    <row r="417" spans="1:11" x14ac:dyDescent="0.25">
      <c r="A417" s="6">
        <v>47000</v>
      </c>
      <c r="B417" s="7" t="str">
        <f>"FEHF0000158195"</f>
        <v>FEHF0000158195</v>
      </c>
      <c r="C417" s="7">
        <v>900226715</v>
      </c>
      <c r="D417" s="8">
        <v>44384.43886574074</v>
      </c>
      <c r="E417" s="8">
        <v>44415</v>
      </c>
      <c r="F417" s="7">
        <v>44700</v>
      </c>
      <c r="G417" s="7">
        <v>0</v>
      </c>
      <c r="H417" s="7">
        <v>0</v>
      </c>
      <c r="I417" s="7">
        <v>0</v>
      </c>
      <c r="J417" s="7">
        <v>0</v>
      </c>
      <c r="K417" s="7">
        <v>44700</v>
      </c>
    </row>
    <row r="418" spans="1:11" x14ac:dyDescent="0.25">
      <c r="A418" s="6">
        <v>47000</v>
      </c>
      <c r="B418" s="7" t="str">
        <f>"FEHF0000158601"</f>
        <v>FEHF0000158601</v>
      </c>
      <c r="C418" s="7">
        <v>900226715</v>
      </c>
      <c r="D418" s="8">
        <v>44385.30914351852</v>
      </c>
      <c r="E418" s="8">
        <v>44415</v>
      </c>
      <c r="F418" s="7">
        <v>32700</v>
      </c>
      <c r="G418" s="7">
        <v>0</v>
      </c>
      <c r="H418" s="7">
        <v>0</v>
      </c>
      <c r="I418" s="7">
        <v>3196</v>
      </c>
      <c r="J418" s="7">
        <v>0</v>
      </c>
      <c r="K418" s="7">
        <v>29504</v>
      </c>
    </row>
    <row r="419" spans="1:11" x14ac:dyDescent="0.25">
      <c r="A419" s="6">
        <v>46996</v>
      </c>
      <c r="B419" s="7" t="str">
        <f>"FEHF0000160136"</f>
        <v>FEHF0000160136</v>
      </c>
      <c r="C419" s="7">
        <v>900226715</v>
      </c>
      <c r="D419" s="8">
        <v>44389.134108796294</v>
      </c>
      <c r="E419" s="8">
        <v>44415</v>
      </c>
      <c r="F419" s="7">
        <v>132251</v>
      </c>
      <c r="G419" s="7">
        <v>0</v>
      </c>
      <c r="H419" s="7">
        <v>0</v>
      </c>
      <c r="I419" s="7">
        <v>0</v>
      </c>
      <c r="J419" s="7">
        <v>0</v>
      </c>
      <c r="K419" s="7">
        <v>132251</v>
      </c>
    </row>
    <row r="420" spans="1:11" x14ac:dyDescent="0.25">
      <c r="A420" s="6">
        <v>47000</v>
      </c>
      <c r="B420" s="7" t="str">
        <f>"FEHF0000162924"</f>
        <v>FEHF0000162924</v>
      </c>
      <c r="C420" s="7">
        <v>900226715</v>
      </c>
      <c r="D420" s="8">
        <v>44393.311701388891</v>
      </c>
      <c r="E420" s="8">
        <v>44415</v>
      </c>
      <c r="F420" s="7">
        <v>37100</v>
      </c>
      <c r="G420" s="7">
        <v>0</v>
      </c>
      <c r="H420" s="7">
        <v>0</v>
      </c>
      <c r="I420" s="7">
        <v>16639</v>
      </c>
      <c r="J420" s="7">
        <v>0</v>
      </c>
      <c r="K420" s="7">
        <v>20461</v>
      </c>
    </row>
    <row r="421" spans="1:11" x14ac:dyDescent="0.25">
      <c r="A421" s="6">
        <v>46996</v>
      </c>
      <c r="B421" s="7" t="str">
        <f>"FEHF0000163647"</f>
        <v>FEHF0000163647</v>
      </c>
      <c r="C421" s="7">
        <v>900226715</v>
      </c>
      <c r="D421" s="8">
        <v>44394.062268518515</v>
      </c>
      <c r="E421" s="8">
        <v>44415</v>
      </c>
      <c r="F421" s="7">
        <v>272872</v>
      </c>
      <c r="G421" s="7">
        <v>0</v>
      </c>
      <c r="H421" s="7">
        <v>0</v>
      </c>
      <c r="I421" s="7">
        <v>0</v>
      </c>
      <c r="J421" s="7">
        <v>0</v>
      </c>
      <c r="K421" s="7">
        <v>272872</v>
      </c>
    </row>
    <row r="422" spans="1:11" x14ac:dyDescent="0.25">
      <c r="A422" s="6">
        <v>46996</v>
      </c>
      <c r="B422" s="7" t="str">
        <f>"FEHF0000163956"</f>
        <v>FEHF0000163956</v>
      </c>
      <c r="C422" s="7">
        <v>900226715</v>
      </c>
      <c r="D422" s="8">
        <v>44395.562175925923</v>
      </c>
      <c r="E422" s="8">
        <v>44415</v>
      </c>
      <c r="F422" s="7">
        <v>853075</v>
      </c>
      <c r="G422" s="7">
        <v>0</v>
      </c>
      <c r="H422" s="7">
        <v>0</v>
      </c>
      <c r="I422" s="7">
        <v>0</v>
      </c>
      <c r="J422" s="7">
        <v>0</v>
      </c>
      <c r="K422" s="7">
        <v>853075</v>
      </c>
    </row>
    <row r="423" spans="1:11" x14ac:dyDescent="0.25">
      <c r="A423" s="6">
        <v>46996</v>
      </c>
      <c r="B423" s="7" t="str">
        <f>"FEHF0000164669"</f>
        <v>FEHF0000164669</v>
      </c>
      <c r="C423" s="7">
        <v>900226715</v>
      </c>
      <c r="D423" s="8">
        <v>44397.431527777779</v>
      </c>
      <c r="E423" s="8">
        <v>44415</v>
      </c>
      <c r="F423" s="7">
        <v>101343</v>
      </c>
      <c r="G423" s="7">
        <v>0</v>
      </c>
      <c r="H423" s="7">
        <v>0</v>
      </c>
      <c r="I423" s="7">
        <v>0</v>
      </c>
      <c r="J423" s="7">
        <v>0</v>
      </c>
      <c r="K423" s="7">
        <v>101343</v>
      </c>
    </row>
    <row r="424" spans="1:11" x14ac:dyDescent="0.25">
      <c r="A424" s="6">
        <v>47131</v>
      </c>
      <c r="B424" s="7" t="str">
        <f>"FEHF0000165601"</f>
        <v>FEHF0000165601</v>
      </c>
      <c r="C424" s="7">
        <v>900226715</v>
      </c>
      <c r="D424" s="8">
        <v>44399.334074074075</v>
      </c>
      <c r="E424" s="8">
        <v>44445</v>
      </c>
      <c r="F424" s="7">
        <v>156400</v>
      </c>
      <c r="G424" s="7">
        <v>0</v>
      </c>
      <c r="H424" s="7">
        <v>0</v>
      </c>
      <c r="I424" s="7">
        <v>141600</v>
      </c>
      <c r="J424" s="7">
        <v>0</v>
      </c>
      <c r="K424" s="7">
        <v>14800</v>
      </c>
    </row>
    <row r="425" spans="1:11" x14ac:dyDescent="0.25">
      <c r="A425" s="6">
        <v>46997</v>
      </c>
      <c r="B425" s="7" t="str">
        <f>"FEHF0000166581"</f>
        <v>FEHF0000166581</v>
      </c>
      <c r="C425" s="7">
        <v>900226715</v>
      </c>
      <c r="D425" s="8">
        <v>44400.395682870374</v>
      </c>
      <c r="E425" s="8">
        <v>44415</v>
      </c>
      <c r="F425" s="7">
        <v>1017601</v>
      </c>
      <c r="G425" s="7">
        <v>0</v>
      </c>
      <c r="H425" s="7">
        <v>0</v>
      </c>
      <c r="I425" s="7">
        <v>0</v>
      </c>
      <c r="J425" s="7">
        <v>0</v>
      </c>
      <c r="K425" s="7">
        <v>1017601</v>
      </c>
    </row>
    <row r="426" spans="1:11" x14ac:dyDescent="0.25">
      <c r="A426" s="6">
        <v>46996</v>
      </c>
      <c r="B426" s="7" t="str">
        <f>"FEHF0000166935"</f>
        <v>FEHF0000166935</v>
      </c>
      <c r="C426" s="7">
        <v>900226715</v>
      </c>
      <c r="D426" s="8">
        <v>44400.677060185182</v>
      </c>
      <c r="E426" s="8">
        <v>44415</v>
      </c>
      <c r="F426" s="7">
        <v>1260691</v>
      </c>
      <c r="G426" s="7">
        <v>0</v>
      </c>
      <c r="H426" s="7">
        <v>0</v>
      </c>
      <c r="I426" s="7">
        <v>0</v>
      </c>
      <c r="J426" s="7">
        <v>0</v>
      </c>
      <c r="K426" s="7">
        <v>1260691</v>
      </c>
    </row>
    <row r="427" spans="1:11" x14ac:dyDescent="0.25">
      <c r="A427" s="6">
        <v>46996</v>
      </c>
      <c r="B427" s="7" t="str">
        <f>"FEHF0000168001"</f>
        <v>FEHF0000168001</v>
      </c>
      <c r="C427" s="7">
        <v>900226715</v>
      </c>
      <c r="D427" s="8">
        <v>44403.691076388888</v>
      </c>
      <c r="E427" s="8">
        <v>44415</v>
      </c>
      <c r="F427" s="7">
        <v>999264</v>
      </c>
      <c r="G427" s="7">
        <v>0</v>
      </c>
      <c r="H427" s="7">
        <v>0</v>
      </c>
      <c r="I427" s="7">
        <v>0</v>
      </c>
      <c r="J427" s="7">
        <v>0</v>
      </c>
      <c r="K427" s="7">
        <v>999264</v>
      </c>
    </row>
    <row r="428" spans="1:11" x14ac:dyDescent="0.25">
      <c r="A428" s="6">
        <v>46997</v>
      </c>
      <c r="B428" s="7" t="str">
        <f>"FEHF0000170823"</f>
        <v>FEHF0000170823</v>
      </c>
      <c r="C428" s="7">
        <v>900226715</v>
      </c>
      <c r="D428" s="8">
        <v>44407.485694444447</v>
      </c>
      <c r="E428" s="8">
        <v>44415</v>
      </c>
      <c r="F428" s="7">
        <v>37863741</v>
      </c>
      <c r="G428" s="7">
        <v>0</v>
      </c>
      <c r="H428" s="7">
        <v>0</v>
      </c>
      <c r="I428" s="7">
        <v>13403105</v>
      </c>
      <c r="J428" s="7">
        <v>0</v>
      </c>
      <c r="K428" s="7">
        <v>24460636</v>
      </c>
    </row>
    <row r="429" spans="1:11" x14ac:dyDescent="0.25">
      <c r="A429" s="6">
        <v>47071</v>
      </c>
      <c r="B429" s="7" t="str">
        <f>"FEHF0000171161"</f>
        <v>FEHF0000171161</v>
      </c>
      <c r="C429" s="7">
        <v>900226715</v>
      </c>
      <c r="D429" s="8">
        <v>44407.698101851849</v>
      </c>
      <c r="E429" s="8">
        <v>44415</v>
      </c>
      <c r="F429" s="7">
        <v>80832</v>
      </c>
      <c r="G429" s="7">
        <v>0</v>
      </c>
      <c r="H429" s="7">
        <v>0</v>
      </c>
      <c r="I429" s="7">
        <v>0</v>
      </c>
      <c r="J429" s="7">
        <v>0</v>
      </c>
      <c r="K429" s="7">
        <v>80832</v>
      </c>
    </row>
    <row r="430" spans="1:11" x14ac:dyDescent="0.25">
      <c r="A430" s="6">
        <v>47072</v>
      </c>
      <c r="B430" s="7" t="str">
        <f>"FEHF0000171163"</f>
        <v>FEHF0000171163</v>
      </c>
      <c r="C430" s="7">
        <v>900226715</v>
      </c>
      <c r="D430" s="8">
        <v>44407.698935185188</v>
      </c>
      <c r="E430" s="8">
        <v>44415</v>
      </c>
      <c r="F430" s="7">
        <v>216994</v>
      </c>
      <c r="G430" s="7">
        <v>0</v>
      </c>
      <c r="H430" s="7">
        <v>0</v>
      </c>
      <c r="I430" s="7">
        <v>0</v>
      </c>
      <c r="J430" s="7">
        <v>0</v>
      </c>
      <c r="K430" s="7">
        <v>216994</v>
      </c>
    </row>
    <row r="431" spans="1:11" x14ac:dyDescent="0.25">
      <c r="A431" s="6">
        <v>47071</v>
      </c>
      <c r="B431" s="7" t="str">
        <f>"FEHF0000171227"</f>
        <v>FEHF0000171227</v>
      </c>
      <c r="C431" s="7">
        <v>900226715</v>
      </c>
      <c r="D431" s="8">
        <v>44407.762858796297</v>
      </c>
      <c r="E431" s="8">
        <v>44415</v>
      </c>
      <c r="F431" s="7">
        <v>80832</v>
      </c>
      <c r="G431" s="7">
        <v>0</v>
      </c>
      <c r="H431" s="7">
        <v>0</v>
      </c>
      <c r="I431" s="7">
        <v>0</v>
      </c>
      <c r="J431" s="7">
        <v>0</v>
      </c>
      <c r="K431" s="7">
        <v>80832</v>
      </c>
    </row>
    <row r="432" spans="1:11" x14ac:dyDescent="0.25">
      <c r="A432" s="6">
        <v>46997</v>
      </c>
      <c r="B432" s="7" t="str">
        <f>"FEHF0000171620"</f>
        <v>FEHF0000171620</v>
      </c>
      <c r="C432" s="7">
        <v>900226715</v>
      </c>
      <c r="D432" s="8">
        <v>44408.673831018517</v>
      </c>
      <c r="E432" s="8">
        <v>44415</v>
      </c>
      <c r="F432" s="7">
        <v>13923359</v>
      </c>
      <c r="G432" s="7">
        <v>0</v>
      </c>
      <c r="H432" s="7">
        <v>0</v>
      </c>
      <c r="I432" s="7">
        <v>0</v>
      </c>
      <c r="J432" s="7">
        <v>0</v>
      </c>
      <c r="K432" s="7">
        <v>13923359</v>
      </c>
    </row>
    <row r="433" spans="1:11" x14ac:dyDescent="0.25">
      <c r="A433" s="6">
        <v>46996</v>
      </c>
      <c r="B433" s="7" t="str">
        <f>"FEHF0000171854"</f>
        <v>FEHF0000171854</v>
      </c>
      <c r="C433" s="7">
        <v>900226715</v>
      </c>
      <c r="D433" s="8">
        <v>44410.001273148147</v>
      </c>
      <c r="E433" s="8">
        <v>44415</v>
      </c>
      <c r="F433" s="7">
        <v>12833097</v>
      </c>
      <c r="G433" s="7">
        <v>0</v>
      </c>
      <c r="H433" s="7">
        <v>4689</v>
      </c>
      <c r="I433" s="7">
        <v>864100</v>
      </c>
      <c r="J433" s="7">
        <v>0</v>
      </c>
      <c r="K433" s="7">
        <v>11964308</v>
      </c>
    </row>
    <row r="434" spans="1:11" x14ac:dyDescent="0.25">
      <c r="A434" s="6">
        <v>46997</v>
      </c>
      <c r="B434" s="7" t="str">
        <f>"FEHF0000174364"</f>
        <v>FEHF0000174364</v>
      </c>
      <c r="C434" s="7">
        <v>900226715</v>
      </c>
      <c r="D434" s="8">
        <v>44413.359490740739</v>
      </c>
      <c r="E434" s="8">
        <v>44415</v>
      </c>
      <c r="F434" s="7">
        <v>12799888</v>
      </c>
      <c r="G434" s="7">
        <v>0</v>
      </c>
      <c r="H434" s="7">
        <v>0</v>
      </c>
      <c r="I434" s="7">
        <v>0</v>
      </c>
      <c r="J434" s="7">
        <v>0</v>
      </c>
      <c r="K434" s="7">
        <v>12799888</v>
      </c>
    </row>
    <row r="435" spans="1:11" x14ac:dyDescent="0.25">
      <c r="A435" s="6">
        <v>46996</v>
      </c>
      <c r="B435" s="7" t="str">
        <f>"FEHF0000174420"</f>
        <v>FEHF0000174420</v>
      </c>
      <c r="C435" s="7">
        <v>900226715</v>
      </c>
      <c r="D435" s="8">
        <v>44413.384305555555</v>
      </c>
      <c r="E435" s="8">
        <v>44415</v>
      </c>
      <c r="F435" s="7">
        <v>1124520</v>
      </c>
      <c r="G435" s="7">
        <v>0</v>
      </c>
      <c r="H435" s="7">
        <v>0</v>
      </c>
      <c r="I435" s="7">
        <v>289956</v>
      </c>
      <c r="J435" s="7">
        <v>0</v>
      </c>
      <c r="K435" s="7">
        <v>834564</v>
      </c>
    </row>
    <row r="436" spans="1:11" x14ac:dyDescent="0.25">
      <c r="A436" s="6">
        <v>47131</v>
      </c>
      <c r="B436" s="7" t="str">
        <f>"FEHF0000176415"</f>
        <v>FEHF0000176415</v>
      </c>
      <c r="C436" s="7">
        <v>900226715</v>
      </c>
      <c r="D436" s="8">
        <v>44417.557199074072</v>
      </c>
      <c r="E436" s="8">
        <v>44445</v>
      </c>
      <c r="F436" s="7">
        <v>32700</v>
      </c>
      <c r="G436" s="7">
        <v>0</v>
      </c>
      <c r="H436" s="7">
        <v>0</v>
      </c>
      <c r="I436" s="7">
        <v>19350</v>
      </c>
      <c r="J436" s="7">
        <v>0</v>
      </c>
      <c r="K436" s="7">
        <v>13350</v>
      </c>
    </row>
    <row r="437" spans="1:11" x14ac:dyDescent="0.25">
      <c r="A437" s="6">
        <v>47138</v>
      </c>
      <c r="B437" s="7" t="str">
        <f>"FEHF0000181704"</f>
        <v>FEHF0000181704</v>
      </c>
      <c r="C437" s="7">
        <v>900226715</v>
      </c>
      <c r="D437" s="8">
        <v>44428.505474537036</v>
      </c>
      <c r="E437" s="8">
        <v>44446</v>
      </c>
      <c r="F437" s="7">
        <v>525100</v>
      </c>
      <c r="G437" s="7">
        <v>0</v>
      </c>
      <c r="H437" s="7">
        <v>0</v>
      </c>
      <c r="I437" s="7">
        <v>0</v>
      </c>
      <c r="J437" s="7">
        <v>0</v>
      </c>
      <c r="K437" s="7">
        <v>525100</v>
      </c>
    </row>
    <row r="438" spans="1:11" x14ac:dyDescent="0.25">
      <c r="A438" s="6">
        <v>47227</v>
      </c>
      <c r="B438" s="7" t="str">
        <f>"FEHF0000184160"</f>
        <v>FEHF0000184160</v>
      </c>
      <c r="C438" s="7">
        <v>900226715</v>
      </c>
      <c r="D438" s="8">
        <v>44433.737870370373</v>
      </c>
      <c r="E438" s="8">
        <v>44445</v>
      </c>
      <c r="F438" s="7">
        <v>80832</v>
      </c>
      <c r="G438" s="7">
        <v>0</v>
      </c>
      <c r="H438" s="7">
        <v>0</v>
      </c>
      <c r="I438" s="7">
        <v>0</v>
      </c>
      <c r="J438" s="7">
        <v>0</v>
      </c>
      <c r="K438" s="7">
        <v>80832</v>
      </c>
    </row>
    <row r="439" spans="1:11" x14ac:dyDescent="0.25">
      <c r="A439" s="6">
        <v>47138</v>
      </c>
      <c r="B439" s="7" t="str">
        <f>"FEHF0000187234"</f>
        <v>FEHF0000187234</v>
      </c>
      <c r="C439" s="7">
        <v>900226715</v>
      </c>
      <c r="D439" s="8">
        <v>44440.384826388887</v>
      </c>
      <c r="E439" s="8">
        <v>44446</v>
      </c>
      <c r="F439" s="7">
        <v>468048</v>
      </c>
      <c r="G439" s="7">
        <v>0</v>
      </c>
      <c r="H439" s="7">
        <v>0</v>
      </c>
      <c r="I439" s="7">
        <v>0</v>
      </c>
      <c r="J439" s="7">
        <v>0</v>
      </c>
      <c r="K439" s="7">
        <v>468048</v>
      </c>
    </row>
    <row r="440" spans="1:11" x14ac:dyDescent="0.25">
      <c r="A440" s="6">
        <v>47137</v>
      </c>
      <c r="B440" s="7" t="str">
        <f>"FEHF0000188494"</f>
        <v>FEHF0000188494</v>
      </c>
      <c r="C440" s="7">
        <v>900226715</v>
      </c>
      <c r="D440" s="8">
        <v>44442.449282407404</v>
      </c>
      <c r="E440" s="8">
        <v>44446</v>
      </c>
      <c r="F440" s="7">
        <v>16456127</v>
      </c>
      <c r="G440" s="7">
        <v>0</v>
      </c>
      <c r="H440" s="7">
        <v>0</v>
      </c>
      <c r="I440" s="7">
        <v>8288731</v>
      </c>
      <c r="J440" s="7">
        <v>0</v>
      </c>
      <c r="K440" s="7">
        <v>8167396</v>
      </c>
    </row>
    <row r="441" spans="1:11" x14ac:dyDescent="0.25">
      <c r="A441" s="6">
        <v>47138</v>
      </c>
      <c r="B441" s="7" t="str">
        <f>"FEHF0000188720"</f>
        <v>FEHF0000188720</v>
      </c>
      <c r="C441" s="7">
        <v>900226715</v>
      </c>
      <c r="D441" s="8">
        <v>44442.710810185185</v>
      </c>
      <c r="E441" s="8">
        <v>44446</v>
      </c>
      <c r="F441" s="7">
        <v>2790684</v>
      </c>
      <c r="G441" s="7">
        <v>0</v>
      </c>
      <c r="H441" s="7">
        <v>0</v>
      </c>
      <c r="I441" s="7">
        <v>2625484</v>
      </c>
      <c r="J441" s="7">
        <v>0</v>
      </c>
      <c r="K441" s="7">
        <v>165200</v>
      </c>
    </row>
    <row r="442" spans="1:11" x14ac:dyDescent="0.25">
      <c r="A442" s="6">
        <v>47285</v>
      </c>
      <c r="B442" s="7" t="str">
        <f>"FEHF0000191389"</f>
        <v>FEHF0000191389</v>
      </c>
      <c r="C442" s="7">
        <v>900226715</v>
      </c>
      <c r="D442" s="8">
        <v>44449.206203703703</v>
      </c>
      <c r="E442" s="8">
        <v>44474</v>
      </c>
      <c r="F442" s="7">
        <v>1231438</v>
      </c>
      <c r="G442" s="7">
        <v>0</v>
      </c>
      <c r="H442" s="7">
        <v>0</v>
      </c>
      <c r="I442" s="7">
        <v>487750</v>
      </c>
      <c r="J442" s="7">
        <v>0</v>
      </c>
      <c r="K442" s="7">
        <v>743688</v>
      </c>
    </row>
    <row r="443" spans="1:11" x14ac:dyDescent="0.25">
      <c r="A443" s="6">
        <v>47284</v>
      </c>
      <c r="B443" s="7" t="str">
        <f>"FEHF0000191847"</f>
        <v>FEHF0000191847</v>
      </c>
      <c r="C443" s="7">
        <v>900226715</v>
      </c>
      <c r="D443" s="8">
        <v>44449.658599537041</v>
      </c>
      <c r="E443" s="8">
        <v>44475</v>
      </c>
      <c r="F443" s="7">
        <v>80832</v>
      </c>
      <c r="G443" s="7">
        <v>0</v>
      </c>
      <c r="H443" s="7">
        <v>0</v>
      </c>
      <c r="I443" s="7">
        <v>0</v>
      </c>
      <c r="J443" s="7">
        <v>0</v>
      </c>
      <c r="K443" s="7">
        <v>80832</v>
      </c>
    </row>
    <row r="444" spans="1:11" x14ac:dyDescent="0.25">
      <c r="A444" s="6">
        <v>47283</v>
      </c>
      <c r="B444" s="7" t="str">
        <f>"FEHF0000194813"</f>
        <v>FEHF0000194813</v>
      </c>
      <c r="C444" s="7">
        <v>900226715</v>
      </c>
      <c r="D444" s="8">
        <v>44456.75240740741</v>
      </c>
      <c r="E444" s="8">
        <v>44474</v>
      </c>
      <c r="F444" s="7">
        <v>9458243</v>
      </c>
      <c r="G444" s="7">
        <v>0</v>
      </c>
      <c r="H444" s="7">
        <v>0</v>
      </c>
      <c r="I444" s="7">
        <v>3617847</v>
      </c>
      <c r="J444" s="7">
        <v>0</v>
      </c>
      <c r="K444" s="7">
        <v>5840396</v>
      </c>
    </row>
    <row r="445" spans="1:11" x14ac:dyDescent="0.25">
      <c r="A445" s="6">
        <v>47362</v>
      </c>
      <c r="B445" s="7" t="str">
        <f>"FEHF0000195640"</f>
        <v>FEHF0000195640</v>
      </c>
      <c r="C445" s="7">
        <v>900226715</v>
      </c>
      <c r="D445" s="8">
        <v>44459.623356481483</v>
      </c>
      <c r="E445" s="8">
        <v>44474</v>
      </c>
      <c r="F445" s="7">
        <v>106144</v>
      </c>
      <c r="G445" s="7">
        <v>0</v>
      </c>
      <c r="H445" s="7">
        <v>0</v>
      </c>
      <c r="I445" s="7">
        <v>0</v>
      </c>
      <c r="J445" s="7">
        <v>0</v>
      </c>
      <c r="K445" s="7">
        <v>106144</v>
      </c>
    </row>
    <row r="446" spans="1:11" x14ac:dyDescent="0.25">
      <c r="A446" s="6">
        <v>47285</v>
      </c>
      <c r="B446" s="7" t="str">
        <f>"FEHF0000199402"</f>
        <v>FEHF0000199402</v>
      </c>
      <c r="C446" s="7">
        <v>900226715</v>
      </c>
      <c r="D446" s="8">
        <v>44467.808749999997</v>
      </c>
      <c r="E446" s="8">
        <v>44474</v>
      </c>
      <c r="F446" s="7">
        <v>36302766</v>
      </c>
      <c r="G446" s="7">
        <v>0</v>
      </c>
      <c r="H446" s="7">
        <v>0</v>
      </c>
      <c r="I446" s="7">
        <v>14048453</v>
      </c>
      <c r="J446" s="7">
        <v>0</v>
      </c>
      <c r="K446" s="7">
        <v>22254313</v>
      </c>
    </row>
    <row r="447" spans="1:11" x14ac:dyDescent="0.25">
      <c r="A447" s="6">
        <v>47430</v>
      </c>
      <c r="B447" s="7" t="str">
        <f>"FEHF0000205712"</f>
        <v>FEHF0000205712</v>
      </c>
      <c r="C447" s="7">
        <v>900226715</v>
      </c>
      <c r="D447" s="8">
        <v>44482.652719907404</v>
      </c>
      <c r="E447" s="8">
        <v>44508</v>
      </c>
      <c r="F447" s="7">
        <v>2237115</v>
      </c>
      <c r="G447" s="7">
        <v>0</v>
      </c>
      <c r="H447" s="7">
        <v>0</v>
      </c>
      <c r="I447" s="7">
        <v>0</v>
      </c>
      <c r="J447" s="7">
        <v>0</v>
      </c>
      <c r="K447" s="7">
        <v>2237115</v>
      </c>
    </row>
    <row r="448" spans="1:11" x14ac:dyDescent="0.25">
      <c r="A448" s="6">
        <v>47429</v>
      </c>
      <c r="B448" s="7" t="str">
        <f>"FEHF0000207850"</f>
        <v>FEHF0000207850</v>
      </c>
      <c r="C448" s="7">
        <v>900226715</v>
      </c>
      <c r="D448" s="8">
        <v>44488.730219907404</v>
      </c>
      <c r="E448" s="8">
        <v>44508</v>
      </c>
      <c r="F448" s="7">
        <v>6384972</v>
      </c>
      <c r="G448" s="7">
        <v>0</v>
      </c>
      <c r="H448" s="7">
        <v>0</v>
      </c>
      <c r="I448" s="7">
        <v>5926972</v>
      </c>
      <c r="J448" s="7">
        <v>0</v>
      </c>
      <c r="K448" s="7">
        <v>458000</v>
      </c>
    </row>
    <row r="449" spans="1:11" x14ac:dyDescent="0.25">
      <c r="A449" s="6">
        <v>47493</v>
      </c>
      <c r="B449" s="7" t="str">
        <f>"FEHF0000208263"</f>
        <v>FEHF0000208263</v>
      </c>
      <c r="C449" s="7">
        <v>900226715</v>
      </c>
      <c r="D449" s="8">
        <v>44489.616736111115</v>
      </c>
      <c r="E449" s="8">
        <v>44508</v>
      </c>
      <c r="F449" s="7">
        <v>80832</v>
      </c>
      <c r="G449" s="7">
        <v>0</v>
      </c>
      <c r="H449" s="7">
        <v>0</v>
      </c>
      <c r="I449" s="7">
        <v>0</v>
      </c>
      <c r="J449" s="7">
        <v>0</v>
      </c>
      <c r="K449" s="7">
        <v>80832</v>
      </c>
    </row>
    <row r="450" spans="1:11" x14ac:dyDescent="0.25">
      <c r="A450" s="6">
        <v>47573</v>
      </c>
      <c r="B450" s="7" t="str">
        <f>"FEHF0000213514"</f>
        <v>FEHF0000213514</v>
      </c>
      <c r="C450" s="7">
        <v>900226715</v>
      </c>
      <c r="D450" s="8">
        <v>44502.514097222222</v>
      </c>
      <c r="E450" s="8">
        <v>44536</v>
      </c>
      <c r="F450" s="7">
        <v>55132</v>
      </c>
      <c r="G450" s="7">
        <v>0</v>
      </c>
      <c r="H450" s="7">
        <v>0</v>
      </c>
      <c r="I450" s="7">
        <v>0</v>
      </c>
      <c r="J450" s="7">
        <v>0</v>
      </c>
      <c r="K450" s="7">
        <v>55132</v>
      </c>
    </row>
    <row r="451" spans="1:11" x14ac:dyDescent="0.25">
      <c r="A451" s="6">
        <v>47572</v>
      </c>
      <c r="B451" s="7" t="str">
        <f>"FEHF0000214736"</f>
        <v>FEHF0000214736</v>
      </c>
      <c r="C451" s="7">
        <v>900226715</v>
      </c>
      <c r="D451" s="8">
        <v>44504.626134259262</v>
      </c>
      <c r="E451" s="8">
        <v>44536</v>
      </c>
      <c r="F451" s="7">
        <v>55561</v>
      </c>
      <c r="G451" s="7">
        <v>0</v>
      </c>
      <c r="H451" s="7">
        <v>0</v>
      </c>
      <c r="I451" s="7">
        <v>0</v>
      </c>
      <c r="J451" s="7">
        <v>0</v>
      </c>
      <c r="K451" s="7">
        <v>55561</v>
      </c>
    </row>
    <row r="452" spans="1:11" x14ac:dyDescent="0.25">
      <c r="A452" s="6">
        <v>47574</v>
      </c>
      <c r="B452" s="7" t="str">
        <f>"FEHF0000214964"</f>
        <v>FEHF0000214964</v>
      </c>
      <c r="C452" s="7">
        <v>900226715</v>
      </c>
      <c r="D452" s="8">
        <v>44505.313796296294</v>
      </c>
      <c r="E452" s="8">
        <v>44539</v>
      </c>
      <c r="F452" s="7">
        <v>128300</v>
      </c>
      <c r="G452" s="7">
        <v>0</v>
      </c>
      <c r="H452" s="7">
        <v>0</v>
      </c>
      <c r="I452" s="7">
        <v>0</v>
      </c>
      <c r="J452" s="7">
        <v>0</v>
      </c>
      <c r="K452" s="7">
        <v>128300</v>
      </c>
    </row>
    <row r="453" spans="1:11" x14ac:dyDescent="0.25">
      <c r="A453" s="6">
        <v>47573</v>
      </c>
      <c r="B453" s="7" t="str">
        <f>"FEHF0000215773"</f>
        <v>FEHF0000215773</v>
      </c>
      <c r="C453" s="7">
        <v>900226715</v>
      </c>
      <c r="D453" s="8">
        <v>44507.681504629632</v>
      </c>
      <c r="E453" s="8">
        <v>44536</v>
      </c>
      <c r="F453" s="7">
        <v>191294</v>
      </c>
      <c r="G453" s="7">
        <v>0</v>
      </c>
      <c r="H453" s="7">
        <v>0</v>
      </c>
      <c r="I453" s="7">
        <v>0</v>
      </c>
      <c r="J453" s="7">
        <v>0</v>
      </c>
      <c r="K453" s="7">
        <v>191294</v>
      </c>
    </row>
    <row r="454" spans="1:11" x14ac:dyDescent="0.25">
      <c r="A454" s="6">
        <v>47574</v>
      </c>
      <c r="B454" s="7" t="str">
        <f>"FEHF0000216109"</f>
        <v>FEHF0000216109</v>
      </c>
      <c r="C454" s="7">
        <v>900226715</v>
      </c>
      <c r="D454" s="8">
        <v>44508.492962962962</v>
      </c>
      <c r="E454" s="8">
        <v>44539</v>
      </c>
      <c r="F454" s="7">
        <v>47200</v>
      </c>
      <c r="G454" s="7">
        <v>0</v>
      </c>
      <c r="H454" s="7">
        <v>0</v>
      </c>
      <c r="I454" s="7">
        <v>0</v>
      </c>
      <c r="J454" s="7">
        <v>0</v>
      </c>
      <c r="K454" s="7">
        <v>47200</v>
      </c>
    </row>
    <row r="455" spans="1:11" x14ac:dyDescent="0.25">
      <c r="A455" s="6">
        <v>47574</v>
      </c>
      <c r="B455" s="7" t="str">
        <f>"FEHF0000216591"</f>
        <v>FEHF0000216591</v>
      </c>
      <c r="C455" s="7">
        <v>900226715</v>
      </c>
      <c r="D455" s="8">
        <v>44509.405462962961</v>
      </c>
      <c r="E455" s="8">
        <v>44539</v>
      </c>
      <c r="F455" s="7">
        <v>22900</v>
      </c>
      <c r="G455" s="7">
        <v>0</v>
      </c>
      <c r="H455" s="7">
        <v>0</v>
      </c>
      <c r="I455" s="7">
        <v>0</v>
      </c>
      <c r="J455" s="7">
        <v>0</v>
      </c>
      <c r="K455" s="7">
        <v>22900</v>
      </c>
    </row>
    <row r="456" spans="1:11" x14ac:dyDescent="0.25">
      <c r="A456" s="6">
        <v>47574</v>
      </c>
      <c r="B456" s="7" t="str">
        <f>"FEHF0000216633"</f>
        <v>FEHF0000216633</v>
      </c>
      <c r="C456" s="7">
        <v>900226715</v>
      </c>
      <c r="D456" s="8">
        <v>44509.425868055558</v>
      </c>
      <c r="E456" s="8">
        <v>44539</v>
      </c>
      <c r="F456" s="7">
        <v>32700</v>
      </c>
      <c r="G456" s="7">
        <v>0</v>
      </c>
      <c r="H456" s="7">
        <v>0</v>
      </c>
      <c r="I456" s="7">
        <v>0</v>
      </c>
      <c r="J456" s="7">
        <v>0</v>
      </c>
      <c r="K456" s="7">
        <v>32700</v>
      </c>
    </row>
    <row r="457" spans="1:11" x14ac:dyDescent="0.25">
      <c r="A457" s="6">
        <v>47574</v>
      </c>
      <c r="B457" s="7" t="str">
        <f>"FEHF0000217529"</f>
        <v>FEHF0000217529</v>
      </c>
      <c r="C457" s="7">
        <v>900226715</v>
      </c>
      <c r="D457" s="8">
        <v>44511.347326388888</v>
      </c>
      <c r="E457" s="8">
        <v>44539</v>
      </c>
      <c r="F457" s="7">
        <v>23700</v>
      </c>
      <c r="G457" s="7">
        <v>0</v>
      </c>
      <c r="H457" s="7">
        <v>0</v>
      </c>
      <c r="I457" s="7">
        <v>0</v>
      </c>
      <c r="J457" s="7">
        <v>0</v>
      </c>
      <c r="K457" s="7">
        <v>23700</v>
      </c>
    </row>
    <row r="458" spans="1:11" x14ac:dyDescent="0.25">
      <c r="A458" s="6">
        <v>47574</v>
      </c>
      <c r="B458" s="7" t="str">
        <f>"FEHF0000217592"</f>
        <v>FEHF0000217592</v>
      </c>
      <c r="C458" s="7">
        <v>900226715</v>
      </c>
      <c r="D458" s="8">
        <v>44511.388506944444</v>
      </c>
      <c r="E458" s="8">
        <v>44539</v>
      </c>
      <c r="F458" s="7">
        <v>31600</v>
      </c>
      <c r="G458" s="7">
        <v>0</v>
      </c>
      <c r="H458" s="7">
        <v>0</v>
      </c>
      <c r="I458" s="7">
        <v>0</v>
      </c>
      <c r="J458" s="7">
        <v>0</v>
      </c>
      <c r="K458" s="7">
        <v>31600</v>
      </c>
    </row>
    <row r="459" spans="1:11" x14ac:dyDescent="0.25">
      <c r="A459" s="6">
        <v>47574</v>
      </c>
      <c r="B459" s="7" t="str">
        <f>"FEHF0000217715"</f>
        <v>FEHF0000217715</v>
      </c>
      <c r="C459" s="7">
        <v>900226715</v>
      </c>
      <c r="D459" s="8">
        <v>44511.468101851853</v>
      </c>
      <c r="E459" s="8">
        <v>44539</v>
      </c>
      <c r="F459" s="7">
        <v>22300</v>
      </c>
      <c r="G459" s="7">
        <v>0</v>
      </c>
      <c r="H459" s="7">
        <v>0</v>
      </c>
      <c r="I459" s="7">
        <v>0</v>
      </c>
      <c r="J459" s="7">
        <v>0</v>
      </c>
      <c r="K459" s="7">
        <v>22300</v>
      </c>
    </row>
    <row r="460" spans="1:11" x14ac:dyDescent="0.25">
      <c r="A460" s="6">
        <v>47574</v>
      </c>
      <c r="B460" s="7" t="str">
        <f>"FEHF0000217837"</f>
        <v>FEHF0000217837</v>
      </c>
      <c r="C460" s="7">
        <v>900226715</v>
      </c>
      <c r="D460" s="8">
        <v>44511.594085648147</v>
      </c>
      <c r="E460" s="8">
        <v>44539</v>
      </c>
      <c r="F460" s="7">
        <v>47200</v>
      </c>
      <c r="G460" s="7">
        <v>0</v>
      </c>
      <c r="H460" s="7">
        <v>0</v>
      </c>
      <c r="I460" s="7">
        <v>0</v>
      </c>
      <c r="J460" s="7">
        <v>0</v>
      </c>
      <c r="K460" s="7">
        <v>47200</v>
      </c>
    </row>
    <row r="461" spans="1:11" x14ac:dyDescent="0.25">
      <c r="A461" s="6">
        <v>47572</v>
      </c>
      <c r="B461" s="7" t="str">
        <f>"FEHF0000218018"</f>
        <v>FEHF0000218018</v>
      </c>
      <c r="C461" s="7">
        <v>900226715</v>
      </c>
      <c r="D461" s="8">
        <v>44512.043310185189</v>
      </c>
      <c r="E461" s="8">
        <v>44536</v>
      </c>
      <c r="F461" s="7">
        <v>71455</v>
      </c>
      <c r="G461" s="7">
        <v>0</v>
      </c>
      <c r="H461" s="7">
        <v>0</v>
      </c>
      <c r="I461" s="7">
        <v>0</v>
      </c>
      <c r="J461" s="7">
        <v>0</v>
      </c>
      <c r="K461" s="7">
        <v>71455</v>
      </c>
    </row>
    <row r="462" spans="1:11" x14ac:dyDescent="0.25">
      <c r="A462" s="6">
        <v>47573</v>
      </c>
      <c r="B462" s="7" t="str">
        <f>"FEHF0000218492"</f>
        <v>FEHF0000218492</v>
      </c>
      <c r="C462" s="7">
        <v>900226715</v>
      </c>
      <c r="D462" s="8">
        <v>44512.682847222219</v>
      </c>
      <c r="E462" s="8">
        <v>44536</v>
      </c>
      <c r="F462" s="7">
        <v>11260889</v>
      </c>
      <c r="G462" s="7">
        <v>0</v>
      </c>
      <c r="H462" s="7">
        <v>0</v>
      </c>
      <c r="I462" s="7">
        <v>7605391</v>
      </c>
      <c r="J462" s="7">
        <v>0</v>
      </c>
      <c r="K462" s="7">
        <v>3655498</v>
      </c>
    </row>
    <row r="463" spans="1:11" x14ac:dyDescent="0.25">
      <c r="A463" s="6">
        <v>47573</v>
      </c>
      <c r="B463" s="7" t="str">
        <f>"FEHF0000218578"</f>
        <v>FEHF0000218578</v>
      </c>
      <c r="C463" s="7">
        <v>900226715</v>
      </c>
      <c r="D463" s="8">
        <v>44513.261423611111</v>
      </c>
      <c r="E463" s="8">
        <v>44536</v>
      </c>
      <c r="F463" s="7">
        <v>65016</v>
      </c>
      <c r="G463" s="7">
        <v>0</v>
      </c>
      <c r="H463" s="7">
        <v>0</v>
      </c>
      <c r="I463" s="7">
        <v>0</v>
      </c>
      <c r="J463" s="7">
        <v>0</v>
      </c>
      <c r="K463" s="7">
        <v>65016</v>
      </c>
    </row>
    <row r="464" spans="1:11" x14ac:dyDescent="0.25">
      <c r="A464" s="6">
        <v>47572</v>
      </c>
      <c r="B464" s="7" t="str">
        <f>"FEHF0000219642"</f>
        <v>FEHF0000219642</v>
      </c>
      <c r="C464" s="7">
        <v>900226715</v>
      </c>
      <c r="D464" s="8">
        <v>44516.857245370367</v>
      </c>
      <c r="E464" s="8">
        <v>44536</v>
      </c>
      <c r="F464" s="7">
        <v>154203</v>
      </c>
      <c r="G464" s="7">
        <v>0</v>
      </c>
      <c r="H464" s="7">
        <v>0</v>
      </c>
      <c r="I464" s="7">
        <v>0</v>
      </c>
      <c r="J464" s="7">
        <v>0</v>
      </c>
      <c r="K464" s="7">
        <v>154203</v>
      </c>
    </row>
    <row r="465" spans="1:11" x14ac:dyDescent="0.25">
      <c r="A465" s="6">
        <v>47574</v>
      </c>
      <c r="B465" s="7" t="str">
        <f>"FEHF0000220664"</f>
        <v>FEHF0000220664</v>
      </c>
      <c r="C465" s="7">
        <v>900226715</v>
      </c>
      <c r="D465" s="8">
        <v>44518.708981481483</v>
      </c>
      <c r="E465" s="8">
        <v>44539</v>
      </c>
      <c r="F465" s="7">
        <v>146600</v>
      </c>
      <c r="G465" s="7">
        <v>0</v>
      </c>
      <c r="H465" s="7">
        <v>0</v>
      </c>
      <c r="I465" s="7">
        <v>0</v>
      </c>
      <c r="J465" s="7">
        <v>0</v>
      </c>
      <c r="K465" s="7">
        <v>146600</v>
      </c>
    </row>
    <row r="466" spans="1:11" x14ac:dyDescent="0.25">
      <c r="A466" s="6">
        <v>47574</v>
      </c>
      <c r="B466" s="7" t="str">
        <f>"FEHF0000220788"</f>
        <v>FEHF0000220788</v>
      </c>
      <c r="C466" s="7">
        <v>900226715</v>
      </c>
      <c r="D466" s="8">
        <v>44519.304293981484</v>
      </c>
      <c r="E466" s="8">
        <v>44539</v>
      </c>
      <c r="F466" s="7">
        <v>45800</v>
      </c>
      <c r="G466" s="7">
        <v>0</v>
      </c>
      <c r="H466" s="7">
        <v>0</v>
      </c>
      <c r="I466" s="7">
        <v>0</v>
      </c>
      <c r="J466" s="7">
        <v>0</v>
      </c>
      <c r="K466" s="7">
        <v>45800</v>
      </c>
    </row>
    <row r="467" spans="1:11" x14ac:dyDescent="0.25">
      <c r="A467" s="6">
        <v>47572</v>
      </c>
      <c r="B467" s="7" t="str">
        <f>"FEHF0000221856"</f>
        <v>FEHF0000221856</v>
      </c>
      <c r="C467" s="7">
        <v>900226715</v>
      </c>
      <c r="D467" s="8">
        <v>44522.62363425926</v>
      </c>
      <c r="E467" s="8">
        <v>44536</v>
      </c>
      <c r="F467" s="7">
        <v>316180</v>
      </c>
      <c r="G467" s="7">
        <v>0</v>
      </c>
      <c r="H467" s="7">
        <v>0</v>
      </c>
      <c r="I467" s="7">
        <v>0</v>
      </c>
      <c r="J467" s="7">
        <v>0</v>
      </c>
      <c r="K467" s="7">
        <v>316180</v>
      </c>
    </row>
    <row r="468" spans="1:11" x14ac:dyDescent="0.25">
      <c r="A468" s="6">
        <v>47572</v>
      </c>
      <c r="B468" s="7" t="str">
        <f>"FEHF0000221986"</f>
        <v>FEHF0000221986</v>
      </c>
      <c r="C468" s="7">
        <v>900226715</v>
      </c>
      <c r="D468" s="8">
        <v>44522.918171296296</v>
      </c>
      <c r="E468" s="8">
        <v>44536</v>
      </c>
      <c r="F468" s="7">
        <v>422208</v>
      </c>
      <c r="G468" s="7">
        <v>0</v>
      </c>
      <c r="H468" s="7">
        <v>0</v>
      </c>
      <c r="I468" s="7">
        <v>0</v>
      </c>
      <c r="J468" s="7">
        <v>0</v>
      </c>
      <c r="K468" s="7">
        <v>422208</v>
      </c>
    </row>
    <row r="469" spans="1:11" x14ac:dyDescent="0.25">
      <c r="A469" s="6">
        <v>47572</v>
      </c>
      <c r="B469" s="7" t="str">
        <f>"FEHF0000222911"</f>
        <v>FEHF0000222911</v>
      </c>
      <c r="C469" s="7">
        <v>900226715</v>
      </c>
      <c r="D469" s="8">
        <v>44524.614525462966</v>
      </c>
      <c r="E469" s="8">
        <v>44536</v>
      </c>
      <c r="F469" s="7">
        <v>8866902</v>
      </c>
      <c r="G469" s="7">
        <v>0</v>
      </c>
      <c r="H469" s="7">
        <v>0</v>
      </c>
      <c r="I469" s="7">
        <v>260700</v>
      </c>
      <c r="J469" s="7">
        <v>0</v>
      </c>
      <c r="K469" s="7">
        <v>8606202</v>
      </c>
    </row>
    <row r="470" spans="1:11" x14ac:dyDescent="0.25">
      <c r="A470" s="6">
        <v>47572</v>
      </c>
      <c r="B470" s="7" t="str">
        <f>"FEHF0000222962"</f>
        <v>FEHF0000222962</v>
      </c>
      <c r="C470" s="7">
        <v>900226715</v>
      </c>
      <c r="D470" s="8">
        <v>44524.677627314813</v>
      </c>
      <c r="E470" s="8">
        <v>44536</v>
      </c>
      <c r="F470" s="7">
        <v>613373</v>
      </c>
      <c r="G470" s="7">
        <v>0</v>
      </c>
      <c r="H470" s="7">
        <v>0</v>
      </c>
      <c r="I470" s="7">
        <v>0</v>
      </c>
      <c r="J470" s="7">
        <v>0</v>
      </c>
      <c r="K470" s="7">
        <v>613373</v>
      </c>
    </row>
    <row r="471" spans="1:11" x14ac:dyDescent="0.25">
      <c r="A471" s="6">
        <v>47573</v>
      </c>
      <c r="B471" s="7" t="str">
        <f>"FEHF0000223528"</f>
        <v>FEHF0000223528</v>
      </c>
      <c r="C471" s="7">
        <v>900226715</v>
      </c>
      <c r="D471" s="8">
        <v>44526.198564814818</v>
      </c>
      <c r="E471" s="8">
        <v>44536</v>
      </c>
      <c r="F471" s="7">
        <v>103600</v>
      </c>
      <c r="G471" s="7">
        <v>0</v>
      </c>
      <c r="H471" s="7">
        <v>0</v>
      </c>
      <c r="I471" s="7">
        <v>0</v>
      </c>
      <c r="J471" s="7">
        <v>0</v>
      </c>
      <c r="K471" s="7">
        <v>103600</v>
      </c>
    </row>
    <row r="472" spans="1:11" x14ac:dyDescent="0.25">
      <c r="A472" s="6">
        <v>47574</v>
      </c>
      <c r="B472" s="7" t="str">
        <f>"FEHF0000223577"</f>
        <v>FEHF0000223577</v>
      </c>
      <c r="C472" s="7">
        <v>900226715</v>
      </c>
      <c r="D472" s="8">
        <v>44526.318865740737</v>
      </c>
      <c r="E472" s="8">
        <v>44539</v>
      </c>
      <c r="F472" s="7">
        <v>39500</v>
      </c>
      <c r="G472" s="7">
        <v>0</v>
      </c>
      <c r="H472" s="7">
        <v>0</v>
      </c>
      <c r="I472" s="7">
        <v>0</v>
      </c>
      <c r="J472" s="7">
        <v>0</v>
      </c>
      <c r="K472" s="7">
        <v>39500</v>
      </c>
    </row>
    <row r="473" spans="1:11" x14ac:dyDescent="0.25">
      <c r="A473" s="6">
        <v>47574</v>
      </c>
      <c r="B473" s="7" t="str">
        <f>"FEHF0000223582"</f>
        <v>FEHF0000223582</v>
      </c>
      <c r="C473" s="7">
        <v>900226715</v>
      </c>
      <c r="D473" s="8">
        <v>44526.320648148147</v>
      </c>
      <c r="E473" s="8">
        <v>44539</v>
      </c>
      <c r="F473" s="7">
        <v>22900</v>
      </c>
      <c r="G473" s="7">
        <v>0</v>
      </c>
      <c r="H473" s="7">
        <v>0</v>
      </c>
      <c r="I473" s="7">
        <v>0</v>
      </c>
      <c r="J473" s="7">
        <v>0</v>
      </c>
      <c r="K473" s="7">
        <v>22900</v>
      </c>
    </row>
    <row r="474" spans="1:11" x14ac:dyDescent="0.25">
      <c r="A474" s="6">
        <v>47574</v>
      </c>
      <c r="B474" s="7" t="str">
        <f>"FEHF0000223734"</f>
        <v>FEHF0000223734</v>
      </c>
      <c r="C474" s="7">
        <v>900226715</v>
      </c>
      <c r="D474" s="8">
        <v>44526.416666666664</v>
      </c>
      <c r="E474" s="8">
        <v>44539</v>
      </c>
      <c r="F474" s="7">
        <v>32700</v>
      </c>
      <c r="G474" s="7">
        <v>0</v>
      </c>
      <c r="H474" s="7">
        <v>0</v>
      </c>
      <c r="I474" s="7">
        <v>0</v>
      </c>
      <c r="J474" s="7">
        <v>0</v>
      </c>
      <c r="K474" s="7">
        <v>32700</v>
      </c>
    </row>
    <row r="475" spans="1:11" x14ac:dyDescent="0.25">
      <c r="A475" s="6">
        <v>47658</v>
      </c>
      <c r="B475" s="7" t="str">
        <f>"FEHF0000224184"</f>
        <v>FEHF0000224184</v>
      </c>
      <c r="C475" s="7">
        <v>900226715</v>
      </c>
      <c r="D475" s="8">
        <v>44527.713750000003</v>
      </c>
      <c r="E475" s="8">
        <v>44536</v>
      </c>
      <c r="F475" s="7">
        <v>80832</v>
      </c>
      <c r="G475" s="7">
        <v>0</v>
      </c>
      <c r="H475" s="7">
        <v>0</v>
      </c>
      <c r="I475" s="7">
        <v>0</v>
      </c>
      <c r="J475" s="7">
        <v>0</v>
      </c>
      <c r="K475" s="7">
        <v>80832</v>
      </c>
    </row>
    <row r="476" spans="1:11" x14ac:dyDescent="0.25">
      <c r="A476" s="6">
        <v>47585</v>
      </c>
      <c r="B476" s="7" t="str">
        <f>"FEHF0000224618"</f>
        <v>FEHF0000224618</v>
      </c>
      <c r="C476" s="7">
        <v>900226715</v>
      </c>
      <c r="D476" s="8">
        <v>44529.607615740744</v>
      </c>
      <c r="E476" s="8">
        <v>44536</v>
      </c>
      <c r="F476" s="7">
        <v>32700</v>
      </c>
      <c r="G476" s="7">
        <v>0</v>
      </c>
      <c r="H476" s="7">
        <v>0</v>
      </c>
      <c r="I476" s="7">
        <v>0</v>
      </c>
      <c r="J476" s="7">
        <v>3500</v>
      </c>
      <c r="K476" s="7">
        <v>29200</v>
      </c>
    </row>
    <row r="477" spans="1:11" x14ac:dyDescent="0.25">
      <c r="A477" s="6">
        <v>47585</v>
      </c>
      <c r="B477" s="7" t="str">
        <f>"FEHF0000225172"</f>
        <v>FEHF0000225172</v>
      </c>
      <c r="C477" s="7">
        <v>900226715</v>
      </c>
      <c r="D477" s="8">
        <v>44530.617175925923</v>
      </c>
      <c r="E477" s="8">
        <v>44536</v>
      </c>
      <c r="F477" s="7">
        <v>146600</v>
      </c>
      <c r="G477" s="7">
        <v>0</v>
      </c>
      <c r="H477" s="7">
        <v>0</v>
      </c>
      <c r="I477" s="7">
        <v>0</v>
      </c>
      <c r="J477" s="7">
        <v>3500</v>
      </c>
      <c r="K477" s="7">
        <v>143100</v>
      </c>
    </row>
    <row r="478" spans="1:11" x14ac:dyDescent="0.25">
      <c r="A478" s="6">
        <v>47655</v>
      </c>
      <c r="B478" s="7" t="str">
        <f>"FEHF0000225301"</f>
        <v>FEHF0000225301</v>
      </c>
      <c r="C478" s="7">
        <v>900226715</v>
      </c>
      <c r="D478" s="8">
        <v>44530.858587962961</v>
      </c>
      <c r="E478" s="8">
        <v>44536</v>
      </c>
      <c r="F478" s="7">
        <v>80832</v>
      </c>
      <c r="G478" s="7">
        <v>0</v>
      </c>
      <c r="H478" s="7">
        <v>0</v>
      </c>
      <c r="I478" s="7">
        <v>0</v>
      </c>
      <c r="J478" s="7">
        <v>0</v>
      </c>
      <c r="K478" s="7">
        <v>80832</v>
      </c>
    </row>
    <row r="479" spans="1:11" x14ac:dyDescent="0.25">
      <c r="A479" s="6">
        <v>47756</v>
      </c>
      <c r="B479" s="7" t="str">
        <f>"FEHF0000225436"</f>
        <v>FEHF0000225436</v>
      </c>
      <c r="C479" s="7">
        <v>900226715</v>
      </c>
      <c r="D479" s="8">
        <v>44531.355578703704</v>
      </c>
      <c r="E479" s="8">
        <v>44566</v>
      </c>
      <c r="F479" s="7">
        <v>23700</v>
      </c>
      <c r="G479" s="7">
        <v>0</v>
      </c>
      <c r="H479" s="7">
        <v>0</v>
      </c>
      <c r="I479" s="7">
        <v>0</v>
      </c>
      <c r="J479" s="7">
        <v>0</v>
      </c>
      <c r="K479" s="7">
        <v>23700</v>
      </c>
    </row>
    <row r="480" spans="1:11" x14ac:dyDescent="0.25">
      <c r="A480" s="6">
        <v>47756</v>
      </c>
      <c r="B480" s="7" t="str">
        <f>"FEHF0000225445"</f>
        <v>FEHF0000225445</v>
      </c>
      <c r="C480" s="7">
        <v>900226715</v>
      </c>
      <c r="D480" s="8">
        <v>44531.359849537039</v>
      </c>
      <c r="E480" s="8">
        <v>44566</v>
      </c>
      <c r="F480" s="7">
        <v>47200</v>
      </c>
      <c r="G480" s="7">
        <v>0</v>
      </c>
      <c r="H480" s="7">
        <v>0</v>
      </c>
      <c r="I480" s="7">
        <v>0</v>
      </c>
      <c r="J480" s="7">
        <v>0</v>
      </c>
      <c r="K480" s="7">
        <v>47200</v>
      </c>
    </row>
    <row r="481" spans="1:11" x14ac:dyDescent="0.25">
      <c r="A481" s="6">
        <v>47756</v>
      </c>
      <c r="B481" s="7" t="str">
        <f>"FEHF0000225533"</f>
        <v>FEHF0000225533</v>
      </c>
      <c r="C481" s="7">
        <v>900226715</v>
      </c>
      <c r="D481" s="8">
        <v>44531.453298611108</v>
      </c>
      <c r="E481" s="8">
        <v>44566</v>
      </c>
      <c r="F481" s="7">
        <v>31600</v>
      </c>
      <c r="G481" s="7">
        <v>0</v>
      </c>
      <c r="H481" s="7">
        <v>0</v>
      </c>
      <c r="I481" s="7">
        <v>0</v>
      </c>
      <c r="J481" s="7">
        <v>0</v>
      </c>
      <c r="K481" s="7">
        <v>31600</v>
      </c>
    </row>
    <row r="482" spans="1:11" x14ac:dyDescent="0.25">
      <c r="A482" s="6">
        <v>47572</v>
      </c>
      <c r="B482" s="7" t="str">
        <f>"FEHF0000225594"</f>
        <v>FEHF0000225594</v>
      </c>
      <c r="C482" s="7">
        <v>900226715</v>
      </c>
      <c r="D482" s="8">
        <v>44531.535104166665</v>
      </c>
      <c r="E482" s="8">
        <v>44536</v>
      </c>
      <c r="F482" s="7">
        <v>100678</v>
      </c>
      <c r="G482" s="7">
        <v>0</v>
      </c>
      <c r="H482" s="7">
        <v>0</v>
      </c>
      <c r="I482" s="7">
        <v>0</v>
      </c>
      <c r="J482" s="7">
        <v>0</v>
      </c>
      <c r="K482" s="7">
        <v>100678</v>
      </c>
    </row>
    <row r="483" spans="1:11" x14ac:dyDescent="0.25">
      <c r="A483" s="6">
        <v>47690</v>
      </c>
      <c r="B483" s="7" t="str">
        <f>"FEHF0000226237"</f>
        <v>FEHF0000226237</v>
      </c>
      <c r="C483" s="7">
        <v>900226715</v>
      </c>
      <c r="D483" s="8">
        <v>44533.043611111112</v>
      </c>
      <c r="E483" s="8">
        <v>44566</v>
      </c>
      <c r="F483" s="7">
        <v>666136</v>
      </c>
      <c r="G483" s="7">
        <v>0</v>
      </c>
      <c r="H483" s="7">
        <v>0</v>
      </c>
      <c r="I483" s="7">
        <v>345272</v>
      </c>
      <c r="J483" s="7">
        <v>0</v>
      </c>
      <c r="K483" s="7">
        <v>320864</v>
      </c>
    </row>
    <row r="484" spans="1:11" x14ac:dyDescent="0.25">
      <c r="A484" s="6">
        <v>47694</v>
      </c>
      <c r="B484" s="7" t="str">
        <f>"FEHF0000226502"</f>
        <v>FEHF0000226502</v>
      </c>
      <c r="C484" s="7">
        <v>900226715</v>
      </c>
      <c r="D484" s="8">
        <v>44533.454305555555</v>
      </c>
      <c r="E484" s="8">
        <v>44566</v>
      </c>
      <c r="F484" s="7">
        <v>53700</v>
      </c>
      <c r="G484" s="7">
        <v>0</v>
      </c>
      <c r="H484" s="7">
        <v>0</v>
      </c>
      <c r="I484" s="7">
        <v>0</v>
      </c>
      <c r="J484" s="7">
        <v>0</v>
      </c>
      <c r="K484" s="7">
        <v>53700</v>
      </c>
    </row>
    <row r="485" spans="1:11" x14ac:dyDescent="0.25">
      <c r="A485" s="6">
        <v>47690</v>
      </c>
      <c r="B485" s="7" t="str">
        <f>"FEHF0000226757"</f>
        <v>FEHF0000226757</v>
      </c>
      <c r="C485" s="7">
        <v>900226715</v>
      </c>
      <c r="D485" s="8">
        <v>44534.250625000001</v>
      </c>
      <c r="E485" s="8">
        <v>44566</v>
      </c>
      <c r="F485" s="7">
        <v>102500</v>
      </c>
      <c r="G485" s="7">
        <v>0</v>
      </c>
      <c r="H485" s="7">
        <v>0</v>
      </c>
      <c r="I485" s="7">
        <v>0</v>
      </c>
      <c r="J485" s="7">
        <v>0</v>
      </c>
      <c r="K485" s="7">
        <v>102500</v>
      </c>
    </row>
    <row r="486" spans="1:11" x14ac:dyDescent="0.25">
      <c r="A486" s="6">
        <v>47756</v>
      </c>
      <c r="B486" s="7" t="str">
        <f>"FEHF0000227540"</f>
        <v>FEHF0000227540</v>
      </c>
      <c r="C486" s="7">
        <v>900226715</v>
      </c>
      <c r="D486" s="8">
        <v>44537.324062500003</v>
      </c>
      <c r="E486" s="8">
        <v>44566</v>
      </c>
      <c r="F486" s="7">
        <v>156800</v>
      </c>
      <c r="G486" s="7">
        <v>0</v>
      </c>
      <c r="H486" s="7">
        <v>0</v>
      </c>
      <c r="I486" s="7">
        <v>0</v>
      </c>
      <c r="J486" s="7">
        <v>0</v>
      </c>
      <c r="K486" s="7">
        <v>156800</v>
      </c>
    </row>
    <row r="487" spans="1:11" x14ac:dyDescent="0.25">
      <c r="A487" s="6">
        <v>47756</v>
      </c>
      <c r="B487" s="7" t="str">
        <f>"FEHF0000227564"</f>
        <v>FEHF0000227564</v>
      </c>
      <c r="C487" s="7">
        <v>900226715</v>
      </c>
      <c r="D487" s="8">
        <v>44537.344363425924</v>
      </c>
      <c r="E487" s="8">
        <v>44566</v>
      </c>
      <c r="F487" s="7">
        <v>45800</v>
      </c>
      <c r="G487" s="7">
        <v>0</v>
      </c>
      <c r="H487" s="7">
        <v>0</v>
      </c>
      <c r="I487" s="7">
        <v>0</v>
      </c>
      <c r="J487" s="7">
        <v>0</v>
      </c>
      <c r="K487" s="7">
        <v>45800</v>
      </c>
    </row>
    <row r="488" spans="1:11" x14ac:dyDescent="0.25">
      <c r="A488" s="6">
        <v>47690</v>
      </c>
      <c r="B488" s="7" t="str">
        <f>"FEHF0000227863"</f>
        <v>FEHF0000227863</v>
      </c>
      <c r="C488" s="7">
        <v>900226715</v>
      </c>
      <c r="D488" s="8">
        <v>44537.975104166668</v>
      </c>
      <c r="E488" s="8">
        <v>44566</v>
      </c>
      <c r="F488" s="7">
        <v>53700</v>
      </c>
      <c r="G488" s="7">
        <v>0</v>
      </c>
      <c r="H488" s="7">
        <v>0</v>
      </c>
      <c r="I488" s="7">
        <v>0</v>
      </c>
      <c r="J488" s="7">
        <v>0</v>
      </c>
      <c r="K488" s="7">
        <v>53700</v>
      </c>
    </row>
    <row r="489" spans="1:11" x14ac:dyDescent="0.25">
      <c r="A489" s="6">
        <v>47756</v>
      </c>
      <c r="B489" s="7" t="str">
        <f>"FEHF0000228537"</f>
        <v>FEHF0000228537</v>
      </c>
      <c r="C489" s="7">
        <v>900226715</v>
      </c>
      <c r="D489" s="8">
        <v>44540.363912037035</v>
      </c>
      <c r="E489" s="8">
        <v>44566</v>
      </c>
      <c r="F489" s="7">
        <v>47200</v>
      </c>
      <c r="G489" s="7">
        <v>0</v>
      </c>
      <c r="H489" s="7">
        <v>0</v>
      </c>
      <c r="I489" s="7">
        <v>0</v>
      </c>
      <c r="J489" s="7">
        <v>0</v>
      </c>
      <c r="K489" s="7">
        <v>47200</v>
      </c>
    </row>
    <row r="490" spans="1:11" x14ac:dyDescent="0.25">
      <c r="A490" s="6">
        <v>47690</v>
      </c>
      <c r="B490" s="7" t="str">
        <f>"FEHF0000229068"</f>
        <v>FEHF0000229068</v>
      </c>
      <c r="C490" s="7">
        <v>900226715</v>
      </c>
      <c r="D490" s="8">
        <v>44542.100972222222</v>
      </c>
      <c r="E490" s="8">
        <v>44566</v>
      </c>
      <c r="F490" s="7">
        <v>100757</v>
      </c>
      <c r="G490" s="7">
        <v>0</v>
      </c>
      <c r="H490" s="7">
        <v>0</v>
      </c>
      <c r="I490" s="7">
        <v>0</v>
      </c>
      <c r="J490" s="7">
        <v>0</v>
      </c>
      <c r="K490" s="7">
        <v>100757</v>
      </c>
    </row>
    <row r="491" spans="1:11" x14ac:dyDescent="0.25">
      <c r="A491" s="6">
        <v>47690</v>
      </c>
      <c r="B491" s="7" t="str">
        <f>"FEHF0000229177"</f>
        <v>FEHF0000229177</v>
      </c>
      <c r="C491" s="7">
        <v>900226715</v>
      </c>
      <c r="D491" s="8">
        <v>44542.737905092596</v>
      </c>
      <c r="E491" s="8">
        <v>44566</v>
      </c>
      <c r="F491" s="7">
        <v>53700</v>
      </c>
      <c r="G491" s="7">
        <v>0</v>
      </c>
      <c r="H491" s="7">
        <v>0</v>
      </c>
      <c r="I491" s="7">
        <v>0</v>
      </c>
      <c r="J491" s="7">
        <v>0</v>
      </c>
      <c r="K491" s="7">
        <v>53700</v>
      </c>
    </row>
    <row r="492" spans="1:11" x14ac:dyDescent="0.25">
      <c r="A492" s="6">
        <v>47754</v>
      </c>
      <c r="B492" s="7" t="str">
        <f>"FEHF0000229533"</f>
        <v>FEHF0000229533</v>
      </c>
      <c r="C492" s="7">
        <v>900226715</v>
      </c>
      <c r="D492" s="8">
        <v>44543.632430555554</v>
      </c>
      <c r="E492" s="8">
        <v>44566</v>
      </c>
      <c r="F492" s="7">
        <v>80800</v>
      </c>
      <c r="G492" s="7">
        <v>0</v>
      </c>
      <c r="H492" s="7">
        <v>0</v>
      </c>
      <c r="I492" s="7">
        <v>0</v>
      </c>
      <c r="J492" s="7">
        <v>3500</v>
      </c>
      <c r="K492" s="7">
        <v>77300</v>
      </c>
    </row>
    <row r="493" spans="1:11" x14ac:dyDescent="0.25">
      <c r="A493" s="6">
        <v>47690</v>
      </c>
      <c r="B493" s="7" t="str">
        <f>"FEHF0000229579"</f>
        <v>FEHF0000229579</v>
      </c>
      <c r="C493" s="7">
        <v>900226715</v>
      </c>
      <c r="D493" s="8">
        <v>44543.693773148145</v>
      </c>
      <c r="E493" s="8">
        <v>44566</v>
      </c>
      <c r="F493" s="7">
        <v>3094378</v>
      </c>
      <c r="G493" s="7">
        <v>0</v>
      </c>
      <c r="H493" s="7">
        <v>0</v>
      </c>
      <c r="I493" s="7">
        <v>2961858</v>
      </c>
      <c r="J493" s="7">
        <v>0</v>
      </c>
      <c r="K493" s="7">
        <v>132520</v>
      </c>
    </row>
    <row r="494" spans="1:11" x14ac:dyDescent="0.25">
      <c r="A494" s="6">
        <v>47690</v>
      </c>
      <c r="B494" s="7" t="str">
        <f>"FEHF0000230082"</f>
        <v>FEHF0000230082</v>
      </c>
      <c r="C494" s="7">
        <v>900226715</v>
      </c>
      <c r="D494" s="8">
        <v>44544.663055555553</v>
      </c>
      <c r="E494" s="8">
        <v>44566</v>
      </c>
      <c r="F494" s="7">
        <v>80161</v>
      </c>
      <c r="G494" s="7">
        <v>0</v>
      </c>
      <c r="H494" s="7">
        <v>0</v>
      </c>
      <c r="I494" s="7">
        <v>0</v>
      </c>
      <c r="J494" s="7">
        <v>0</v>
      </c>
      <c r="K494" s="7">
        <v>80161</v>
      </c>
    </row>
    <row r="495" spans="1:11" x14ac:dyDescent="0.25">
      <c r="A495" s="6">
        <v>47756</v>
      </c>
      <c r="B495" s="7" t="str">
        <f>"FEHF0000230674"</f>
        <v>FEHF0000230674</v>
      </c>
      <c r="C495" s="7">
        <v>900226715</v>
      </c>
      <c r="D495" s="8">
        <v>44546.318252314813</v>
      </c>
      <c r="E495" s="8">
        <v>44566</v>
      </c>
      <c r="F495" s="7">
        <v>9700</v>
      </c>
      <c r="G495" s="7">
        <v>0</v>
      </c>
      <c r="H495" s="7">
        <v>0</v>
      </c>
      <c r="I495" s="7">
        <v>0</v>
      </c>
      <c r="J495" s="7">
        <v>0</v>
      </c>
      <c r="K495" s="7">
        <v>9700</v>
      </c>
    </row>
    <row r="496" spans="1:11" x14ac:dyDescent="0.25">
      <c r="A496" s="6">
        <v>47756</v>
      </c>
      <c r="B496" s="7" t="str">
        <f>"FEHF0000230727"</f>
        <v>FEHF0000230727</v>
      </c>
      <c r="C496" s="7">
        <v>900226715</v>
      </c>
      <c r="D496" s="8">
        <v>44546.354456018518</v>
      </c>
      <c r="E496" s="8">
        <v>44566</v>
      </c>
      <c r="F496" s="7">
        <v>32700</v>
      </c>
      <c r="G496" s="7">
        <v>0</v>
      </c>
      <c r="H496" s="7">
        <v>0</v>
      </c>
      <c r="I496" s="7">
        <v>0</v>
      </c>
      <c r="J496" s="7">
        <v>0</v>
      </c>
      <c r="K496" s="7">
        <v>32700</v>
      </c>
    </row>
    <row r="497" spans="1:11" x14ac:dyDescent="0.25">
      <c r="A497" s="6">
        <v>47754</v>
      </c>
      <c r="B497" s="7" t="str">
        <f>"FEHF0000230969"</f>
        <v>FEHF0000230969</v>
      </c>
      <c r="C497" s="7">
        <v>900226715</v>
      </c>
      <c r="D497" s="8">
        <v>44546.580949074072</v>
      </c>
      <c r="E497" s="8">
        <v>44566</v>
      </c>
      <c r="F497" s="7">
        <v>146600</v>
      </c>
      <c r="G497" s="7">
        <v>0</v>
      </c>
      <c r="H497" s="7">
        <v>0</v>
      </c>
      <c r="I497" s="7">
        <v>0</v>
      </c>
      <c r="J497" s="7">
        <v>3500</v>
      </c>
      <c r="K497" s="7">
        <v>143100</v>
      </c>
    </row>
    <row r="498" spans="1:11" x14ac:dyDescent="0.25">
      <c r="A498" s="6">
        <v>47694</v>
      </c>
      <c r="B498" s="7" t="str">
        <f>"FEHF0000231140"</f>
        <v>FEHF0000231140</v>
      </c>
      <c r="C498" s="7">
        <v>900226715</v>
      </c>
      <c r="D498" s="8">
        <v>44546.995474537034</v>
      </c>
      <c r="E498" s="8">
        <v>44566</v>
      </c>
      <c r="F498" s="7">
        <v>217707</v>
      </c>
      <c r="G498" s="7">
        <v>0</v>
      </c>
      <c r="H498" s="7">
        <v>0</v>
      </c>
      <c r="I498" s="7">
        <v>143146</v>
      </c>
      <c r="J498" s="7">
        <v>0</v>
      </c>
      <c r="K498" s="7">
        <v>74561</v>
      </c>
    </row>
    <row r="499" spans="1:11" x14ac:dyDescent="0.25">
      <c r="A499" s="6">
        <v>47756</v>
      </c>
      <c r="B499" s="7" t="str">
        <f>"FEHF0000231304"</f>
        <v>FEHF0000231304</v>
      </c>
      <c r="C499" s="7">
        <v>900226715</v>
      </c>
      <c r="D499" s="8">
        <v>44547.376504629632</v>
      </c>
      <c r="E499" s="8">
        <v>44566</v>
      </c>
      <c r="F499" s="7">
        <v>150000</v>
      </c>
      <c r="G499" s="7">
        <v>0</v>
      </c>
      <c r="H499" s="7">
        <v>0</v>
      </c>
      <c r="I499" s="7">
        <v>0</v>
      </c>
      <c r="J499" s="7">
        <v>0</v>
      </c>
      <c r="K499" s="7">
        <v>150000</v>
      </c>
    </row>
    <row r="500" spans="1:11" x14ac:dyDescent="0.25">
      <c r="A500" s="6">
        <v>47756</v>
      </c>
      <c r="B500" s="7" t="str">
        <f>"FEHF0000231495"</f>
        <v>FEHF0000231495</v>
      </c>
      <c r="C500" s="7">
        <v>900226715</v>
      </c>
      <c r="D500" s="8">
        <v>44547.569537037038</v>
      </c>
      <c r="E500" s="8">
        <v>44566</v>
      </c>
      <c r="F500" s="7">
        <v>32700</v>
      </c>
      <c r="G500" s="7">
        <v>0</v>
      </c>
      <c r="H500" s="7">
        <v>0</v>
      </c>
      <c r="I500" s="7">
        <v>0</v>
      </c>
      <c r="J500" s="7">
        <v>0</v>
      </c>
      <c r="K500" s="7">
        <v>32700</v>
      </c>
    </row>
    <row r="501" spans="1:11" x14ac:dyDescent="0.25">
      <c r="A501" s="6">
        <v>47754</v>
      </c>
      <c r="B501" s="7" t="str">
        <f>"FEHF0000231503"</f>
        <v>FEHF0000231503</v>
      </c>
      <c r="C501" s="7">
        <v>900226715</v>
      </c>
      <c r="D501" s="8">
        <v>44547.579108796293</v>
      </c>
      <c r="E501" s="8">
        <v>44566</v>
      </c>
      <c r="F501" s="7">
        <v>32700</v>
      </c>
      <c r="G501" s="7">
        <v>0</v>
      </c>
      <c r="H501" s="7">
        <v>0</v>
      </c>
      <c r="I501" s="7">
        <v>0</v>
      </c>
      <c r="J501" s="7">
        <v>3500</v>
      </c>
      <c r="K501" s="7">
        <v>29200</v>
      </c>
    </row>
    <row r="502" spans="1:11" x14ac:dyDescent="0.25">
      <c r="A502" s="6">
        <v>47756</v>
      </c>
      <c r="B502" s="7" t="str">
        <f>"FEHF0000232049"</f>
        <v>FEHF0000232049</v>
      </c>
      <c r="C502" s="7">
        <v>900226715</v>
      </c>
      <c r="D502" s="8">
        <v>44550.321412037039</v>
      </c>
      <c r="E502" s="8">
        <v>44566</v>
      </c>
      <c r="F502" s="7">
        <v>32700</v>
      </c>
      <c r="G502" s="7">
        <v>0</v>
      </c>
      <c r="H502" s="7">
        <v>0</v>
      </c>
      <c r="I502" s="7">
        <v>0</v>
      </c>
      <c r="J502" s="7">
        <v>0</v>
      </c>
      <c r="K502" s="7">
        <v>32700</v>
      </c>
    </row>
    <row r="503" spans="1:11" x14ac:dyDescent="0.25">
      <c r="A503" s="6">
        <v>47756</v>
      </c>
      <c r="B503" s="7" t="str">
        <f>"FEHF0000232226"</f>
        <v>FEHF0000232226</v>
      </c>
      <c r="C503" s="7">
        <v>900226715</v>
      </c>
      <c r="D503" s="8">
        <v>44550.456828703704</v>
      </c>
      <c r="E503" s="8">
        <v>44566</v>
      </c>
      <c r="F503" s="7">
        <v>112100</v>
      </c>
      <c r="G503" s="7">
        <v>0</v>
      </c>
      <c r="H503" s="7">
        <v>0</v>
      </c>
      <c r="I503" s="7">
        <v>0</v>
      </c>
      <c r="J503" s="7">
        <v>0</v>
      </c>
      <c r="K503" s="7">
        <v>112100</v>
      </c>
    </row>
    <row r="504" spans="1:11" x14ac:dyDescent="0.25">
      <c r="A504" s="6">
        <v>47756</v>
      </c>
      <c r="B504" s="7" t="str">
        <f>"FEHF0000232596"</f>
        <v>FEHF0000232596</v>
      </c>
      <c r="C504" s="7">
        <v>900226715</v>
      </c>
      <c r="D504" s="8">
        <v>44551.333252314813</v>
      </c>
      <c r="E504" s="8">
        <v>44566</v>
      </c>
      <c r="F504" s="7">
        <v>47200</v>
      </c>
      <c r="G504" s="7">
        <v>0</v>
      </c>
      <c r="H504" s="7">
        <v>0</v>
      </c>
      <c r="I504" s="7">
        <v>0</v>
      </c>
      <c r="J504" s="7">
        <v>0</v>
      </c>
      <c r="K504" s="7">
        <v>47200</v>
      </c>
    </row>
    <row r="505" spans="1:11" x14ac:dyDescent="0.25">
      <c r="A505" s="6">
        <v>47694</v>
      </c>
      <c r="B505" s="7" t="str">
        <f>"FEHF0000232952"</f>
        <v>FEHF0000232952</v>
      </c>
      <c r="C505" s="7">
        <v>900226715</v>
      </c>
      <c r="D505" s="8">
        <v>44551.735173611109</v>
      </c>
      <c r="E505" s="8">
        <v>44566</v>
      </c>
      <c r="F505" s="7">
        <v>53700</v>
      </c>
      <c r="G505" s="7">
        <v>0</v>
      </c>
      <c r="H505" s="7">
        <v>0</v>
      </c>
      <c r="I505" s="7">
        <v>0</v>
      </c>
      <c r="J505" s="7">
        <v>0</v>
      </c>
      <c r="K505" s="7">
        <v>53700</v>
      </c>
    </row>
    <row r="506" spans="1:11" x14ac:dyDescent="0.25">
      <c r="A506" s="6">
        <v>47694</v>
      </c>
      <c r="B506" s="7" t="str">
        <f>"FEHF0000233842"</f>
        <v>FEHF0000233842</v>
      </c>
      <c r="C506" s="7">
        <v>900226715</v>
      </c>
      <c r="D506" s="8">
        <v>44553.477986111109</v>
      </c>
      <c r="E506" s="8">
        <v>44566</v>
      </c>
      <c r="F506" s="7">
        <v>113400</v>
      </c>
      <c r="G506" s="7">
        <v>0</v>
      </c>
      <c r="H506" s="7">
        <v>0</v>
      </c>
      <c r="I506" s="7">
        <v>0</v>
      </c>
      <c r="J506" s="7">
        <v>0</v>
      </c>
      <c r="K506" s="7">
        <v>113400</v>
      </c>
    </row>
    <row r="507" spans="1:11" x14ac:dyDescent="0.25">
      <c r="A507" s="6">
        <v>47694</v>
      </c>
      <c r="B507" s="7" t="str">
        <f>"FEHF0000234092"</f>
        <v>FEHF0000234092</v>
      </c>
      <c r="C507" s="7">
        <v>900226715</v>
      </c>
      <c r="D507" s="8">
        <v>44554.149293981478</v>
      </c>
      <c r="E507" s="8">
        <v>44566</v>
      </c>
      <c r="F507" s="7">
        <v>117626</v>
      </c>
      <c r="G507" s="7">
        <v>0</v>
      </c>
      <c r="H507" s="7">
        <v>0</v>
      </c>
      <c r="I507" s="7">
        <v>0</v>
      </c>
      <c r="J507" s="7">
        <v>0</v>
      </c>
      <c r="K507" s="7">
        <v>117626</v>
      </c>
    </row>
    <row r="508" spans="1:11" x14ac:dyDescent="0.25">
      <c r="A508" s="6">
        <v>47754</v>
      </c>
      <c r="B508" s="7" t="str">
        <f>"FEHF0000234177"</f>
        <v>FEHF0000234177</v>
      </c>
      <c r="C508" s="7">
        <v>900226715</v>
      </c>
      <c r="D508" s="8">
        <v>44554.36041666667</v>
      </c>
      <c r="E508" s="8">
        <v>44566</v>
      </c>
      <c r="F508" s="7">
        <v>31600</v>
      </c>
      <c r="G508" s="7">
        <v>0</v>
      </c>
      <c r="H508" s="7">
        <v>0</v>
      </c>
      <c r="I508" s="7">
        <v>3500</v>
      </c>
      <c r="J508" s="7">
        <v>0</v>
      </c>
      <c r="K508" s="7">
        <v>28100</v>
      </c>
    </row>
    <row r="509" spans="1:11" x14ac:dyDescent="0.25">
      <c r="A509" s="6">
        <v>47754</v>
      </c>
      <c r="B509" s="7" t="str">
        <f>"FEHF0000234180"</f>
        <v>FEHF0000234180</v>
      </c>
      <c r="C509" s="7">
        <v>900226715</v>
      </c>
      <c r="D509" s="8">
        <v>44554.364560185182</v>
      </c>
      <c r="E509" s="8">
        <v>44566</v>
      </c>
      <c r="F509" s="7">
        <v>31600</v>
      </c>
      <c r="G509" s="7">
        <v>0</v>
      </c>
      <c r="H509" s="7">
        <v>0</v>
      </c>
      <c r="I509" s="7">
        <v>3500</v>
      </c>
      <c r="J509" s="7">
        <v>0</v>
      </c>
      <c r="K509" s="7">
        <v>28100</v>
      </c>
    </row>
    <row r="510" spans="1:11" x14ac:dyDescent="0.25">
      <c r="A510" s="6">
        <v>47694</v>
      </c>
      <c r="B510" s="7" t="str">
        <f>"FEHF0000234479"</f>
        <v>FEHF0000234479</v>
      </c>
      <c r="C510" s="7">
        <v>900226715</v>
      </c>
      <c r="D510" s="8">
        <v>44556.367546296293</v>
      </c>
      <c r="E510" s="8">
        <v>44566</v>
      </c>
      <c r="F510" s="7">
        <v>789412</v>
      </c>
      <c r="G510" s="7">
        <v>0</v>
      </c>
      <c r="H510" s="7">
        <v>0</v>
      </c>
      <c r="I510" s="7">
        <v>0</v>
      </c>
      <c r="J510" s="7">
        <v>0</v>
      </c>
      <c r="K510" s="7">
        <v>789412</v>
      </c>
    </row>
    <row r="511" spans="1:11" x14ac:dyDescent="0.25">
      <c r="A511" s="6">
        <v>47690</v>
      </c>
      <c r="B511" s="7" t="str">
        <f>"FEHF0000234687"</f>
        <v>FEHF0000234687</v>
      </c>
      <c r="C511" s="7">
        <v>900226715</v>
      </c>
      <c r="D511" s="8">
        <v>44557.348796296297</v>
      </c>
      <c r="E511" s="8">
        <v>44566</v>
      </c>
      <c r="F511" s="7">
        <v>53700</v>
      </c>
      <c r="G511" s="7">
        <v>0</v>
      </c>
      <c r="H511" s="7">
        <v>0</v>
      </c>
      <c r="I511" s="7">
        <v>0</v>
      </c>
      <c r="J511" s="7">
        <v>0</v>
      </c>
      <c r="K511" s="7">
        <v>53700</v>
      </c>
    </row>
    <row r="512" spans="1:11" x14ac:dyDescent="0.25">
      <c r="A512" s="6">
        <v>47754</v>
      </c>
      <c r="B512" s="7" t="str">
        <f>"FEHF0000234703"</f>
        <v>FEHF0000234703</v>
      </c>
      <c r="C512" s="7">
        <v>900226715</v>
      </c>
      <c r="D512" s="8">
        <v>44557.360497685186</v>
      </c>
      <c r="E512" s="8">
        <v>44566</v>
      </c>
      <c r="F512" s="7">
        <v>32700</v>
      </c>
      <c r="G512" s="7">
        <v>0</v>
      </c>
      <c r="H512" s="7">
        <v>0</v>
      </c>
      <c r="I512" s="7">
        <v>0</v>
      </c>
      <c r="J512" s="7">
        <v>3500</v>
      </c>
      <c r="K512" s="7">
        <v>29200</v>
      </c>
    </row>
    <row r="513" spans="1:11" x14ac:dyDescent="0.25">
      <c r="A513" s="6">
        <v>47694</v>
      </c>
      <c r="B513" s="7" t="str">
        <f>"FEHF0000235038"</f>
        <v>FEHF0000235038</v>
      </c>
      <c r="C513" s="7">
        <v>900226715</v>
      </c>
      <c r="D513" s="8">
        <v>44558.112476851849</v>
      </c>
      <c r="E513" s="8">
        <v>44566</v>
      </c>
      <c r="F513" s="7">
        <v>72786</v>
      </c>
      <c r="G513" s="7">
        <v>0</v>
      </c>
      <c r="H513" s="7">
        <v>0</v>
      </c>
      <c r="I513" s="7">
        <v>0</v>
      </c>
      <c r="J513" s="7">
        <v>0</v>
      </c>
      <c r="K513" s="7">
        <v>72786</v>
      </c>
    </row>
    <row r="514" spans="1:11" x14ac:dyDescent="0.25">
      <c r="A514" s="6">
        <v>47756</v>
      </c>
      <c r="B514" s="7" t="str">
        <f>"FEHF0000235084"</f>
        <v>FEHF0000235084</v>
      </c>
      <c r="C514" s="7">
        <v>900226715</v>
      </c>
      <c r="D514" s="8">
        <v>44558.305949074071</v>
      </c>
      <c r="E514" s="8">
        <v>44566</v>
      </c>
      <c r="F514" s="7">
        <v>31600</v>
      </c>
      <c r="G514" s="7">
        <v>0</v>
      </c>
      <c r="H514" s="7">
        <v>0</v>
      </c>
      <c r="I514" s="7">
        <v>0</v>
      </c>
      <c r="J514" s="7">
        <v>0</v>
      </c>
      <c r="K514" s="7">
        <v>31600</v>
      </c>
    </row>
    <row r="515" spans="1:11" x14ac:dyDescent="0.25">
      <c r="A515" s="6">
        <v>47756</v>
      </c>
      <c r="B515" s="7" t="str">
        <f>"FEHF0000235169"</f>
        <v>FEHF0000235169</v>
      </c>
      <c r="C515" s="7">
        <v>900226715</v>
      </c>
      <c r="D515" s="8">
        <v>44558.357141203705</v>
      </c>
      <c r="E515" s="8">
        <v>44566</v>
      </c>
      <c r="F515" s="7">
        <v>47200</v>
      </c>
      <c r="G515" s="7">
        <v>0</v>
      </c>
      <c r="H515" s="7">
        <v>0</v>
      </c>
      <c r="I515" s="7">
        <v>0</v>
      </c>
      <c r="J515" s="7">
        <v>0</v>
      </c>
      <c r="K515" s="7">
        <v>47200</v>
      </c>
    </row>
    <row r="516" spans="1:11" x14ac:dyDescent="0.25">
      <c r="A516" s="6">
        <v>47754</v>
      </c>
      <c r="B516" s="7" t="str">
        <f>"FEHF0000235264"</f>
        <v>FEHF0000235264</v>
      </c>
      <c r="C516" s="7">
        <v>900226715</v>
      </c>
      <c r="D516" s="8">
        <v>44558.41783564815</v>
      </c>
      <c r="E516" s="8">
        <v>44566</v>
      </c>
      <c r="F516" s="7">
        <v>32700</v>
      </c>
      <c r="G516" s="7">
        <v>0</v>
      </c>
      <c r="H516" s="7">
        <v>0</v>
      </c>
      <c r="I516" s="7">
        <v>0</v>
      </c>
      <c r="J516" s="7">
        <v>3500</v>
      </c>
      <c r="K516" s="7">
        <v>29200</v>
      </c>
    </row>
    <row r="517" spans="1:11" x14ac:dyDescent="0.25">
      <c r="A517" s="6">
        <v>47754</v>
      </c>
      <c r="B517" s="7" t="str">
        <f>"FEHF0000235268"</f>
        <v>FEHF0000235268</v>
      </c>
      <c r="C517" s="7">
        <v>900226715</v>
      </c>
      <c r="D517" s="8">
        <v>44558.419976851852</v>
      </c>
      <c r="E517" s="8">
        <v>44566</v>
      </c>
      <c r="F517" s="7">
        <v>32700</v>
      </c>
      <c r="G517" s="7">
        <v>0</v>
      </c>
      <c r="H517" s="7">
        <v>0</v>
      </c>
      <c r="I517" s="7">
        <v>0</v>
      </c>
      <c r="J517" s="7">
        <v>3500</v>
      </c>
      <c r="K517" s="7">
        <v>29200</v>
      </c>
    </row>
    <row r="518" spans="1:11" x14ac:dyDescent="0.25">
      <c r="A518" s="6">
        <v>47694</v>
      </c>
      <c r="B518" s="7" t="str">
        <f>"FEHF0000235594"</f>
        <v>FEHF0000235594</v>
      </c>
      <c r="C518" s="7">
        <v>900226715</v>
      </c>
      <c r="D518" s="8">
        <v>44559.207569444443</v>
      </c>
      <c r="E518" s="8">
        <v>44566</v>
      </c>
      <c r="F518" s="7">
        <v>353272</v>
      </c>
      <c r="G518" s="7">
        <v>0</v>
      </c>
      <c r="H518" s="7">
        <v>0</v>
      </c>
      <c r="I518" s="7">
        <v>0</v>
      </c>
      <c r="J518" s="7">
        <v>0</v>
      </c>
      <c r="K518" s="7">
        <v>353272</v>
      </c>
    </row>
    <row r="519" spans="1:11" x14ac:dyDescent="0.25">
      <c r="A519" s="6">
        <v>47756</v>
      </c>
      <c r="B519" s="7" t="str">
        <f>"FEHF0000235797"</f>
        <v>FEHF0000235797</v>
      </c>
      <c r="C519" s="7">
        <v>900226715</v>
      </c>
      <c r="D519" s="8">
        <v>44559.46297453704</v>
      </c>
      <c r="E519" s="8">
        <v>44566</v>
      </c>
      <c r="F519" s="7">
        <v>562100</v>
      </c>
      <c r="G519" s="7">
        <v>0</v>
      </c>
      <c r="H519" s="7">
        <v>0</v>
      </c>
      <c r="I519" s="7">
        <v>0</v>
      </c>
      <c r="J519" s="7">
        <v>0</v>
      </c>
      <c r="K519" s="7">
        <v>562100</v>
      </c>
    </row>
    <row r="520" spans="1:11" x14ac:dyDescent="0.25">
      <c r="A520" s="6">
        <v>47694</v>
      </c>
      <c r="B520" s="7" t="str">
        <f>"FEHF0000235994"</f>
        <v>FEHF0000235994</v>
      </c>
      <c r="C520" s="7">
        <v>900226715</v>
      </c>
      <c r="D520" s="8">
        <v>44559.919687499998</v>
      </c>
      <c r="E520" s="8">
        <v>44566</v>
      </c>
      <c r="F520" s="7">
        <v>55132</v>
      </c>
      <c r="G520" s="7">
        <v>0</v>
      </c>
      <c r="H520" s="7">
        <v>0</v>
      </c>
      <c r="I520" s="7">
        <v>0</v>
      </c>
      <c r="J520" s="7">
        <v>0</v>
      </c>
      <c r="K520" s="7">
        <v>55132</v>
      </c>
    </row>
    <row r="521" spans="1:11" x14ac:dyDescent="0.25">
      <c r="A521" s="6">
        <v>47754</v>
      </c>
      <c r="B521" s="7" t="str">
        <f>"FEHF0000236138"</f>
        <v>FEHF0000236138</v>
      </c>
      <c r="C521" s="7">
        <v>900226715</v>
      </c>
      <c r="D521" s="8">
        <v>44560.37840277778</v>
      </c>
      <c r="E521" s="8">
        <v>44566</v>
      </c>
      <c r="F521" s="7">
        <v>45800</v>
      </c>
      <c r="G521" s="7">
        <v>0</v>
      </c>
      <c r="H521" s="7">
        <v>0</v>
      </c>
      <c r="I521" s="7">
        <v>0</v>
      </c>
      <c r="J521" s="7">
        <v>3500</v>
      </c>
      <c r="K521" s="7">
        <v>42300</v>
      </c>
    </row>
    <row r="522" spans="1:11" x14ac:dyDescent="0.25">
      <c r="A522" s="6">
        <v>47754</v>
      </c>
      <c r="B522" s="7" t="str">
        <f>"FEHF0000236209"</f>
        <v>FEHF0000236209</v>
      </c>
      <c r="C522" s="7">
        <v>900226715</v>
      </c>
      <c r="D522" s="8">
        <v>44560.457685185182</v>
      </c>
      <c r="E522" s="8">
        <v>44566</v>
      </c>
      <c r="F522" s="7">
        <v>47200</v>
      </c>
      <c r="G522" s="7">
        <v>0</v>
      </c>
      <c r="H522" s="7">
        <v>0</v>
      </c>
      <c r="I522" s="7">
        <v>0</v>
      </c>
      <c r="J522" s="7">
        <v>3500</v>
      </c>
      <c r="K522" s="7">
        <v>43700</v>
      </c>
    </row>
    <row r="523" spans="1:11" x14ac:dyDescent="0.25">
      <c r="A523" s="6">
        <v>47694</v>
      </c>
      <c r="B523" s="7" t="str">
        <f>"FEHF0000236259"</f>
        <v>FEHF0000236259</v>
      </c>
      <c r="C523" s="7">
        <v>900226715</v>
      </c>
      <c r="D523" s="8">
        <v>44560.516643518517</v>
      </c>
      <c r="E523" s="8">
        <v>44566</v>
      </c>
      <c r="F523" s="7">
        <v>95024</v>
      </c>
      <c r="G523" s="7">
        <v>0</v>
      </c>
      <c r="H523" s="7">
        <v>0</v>
      </c>
      <c r="I523" s="7">
        <v>0</v>
      </c>
      <c r="J523" s="7">
        <v>0</v>
      </c>
      <c r="K523" s="7">
        <v>95024</v>
      </c>
    </row>
    <row r="524" spans="1:11" x14ac:dyDescent="0.25">
      <c r="A524" s="6">
        <v>47690</v>
      </c>
      <c r="B524" s="7" t="str">
        <f>"FEHF0000236261"</f>
        <v>FEHF0000236261</v>
      </c>
      <c r="C524" s="7">
        <v>900226715</v>
      </c>
      <c r="D524" s="8">
        <v>44560.518888888888</v>
      </c>
      <c r="E524" s="8">
        <v>44566</v>
      </c>
      <c r="F524" s="7">
        <v>873499</v>
      </c>
      <c r="G524" s="7">
        <v>0</v>
      </c>
      <c r="H524" s="7">
        <v>0</v>
      </c>
      <c r="I524" s="7">
        <v>0</v>
      </c>
      <c r="J524" s="7">
        <v>0</v>
      </c>
      <c r="K524" s="7">
        <v>873499</v>
      </c>
    </row>
    <row r="525" spans="1:11" x14ac:dyDescent="0.25">
      <c r="A525" s="6">
        <v>47756</v>
      </c>
      <c r="B525" s="7" t="str">
        <f>"FEHF0000236313"</f>
        <v>FEHF0000236313</v>
      </c>
      <c r="C525" s="7">
        <v>900226715</v>
      </c>
      <c r="D525" s="8">
        <v>44560.593032407407</v>
      </c>
      <c r="E525" s="8">
        <v>44566</v>
      </c>
      <c r="F525" s="7">
        <v>31600</v>
      </c>
      <c r="G525" s="7">
        <v>0</v>
      </c>
      <c r="H525" s="7">
        <v>0</v>
      </c>
      <c r="I525" s="7">
        <v>0</v>
      </c>
      <c r="J525" s="7">
        <v>0</v>
      </c>
      <c r="K525" s="7">
        <v>31600</v>
      </c>
    </row>
    <row r="526" spans="1:11" x14ac:dyDescent="0.25">
      <c r="A526" s="6">
        <v>47690</v>
      </c>
      <c r="B526" s="7" t="str">
        <f>"FEHF0000236387"</f>
        <v>FEHF0000236387</v>
      </c>
      <c r="C526" s="7">
        <v>900226715</v>
      </c>
      <c r="D526" s="8">
        <v>44560.707812499997</v>
      </c>
      <c r="E526" s="8">
        <v>44566</v>
      </c>
      <c r="F526" s="7">
        <v>2720645</v>
      </c>
      <c r="G526" s="7">
        <v>0</v>
      </c>
      <c r="H526" s="7">
        <v>0</v>
      </c>
      <c r="I526" s="7">
        <v>0</v>
      </c>
      <c r="J526" s="7">
        <v>0</v>
      </c>
      <c r="K526" s="7">
        <v>2720645</v>
      </c>
    </row>
    <row r="527" spans="1:11" x14ac:dyDescent="0.25">
      <c r="A527" s="6">
        <v>47690</v>
      </c>
      <c r="B527" s="7" t="str">
        <f>"FEHF0000236421"</f>
        <v>FEHF0000236421</v>
      </c>
      <c r="C527" s="7">
        <v>900226715</v>
      </c>
      <c r="D527" s="8">
        <v>44560.77815972222</v>
      </c>
      <c r="E527" s="8">
        <v>44566</v>
      </c>
      <c r="F527" s="7">
        <v>3968641</v>
      </c>
      <c r="G527" s="7">
        <v>0</v>
      </c>
      <c r="H527" s="7">
        <v>0</v>
      </c>
      <c r="I527" s="7">
        <v>0</v>
      </c>
      <c r="J527" s="7">
        <v>0</v>
      </c>
      <c r="K527" s="7">
        <v>3968641</v>
      </c>
    </row>
    <row r="528" spans="1:11" x14ac:dyDescent="0.25">
      <c r="A528" s="6">
        <v>47754</v>
      </c>
      <c r="B528" s="7" t="str">
        <f>"FEHF0000236595"</f>
        <v>FEHF0000236595</v>
      </c>
      <c r="C528" s="7">
        <v>900226715</v>
      </c>
      <c r="D528" s="8">
        <v>44561.343645833331</v>
      </c>
      <c r="E528" s="8">
        <v>44566</v>
      </c>
      <c r="F528" s="7">
        <v>31600</v>
      </c>
      <c r="G528" s="7">
        <v>0</v>
      </c>
      <c r="H528" s="7">
        <v>0</v>
      </c>
      <c r="I528" s="7">
        <v>0</v>
      </c>
      <c r="J528" s="7">
        <v>3500</v>
      </c>
      <c r="K528" s="7">
        <v>28100</v>
      </c>
    </row>
    <row r="529" spans="1:11" x14ac:dyDescent="0.25">
      <c r="A529" s="6">
        <v>47690</v>
      </c>
      <c r="B529" s="7" t="str">
        <f>"FEHF0000236676"</f>
        <v>FEHF0000236676</v>
      </c>
      <c r="C529" s="7">
        <v>900226715</v>
      </c>
      <c r="D529" s="8">
        <v>44561.464537037034</v>
      </c>
      <c r="E529" s="8">
        <v>44566</v>
      </c>
      <c r="F529" s="7">
        <v>66159</v>
      </c>
      <c r="G529" s="7">
        <v>0</v>
      </c>
      <c r="H529" s="7">
        <v>0</v>
      </c>
      <c r="I529" s="7">
        <v>0</v>
      </c>
      <c r="J529" s="7">
        <v>0</v>
      </c>
      <c r="K529" s="7">
        <v>66159</v>
      </c>
    </row>
    <row r="530" spans="1:11" x14ac:dyDescent="0.25">
      <c r="A530" s="6">
        <v>47694</v>
      </c>
      <c r="B530" s="7" t="str">
        <f>"FEHF0000236820"</f>
        <v>FEHF0000236820</v>
      </c>
      <c r="C530" s="7">
        <v>900226715</v>
      </c>
      <c r="D530" s="8">
        <v>44561.840057870373</v>
      </c>
      <c r="E530" s="8">
        <v>44566</v>
      </c>
      <c r="F530" s="7">
        <v>147186</v>
      </c>
      <c r="G530" s="7">
        <v>0</v>
      </c>
      <c r="H530" s="7">
        <v>0</v>
      </c>
      <c r="I530" s="7">
        <v>0</v>
      </c>
      <c r="J530" s="7">
        <v>0</v>
      </c>
      <c r="K530" s="7">
        <v>147186</v>
      </c>
    </row>
    <row r="531" spans="1:11" x14ac:dyDescent="0.25">
      <c r="A531" s="6">
        <v>47694</v>
      </c>
      <c r="B531" s="7" t="str">
        <f>"FEHF0000236829"</f>
        <v>FEHF0000236829</v>
      </c>
      <c r="C531" s="7">
        <v>900226715</v>
      </c>
      <c r="D531" s="8">
        <v>44561.864999999998</v>
      </c>
      <c r="E531" s="8">
        <v>44566</v>
      </c>
      <c r="F531" s="7">
        <v>195400</v>
      </c>
      <c r="G531" s="7">
        <v>0</v>
      </c>
      <c r="H531" s="7">
        <v>0</v>
      </c>
      <c r="I531" s="7">
        <v>0</v>
      </c>
      <c r="J531" s="7">
        <v>0</v>
      </c>
      <c r="K531" s="7">
        <v>195400</v>
      </c>
    </row>
    <row r="532" spans="1:11" x14ac:dyDescent="0.25">
      <c r="A532" s="6">
        <v>47850</v>
      </c>
      <c r="B532" s="7" t="str">
        <f>"FEHF0000236891"</f>
        <v>FEHF0000236891</v>
      </c>
      <c r="C532" s="7">
        <v>900226715</v>
      </c>
      <c r="D532" s="8">
        <v>44562.603530092594</v>
      </c>
      <c r="E532" s="8">
        <v>44599.659722222219</v>
      </c>
      <c r="F532" s="7">
        <v>72591</v>
      </c>
      <c r="G532" s="7">
        <v>0</v>
      </c>
      <c r="H532" s="7">
        <v>0</v>
      </c>
      <c r="I532" s="7">
        <v>0</v>
      </c>
      <c r="J532" s="7">
        <v>0</v>
      </c>
      <c r="K532" s="7">
        <v>72591</v>
      </c>
    </row>
    <row r="533" spans="1:11" x14ac:dyDescent="0.25">
      <c r="A533" s="6">
        <v>47851</v>
      </c>
      <c r="B533" s="7" t="str">
        <f>"FEHF0000236910"</f>
        <v>FEHF0000236910</v>
      </c>
      <c r="C533" s="7">
        <v>900226715</v>
      </c>
      <c r="D533" s="8">
        <v>44562.718356481484</v>
      </c>
      <c r="E533" s="8">
        <v>44602</v>
      </c>
      <c r="F533" s="7">
        <v>59100</v>
      </c>
      <c r="G533" s="7">
        <v>0</v>
      </c>
      <c r="H533" s="7">
        <v>0</v>
      </c>
      <c r="I533" s="7">
        <v>0</v>
      </c>
      <c r="J533" s="7">
        <v>0</v>
      </c>
      <c r="K533" s="7">
        <v>59100</v>
      </c>
    </row>
    <row r="534" spans="1:11" x14ac:dyDescent="0.25">
      <c r="A534" s="6">
        <v>47851</v>
      </c>
      <c r="B534" s="7" t="str">
        <f>"FEHF0000236962"</f>
        <v>FEHF0000236962</v>
      </c>
      <c r="C534" s="7">
        <v>900226715</v>
      </c>
      <c r="D534" s="8">
        <v>44563.613865740743</v>
      </c>
      <c r="E534" s="8">
        <v>44602</v>
      </c>
      <c r="F534" s="7">
        <v>237300</v>
      </c>
      <c r="G534" s="7">
        <v>0</v>
      </c>
      <c r="H534" s="7">
        <v>0</v>
      </c>
      <c r="I534" s="7">
        <v>0</v>
      </c>
      <c r="J534" s="7">
        <v>0</v>
      </c>
      <c r="K534" s="7">
        <v>237300</v>
      </c>
    </row>
    <row r="535" spans="1:11" x14ac:dyDescent="0.25">
      <c r="A535" s="6">
        <v>47861</v>
      </c>
      <c r="B535" s="7" t="str">
        <f>"FEHF0000237039"</f>
        <v>FEHF0000237039</v>
      </c>
      <c r="C535" s="7">
        <v>900226715</v>
      </c>
      <c r="D535" s="8">
        <v>44564.331377314818</v>
      </c>
      <c r="E535" s="8">
        <v>44599.707638888889</v>
      </c>
      <c r="F535" s="7">
        <v>36000</v>
      </c>
      <c r="G535" s="7">
        <v>0</v>
      </c>
      <c r="H535" s="7">
        <v>0</v>
      </c>
      <c r="I535" s="7">
        <v>0</v>
      </c>
      <c r="J535" s="7">
        <v>3700</v>
      </c>
      <c r="K535" s="7">
        <v>32300</v>
      </c>
    </row>
    <row r="536" spans="1:11" x14ac:dyDescent="0.25">
      <c r="A536" s="6">
        <v>47861</v>
      </c>
      <c r="B536" s="7" t="str">
        <f>"FEHF0000237042"</f>
        <v>FEHF0000237042</v>
      </c>
      <c r="C536" s="7">
        <v>900226715</v>
      </c>
      <c r="D536" s="8">
        <v>44564.335439814815</v>
      </c>
      <c r="E536" s="8">
        <v>44599.707638888889</v>
      </c>
      <c r="F536" s="7">
        <v>36000</v>
      </c>
      <c r="G536" s="7">
        <v>0</v>
      </c>
      <c r="H536" s="7">
        <v>0</v>
      </c>
      <c r="I536" s="7">
        <v>0</v>
      </c>
      <c r="J536" s="7">
        <v>3700</v>
      </c>
      <c r="K536" s="7">
        <v>32300</v>
      </c>
    </row>
    <row r="537" spans="1:11" x14ac:dyDescent="0.25">
      <c r="A537" s="6">
        <v>47694</v>
      </c>
      <c r="B537" s="7" t="str">
        <f>"FEHF0000237107"</f>
        <v>FEHF0000237107</v>
      </c>
      <c r="C537" s="7">
        <v>900226715</v>
      </c>
      <c r="D537" s="8">
        <v>44564.420300925929</v>
      </c>
      <c r="E537" s="8">
        <v>44566</v>
      </c>
      <c r="F537" s="7">
        <v>53700</v>
      </c>
      <c r="G537" s="7">
        <v>0</v>
      </c>
      <c r="H537" s="7">
        <v>0</v>
      </c>
      <c r="I537" s="7">
        <v>0</v>
      </c>
      <c r="J537" s="7">
        <v>0</v>
      </c>
      <c r="K537" s="7">
        <v>53700</v>
      </c>
    </row>
    <row r="538" spans="1:11" x14ac:dyDescent="0.25">
      <c r="A538" s="6">
        <v>47862</v>
      </c>
      <c r="B538" s="7" t="str">
        <f>"FEHF0000237130"</f>
        <v>FEHF0000237130</v>
      </c>
      <c r="C538" s="7">
        <v>900226715</v>
      </c>
      <c r="D538" s="8">
        <v>44564.451354166667</v>
      </c>
      <c r="E538" s="8">
        <v>44599.707638888889</v>
      </c>
      <c r="F538" s="7">
        <v>36000</v>
      </c>
      <c r="G538" s="7">
        <v>0</v>
      </c>
      <c r="H538" s="7">
        <v>0</v>
      </c>
      <c r="I538" s="7">
        <v>0</v>
      </c>
      <c r="J538" s="7">
        <v>0</v>
      </c>
      <c r="K538" s="7">
        <v>36000</v>
      </c>
    </row>
    <row r="539" spans="1:11" x14ac:dyDescent="0.25">
      <c r="A539" s="6">
        <v>47790</v>
      </c>
      <c r="B539" s="7" t="str">
        <f>"FEHF0000237173"</f>
        <v>FEHF0000237173</v>
      </c>
      <c r="C539" s="7">
        <v>900226715</v>
      </c>
      <c r="D539" s="8">
        <v>44564.529965277776</v>
      </c>
      <c r="E539" s="8">
        <v>44566</v>
      </c>
      <c r="F539" s="7">
        <v>80832</v>
      </c>
      <c r="G539" s="7">
        <v>0</v>
      </c>
      <c r="H539" s="7">
        <v>0</v>
      </c>
      <c r="I539" s="7">
        <v>0</v>
      </c>
      <c r="J539" s="7">
        <v>0</v>
      </c>
      <c r="K539" s="7">
        <v>80832</v>
      </c>
    </row>
    <row r="540" spans="1:11" x14ac:dyDescent="0.25">
      <c r="A540" s="6">
        <v>47850</v>
      </c>
      <c r="B540" s="7" t="str">
        <f>"FEHF0000237274"</f>
        <v>FEHF0000237274</v>
      </c>
      <c r="C540" s="7">
        <v>900226715</v>
      </c>
      <c r="D540" s="8">
        <v>44564.730138888888</v>
      </c>
      <c r="E540" s="8">
        <v>44599.659722222219</v>
      </c>
      <c r="F540" s="7">
        <v>331300</v>
      </c>
      <c r="G540" s="7">
        <v>0</v>
      </c>
      <c r="H540" s="7">
        <v>0</v>
      </c>
      <c r="I540" s="7">
        <v>0</v>
      </c>
      <c r="J540" s="7">
        <v>0</v>
      </c>
      <c r="K540" s="7">
        <v>331300</v>
      </c>
    </row>
    <row r="541" spans="1:11" x14ac:dyDescent="0.25">
      <c r="A541" s="6">
        <v>47861</v>
      </c>
      <c r="B541" s="7" t="str">
        <f>"FEHF0000237789"</f>
        <v>FEHF0000237789</v>
      </c>
      <c r="C541" s="7">
        <v>900226715</v>
      </c>
      <c r="D541" s="8">
        <v>44566.288043981483</v>
      </c>
      <c r="E541" s="8">
        <v>44599.707638888889</v>
      </c>
      <c r="F541" s="7">
        <v>268900</v>
      </c>
      <c r="G541" s="7">
        <v>0</v>
      </c>
      <c r="H541" s="7">
        <v>0</v>
      </c>
      <c r="I541" s="7">
        <v>0</v>
      </c>
      <c r="J541" s="7">
        <v>3700</v>
      </c>
      <c r="K541" s="7">
        <v>265200</v>
      </c>
    </row>
    <row r="542" spans="1:11" x14ac:dyDescent="0.25">
      <c r="A542" s="6">
        <v>47850</v>
      </c>
      <c r="B542" s="7" t="str">
        <f>"FEHF0000237918"</f>
        <v>FEHF0000237918</v>
      </c>
      <c r="C542" s="7">
        <v>900226715</v>
      </c>
      <c r="D542" s="8">
        <v>44566.392858796295</v>
      </c>
      <c r="E542" s="8">
        <v>44599.659722222219</v>
      </c>
      <c r="F542" s="7">
        <v>59100</v>
      </c>
      <c r="G542" s="7">
        <v>0</v>
      </c>
      <c r="H542" s="7">
        <v>0</v>
      </c>
      <c r="I542" s="7">
        <v>0</v>
      </c>
      <c r="J542" s="7">
        <v>0</v>
      </c>
      <c r="K542" s="7">
        <v>59100</v>
      </c>
    </row>
    <row r="543" spans="1:11" x14ac:dyDescent="0.25">
      <c r="A543" s="6">
        <v>47850</v>
      </c>
      <c r="B543" s="7" t="str">
        <f>"FEHF0000238669"</f>
        <v>FEHF0000238669</v>
      </c>
      <c r="C543" s="7">
        <v>900226715</v>
      </c>
      <c r="D543" s="8">
        <v>44567.988796296297</v>
      </c>
      <c r="E543" s="8">
        <v>44599.659722222219</v>
      </c>
      <c r="F543" s="7">
        <v>192434</v>
      </c>
      <c r="G543" s="7">
        <v>0</v>
      </c>
      <c r="H543" s="7">
        <v>0</v>
      </c>
      <c r="I543" s="7">
        <v>0</v>
      </c>
      <c r="J543" s="7">
        <v>0</v>
      </c>
      <c r="K543" s="7">
        <v>192434</v>
      </c>
    </row>
    <row r="544" spans="1:11" x14ac:dyDescent="0.25">
      <c r="A544" s="6">
        <v>47862</v>
      </c>
      <c r="B544" s="7" t="str">
        <f>"FEHF0000238831"</f>
        <v>FEHF0000238831</v>
      </c>
      <c r="C544" s="7">
        <v>900226715</v>
      </c>
      <c r="D544" s="8">
        <v>44568.356296296297</v>
      </c>
      <c r="E544" s="8">
        <v>44599.707638888889</v>
      </c>
      <c r="F544" s="7">
        <v>23000</v>
      </c>
      <c r="G544" s="7">
        <v>0</v>
      </c>
      <c r="H544" s="7">
        <v>0</v>
      </c>
      <c r="I544" s="7">
        <v>0</v>
      </c>
      <c r="J544" s="7">
        <v>0</v>
      </c>
      <c r="K544" s="7">
        <v>23000</v>
      </c>
    </row>
    <row r="545" spans="1:11" x14ac:dyDescent="0.25">
      <c r="A545" s="6">
        <v>47862</v>
      </c>
      <c r="B545" s="7" t="str">
        <f>"FEHF0000238970"</f>
        <v>FEHF0000238970</v>
      </c>
      <c r="C545" s="7">
        <v>900226715</v>
      </c>
      <c r="D545" s="8">
        <v>44568.449953703705</v>
      </c>
      <c r="E545" s="8">
        <v>44599.707638888889</v>
      </c>
      <c r="F545" s="7">
        <v>51900</v>
      </c>
      <c r="G545" s="7">
        <v>0</v>
      </c>
      <c r="H545" s="7">
        <v>0</v>
      </c>
      <c r="I545" s="7">
        <v>0</v>
      </c>
      <c r="J545" s="7">
        <v>0</v>
      </c>
      <c r="K545" s="7">
        <v>51900</v>
      </c>
    </row>
    <row r="546" spans="1:11" x14ac:dyDescent="0.25">
      <c r="A546" s="6">
        <v>47851</v>
      </c>
      <c r="B546" s="7" t="str">
        <f>"FEHF0000239012"</f>
        <v>FEHF0000239012</v>
      </c>
      <c r="C546" s="7">
        <v>900226715</v>
      </c>
      <c r="D546" s="8">
        <v>44568.48505787037</v>
      </c>
      <c r="E546" s="8">
        <v>44602</v>
      </c>
      <c r="F546" s="7">
        <v>103500</v>
      </c>
      <c r="G546" s="7">
        <v>0</v>
      </c>
      <c r="H546" s="7">
        <v>0</v>
      </c>
      <c r="I546" s="7">
        <v>0</v>
      </c>
      <c r="J546" s="7">
        <v>0</v>
      </c>
      <c r="K546" s="7">
        <v>103500</v>
      </c>
    </row>
    <row r="547" spans="1:11" x14ac:dyDescent="0.25">
      <c r="A547" s="6">
        <v>47851</v>
      </c>
      <c r="B547" s="7" t="str">
        <f>"FEHF0000239122"</f>
        <v>FEHF0000239122</v>
      </c>
      <c r="C547" s="7">
        <v>900226715</v>
      </c>
      <c r="D547" s="8">
        <v>44568.630104166667</v>
      </c>
      <c r="E547" s="8">
        <v>44602</v>
      </c>
      <c r="F547" s="7">
        <v>1680135</v>
      </c>
      <c r="G547" s="7">
        <v>0</v>
      </c>
      <c r="H547" s="7">
        <v>0</v>
      </c>
      <c r="I547" s="7">
        <v>0</v>
      </c>
      <c r="J547" s="7">
        <v>0</v>
      </c>
      <c r="K547" s="7">
        <v>1680135</v>
      </c>
    </row>
    <row r="548" spans="1:11" x14ac:dyDescent="0.25">
      <c r="A548" s="6">
        <v>47850</v>
      </c>
      <c r="B548" s="7" t="str">
        <f>"FEHF0000239230"</f>
        <v>FEHF0000239230</v>
      </c>
      <c r="C548" s="7">
        <v>900226715</v>
      </c>
      <c r="D548" s="8">
        <v>44569.264120370368</v>
      </c>
      <c r="E548" s="8">
        <v>44599.659722222219</v>
      </c>
      <c r="F548" s="7">
        <v>59978</v>
      </c>
      <c r="G548" s="7">
        <v>0</v>
      </c>
      <c r="H548" s="7">
        <v>0</v>
      </c>
      <c r="I548" s="7">
        <v>0</v>
      </c>
      <c r="J548" s="7">
        <v>0</v>
      </c>
      <c r="K548" s="7">
        <v>59978</v>
      </c>
    </row>
    <row r="549" spans="1:11" x14ac:dyDescent="0.25">
      <c r="A549" s="6">
        <v>47851</v>
      </c>
      <c r="B549" s="7" t="str">
        <f>"FEHF0000239395"</f>
        <v>FEHF0000239395</v>
      </c>
      <c r="C549" s="7">
        <v>900226715</v>
      </c>
      <c r="D549" s="8">
        <v>44569.892291666663</v>
      </c>
      <c r="E549" s="8">
        <v>44602</v>
      </c>
      <c r="F549" s="7">
        <v>74425</v>
      </c>
      <c r="G549" s="7">
        <v>0</v>
      </c>
      <c r="H549" s="7">
        <v>0</v>
      </c>
      <c r="I549" s="7">
        <v>0</v>
      </c>
      <c r="J549" s="7">
        <v>0</v>
      </c>
      <c r="K549" s="7">
        <v>74425</v>
      </c>
    </row>
    <row r="550" spans="1:11" x14ac:dyDescent="0.25">
      <c r="A550" s="6">
        <v>47851</v>
      </c>
      <c r="B550" s="7" t="str">
        <f>"FEHF0000239524"</f>
        <v>FEHF0000239524</v>
      </c>
      <c r="C550" s="7">
        <v>900226715</v>
      </c>
      <c r="D550" s="8">
        <v>44570.91133101852</v>
      </c>
      <c r="E550" s="8">
        <v>44602</v>
      </c>
      <c r="F550" s="7">
        <v>166272</v>
      </c>
      <c r="G550" s="7">
        <v>0</v>
      </c>
      <c r="H550" s="7">
        <v>0</v>
      </c>
      <c r="I550" s="7">
        <v>0</v>
      </c>
      <c r="J550" s="7">
        <v>0</v>
      </c>
      <c r="K550" s="7">
        <v>166272</v>
      </c>
    </row>
    <row r="551" spans="1:11" x14ac:dyDescent="0.25">
      <c r="A551" s="6">
        <v>47860</v>
      </c>
      <c r="B551" s="7" t="str">
        <f>"FEHF0000239609"</f>
        <v>FEHF0000239609</v>
      </c>
      <c r="C551" s="7">
        <v>900226715</v>
      </c>
      <c r="D551" s="8">
        <v>44571.540694444448</v>
      </c>
      <c r="E551" s="8">
        <v>44602</v>
      </c>
      <c r="F551" s="7">
        <v>80832</v>
      </c>
      <c r="G551" s="7">
        <v>0</v>
      </c>
      <c r="H551" s="7">
        <v>0</v>
      </c>
      <c r="I551" s="7">
        <v>0</v>
      </c>
      <c r="J551" s="7">
        <v>0</v>
      </c>
      <c r="K551" s="7">
        <v>80832</v>
      </c>
    </row>
    <row r="552" spans="1:11" x14ac:dyDescent="0.25">
      <c r="A552" s="6">
        <v>47861</v>
      </c>
      <c r="B552" s="7" t="str">
        <f>"FEHF0000239611"</f>
        <v>FEHF0000239611</v>
      </c>
      <c r="C552" s="7">
        <v>900226715</v>
      </c>
      <c r="D552" s="8">
        <v>44571.542453703703</v>
      </c>
      <c r="E552" s="8">
        <v>44599.707638888889</v>
      </c>
      <c r="F552" s="7">
        <v>59100</v>
      </c>
      <c r="G552" s="7">
        <v>0</v>
      </c>
      <c r="H552" s="7">
        <v>0</v>
      </c>
      <c r="I552" s="7">
        <v>0</v>
      </c>
      <c r="J552" s="7">
        <v>0</v>
      </c>
      <c r="K552" s="7">
        <v>59100</v>
      </c>
    </row>
    <row r="553" spans="1:11" x14ac:dyDescent="0.25">
      <c r="A553" s="6">
        <v>47851</v>
      </c>
      <c r="B553" s="7" t="str">
        <f>"FEHF0000239635"</f>
        <v>FEHF0000239635</v>
      </c>
      <c r="C553" s="7">
        <v>900226715</v>
      </c>
      <c r="D553" s="8">
        <v>44571.617280092592</v>
      </c>
      <c r="E553" s="8">
        <v>44602</v>
      </c>
      <c r="F553" s="7">
        <v>115861</v>
      </c>
      <c r="G553" s="7">
        <v>0</v>
      </c>
      <c r="H553" s="7">
        <v>0</v>
      </c>
      <c r="I553" s="7">
        <v>0</v>
      </c>
      <c r="J553" s="7">
        <v>0</v>
      </c>
      <c r="K553" s="7">
        <v>115861</v>
      </c>
    </row>
    <row r="554" spans="1:11" x14ac:dyDescent="0.25">
      <c r="A554" s="6">
        <v>47851</v>
      </c>
      <c r="B554" s="7" t="str">
        <f>"FEHF0000239647"</f>
        <v>FEHF0000239647</v>
      </c>
      <c r="C554" s="7">
        <v>900226715</v>
      </c>
      <c r="D554" s="8">
        <v>44571.712696759256</v>
      </c>
      <c r="E554" s="8">
        <v>44602</v>
      </c>
      <c r="F554" s="7">
        <v>1423628</v>
      </c>
      <c r="G554" s="7">
        <v>0</v>
      </c>
      <c r="H554" s="7">
        <v>0</v>
      </c>
      <c r="I554" s="7">
        <v>0</v>
      </c>
      <c r="J554" s="7">
        <v>0</v>
      </c>
      <c r="K554" s="7">
        <v>1423628</v>
      </c>
    </row>
    <row r="555" spans="1:11" x14ac:dyDescent="0.25">
      <c r="A555" s="6">
        <v>47880</v>
      </c>
      <c r="B555" s="7" t="str">
        <f>"FEHF0000239648"</f>
        <v>FEHF0000239648</v>
      </c>
      <c r="C555" s="7">
        <v>900226715</v>
      </c>
      <c r="D555" s="8">
        <v>44571.714513888888</v>
      </c>
      <c r="E555" s="8">
        <v>44602</v>
      </c>
      <c r="F555" s="7">
        <v>80832</v>
      </c>
      <c r="G555" s="7">
        <v>0</v>
      </c>
      <c r="H555" s="7">
        <v>0</v>
      </c>
      <c r="I555" s="7">
        <v>0</v>
      </c>
      <c r="J555" s="7">
        <v>0</v>
      </c>
      <c r="K555" s="7">
        <v>80832</v>
      </c>
    </row>
    <row r="556" spans="1:11" x14ac:dyDescent="0.25">
      <c r="A556" s="6">
        <v>47861</v>
      </c>
      <c r="B556" s="7" t="str">
        <f>"FEHF0000240647"</f>
        <v>FEHF0000240647</v>
      </c>
      <c r="C556" s="7">
        <v>900226715</v>
      </c>
      <c r="D556" s="8">
        <v>44573.602268518516</v>
      </c>
      <c r="E556" s="8">
        <v>44599.707638888889</v>
      </c>
      <c r="F556" s="7">
        <v>51900</v>
      </c>
      <c r="G556" s="7">
        <v>0</v>
      </c>
      <c r="H556" s="7">
        <v>0</v>
      </c>
      <c r="I556" s="7">
        <v>0</v>
      </c>
      <c r="J556" s="7">
        <v>3700</v>
      </c>
      <c r="K556" s="7">
        <v>48200</v>
      </c>
    </row>
    <row r="557" spans="1:11" x14ac:dyDescent="0.25">
      <c r="A557" s="6">
        <v>47850</v>
      </c>
      <c r="B557" s="7" t="str">
        <f>"FEHF0000240722"</f>
        <v>FEHF0000240722</v>
      </c>
      <c r="C557" s="7">
        <v>900226715</v>
      </c>
      <c r="D557" s="8">
        <v>44573.696087962962</v>
      </c>
      <c r="E557" s="8">
        <v>44599.659722222219</v>
      </c>
      <c r="F557" s="7">
        <v>152537</v>
      </c>
      <c r="G557" s="7">
        <v>0</v>
      </c>
      <c r="H557" s="7">
        <v>0</v>
      </c>
      <c r="I557" s="7">
        <v>0</v>
      </c>
      <c r="J557" s="7">
        <v>0</v>
      </c>
      <c r="K557" s="7">
        <v>152537</v>
      </c>
    </row>
    <row r="558" spans="1:11" x14ac:dyDescent="0.25">
      <c r="A558" s="6">
        <v>47862</v>
      </c>
      <c r="B558" s="7" t="str">
        <f>"FEHF0000240881"</f>
        <v>FEHF0000240881</v>
      </c>
      <c r="C558" s="7">
        <v>900226715</v>
      </c>
      <c r="D558" s="8">
        <v>44574.332199074073</v>
      </c>
      <c r="E558" s="8">
        <v>44599.707638888889</v>
      </c>
      <c r="F558" s="7">
        <v>36000</v>
      </c>
      <c r="G558" s="7">
        <v>0</v>
      </c>
      <c r="H558" s="7">
        <v>0</v>
      </c>
      <c r="I558" s="7">
        <v>0</v>
      </c>
      <c r="J558" s="7">
        <v>0</v>
      </c>
      <c r="K558" s="7">
        <v>36000</v>
      </c>
    </row>
    <row r="559" spans="1:11" x14ac:dyDescent="0.25">
      <c r="A559" s="6">
        <v>47880</v>
      </c>
      <c r="B559" s="7" t="str">
        <f>"FEHF0000241147"</f>
        <v>FEHF0000241147</v>
      </c>
      <c r="C559" s="7">
        <v>900226715</v>
      </c>
      <c r="D559" s="8">
        <v>44574.543738425928</v>
      </c>
      <c r="E559" s="8">
        <v>44602</v>
      </c>
      <c r="F559" s="7">
        <v>80832</v>
      </c>
      <c r="G559" s="7">
        <v>0</v>
      </c>
      <c r="H559" s="7">
        <v>0</v>
      </c>
      <c r="I559" s="7">
        <v>0</v>
      </c>
      <c r="J559" s="7">
        <v>0</v>
      </c>
      <c r="K559" s="7">
        <v>80832</v>
      </c>
    </row>
    <row r="560" spans="1:11" x14ac:dyDescent="0.25">
      <c r="A560" s="6">
        <v>47861</v>
      </c>
      <c r="B560" s="7" t="str">
        <f>"FEHF0000241189"</f>
        <v>FEHF0000241189</v>
      </c>
      <c r="C560" s="7">
        <v>900226715</v>
      </c>
      <c r="D560" s="8">
        <v>44574.581226851849</v>
      </c>
      <c r="E560" s="8">
        <v>44599.707638888889</v>
      </c>
      <c r="F560" s="7">
        <v>161400</v>
      </c>
      <c r="G560" s="7">
        <v>0</v>
      </c>
      <c r="H560" s="7">
        <v>0</v>
      </c>
      <c r="I560" s="7">
        <v>0</v>
      </c>
      <c r="J560" s="7">
        <v>3700</v>
      </c>
      <c r="K560" s="7">
        <v>157700</v>
      </c>
    </row>
    <row r="561" spans="1:11" x14ac:dyDescent="0.25">
      <c r="A561" s="6">
        <v>47850</v>
      </c>
      <c r="B561" s="7" t="str">
        <f>"FEHF0000241344"</f>
        <v>FEHF0000241344</v>
      </c>
      <c r="C561" s="7">
        <v>900226715</v>
      </c>
      <c r="D561" s="8">
        <v>44575.25571759259</v>
      </c>
      <c r="E561" s="8">
        <v>44599.659722222219</v>
      </c>
      <c r="F561" s="7">
        <v>208634</v>
      </c>
      <c r="G561" s="7">
        <v>0</v>
      </c>
      <c r="H561" s="7">
        <v>0</v>
      </c>
      <c r="I561" s="7">
        <v>0</v>
      </c>
      <c r="J561" s="7">
        <v>0</v>
      </c>
      <c r="K561" s="7">
        <v>208634</v>
      </c>
    </row>
    <row r="562" spans="1:11" x14ac:dyDescent="0.25">
      <c r="A562" s="6">
        <v>47862</v>
      </c>
      <c r="B562" s="7" t="str">
        <f>"FEHF0000241443"</f>
        <v>FEHF0000241443</v>
      </c>
      <c r="C562" s="7">
        <v>900226715</v>
      </c>
      <c r="D562" s="8">
        <v>44575.333090277774</v>
      </c>
      <c r="E562" s="8">
        <v>44599.707638888889</v>
      </c>
      <c r="F562" s="7">
        <v>51900</v>
      </c>
      <c r="G562" s="7">
        <v>0</v>
      </c>
      <c r="H562" s="7">
        <v>0</v>
      </c>
      <c r="I562" s="7">
        <v>0</v>
      </c>
      <c r="J562" s="7">
        <v>0</v>
      </c>
      <c r="K562" s="7">
        <v>51900</v>
      </c>
    </row>
    <row r="563" spans="1:11" x14ac:dyDescent="0.25">
      <c r="A563" s="6">
        <v>47851</v>
      </c>
      <c r="B563" s="7" t="str">
        <f>"FEHF0000242023"</f>
        <v>FEHF0000242023</v>
      </c>
      <c r="C563" s="7">
        <v>900226715</v>
      </c>
      <c r="D563" s="8">
        <v>44576.494189814817</v>
      </c>
      <c r="E563" s="8">
        <v>44602</v>
      </c>
      <c r="F563" s="7">
        <v>221400</v>
      </c>
      <c r="G563" s="7">
        <v>0</v>
      </c>
      <c r="H563" s="7">
        <v>0</v>
      </c>
      <c r="I563" s="7">
        <v>0</v>
      </c>
      <c r="J563" s="7">
        <v>0</v>
      </c>
      <c r="K563" s="7">
        <v>221400</v>
      </c>
    </row>
    <row r="564" spans="1:11" x14ac:dyDescent="0.25">
      <c r="A564" s="6">
        <v>47850</v>
      </c>
      <c r="B564" s="7" t="str">
        <f>"FEHF0000242029"</f>
        <v>FEHF0000242029</v>
      </c>
      <c r="C564" s="7">
        <v>900226715</v>
      </c>
      <c r="D564" s="8">
        <v>44576.509525462963</v>
      </c>
      <c r="E564" s="8">
        <v>44599.659722222219</v>
      </c>
      <c r="F564" s="7">
        <v>59100</v>
      </c>
      <c r="G564" s="7">
        <v>0</v>
      </c>
      <c r="H564" s="7">
        <v>0</v>
      </c>
      <c r="I564" s="7">
        <v>0</v>
      </c>
      <c r="J564" s="7">
        <v>0</v>
      </c>
      <c r="K564" s="7">
        <v>59100</v>
      </c>
    </row>
    <row r="565" spans="1:11" x14ac:dyDescent="0.25">
      <c r="A565" s="6">
        <v>47851</v>
      </c>
      <c r="B565" s="7" t="str">
        <f>"FEHF0000242117"</f>
        <v>FEHF0000242117</v>
      </c>
      <c r="C565" s="7">
        <v>900226715</v>
      </c>
      <c r="D565" s="8">
        <v>44576.952002314814</v>
      </c>
      <c r="E565" s="8">
        <v>44602</v>
      </c>
      <c r="F565" s="7">
        <v>1161016</v>
      </c>
      <c r="G565" s="7">
        <v>0</v>
      </c>
      <c r="H565" s="7">
        <v>0</v>
      </c>
      <c r="I565" s="7">
        <v>0</v>
      </c>
      <c r="J565" s="7">
        <v>0</v>
      </c>
      <c r="K565" s="7">
        <v>1161016</v>
      </c>
    </row>
    <row r="566" spans="1:11" x14ac:dyDescent="0.25">
      <c r="A566" s="6">
        <v>47850</v>
      </c>
      <c r="B566" s="7" t="str">
        <f>"FEHF0000242165"</f>
        <v>FEHF0000242165</v>
      </c>
      <c r="C566" s="7">
        <v>900226715</v>
      </c>
      <c r="D566" s="8">
        <v>44577.384814814817</v>
      </c>
      <c r="E566" s="8">
        <v>44599.659722222219</v>
      </c>
      <c r="F566" s="7">
        <v>1990165</v>
      </c>
      <c r="G566" s="7">
        <v>0</v>
      </c>
      <c r="H566" s="7">
        <v>0</v>
      </c>
      <c r="I566" s="7">
        <v>0</v>
      </c>
      <c r="J566" s="7">
        <v>0</v>
      </c>
      <c r="K566" s="7">
        <v>1990165</v>
      </c>
    </row>
    <row r="567" spans="1:11" x14ac:dyDescent="0.25">
      <c r="A567" s="6">
        <v>47851</v>
      </c>
      <c r="B567" s="7" t="str">
        <f>"FEHF0000242181"</f>
        <v>FEHF0000242181</v>
      </c>
      <c r="C567" s="7">
        <v>900226715</v>
      </c>
      <c r="D567" s="8">
        <v>44577.480185185188</v>
      </c>
      <c r="E567" s="8">
        <v>44602</v>
      </c>
      <c r="F567" s="7">
        <v>274998</v>
      </c>
      <c r="G567" s="7">
        <v>0</v>
      </c>
      <c r="H567" s="7">
        <v>0</v>
      </c>
      <c r="I567" s="7">
        <v>0</v>
      </c>
      <c r="J567" s="7">
        <v>0</v>
      </c>
      <c r="K567" s="7">
        <v>274998</v>
      </c>
    </row>
    <row r="568" spans="1:11" x14ac:dyDescent="0.25">
      <c r="A568" s="6">
        <v>47850</v>
      </c>
      <c r="B568" s="7" t="str">
        <f>"FEHF0000242238"</f>
        <v>FEHF0000242238</v>
      </c>
      <c r="C568" s="7">
        <v>900226715</v>
      </c>
      <c r="D568" s="8">
        <v>44577.743113425924</v>
      </c>
      <c r="E568" s="8">
        <v>44599.659722222219</v>
      </c>
      <c r="F568" s="7">
        <v>262100</v>
      </c>
      <c r="G568" s="7">
        <v>0</v>
      </c>
      <c r="H568" s="7">
        <v>0</v>
      </c>
      <c r="I568" s="7">
        <v>0</v>
      </c>
      <c r="J568" s="7">
        <v>0</v>
      </c>
      <c r="K568" s="7">
        <v>262100</v>
      </c>
    </row>
    <row r="569" spans="1:11" x14ac:dyDescent="0.25">
      <c r="A569" s="6">
        <v>47861</v>
      </c>
      <c r="B569" s="7" t="str">
        <f>"FEHF0000242315"</f>
        <v>FEHF0000242315</v>
      </c>
      <c r="C569" s="7">
        <v>900226715</v>
      </c>
      <c r="D569" s="8">
        <v>44578.29546296296</v>
      </c>
      <c r="E569" s="8">
        <v>44599.707638888889</v>
      </c>
      <c r="F569" s="7">
        <v>11100</v>
      </c>
      <c r="G569" s="7">
        <v>0</v>
      </c>
      <c r="H569" s="7">
        <v>0</v>
      </c>
      <c r="I569" s="7">
        <v>0</v>
      </c>
      <c r="J569" s="7">
        <v>3700</v>
      </c>
      <c r="K569" s="7">
        <v>7400</v>
      </c>
    </row>
    <row r="570" spans="1:11" x14ac:dyDescent="0.25">
      <c r="A570" s="6">
        <v>47861</v>
      </c>
      <c r="B570" s="7" t="str">
        <f>"FEHF0000242388"</f>
        <v>FEHF0000242388</v>
      </c>
      <c r="C570" s="7">
        <v>900226715</v>
      </c>
      <c r="D570" s="8">
        <v>44578.342303240737</v>
      </c>
      <c r="E570" s="8">
        <v>44599.707638888889</v>
      </c>
      <c r="F570" s="7">
        <v>984300</v>
      </c>
      <c r="G570" s="7">
        <v>0</v>
      </c>
      <c r="H570" s="7">
        <v>0</v>
      </c>
      <c r="I570" s="7">
        <v>0</v>
      </c>
      <c r="J570" s="7">
        <v>3700</v>
      </c>
      <c r="K570" s="7">
        <v>980600</v>
      </c>
    </row>
    <row r="571" spans="1:11" x14ac:dyDescent="0.25">
      <c r="A571" s="6">
        <v>47862</v>
      </c>
      <c r="B571" s="7" t="str">
        <f>"FEHF0000242498"</f>
        <v>FEHF0000242498</v>
      </c>
      <c r="C571" s="7">
        <v>900226715</v>
      </c>
      <c r="D571" s="8">
        <v>44578.399976851855</v>
      </c>
      <c r="E571" s="8">
        <v>44599.707638888889</v>
      </c>
      <c r="F571" s="7">
        <v>51900</v>
      </c>
      <c r="G571" s="7">
        <v>0</v>
      </c>
      <c r="H571" s="7">
        <v>0</v>
      </c>
      <c r="I571" s="7">
        <v>0</v>
      </c>
      <c r="J571" s="7">
        <v>0</v>
      </c>
      <c r="K571" s="7">
        <v>51900</v>
      </c>
    </row>
    <row r="572" spans="1:11" x14ac:dyDescent="0.25">
      <c r="A572" s="6">
        <v>47862</v>
      </c>
      <c r="B572" s="7" t="str">
        <f>"FEHF0000242853"</f>
        <v>FEHF0000242853</v>
      </c>
      <c r="C572" s="7">
        <v>900226715</v>
      </c>
      <c r="D572" s="8">
        <v>44578.69976851852</v>
      </c>
      <c r="E572" s="8">
        <v>44599.707638888889</v>
      </c>
      <c r="F572" s="7">
        <v>161400</v>
      </c>
      <c r="G572" s="7">
        <v>0</v>
      </c>
      <c r="H572" s="7">
        <v>0</v>
      </c>
      <c r="I572" s="7">
        <v>0</v>
      </c>
      <c r="J572" s="7">
        <v>0</v>
      </c>
      <c r="K572" s="7">
        <v>161400</v>
      </c>
    </row>
    <row r="573" spans="1:11" x14ac:dyDescent="0.25">
      <c r="A573" s="6">
        <v>47850</v>
      </c>
      <c r="B573" s="7" t="str">
        <f>"FEHF0000243474"</f>
        <v>FEHF0000243474</v>
      </c>
      <c r="C573" s="7">
        <v>900226715</v>
      </c>
      <c r="D573" s="8">
        <v>44579.659629629627</v>
      </c>
      <c r="E573" s="8">
        <v>44599.659722222219</v>
      </c>
      <c r="F573" s="7">
        <v>633274</v>
      </c>
      <c r="G573" s="7">
        <v>0</v>
      </c>
      <c r="H573" s="7">
        <v>0</v>
      </c>
      <c r="I573" s="7">
        <v>0</v>
      </c>
      <c r="J573" s="7">
        <v>0</v>
      </c>
      <c r="K573" s="7">
        <v>633274</v>
      </c>
    </row>
    <row r="574" spans="1:11" x14ac:dyDescent="0.25">
      <c r="A574" s="6">
        <v>47850</v>
      </c>
      <c r="B574" s="7" t="str">
        <f>"FEHF0000243543"</f>
        <v>FEHF0000243543</v>
      </c>
      <c r="C574" s="7">
        <v>900226715</v>
      </c>
      <c r="D574" s="8">
        <v>44580.046863425923</v>
      </c>
      <c r="E574" s="8">
        <v>44599.659722222219</v>
      </c>
      <c r="F574" s="7">
        <v>89937</v>
      </c>
      <c r="G574" s="7">
        <v>0</v>
      </c>
      <c r="H574" s="7">
        <v>0</v>
      </c>
      <c r="I574" s="7">
        <v>0</v>
      </c>
      <c r="J574" s="7">
        <v>0</v>
      </c>
      <c r="K574" s="7">
        <v>89937</v>
      </c>
    </row>
    <row r="575" spans="1:11" x14ac:dyDescent="0.25">
      <c r="A575" s="6">
        <v>47861</v>
      </c>
      <c r="B575" s="7" t="str">
        <f>"FEHF0000243781"</f>
        <v>FEHF0000243781</v>
      </c>
      <c r="C575" s="7">
        <v>900226715</v>
      </c>
      <c r="D575" s="8">
        <v>44580.417141203703</v>
      </c>
      <c r="E575" s="8">
        <v>44599.707638888889</v>
      </c>
      <c r="F575" s="7">
        <v>24600</v>
      </c>
      <c r="G575" s="7">
        <v>0</v>
      </c>
      <c r="H575" s="7">
        <v>0</v>
      </c>
      <c r="I575" s="7">
        <v>0</v>
      </c>
      <c r="J575" s="7">
        <v>3700</v>
      </c>
      <c r="K575" s="7">
        <v>20900</v>
      </c>
    </row>
    <row r="576" spans="1:11" x14ac:dyDescent="0.25">
      <c r="A576" s="6">
        <v>47851</v>
      </c>
      <c r="B576" s="7" t="str">
        <f>"FEHF0000244033"</f>
        <v>FEHF0000244033</v>
      </c>
      <c r="C576" s="7">
        <v>900226715</v>
      </c>
      <c r="D576" s="8">
        <v>44580.766481481478</v>
      </c>
      <c r="E576" s="8">
        <v>44602</v>
      </c>
      <c r="F576" s="7">
        <v>156300</v>
      </c>
      <c r="G576" s="7">
        <v>0</v>
      </c>
      <c r="H576" s="7">
        <v>0</v>
      </c>
      <c r="I576" s="7">
        <v>0</v>
      </c>
      <c r="J576" s="7">
        <v>0</v>
      </c>
      <c r="K576" s="7">
        <v>156300</v>
      </c>
    </row>
    <row r="577" spans="1:11" x14ac:dyDescent="0.25">
      <c r="A577" s="6">
        <v>47850</v>
      </c>
      <c r="B577" s="7" t="str">
        <f>"FEHF0000244075"</f>
        <v>FEHF0000244075</v>
      </c>
      <c r="C577" s="7">
        <v>900226715</v>
      </c>
      <c r="D577" s="8">
        <v>44581.036365740743</v>
      </c>
      <c r="E577" s="8">
        <v>44599.659722222219</v>
      </c>
      <c r="F577" s="7">
        <v>182400</v>
      </c>
      <c r="G577" s="7">
        <v>0</v>
      </c>
      <c r="H577" s="7">
        <v>0</v>
      </c>
      <c r="I577" s="7">
        <v>0</v>
      </c>
      <c r="J577" s="7">
        <v>0</v>
      </c>
      <c r="K577" s="7">
        <v>182400</v>
      </c>
    </row>
    <row r="578" spans="1:11" x14ac:dyDescent="0.25">
      <c r="A578" s="6">
        <v>47861</v>
      </c>
      <c r="B578" s="7" t="str">
        <f>"FEHF0000244491"</f>
        <v>FEHF0000244491</v>
      </c>
      <c r="C578" s="7">
        <v>900226715</v>
      </c>
      <c r="D578" s="8">
        <v>44581.537048611113</v>
      </c>
      <c r="E578" s="8">
        <v>44599.707638888889</v>
      </c>
      <c r="F578" s="7">
        <v>36000</v>
      </c>
      <c r="G578" s="7">
        <v>0</v>
      </c>
      <c r="H578" s="7">
        <v>0</v>
      </c>
      <c r="I578" s="7">
        <v>0</v>
      </c>
      <c r="J578" s="7">
        <v>3700</v>
      </c>
      <c r="K578" s="7">
        <v>32300</v>
      </c>
    </row>
    <row r="579" spans="1:11" x14ac:dyDescent="0.25">
      <c r="A579" s="6">
        <v>47851</v>
      </c>
      <c r="B579" s="7" t="str">
        <f>"FEHF0000244683"</f>
        <v>FEHF0000244683</v>
      </c>
      <c r="C579" s="7">
        <v>900226715</v>
      </c>
      <c r="D579" s="8">
        <v>44581.743009259262</v>
      </c>
      <c r="E579" s="8">
        <v>44602</v>
      </c>
      <c r="F579" s="7">
        <v>219000</v>
      </c>
      <c r="G579" s="7">
        <v>0</v>
      </c>
      <c r="H579" s="7">
        <v>0</v>
      </c>
      <c r="I579" s="7">
        <v>0</v>
      </c>
      <c r="J579" s="7">
        <v>0</v>
      </c>
      <c r="K579" s="7">
        <v>219000</v>
      </c>
    </row>
    <row r="580" spans="1:11" x14ac:dyDescent="0.25">
      <c r="A580" s="6">
        <v>47851</v>
      </c>
      <c r="B580" s="7" t="str">
        <f>"FEHF0000244741"</f>
        <v>FEHF0000244741</v>
      </c>
      <c r="C580" s="7">
        <v>900226715</v>
      </c>
      <c r="D580" s="8">
        <v>44582.26059027778</v>
      </c>
      <c r="E580" s="8">
        <v>44602</v>
      </c>
      <c r="F580" s="7">
        <v>62060</v>
      </c>
      <c r="G580" s="7">
        <v>0</v>
      </c>
      <c r="H580" s="7">
        <v>0</v>
      </c>
      <c r="I580" s="7">
        <v>0</v>
      </c>
      <c r="J580" s="7">
        <v>0</v>
      </c>
      <c r="K580" s="7">
        <v>62060</v>
      </c>
    </row>
    <row r="581" spans="1:11" x14ac:dyDescent="0.25">
      <c r="A581" s="6">
        <v>47861</v>
      </c>
      <c r="B581" s="7" t="str">
        <f>"FEHF0000245241"</f>
        <v>FEHF0000245241</v>
      </c>
      <c r="C581" s="7">
        <v>900226715</v>
      </c>
      <c r="D581" s="8">
        <v>44582.634641203702</v>
      </c>
      <c r="E581" s="8">
        <v>44599.707638888889</v>
      </c>
      <c r="F581" s="7">
        <v>36000</v>
      </c>
      <c r="G581" s="7">
        <v>0</v>
      </c>
      <c r="H581" s="7">
        <v>0</v>
      </c>
      <c r="I581" s="7">
        <v>0</v>
      </c>
      <c r="J581" s="7">
        <v>3700</v>
      </c>
      <c r="K581" s="7">
        <v>32300</v>
      </c>
    </row>
    <row r="582" spans="1:11" x14ac:dyDescent="0.25">
      <c r="A582" s="6">
        <v>47851</v>
      </c>
      <c r="B582" s="7" t="str">
        <f>"FEHF0000245347"</f>
        <v>FEHF0000245347</v>
      </c>
      <c r="C582" s="7">
        <v>900226715</v>
      </c>
      <c r="D582" s="8">
        <v>44582.923703703702</v>
      </c>
      <c r="E582" s="8">
        <v>44602</v>
      </c>
      <c r="F582" s="7">
        <v>103500</v>
      </c>
      <c r="G582" s="7">
        <v>0</v>
      </c>
      <c r="H582" s="7">
        <v>0</v>
      </c>
      <c r="I582" s="7">
        <v>0</v>
      </c>
      <c r="J582" s="7">
        <v>0</v>
      </c>
      <c r="K582" s="7">
        <v>103500</v>
      </c>
    </row>
    <row r="583" spans="1:11" x14ac:dyDescent="0.25">
      <c r="A583" s="6">
        <v>47850</v>
      </c>
      <c r="B583" s="7" t="str">
        <f>"FEHF0000245372"</f>
        <v>FEHF0000245372</v>
      </c>
      <c r="C583" s="7">
        <v>900226715</v>
      </c>
      <c r="D583" s="8">
        <v>44583.200844907406</v>
      </c>
      <c r="E583" s="8">
        <v>44599.659722222219</v>
      </c>
      <c r="F583" s="7">
        <v>59100</v>
      </c>
      <c r="G583" s="7">
        <v>0</v>
      </c>
      <c r="H583" s="7">
        <v>0</v>
      </c>
      <c r="I583" s="7">
        <v>0</v>
      </c>
      <c r="J583" s="7">
        <v>0</v>
      </c>
      <c r="K583" s="7">
        <v>59100</v>
      </c>
    </row>
    <row r="584" spans="1:11" x14ac:dyDescent="0.25">
      <c r="A584" s="6">
        <v>47862</v>
      </c>
      <c r="B584" s="7" t="str">
        <f>"FEHF0000245456"</f>
        <v>FEHF0000245456</v>
      </c>
      <c r="C584" s="7">
        <v>900226715</v>
      </c>
      <c r="D584" s="8">
        <v>44583.419918981483</v>
      </c>
      <c r="E584" s="8">
        <v>44599.707638888889</v>
      </c>
      <c r="F584" s="7">
        <v>2600000</v>
      </c>
      <c r="G584" s="7">
        <v>0</v>
      </c>
      <c r="H584" s="7">
        <v>0</v>
      </c>
      <c r="I584" s="7">
        <v>0</v>
      </c>
      <c r="J584" s="7">
        <v>0</v>
      </c>
      <c r="K584" s="7">
        <v>2600000</v>
      </c>
    </row>
    <row r="585" spans="1:11" x14ac:dyDescent="0.25">
      <c r="A585" s="6">
        <v>47862</v>
      </c>
      <c r="B585" s="7" t="str">
        <f>"FEHF0000245482"</f>
        <v>FEHF0000245482</v>
      </c>
      <c r="C585" s="7">
        <v>900226715</v>
      </c>
      <c r="D585" s="8">
        <v>44583.453506944446</v>
      </c>
      <c r="E585" s="8">
        <v>44599.707638888889</v>
      </c>
      <c r="F585" s="7">
        <v>504000</v>
      </c>
      <c r="G585" s="7">
        <v>0</v>
      </c>
      <c r="H585" s="7">
        <v>0</v>
      </c>
      <c r="I585" s="7">
        <v>0</v>
      </c>
      <c r="J585" s="7">
        <v>0</v>
      </c>
      <c r="K585" s="7">
        <v>504000</v>
      </c>
    </row>
    <row r="586" spans="1:11" x14ac:dyDescent="0.25">
      <c r="A586" s="6">
        <v>47851</v>
      </c>
      <c r="B586" s="7" t="str">
        <f>"FEHF0000245544"</f>
        <v>FEHF0000245544</v>
      </c>
      <c r="C586" s="7">
        <v>900226715</v>
      </c>
      <c r="D586" s="8">
        <v>44583.615949074076</v>
      </c>
      <c r="E586" s="8">
        <v>44602</v>
      </c>
      <c r="F586" s="7">
        <v>4730338</v>
      </c>
      <c r="G586" s="7">
        <v>0</v>
      </c>
      <c r="H586" s="7">
        <v>0</v>
      </c>
      <c r="I586" s="7">
        <v>0</v>
      </c>
      <c r="J586" s="7">
        <v>0</v>
      </c>
      <c r="K586" s="7">
        <v>4730338</v>
      </c>
    </row>
    <row r="587" spans="1:11" x14ac:dyDescent="0.25">
      <c r="A587" s="6">
        <v>47851</v>
      </c>
      <c r="B587" s="7" t="str">
        <f>"FEHF0000245570"</f>
        <v>FEHF0000245570</v>
      </c>
      <c r="C587" s="7">
        <v>900226715</v>
      </c>
      <c r="D587" s="8">
        <v>44583.701238425929</v>
      </c>
      <c r="E587" s="8">
        <v>44602</v>
      </c>
      <c r="F587" s="7">
        <v>547296</v>
      </c>
      <c r="G587" s="7">
        <v>0</v>
      </c>
      <c r="H587" s="7">
        <v>0</v>
      </c>
      <c r="I587" s="7">
        <v>0</v>
      </c>
      <c r="J587" s="7">
        <v>0</v>
      </c>
      <c r="K587" s="7">
        <v>547296</v>
      </c>
    </row>
    <row r="588" spans="1:11" x14ac:dyDescent="0.25">
      <c r="A588" s="6">
        <v>47851</v>
      </c>
      <c r="B588" s="7" t="str">
        <f>"FEHF0000245738"</f>
        <v>FEHF0000245738</v>
      </c>
      <c r="C588" s="7">
        <v>900226715</v>
      </c>
      <c r="D588" s="8">
        <v>44584.729837962965</v>
      </c>
      <c r="E588" s="8">
        <v>44602</v>
      </c>
      <c r="F588" s="7">
        <v>610275</v>
      </c>
      <c r="G588" s="7">
        <v>0</v>
      </c>
      <c r="H588" s="7">
        <v>0</v>
      </c>
      <c r="I588" s="7">
        <v>0</v>
      </c>
      <c r="J588" s="7">
        <v>0</v>
      </c>
      <c r="K588" s="7">
        <v>610275</v>
      </c>
    </row>
    <row r="589" spans="1:11" x14ac:dyDescent="0.25">
      <c r="A589" s="6">
        <v>47862</v>
      </c>
      <c r="B589" s="7" t="str">
        <f>"FEHF0000245820"</f>
        <v>FEHF0000245820</v>
      </c>
      <c r="C589" s="7">
        <v>900226715</v>
      </c>
      <c r="D589" s="8">
        <v>44585.296724537038</v>
      </c>
      <c r="E589" s="8">
        <v>44599.707638888889</v>
      </c>
      <c r="F589" s="7">
        <v>51900</v>
      </c>
      <c r="G589" s="7">
        <v>0</v>
      </c>
      <c r="H589" s="7">
        <v>0</v>
      </c>
      <c r="I589" s="7">
        <v>0</v>
      </c>
      <c r="J589" s="7">
        <v>0</v>
      </c>
      <c r="K589" s="7">
        <v>51900</v>
      </c>
    </row>
    <row r="590" spans="1:11" x14ac:dyDescent="0.25">
      <c r="A590" s="6">
        <v>47861</v>
      </c>
      <c r="B590" s="7" t="str">
        <f>"FEHF0000246277"</f>
        <v>FEHF0000246277</v>
      </c>
      <c r="C590" s="7">
        <v>900226715</v>
      </c>
      <c r="D590" s="8">
        <v>44585.61210648148</v>
      </c>
      <c r="E590" s="8">
        <v>44599.707638888889</v>
      </c>
      <c r="F590" s="7">
        <v>2600000</v>
      </c>
      <c r="G590" s="7">
        <v>0</v>
      </c>
      <c r="H590" s="7">
        <v>0</v>
      </c>
      <c r="I590" s="7">
        <v>272900</v>
      </c>
      <c r="J590" s="7">
        <v>0</v>
      </c>
      <c r="K590" s="7">
        <v>2327100</v>
      </c>
    </row>
    <row r="591" spans="1:11" x14ac:dyDescent="0.25">
      <c r="A591" s="6">
        <v>47850</v>
      </c>
      <c r="B591" s="7" t="str">
        <f>"FEHF0000246422"</f>
        <v>FEHF0000246422</v>
      </c>
      <c r="C591" s="7">
        <v>900226715</v>
      </c>
      <c r="D591" s="8">
        <v>44585.793807870374</v>
      </c>
      <c r="E591" s="8">
        <v>44599.659722222219</v>
      </c>
      <c r="F591" s="7">
        <v>59100</v>
      </c>
      <c r="G591" s="7">
        <v>0</v>
      </c>
      <c r="H591" s="7">
        <v>0</v>
      </c>
      <c r="I591" s="7">
        <v>0</v>
      </c>
      <c r="J591" s="7">
        <v>0</v>
      </c>
      <c r="K591" s="7">
        <v>59100</v>
      </c>
    </row>
    <row r="592" spans="1:11" x14ac:dyDescent="0.25">
      <c r="A592" s="6">
        <v>47861</v>
      </c>
      <c r="B592" s="7" t="str">
        <f>"FEHF0000246533"</f>
        <v>FEHF0000246533</v>
      </c>
      <c r="C592" s="7">
        <v>900226715</v>
      </c>
      <c r="D592" s="8">
        <v>44586.304872685185</v>
      </c>
      <c r="E592" s="8">
        <v>44599.707638888889</v>
      </c>
      <c r="F592" s="7">
        <v>11100</v>
      </c>
      <c r="G592" s="7">
        <v>0</v>
      </c>
      <c r="H592" s="7">
        <v>0</v>
      </c>
      <c r="I592" s="7">
        <v>0</v>
      </c>
      <c r="J592" s="7">
        <v>3700</v>
      </c>
      <c r="K592" s="7">
        <v>7400</v>
      </c>
    </row>
    <row r="593" spans="1:11" x14ac:dyDescent="0.25">
      <c r="A593" s="6">
        <v>47861</v>
      </c>
      <c r="B593" s="7" t="str">
        <f>"FEHF0000246652"</f>
        <v>FEHF0000246652</v>
      </c>
      <c r="C593" s="7">
        <v>900226715</v>
      </c>
      <c r="D593" s="8">
        <v>44586.375219907408</v>
      </c>
      <c r="E593" s="8">
        <v>44599.707638888889</v>
      </c>
      <c r="F593" s="7">
        <v>86900</v>
      </c>
      <c r="G593" s="7">
        <v>0</v>
      </c>
      <c r="H593" s="7">
        <v>0</v>
      </c>
      <c r="I593" s="7">
        <v>0</v>
      </c>
      <c r="J593" s="7">
        <v>3700</v>
      </c>
      <c r="K593" s="7">
        <v>83200</v>
      </c>
    </row>
    <row r="594" spans="1:11" x14ac:dyDescent="0.25">
      <c r="A594" s="6">
        <v>47861</v>
      </c>
      <c r="B594" s="7" t="str">
        <f>"FEHF0000246656"</f>
        <v>FEHF0000246656</v>
      </c>
      <c r="C594" s="7">
        <v>900226715</v>
      </c>
      <c r="D594" s="8">
        <v>44586.378182870372</v>
      </c>
      <c r="E594" s="8">
        <v>44599.707638888889</v>
      </c>
      <c r="F594" s="7">
        <v>482100</v>
      </c>
      <c r="G594" s="7">
        <v>0</v>
      </c>
      <c r="H594" s="7">
        <v>0</v>
      </c>
      <c r="I594" s="7">
        <v>0</v>
      </c>
      <c r="J594" s="7">
        <v>3700</v>
      </c>
      <c r="K594" s="7">
        <v>478400</v>
      </c>
    </row>
    <row r="595" spans="1:11" x14ac:dyDescent="0.25">
      <c r="A595" s="6">
        <v>47861</v>
      </c>
      <c r="B595" s="7" t="str">
        <f>"FEHF0000246657"</f>
        <v>FEHF0000246657</v>
      </c>
      <c r="C595" s="7">
        <v>900226715</v>
      </c>
      <c r="D595" s="8">
        <v>44586.380115740743</v>
      </c>
      <c r="E595" s="8">
        <v>44599.707638888889</v>
      </c>
      <c r="F595" s="7">
        <v>138800</v>
      </c>
      <c r="G595" s="7">
        <v>0</v>
      </c>
      <c r="H595" s="7">
        <v>0</v>
      </c>
      <c r="I595" s="7">
        <v>0</v>
      </c>
      <c r="J595" s="7">
        <v>3700</v>
      </c>
      <c r="K595" s="7">
        <v>135100</v>
      </c>
    </row>
    <row r="596" spans="1:11" x14ac:dyDescent="0.25">
      <c r="A596" s="6">
        <v>47850</v>
      </c>
      <c r="B596" s="7" t="str">
        <f>"FEHF0000247022"</f>
        <v>FEHF0000247022</v>
      </c>
      <c r="C596" s="7">
        <v>900226715</v>
      </c>
      <c r="D596" s="8">
        <v>44586.718530092592</v>
      </c>
      <c r="E596" s="8">
        <v>44599.659722222219</v>
      </c>
      <c r="F596" s="7">
        <v>60532</v>
      </c>
      <c r="G596" s="7">
        <v>0</v>
      </c>
      <c r="H596" s="7">
        <v>0</v>
      </c>
      <c r="I596" s="7">
        <v>0</v>
      </c>
      <c r="J596" s="7">
        <v>0</v>
      </c>
      <c r="K596" s="7">
        <v>60532</v>
      </c>
    </row>
    <row r="597" spans="1:11" x14ac:dyDescent="0.25">
      <c r="A597" s="6">
        <v>47860</v>
      </c>
      <c r="B597" s="7" t="str">
        <f>"FEHF0000247024"</f>
        <v>FEHF0000247024</v>
      </c>
      <c r="C597" s="7">
        <v>900226715</v>
      </c>
      <c r="D597" s="8">
        <v>44586.720370370371</v>
      </c>
      <c r="E597" s="8">
        <v>44602</v>
      </c>
      <c r="F597" s="7">
        <v>80832</v>
      </c>
      <c r="G597" s="7">
        <v>0</v>
      </c>
      <c r="H597" s="7">
        <v>0</v>
      </c>
      <c r="I597" s="7">
        <v>0</v>
      </c>
      <c r="J597" s="7">
        <v>0</v>
      </c>
      <c r="K597" s="7">
        <v>80832</v>
      </c>
    </row>
    <row r="598" spans="1:11" x14ac:dyDescent="0.25">
      <c r="A598" s="6">
        <v>47862</v>
      </c>
      <c r="B598" s="7" t="str">
        <f>"FEHF0000247264"</f>
        <v>FEHF0000247264</v>
      </c>
      <c r="C598" s="7">
        <v>900226715</v>
      </c>
      <c r="D598" s="8">
        <v>44587.396435185183</v>
      </c>
      <c r="E598" s="8">
        <v>44599.707638888889</v>
      </c>
      <c r="F598" s="7">
        <v>34700</v>
      </c>
      <c r="G598" s="7">
        <v>0</v>
      </c>
      <c r="H598" s="7">
        <v>0</v>
      </c>
      <c r="I598" s="7">
        <v>0</v>
      </c>
      <c r="J598" s="7">
        <v>0</v>
      </c>
      <c r="K598" s="7">
        <v>34700</v>
      </c>
    </row>
    <row r="599" spans="1:11" x14ac:dyDescent="0.25">
      <c r="A599" s="6">
        <v>47851</v>
      </c>
      <c r="B599" s="7" t="str">
        <f>"FEHF0000247296"</f>
        <v>FEHF0000247296</v>
      </c>
      <c r="C599" s="7">
        <v>900226715</v>
      </c>
      <c r="D599" s="8">
        <v>44587.419664351852</v>
      </c>
      <c r="E599" s="8">
        <v>44602</v>
      </c>
      <c r="F599" s="7">
        <v>59191</v>
      </c>
      <c r="G599" s="7">
        <v>0</v>
      </c>
      <c r="H599" s="7">
        <v>0</v>
      </c>
      <c r="I599" s="7">
        <v>0</v>
      </c>
      <c r="J599" s="7">
        <v>0</v>
      </c>
      <c r="K599" s="7">
        <v>59191</v>
      </c>
    </row>
    <row r="600" spans="1:11" x14ac:dyDescent="0.25">
      <c r="A600" s="6">
        <v>47862</v>
      </c>
      <c r="B600" s="7" t="str">
        <f>"FEHF0000247388"</f>
        <v>FEHF0000247388</v>
      </c>
      <c r="C600" s="7">
        <v>900226715</v>
      </c>
      <c r="D600" s="8">
        <v>44587.472002314818</v>
      </c>
      <c r="E600" s="8">
        <v>44599.707638888889</v>
      </c>
      <c r="F600" s="7">
        <v>51900</v>
      </c>
      <c r="G600" s="7">
        <v>0</v>
      </c>
      <c r="H600" s="7">
        <v>0</v>
      </c>
      <c r="I600" s="7">
        <v>0</v>
      </c>
      <c r="J600" s="7">
        <v>0</v>
      </c>
      <c r="K600" s="7">
        <v>51900</v>
      </c>
    </row>
    <row r="601" spans="1:11" x14ac:dyDescent="0.25">
      <c r="A601" s="6">
        <v>47851</v>
      </c>
      <c r="B601" s="7" t="str">
        <f>"FEHF0000247651"</f>
        <v>FEHF0000247651</v>
      </c>
      <c r="C601" s="7">
        <v>900226715</v>
      </c>
      <c r="D601" s="8">
        <v>44588.084166666667</v>
      </c>
      <c r="E601" s="8">
        <v>44602</v>
      </c>
      <c r="F601" s="7">
        <v>131801</v>
      </c>
      <c r="G601" s="7">
        <v>0</v>
      </c>
      <c r="H601" s="7">
        <v>0</v>
      </c>
      <c r="I601" s="7">
        <v>0</v>
      </c>
      <c r="J601" s="7">
        <v>0</v>
      </c>
      <c r="K601" s="7">
        <v>131801</v>
      </c>
    </row>
    <row r="602" spans="1:11" x14ac:dyDescent="0.25">
      <c r="A602" s="6">
        <v>47861</v>
      </c>
      <c r="B602" s="7" t="str">
        <f>"FEHF0000247786"</f>
        <v>FEHF0000247786</v>
      </c>
      <c r="C602" s="7">
        <v>900226715</v>
      </c>
      <c r="D602" s="8">
        <v>44588.361006944448</v>
      </c>
      <c r="E602" s="8">
        <v>44599.707638888889</v>
      </c>
      <c r="F602" s="7">
        <v>10700</v>
      </c>
      <c r="G602" s="7">
        <v>0</v>
      </c>
      <c r="H602" s="7">
        <v>0</v>
      </c>
      <c r="I602" s="7">
        <v>0</v>
      </c>
      <c r="J602" s="7">
        <v>0</v>
      </c>
      <c r="K602" s="7">
        <v>10700</v>
      </c>
    </row>
    <row r="603" spans="1:11" x14ac:dyDescent="0.25">
      <c r="A603" s="6">
        <v>47851</v>
      </c>
      <c r="B603" s="7" t="str">
        <f>"FEHF0000248128"</f>
        <v>FEHF0000248128</v>
      </c>
      <c r="C603" s="7">
        <v>900226715</v>
      </c>
      <c r="D603" s="8">
        <v>44588.683437500003</v>
      </c>
      <c r="E603" s="8">
        <v>44602</v>
      </c>
      <c r="F603" s="7">
        <v>1711266</v>
      </c>
      <c r="G603" s="7">
        <v>0</v>
      </c>
      <c r="H603" s="7">
        <v>0</v>
      </c>
      <c r="I603" s="7">
        <v>0</v>
      </c>
      <c r="J603" s="7">
        <v>0</v>
      </c>
      <c r="K603" s="7">
        <v>1711266</v>
      </c>
    </row>
    <row r="604" spans="1:11" x14ac:dyDescent="0.25">
      <c r="A604" s="6">
        <v>47850</v>
      </c>
      <c r="B604" s="7" t="str">
        <f>"FEHF0000248161"</f>
        <v>FEHF0000248161</v>
      </c>
      <c r="C604" s="7">
        <v>900226715</v>
      </c>
      <c r="D604" s="8">
        <v>44588.74832175926</v>
      </c>
      <c r="E604" s="8">
        <v>44599.659722222219</v>
      </c>
      <c r="F604" s="7">
        <v>60124</v>
      </c>
      <c r="G604" s="7">
        <v>0</v>
      </c>
      <c r="H604" s="7">
        <v>0</v>
      </c>
      <c r="I604" s="7">
        <v>0</v>
      </c>
      <c r="J604" s="7">
        <v>0</v>
      </c>
      <c r="K604" s="7">
        <v>60124</v>
      </c>
    </row>
    <row r="605" spans="1:11" x14ac:dyDescent="0.25">
      <c r="A605" s="6">
        <v>47861</v>
      </c>
      <c r="B605" s="7" t="str">
        <f>"FEHF0000248278"</f>
        <v>FEHF0000248278</v>
      </c>
      <c r="C605" s="7">
        <v>900226715</v>
      </c>
      <c r="D605" s="8">
        <v>44589.318738425929</v>
      </c>
      <c r="E605" s="8">
        <v>44599.707638888889</v>
      </c>
      <c r="F605" s="7">
        <v>36000</v>
      </c>
      <c r="G605" s="7">
        <v>0</v>
      </c>
      <c r="H605" s="7">
        <v>0</v>
      </c>
      <c r="I605" s="7">
        <v>0</v>
      </c>
      <c r="J605" s="7">
        <v>3700</v>
      </c>
      <c r="K605" s="7">
        <v>32300</v>
      </c>
    </row>
    <row r="606" spans="1:11" x14ac:dyDescent="0.25">
      <c r="A606" s="6">
        <v>47862</v>
      </c>
      <c r="B606" s="7" t="str">
        <f>"FEHF0000248318"</f>
        <v>FEHF0000248318</v>
      </c>
      <c r="C606" s="7">
        <v>900226715</v>
      </c>
      <c r="D606" s="8">
        <v>44589.340046296296</v>
      </c>
      <c r="E606" s="8">
        <v>44599.707638888889</v>
      </c>
      <c r="F606" s="7">
        <v>26000</v>
      </c>
      <c r="G606" s="7">
        <v>0</v>
      </c>
      <c r="H606" s="7">
        <v>0</v>
      </c>
      <c r="I606" s="7">
        <v>0</v>
      </c>
      <c r="J606" s="7">
        <v>0</v>
      </c>
      <c r="K606" s="7">
        <v>26000</v>
      </c>
    </row>
    <row r="607" spans="1:11" x14ac:dyDescent="0.25">
      <c r="A607" s="6">
        <v>47851</v>
      </c>
      <c r="B607" s="7" t="str">
        <f>"FEHF0000248391"</f>
        <v>FEHF0000248391</v>
      </c>
      <c r="C607" s="7">
        <v>900226715</v>
      </c>
      <c r="D607" s="8">
        <v>44589.385057870371</v>
      </c>
      <c r="E607" s="8">
        <v>44602</v>
      </c>
      <c r="F607" s="7">
        <v>3553521</v>
      </c>
      <c r="G607" s="7">
        <v>0</v>
      </c>
      <c r="H607" s="7">
        <v>0</v>
      </c>
      <c r="I607" s="7">
        <v>0</v>
      </c>
      <c r="J607" s="7">
        <v>0</v>
      </c>
      <c r="K607" s="7">
        <v>3553521</v>
      </c>
    </row>
    <row r="608" spans="1:11" x14ac:dyDescent="0.25">
      <c r="A608" s="6">
        <v>47851</v>
      </c>
      <c r="B608" s="7" t="str">
        <f>"FEHF0000248427"</f>
        <v>FEHF0000248427</v>
      </c>
      <c r="C608" s="7">
        <v>900226715</v>
      </c>
      <c r="D608" s="8">
        <v>44589.403310185182</v>
      </c>
      <c r="E608" s="8">
        <v>44602</v>
      </c>
      <c r="F608" s="7">
        <v>1121100</v>
      </c>
      <c r="G608" s="7">
        <v>0</v>
      </c>
      <c r="H608" s="7">
        <v>0</v>
      </c>
      <c r="I608" s="7">
        <v>0</v>
      </c>
      <c r="J608" s="7">
        <v>0</v>
      </c>
      <c r="K608" s="7">
        <v>1121100</v>
      </c>
    </row>
    <row r="609" spans="1:11" x14ac:dyDescent="0.25">
      <c r="A609" s="6">
        <v>47862</v>
      </c>
      <c r="B609" s="7" t="str">
        <f>"FEHF0000248448"</f>
        <v>FEHF0000248448</v>
      </c>
      <c r="C609" s="7">
        <v>900226715</v>
      </c>
      <c r="D609" s="8">
        <v>44589.412314814814</v>
      </c>
      <c r="E609" s="8">
        <v>44599.707638888889</v>
      </c>
      <c r="F609" s="7">
        <v>72000</v>
      </c>
      <c r="G609" s="7">
        <v>0</v>
      </c>
      <c r="H609" s="7">
        <v>0</v>
      </c>
      <c r="I609" s="7">
        <v>0</v>
      </c>
      <c r="J609" s="7">
        <v>0</v>
      </c>
      <c r="K609" s="7">
        <v>72000</v>
      </c>
    </row>
    <row r="610" spans="1:11" x14ac:dyDescent="0.25">
      <c r="A610" s="6">
        <v>47861</v>
      </c>
      <c r="B610" s="7" t="str">
        <f>"FEHF0000248473"</f>
        <v>FEHF0000248473</v>
      </c>
      <c r="C610" s="7">
        <v>900226715</v>
      </c>
      <c r="D610" s="8">
        <v>44589.424143518518</v>
      </c>
      <c r="E610" s="8">
        <v>44599.707638888889</v>
      </c>
      <c r="F610" s="7">
        <v>34700</v>
      </c>
      <c r="G610" s="7">
        <v>0</v>
      </c>
      <c r="H610" s="7">
        <v>0</v>
      </c>
      <c r="I610" s="7">
        <v>0</v>
      </c>
      <c r="J610" s="7">
        <v>3700</v>
      </c>
      <c r="K610" s="7">
        <v>31000</v>
      </c>
    </row>
    <row r="611" spans="1:11" x14ac:dyDescent="0.25">
      <c r="A611" s="6">
        <v>47851</v>
      </c>
      <c r="B611" s="7" t="str">
        <f>"FEHF0000248549"</f>
        <v>FEHF0000248549</v>
      </c>
      <c r="C611" s="7">
        <v>900226715</v>
      </c>
      <c r="D611" s="8">
        <v>44589.469930555555</v>
      </c>
      <c r="E611" s="8">
        <v>44602</v>
      </c>
      <c r="F611" s="7">
        <v>2367666</v>
      </c>
      <c r="G611" s="7">
        <v>0</v>
      </c>
      <c r="H611" s="7">
        <v>0</v>
      </c>
      <c r="I611" s="7">
        <v>0</v>
      </c>
      <c r="J611" s="7">
        <v>0</v>
      </c>
      <c r="K611" s="7">
        <v>2367666</v>
      </c>
    </row>
    <row r="612" spans="1:11" x14ac:dyDescent="0.25">
      <c r="A612" s="6">
        <v>47851</v>
      </c>
      <c r="B612" s="7" t="str">
        <f>"FEHF0000248737"</f>
        <v>FEHF0000248737</v>
      </c>
      <c r="C612" s="7">
        <v>900226715</v>
      </c>
      <c r="D612" s="8">
        <v>44589.645370370374</v>
      </c>
      <c r="E612" s="8">
        <v>44602</v>
      </c>
      <c r="F612" s="7">
        <v>164072</v>
      </c>
      <c r="G612" s="7">
        <v>0</v>
      </c>
      <c r="H612" s="7">
        <v>0</v>
      </c>
      <c r="I612" s="7">
        <v>0</v>
      </c>
      <c r="J612" s="7">
        <v>0</v>
      </c>
      <c r="K612" s="7">
        <v>164072</v>
      </c>
    </row>
    <row r="613" spans="1:11" x14ac:dyDescent="0.25">
      <c r="A613" s="6">
        <v>47850</v>
      </c>
      <c r="B613" s="7" t="str">
        <f>"FEHF0000248753"</f>
        <v>FEHF0000248753</v>
      </c>
      <c r="C613" s="7">
        <v>900226715</v>
      </c>
      <c r="D613" s="8">
        <v>44589.663506944446</v>
      </c>
      <c r="E613" s="8">
        <v>44599.659722222219</v>
      </c>
      <c r="F613" s="7">
        <v>109269</v>
      </c>
      <c r="G613" s="7">
        <v>0</v>
      </c>
      <c r="H613" s="7">
        <v>0</v>
      </c>
      <c r="I613" s="7">
        <v>0</v>
      </c>
      <c r="J613" s="7">
        <v>0</v>
      </c>
      <c r="K613" s="7">
        <v>109269</v>
      </c>
    </row>
    <row r="614" spans="1:11" x14ac:dyDescent="0.25">
      <c r="A614" s="6">
        <v>47851</v>
      </c>
      <c r="B614" s="7" t="str">
        <f>"FEHF0000248929"</f>
        <v>FEHF0000248929</v>
      </c>
      <c r="C614" s="7">
        <v>900226715</v>
      </c>
      <c r="D614" s="8">
        <v>44590.587604166663</v>
      </c>
      <c r="E614" s="8">
        <v>44602</v>
      </c>
      <c r="F614" s="7">
        <v>6150423</v>
      </c>
      <c r="G614" s="7">
        <v>0</v>
      </c>
      <c r="H614" s="7">
        <v>0</v>
      </c>
      <c r="I614" s="7">
        <v>0</v>
      </c>
      <c r="J614" s="7">
        <v>0</v>
      </c>
      <c r="K614" s="7">
        <v>6150423</v>
      </c>
    </row>
    <row r="615" spans="1:11" x14ac:dyDescent="0.25">
      <c r="A615" s="6">
        <v>47850</v>
      </c>
      <c r="B615" s="7" t="str">
        <f>"FEHF0000249115"</f>
        <v>FEHF0000249115</v>
      </c>
      <c r="C615" s="7">
        <v>900226715</v>
      </c>
      <c r="D615" s="8">
        <v>44591.494027777779</v>
      </c>
      <c r="E615" s="8">
        <v>44599.659722222219</v>
      </c>
      <c r="F615" s="7">
        <v>140840</v>
      </c>
      <c r="G615" s="7">
        <v>0</v>
      </c>
      <c r="H615" s="7">
        <v>0</v>
      </c>
      <c r="I615" s="7">
        <v>0</v>
      </c>
      <c r="J615" s="7">
        <v>0</v>
      </c>
      <c r="K615" s="7">
        <v>140840</v>
      </c>
    </row>
    <row r="616" spans="1:11" x14ac:dyDescent="0.25">
      <c r="A616" s="6">
        <v>47862</v>
      </c>
      <c r="B616" s="7" t="str">
        <f>"FEHF0000249641"</f>
        <v>FEHF0000249641</v>
      </c>
      <c r="C616" s="7">
        <v>900226715</v>
      </c>
      <c r="D616" s="8">
        <v>44592.580671296295</v>
      </c>
      <c r="E616" s="8">
        <v>44599.707638888889</v>
      </c>
      <c r="F616" s="7">
        <v>36000</v>
      </c>
      <c r="G616" s="7">
        <v>0</v>
      </c>
      <c r="H616" s="7">
        <v>0</v>
      </c>
      <c r="I616" s="7">
        <v>0</v>
      </c>
      <c r="J616" s="7">
        <v>0</v>
      </c>
      <c r="K616" s="7">
        <v>36000</v>
      </c>
    </row>
    <row r="617" spans="1:11" x14ac:dyDescent="0.25">
      <c r="A617" s="6">
        <v>47851</v>
      </c>
      <c r="B617" s="7" t="str">
        <f>"FEHF0000249804"</f>
        <v>FEHF0000249804</v>
      </c>
      <c r="C617" s="7">
        <v>900226715</v>
      </c>
      <c r="D617" s="8">
        <v>44592.723819444444</v>
      </c>
      <c r="E617" s="8">
        <v>44602</v>
      </c>
      <c r="F617" s="7">
        <v>59100</v>
      </c>
      <c r="G617" s="7">
        <v>0</v>
      </c>
      <c r="H617" s="7">
        <v>0</v>
      </c>
      <c r="I617" s="7">
        <v>0</v>
      </c>
      <c r="J617" s="7">
        <v>0</v>
      </c>
      <c r="K617" s="7">
        <v>59100</v>
      </c>
    </row>
    <row r="618" spans="1:11" x14ac:dyDescent="0.25">
      <c r="A618" s="6">
        <v>47851</v>
      </c>
      <c r="B618" s="7" t="str">
        <f>"FEHF0000249811"</f>
        <v>FEHF0000249811</v>
      </c>
      <c r="C618" s="7">
        <v>900226715</v>
      </c>
      <c r="D618" s="8">
        <v>44592.743587962963</v>
      </c>
      <c r="E618" s="8">
        <v>44602</v>
      </c>
      <c r="F618" s="7">
        <v>3500214</v>
      </c>
      <c r="G618" s="7">
        <v>0</v>
      </c>
      <c r="H618" s="7">
        <v>0</v>
      </c>
      <c r="I618" s="7">
        <v>0</v>
      </c>
      <c r="J618" s="7">
        <v>0</v>
      </c>
      <c r="K618" s="7">
        <v>3500214</v>
      </c>
    </row>
    <row r="619" spans="1:11" x14ac:dyDescent="0.25">
      <c r="A619" s="6">
        <v>47980</v>
      </c>
      <c r="B619" s="7" t="str">
        <f>"FEHF0000249881"</f>
        <v>FEHF0000249881</v>
      </c>
      <c r="C619" s="7">
        <v>900226715</v>
      </c>
      <c r="D619" s="8">
        <v>44593.177187499998</v>
      </c>
      <c r="E619" s="8">
        <v>44626</v>
      </c>
      <c r="F619" s="7">
        <v>285764</v>
      </c>
      <c r="G619" s="7">
        <v>0</v>
      </c>
      <c r="H619" s="7">
        <v>0</v>
      </c>
      <c r="I619" s="7">
        <v>0</v>
      </c>
      <c r="J619" s="7">
        <v>0</v>
      </c>
      <c r="K619" s="7">
        <v>285764</v>
      </c>
    </row>
    <row r="620" spans="1:11" x14ac:dyDescent="0.25">
      <c r="A620" s="6">
        <v>48005</v>
      </c>
      <c r="B620" s="7" t="str">
        <f>"FEHF0000250038"</f>
        <v>FEHF0000250038</v>
      </c>
      <c r="C620" s="7">
        <v>900226715</v>
      </c>
      <c r="D620" s="8">
        <v>44593.39912037037</v>
      </c>
      <c r="E620" s="8">
        <v>44626</v>
      </c>
      <c r="F620" s="7">
        <v>78800</v>
      </c>
      <c r="G620" s="7">
        <v>0</v>
      </c>
      <c r="H620" s="7">
        <v>0</v>
      </c>
      <c r="I620" s="7">
        <v>30271</v>
      </c>
      <c r="J620" s="7">
        <v>0</v>
      </c>
      <c r="K620" s="7">
        <v>48529</v>
      </c>
    </row>
    <row r="621" spans="1:11" x14ac:dyDescent="0.25">
      <c r="A621" s="6">
        <v>47980</v>
      </c>
      <c r="B621" s="7" t="str">
        <f>"FEHF0000250123"</f>
        <v>FEHF0000250123</v>
      </c>
      <c r="C621" s="7">
        <v>900226715</v>
      </c>
      <c r="D621" s="8">
        <v>44593.464120370372</v>
      </c>
      <c r="E621" s="8">
        <v>44626</v>
      </c>
      <c r="F621" s="7">
        <v>103500</v>
      </c>
      <c r="G621" s="7">
        <v>0</v>
      </c>
      <c r="H621" s="7">
        <v>0</v>
      </c>
      <c r="I621" s="7">
        <v>0</v>
      </c>
      <c r="J621" s="7">
        <v>0</v>
      </c>
      <c r="K621" s="7">
        <v>103500</v>
      </c>
    </row>
    <row r="622" spans="1:11" x14ac:dyDescent="0.25">
      <c r="A622" s="6">
        <v>48024</v>
      </c>
      <c r="B622" s="7" t="str">
        <f>"FEHF0000250302"</f>
        <v>FEHF0000250302</v>
      </c>
      <c r="C622" s="7">
        <v>900226715</v>
      </c>
      <c r="D622" s="8">
        <v>44593.633148148147</v>
      </c>
      <c r="E622" s="8">
        <v>44626</v>
      </c>
      <c r="F622" s="7">
        <v>51900</v>
      </c>
      <c r="G622" s="7">
        <v>0</v>
      </c>
      <c r="H622" s="7">
        <v>0</v>
      </c>
      <c r="I622" s="7">
        <v>0</v>
      </c>
      <c r="J622" s="7">
        <v>3700</v>
      </c>
      <c r="K622" s="7">
        <v>48200</v>
      </c>
    </row>
    <row r="623" spans="1:11" x14ac:dyDescent="0.25">
      <c r="A623" s="6">
        <v>47851</v>
      </c>
      <c r="B623" s="7" t="str">
        <f>"FEHF0000250811"</f>
        <v>FEHF0000250811</v>
      </c>
      <c r="C623" s="7">
        <v>900226715</v>
      </c>
      <c r="D623" s="8">
        <v>44594.534803240742</v>
      </c>
      <c r="E623" s="8">
        <v>44602</v>
      </c>
      <c r="F623" s="7">
        <v>59163</v>
      </c>
      <c r="G623" s="7">
        <v>0</v>
      </c>
      <c r="H623" s="7">
        <v>0</v>
      </c>
      <c r="I623" s="7">
        <v>0</v>
      </c>
      <c r="J623" s="7">
        <v>0</v>
      </c>
      <c r="K623" s="7">
        <v>59163</v>
      </c>
    </row>
    <row r="624" spans="1:11" x14ac:dyDescent="0.25">
      <c r="A624" s="6">
        <v>47851</v>
      </c>
      <c r="B624" s="7" t="str">
        <f>"FEHF0000250910"</f>
        <v>FEHF0000250910</v>
      </c>
      <c r="C624" s="7">
        <v>900226715</v>
      </c>
      <c r="D624" s="8">
        <v>44594.646817129629</v>
      </c>
      <c r="E624" s="8">
        <v>44602</v>
      </c>
      <c r="F624" s="7">
        <v>2662981</v>
      </c>
      <c r="G624" s="7">
        <v>0</v>
      </c>
      <c r="H624" s="7">
        <v>0</v>
      </c>
      <c r="I624" s="7">
        <v>0</v>
      </c>
      <c r="J624" s="7">
        <v>0</v>
      </c>
      <c r="K624" s="7">
        <v>2662981</v>
      </c>
    </row>
    <row r="625" spans="1:11" x14ac:dyDescent="0.25">
      <c r="A625" s="6">
        <v>47980</v>
      </c>
      <c r="B625" s="7" t="str">
        <f>"FEHF0000251504"</f>
        <v>FEHF0000251504</v>
      </c>
      <c r="C625" s="7">
        <v>900226715</v>
      </c>
      <c r="D625" s="8">
        <v>44595.630162037036</v>
      </c>
      <c r="E625" s="8">
        <v>44626</v>
      </c>
      <c r="F625" s="7">
        <v>307226</v>
      </c>
      <c r="G625" s="7">
        <v>0</v>
      </c>
      <c r="H625" s="7">
        <v>0</v>
      </c>
      <c r="I625" s="7">
        <v>0</v>
      </c>
      <c r="J625" s="7">
        <v>0</v>
      </c>
      <c r="K625" s="7">
        <v>307226</v>
      </c>
    </row>
    <row r="626" spans="1:11" x14ac:dyDescent="0.25">
      <c r="A626" s="6">
        <v>47980</v>
      </c>
      <c r="B626" s="7" t="str">
        <f>"FEHF0000251645"</f>
        <v>FEHF0000251645</v>
      </c>
      <c r="C626" s="7">
        <v>900226715</v>
      </c>
      <c r="D626" s="8">
        <v>44595.852719907409</v>
      </c>
      <c r="E626" s="8">
        <v>44626</v>
      </c>
      <c r="F626" s="7">
        <v>59100</v>
      </c>
      <c r="G626" s="7">
        <v>0</v>
      </c>
      <c r="H626" s="7">
        <v>0</v>
      </c>
      <c r="I626" s="7">
        <v>0</v>
      </c>
      <c r="J626" s="7">
        <v>0</v>
      </c>
      <c r="K626" s="7">
        <v>59100</v>
      </c>
    </row>
    <row r="627" spans="1:11" x14ac:dyDescent="0.25">
      <c r="A627" s="6">
        <v>47850</v>
      </c>
      <c r="B627" s="7" t="str">
        <f>"FEHF0000251998"</f>
        <v>FEHF0000251998</v>
      </c>
      <c r="C627" s="7">
        <v>900226715</v>
      </c>
      <c r="D627" s="8">
        <v>44596.47047453704</v>
      </c>
      <c r="E627" s="8">
        <v>44599.659722222219</v>
      </c>
      <c r="F627" s="7">
        <v>662398</v>
      </c>
      <c r="G627" s="7">
        <v>0</v>
      </c>
      <c r="H627" s="7">
        <v>0</v>
      </c>
      <c r="I627" s="7">
        <v>0</v>
      </c>
      <c r="J627" s="7">
        <v>0</v>
      </c>
      <c r="K627" s="7">
        <v>662398</v>
      </c>
    </row>
    <row r="628" spans="1:11" x14ac:dyDescent="0.25">
      <c r="A628" s="6">
        <v>47861</v>
      </c>
      <c r="B628" s="7" t="str">
        <f>"FEHF0000252045"</f>
        <v>FEHF0000252045</v>
      </c>
      <c r="C628" s="7">
        <v>900226715</v>
      </c>
      <c r="D628" s="8">
        <v>44596.492384259262</v>
      </c>
      <c r="E628" s="8">
        <v>44599.707638888889</v>
      </c>
      <c r="F628" s="7">
        <v>34700</v>
      </c>
      <c r="G628" s="7">
        <v>0</v>
      </c>
      <c r="H628" s="7">
        <v>0</v>
      </c>
      <c r="I628" s="7">
        <v>3700</v>
      </c>
      <c r="J628" s="7">
        <v>0</v>
      </c>
      <c r="K628" s="7">
        <v>31000</v>
      </c>
    </row>
    <row r="629" spans="1:11" x14ac:dyDescent="0.25">
      <c r="A629" s="6">
        <v>47862</v>
      </c>
      <c r="B629" s="7" t="str">
        <f>"FEHF0000252048"</f>
        <v>FEHF0000252048</v>
      </c>
      <c r="C629" s="7">
        <v>900226715</v>
      </c>
      <c r="D629" s="8">
        <v>44596.493969907409</v>
      </c>
      <c r="E629" s="8">
        <v>44599.707638888889</v>
      </c>
      <c r="F629" s="7">
        <v>34700</v>
      </c>
      <c r="G629" s="7">
        <v>0</v>
      </c>
      <c r="H629" s="7">
        <v>0</v>
      </c>
      <c r="I629" s="7">
        <v>0</v>
      </c>
      <c r="J629" s="7">
        <v>0</v>
      </c>
      <c r="K629" s="7">
        <v>34700</v>
      </c>
    </row>
    <row r="630" spans="1:11" x14ac:dyDescent="0.25">
      <c r="A630" s="6">
        <v>47980</v>
      </c>
      <c r="B630" s="7" t="str">
        <f>"FEHF0000252322"</f>
        <v>FEHF0000252322</v>
      </c>
      <c r="C630" s="7">
        <v>900226715</v>
      </c>
      <c r="D630" s="8">
        <v>44596.875092592592</v>
      </c>
      <c r="E630" s="8">
        <v>44626</v>
      </c>
      <c r="F630" s="7">
        <v>59100</v>
      </c>
      <c r="G630" s="7">
        <v>0</v>
      </c>
      <c r="H630" s="7">
        <v>0</v>
      </c>
      <c r="I630" s="7">
        <v>0</v>
      </c>
      <c r="J630" s="7">
        <v>0</v>
      </c>
      <c r="K630" s="7">
        <v>59100</v>
      </c>
    </row>
    <row r="631" spans="1:11" x14ac:dyDescent="0.25">
      <c r="A631" s="6">
        <v>47980</v>
      </c>
      <c r="B631" s="7" t="str">
        <f>"FEHF0000252415"</f>
        <v>FEHF0000252415</v>
      </c>
      <c r="C631" s="7">
        <v>900226715</v>
      </c>
      <c r="D631" s="8">
        <v>44597.456701388888</v>
      </c>
      <c r="E631" s="8">
        <v>44626</v>
      </c>
      <c r="F631" s="7">
        <v>206064</v>
      </c>
      <c r="G631" s="7">
        <v>0</v>
      </c>
      <c r="H631" s="7">
        <v>0</v>
      </c>
      <c r="I631" s="7">
        <v>0</v>
      </c>
      <c r="J631" s="7">
        <v>0</v>
      </c>
      <c r="K631" s="7">
        <v>206064</v>
      </c>
    </row>
    <row r="632" spans="1:11" x14ac:dyDescent="0.25">
      <c r="A632" s="6">
        <v>47980</v>
      </c>
      <c r="B632" s="7" t="str">
        <f>"FEHF0000252428"</f>
        <v>FEHF0000252428</v>
      </c>
      <c r="C632" s="7">
        <v>900226715</v>
      </c>
      <c r="D632" s="8">
        <v>44597.514282407406</v>
      </c>
      <c r="E632" s="8">
        <v>44626</v>
      </c>
      <c r="F632" s="7">
        <v>104457</v>
      </c>
      <c r="G632" s="7">
        <v>0</v>
      </c>
      <c r="H632" s="7">
        <v>0</v>
      </c>
      <c r="I632" s="7">
        <v>0</v>
      </c>
      <c r="J632" s="7">
        <v>0</v>
      </c>
      <c r="K632" s="7">
        <v>104457</v>
      </c>
    </row>
    <row r="633" spans="1:11" x14ac:dyDescent="0.25">
      <c r="A633" s="6">
        <v>47980</v>
      </c>
      <c r="B633" s="7" t="str">
        <f>"FEHF0000253092"</f>
        <v>FEHF0000253092</v>
      </c>
      <c r="C633" s="7">
        <v>900226715</v>
      </c>
      <c r="D633" s="8">
        <v>44599.53628472222</v>
      </c>
      <c r="E633" s="8">
        <v>44626</v>
      </c>
      <c r="F633" s="7">
        <v>681928</v>
      </c>
      <c r="G633" s="7">
        <v>0</v>
      </c>
      <c r="H633" s="7">
        <v>0</v>
      </c>
      <c r="I633" s="7">
        <v>0</v>
      </c>
      <c r="J633" s="7">
        <v>0</v>
      </c>
      <c r="K633" s="7">
        <v>681928</v>
      </c>
    </row>
    <row r="634" spans="1:11" x14ac:dyDescent="0.25">
      <c r="A634" s="6">
        <v>47981</v>
      </c>
      <c r="B634" s="7" t="str">
        <f>"FEHF0000253752"</f>
        <v>FEHF0000253752</v>
      </c>
      <c r="C634" s="7">
        <v>900226715</v>
      </c>
      <c r="D634" s="8">
        <v>44600.538124999999</v>
      </c>
      <c r="E634" s="8">
        <v>44627</v>
      </c>
      <c r="F634" s="7">
        <v>78399</v>
      </c>
      <c r="G634" s="7">
        <v>0</v>
      </c>
      <c r="H634" s="7">
        <v>0</v>
      </c>
      <c r="I634" s="7">
        <v>0</v>
      </c>
      <c r="J634" s="7">
        <v>0</v>
      </c>
      <c r="K634" s="7">
        <v>78399</v>
      </c>
    </row>
    <row r="635" spans="1:11" x14ac:dyDescent="0.25">
      <c r="A635" s="6">
        <v>47981</v>
      </c>
      <c r="B635" s="7" t="str">
        <f>"FEHF0000253905"</f>
        <v>FEHF0000253905</v>
      </c>
      <c r="C635" s="7">
        <v>900226715</v>
      </c>
      <c r="D635" s="8">
        <v>44600.667442129627</v>
      </c>
      <c r="E635" s="8">
        <v>44627</v>
      </c>
      <c r="F635" s="7">
        <v>230000</v>
      </c>
      <c r="G635" s="7">
        <v>0</v>
      </c>
      <c r="H635" s="7">
        <v>0</v>
      </c>
      <c r="I635" s="7">
        <v>0</v>
      </c>
      <c r="J635" s="7">
        <v>0</v>
      </c>
      <c r="K635" s="7">
        <v>230000</v>
      </c>
    </row>
    <row r="636" spans="1:11" x14ac:dyDescent="0.25">
      <c r="A636" s="6">
        <v>47980</v>
      </c>
      <c r="B636" s="7" t="str">
        <f>"FEHF0000254307"</f>
        <v>FEHF0000254307</v>
      </c>
      <c r="C636" s="7">
        <v>900226715</v>
      </c>
      <c r="D636" s="8">
        <v>44601.489236111112</v>
      </c>
      <c r="E636" s="8">
        <v>44626</v>
      </c>
      <c r="F636" s="7">
        <v>521090</v>
      </c>
      <c r="G636" s="7">
        <v>0</v>
      </c>
      <c r="H636" s="7">
        <v>0</v>
      </c>
      <c r="I636" s="7">
        <v>0</v>
      </c>
      <c r="J636" s="7">
        <v>0</v>
      </c>
      <c r="K636" s="7">
        <v>521090</v>
      </c>
    </row>
    <row r="637" spans="1:11" x14ac:dyDescent="0.25">
      <c r="A637" s="6">
        <v>47980</v>
      </c>
      <c r="B637" s="7" t="str">
        <f>"FEHF0000254465"</f>
        <v>FEHF0000254465</v>
      </c>
      <c r="C637" s="7">
        <v>900226715</v>
      </c>
      <c r="D637" s="8">
        <v>44601.719548611109</v>
      </c>
      <c r="E637" s="8">
        <v>44626</v>
      </c>
      <c r="F637" s="7">
        <v>60961</v>
      </c>
      <c r="G637" s="7">
        <v>0</v>
      </c>
      <c r="H637" s="7">
        <v>0</v>
      </c>
      <c r="I637" s="7">
        <v>0</v>
      </c>
      <c r="J637" s="7">
        <v>0</v>
      </c>
      <c r="K637" s="7">
        <v>60961</v>
      </c>
    </row>
    <row r="638" spans="1:11" x14ac:dyDescent="0.25">
      <c r="A638" s="6">
        <v>48005</v>
      </c>
      <c r="B638" s="7" t="str">
        <f>"FEHF0000254863"</f>
        <v>FEHF0000254863</v>
      </c>
      <c r="C638" s="7">
        <v>900226715</v>
      </c>
      <c r="D638" s="8">
        <v>44602.503750000003</v>
      </c>
      <c r="E638" s="8">
        <v>44626</v>
      </c>
      <c r="F638" s="7">
        <v>36000</v>
      </c>
      <c r="G638" s="7">
        <v>0</v>
      </c>
      <c r="H638" s="7">
        <v>0</v>
      </c>
      <c r="I638" s="7">
        <v>0</v>
      </c>
      <c r="J638" s="7">
        <v>0</v>
      </c>
      <c r="K638" s="7">
        <v>36000</v>
      </c>
    </row>
    <row r="639" spans="1:11" x14ac:dyDescent="0.25">
      <c r="A639" s="6">
        <v>47980</v>
      </c>
      <c r="B639" s="7" t="str">
        <f>"FEHF0000254880"</f>
        <v>FEHF0000254880</v>
      </c>
      <c r="C639" s="7">
        <v>900226715</v>
      </c>
      <c r="D639" s="8">
        <v>44602.528310185182</v>
      </c>
      <c r="E639" s="8">
        <v>44626</v>
      </c>
      <c r="F639" s="7">
        <v>206064</v>
      </c>
      <c r="G639" s="7">
        <v>0</v>
      </c>
      <c r="H639" s="7">
        <v>0</v>
      </c>
      <c r="I639" s="7">
        <v>0</v>
      </c>
      <c r="J639" s="7">
        <v>0</v>
      </c>
      <c r="K639" s="7">
        <v>206064</v>
      </c>
    </row>
    <row r="640" spans="1:11" x14ac:dyDescent="0.25">
      <c r="A640" s="6">
        <v>47981</v>
      </c>
      <c r="B640" s="7" t="str">
        <f>"FEHF0000254944"</f>
        <v>FEHF0000254944</v>
      </c>
      <c r="C640" s="7">
        <v>900226715</v>
      </c>
      <c r="D640" s="8">
        <v>44602.5934375</v>
      </c>
      <c r="E640" s="8">
        <v>44627</v>
      </c>
      <c r="F640" s="7">
        <v>261837</v>
      </c>
      <c r="G640" s="7">
        <v>0</v>
      </c>
      <c r="H640" s="7">
        <v>0</v>
      </c>
      <c r="I640" s="7">
        <v>0</v>
      </c>
      <c r="J640" s="7">
        <v>0</v>
      </c>
      <c r="K640" s="7">
        <v>261837</v>
      </c>
    </row>
    <row r="641" spans="1:11" x14ac:dyDescent="0.25">
      <c r="A641" s="6">
        <v>48005</v>
      </c>
      <c r="B641" s="7" t="str">
        <f>"FEHF0000255412"</f>
        <v>FEHF0000255412</v>
      </c>
      <c r="C641" s="7">
        <v>900226715</v>
      </c>
      <c r="D641" s="8">
        <v>44603.39984953704</v>
      </c>
      <c r="E641" s="8">
        <v>44626</v>
      </c>
      <c r="F641" s="7">
        <v>51900</v>
      </c>
      <c r="G641" s="7">
        <v>0</v>
      </c>
      <c r="H641" s="7">
        <v>0</v>
      </c>
      <c r="I641" s="7">
        <v>0</v>
      </c>
      <c r="J641" s="7">
        <v>0</v>
      </c>
      <c r="K641" s="7">
        <v>51900</v>
      </c>
    </row>
    <row r="642" spans="1:11" x14ac:dyDescent="0.25">
      <c r="A642" s="6">
        <v>48005</v>
      </c>
      <c r="B642" s="7" t="str">
        <f>"FEHF0000255662"</f>
        <v>FEHF0000255662</v>
      </c>
      <c r="C642" s="7">
        <v>900226715</v>
      </c>
      <c r="D642" s="8">
        <v>44603.564432870371</v>
      </c>
      <c r="E642" s="8">
        <v>44626</v>
      </c>
      <c r="F642" s="7">
        <v>36000</v>
      </c>
      <c r="G642" s="7">
        <v>0</v>
      </c>
      <c r="H642" s="7">
        <v>0</v>
      </c>
      <c r="I642" s="7">
        <v>0</v>
      </c>
      <c r="J642" s="7">
        <v>0</v>
      </c>
      <c r="K642" s="7">
        <v>36000</v>
      </c>
    </row>
    <row r="643" spans="1:11" x14ac:dyDescent="0.25">
      <c r="A643" s="6">
        <v>47981</v>
      </c>
      <c r="B643" s="7" t="str">
        <f>"FEHF0000255747"</f>
        <v>FEHF0000255747</v>
      </c>
      <c r="C643" s="7">
        <v>900226715</v>
      </c>
      <c r="D643" s="8">
        <v>44603.64471064815</v>
      </c>
      <c r="E643" s="8">
        <v>44627</v>
      </c>
      <c r="F643" s="7">
        <v>860349</v>
      </c>
      <c r="G643" s="7">
        <v>0</v>
      </c>
      <c r="H643" s="7">
        <v>0</v>
      </c>
      <c r="I643" s="7">
        <v>0</v>
      </c>
      <c r="J643" s="7">
        <v>0</v>
      </c>
      <c r="K643" s="7">
        <v>860349</v>
      </c>
    </row>
    <row r="644" spans="1:11" x14ac:dyDescent="0.25">
      <c r="A644" s="6">
        <v>48060</v>
      </c>
      <c r="B644" s="7" t="str">
        <f>"FEHF0000255749"</f>
        <v>FEHF0000255749</v>
      </c>
      <c r="C644" s="7">
        <v>900226715</v>
      </c>
      <c r="D644" s="8">
        <v>44603.645983796298</v>
      </c>
      <c r="E644" s="8">
        <v>44626</v>
      </c>
      <c r="F644" s="7">
        <v>80832</v>
      </c>
      <c r="G644" s="7">
        <v>0</v>
      </c>
      <c r="H644" s="7">
        <v>0</v>
      </c>
      <c r="I644" s="7">
        <v>0</v>
      </c>
      <c r="J644" s="7">
        <v>0</v>
      </c>
      <c r="K644" s="7">
        <v>80832</v>
      </c>
    </row>
    <row r="645" spans="1:11" x14ac:dyDescent="0.25">
      <c r="A645" s="6">
        <v>47981</v>
      </c>
      <c r="B645" s="7" t="str">
        <f>"FEHF0000255789"</f>
        <v>FEHF0000255789</v>
      </c>
      <c r="C645" s="7">
        <v>900226715</v>
      </c>
      <c r="D645" s="8">
        <v>44603.729756944442</v>
      </c>
      <c r="E645" s="8">
        <v>44627</v>
      </c>
      <c r="F645" s="7">
        <v>59100</v>
      </c>
      <c r="G645" s="7">
        <v>0</v>
      </c>
      <c r="H645" s="7">
        <v>0</v>
      </c>
      <c r="I645" s="7">
        <v>0</v>
      </c>
      <c r="J645" s="7">
        <v>0</v>
      </c>
      <c r="K645" s="7">
        <v>59100</v>
      </c>
    </row>
    <row r="646" spans="1:11" x14ac:dyDescent="0.25">
      <c r="A646" s="6">
        <v>47980</v>
      </c>
      <c r="B646" s="7" t="str">
        <f>"FEHF0000255935"</f>
        <v>FEHF0000255935</v>
      </c>
      <c r="C646" s="7">
        <v>900226715</v>
      </c>
      <c r="D646" s="8">
        <v>44604.479259259257</v>
      </c>
      <c r="E646" s="8">
        <v>44626</v>
      </c>
      <c r="F646" s="7">
        <v>60961</v>
      </c>
      <c r="G646" s="7">
        <v>0</v>
      </c>
      <c r="H646" s="7">
        <v>0</v>
      </c>
      <c r="I646" s="7">
        <v>0</v>
      </c>
      <c r="J646" s="7">
        <v>0</v>
      </c>
      <c r="K646" s="7">
        <v>60961</v>
      </c>
    </row>
    <row r="647" spans="1:11" x14ac:dyDescent="0.25">
      <c r="A647" s="6">
        <v>47981</v>
      </c>
      <c r="B647" s="7" t="str">
        <f>"FEHF0000256137"</f>
        <v>FEHF0000256137</v>
      </c>
      <c r="C647" s="7">
        <v>900226715</v>
      </c>
      <c r="D647" s="8">
        <v>44605.703784722224</v>
      </c>
      <c r="E647" s="8">
        <v>44627</v>
      </c>
      <c r="F647" s="7">
        <v>2548953</v>
      </c>
      <c r="G647" s="7">
        <v>0</v>
      </c>
      <c r="H647" s="7">
        <v>0</v>
      </c>
      <c r="I647" s="7">
        <v>0</v>
      </c>
      <c r="J647" s="7">
        <v>0</v>
      </c>
      <c r="K647" s="7">
        <v>2548953</v>
      </c>
    </row>
    <row r="648" spans="1:11" x14ac:dyDescent="0.25">
      <c r="A648" s="6">
        <v>48024</v>
      </c>
      <c r="B648" s="7" t="str">
        <f>"FEHF0000256285"</f>
        <v>FEHF0000256285</v>
      </c>
      <c r="C648" s="7">
        <v>900226715</v>
      </c>
      <c r="D648" s="8">
        <v>44606.343310185184</v>
      </c>
      <c r="E648" s="8">
        <v>44626</v>
      </c>
      <c r="F648" s="7">
        <v>36000</v>
      </c>
      <c r="G648" s="7">
        <v>0</v>
      </c>
      <c r="H648" s="7">
        <v>0</v>
      </c>
      <c r="I648" s="7">
        <v>0</v>
      </c>
      <c r="J648" s="7">
        <v>3700</v>
      </c>
      <c r="K648" s="7">
        <v>32300</v>
      </c>
    </row>
    <row r="649" spans="1:11" x14ac:dyDescent="0.25">
      <c r="A649" s="6">
        <v>47981</v>
      </c>
      <c r="B649" s="7" t="str">
        <f>"FEHF0000256414"</f>
        <v>FEHF0000256414</v>
      </c>
      <c r="C649" s="7">
        <v>900226715</v>
      </c>
      <c r="D649" s="8">
        <v>44606.413738425923</v>
      </c>
      <c r="E649" s="8">
        <v>44627</v>
      </c>
      <c r="F649" s="7">
        <v>2243360</v>
      </c>
      <c r="G649" s="7">
        <v>0</v>
      </c>
      <c r="H649" s="7">
        <v>0</v>
      </c>
      <c r="I649" s="7">
        <v>0</v>
      </c>
      <c r="J649" s="7">
        <v>0</v>
      </c>
      <c r="K649" s="7">
        <v>2243360</v>
      </c>
    </row>
    <row r="650" spans="1:11" x14ac:dyDescent="0.25">
      <c r="A650" s="6">
        <v>48060</v>
      </c>
      <c r="B650" s="7" t="str">
        <f>"FEHF0000256421"</f>
        <v>FEHF0000256421</v>
      </c>
      <c r="C650" s="7">
        <v>900226715</v>
      </c>
      <c r="D650" s="8">
        <v>44606.417951388888</v>
      </c>
      <c r="E650" s="8">
        <v>44626</v>
      </c>
      <c r="F650" s="7">
        <v>80832</v>
      </c>
      <c r="G650" s="7">
        <v>0</v>
      </c>
      <c r="H650" s="7">
        <v>0</v>
      </c>
      <c r="I650" s="7">
        <v>0</v>
      </c>
      <c r="J650" s="7">
        <v>0</v>
      </c>
      <c r="K650" s="7">
        <v>80832</v>
      </c>
    </row>
    <row r="651" spans="1:11" x14ac:dyDescent="0.25">
      <c r="A651" s="6">
        <v>48005</v>
      </c>
      <c r="B651" s="7" t="str">
        <f>"FEHF0000256560"</f>
        <v>FEHF0000256560</v>
      </c>
      <c r="C651" s="7">
        <v>900226715</v>
      </c>
      <c r="D651" s="8">
        <v>44606.549976851849</v>
      </c>
      <c r="E651" s="8">
        <v>44626</v>
      </c>
      <c r="F651" s="7">
        <v>34700</v>
      </c>
      <c r="G651" s="7">
        <v>0</v>
      </c>
      <c r="H651" s="7">
        <v>0</v>
      </c>
      <c r="I651" s="7">
        <v>0</v>
      </c>
      <c r="J651" s="7">
        <v>0</v>
      </c>
      <c r="K651" s="7">
        <v>34700</v>
      </c>
    </row>
    <row r="652" spans="1:11" x14ac:dyDescent="0.25">
      <c r="A652" s="6">
        <v>47981</v>
      </c>
      <c r="B652" s="7" t="str">
        <f>"FEHF0000256745"</f>
        <v>FEHF0000256745</v>
      </c>
      <c r="C652" s="7">
        <v>900226715</v>
      </c>
      <c r="D652" s="8">
        <v>44606.743391203701</v>
      </c>
      <c r="E652" s="8">
        <v>44627</v>
      </c>
      <c r="F652" s="7">
        <v>1983095</v>
      </c>
      <c r="G652" s="7">
        <v>0</v>
      </c>
      <c r="H652" s="7">
        <v>0</v>
      </c>
      <c r="I652" s="7">
        <v>0</v>
      </c>
      <c r="J652" s="7">
        <v>0</v>
      </c>
      <c r="K652" s="7">
        <v>1983095</v>
      </c>
    </row>
    <row r="653" spans="1:11" x14ac:dyDescent="0.25">
      <c r="A653" s="6">
        <v>47980</v>
      </c>
      <c r="B653" s="7" t="str">
        <f>"FEHF0000256758"</f>
        <v>FEHF0000256758</v>
      </c>
      <c r="C653" s="7">
        <v>900226715</v>
      </c>
      <c r="D653" s="8">
        <v>44606.772638888891</v>
      </c>
      <c r="E653" s="8">
        <v>44626</v>
      </c>
      <c r="F653" s="7">
        <v>60643</v>
      </c>
      <c r="G653" s="7">
        <v>0</v>
      </c>
      <c r="H653" s="7">
        <v>0</v>
      </c>
      <c r="I653" s="7">
        <v>0</v>
      </c>
      <c r="J653" s="7">
        <v>0</v>
      </c>
      <c r="K653" s="7">
        <v>60643</v>
      </c>
    </row>
    <row r="654" spans="1:11" x14ac:dyDescent="0.25">
      <c r="A654" s="6">
        <v>47980</v>
      </c>
      <c r="B654" s="7" t="str">
        <f>"FEHF0000257164"</f>
        <v>FEHF0000257164</v>
      </c>
      <c r="C654" s="7">
        <v>900226715</v>
      </c>
      <c r="D654" s="8">
        <v>44607.479351851849</v>
      </c>
      <c r="E654" s="8">
        <v>44626</v>
      </c>
      <c r="F654" s="7">
        <v>279920</v>
      </c>
      <c r="G654" s="7">
        <v>0</v>
      </c>
      <c r="H654" s="7">
        <v>0</v>
      </c>
      <c r="I654" s="7">
        <v>0</v>
      </c>
      <c r="J654" s="7">
        <v>0</v>
      </c>
      <c r="K654" s="7">
        <v>279920</v>
      </c>
    </row>
    <row r="655" spans="1:11" x14ac:dyDescent="0.25">
      <c r="A655" s="6">
        <v>47980</v>
      </c>
      <c r="B655" s="7" t="str">
        <f>"FEHF0000257413"</f>
        <v>FEHF0000257413</v>
      </c>
      <c r="C655" s="7">
        <v>900226715</v>
      </c>
      <c r="D655" s="8">
        <v>44607.886886574073</v>
      </c>
      <c r="E655" s="8">
        <v>44626</v>
      </c>
      <c r="F655" s="7">
        <v>204334</v>
      </c>
      <c r="G655" s="7">
        <v>0</v>
      </c>
      <c r="H655" s="7">
        <v>0</v>
      </c>
      <c r="I655" s="7">
        <v>0</v>
      </c>
      <c r="J655" s="7">
        <v>0</v>
      </c>
      <c r="K655" s="7">
        <v>204334</v>
      </c>
    </row>
    <row r="656" spans="1:11" x14ac:dyDescent="0.25">
      <c r="A656" s="6">
        <v>48024</v>
      </c>
      <c r="B656" s="7" t="str">
        <f>"FEHF0000257602"</f>
        <v>FEHF0000257602</v>
      </c>
      <c r="C656" s="7">
        <v>900226715</v>
      </c>
      <c r="D656" s="8">
        <v>44608.343773148146</v>
      </c>
      <c r="E656" s="8">
        <v>44626</v>
      </c>
      <c r="F656" s="7">
        <v>51900</v>
      </c>
      <c r="G656" s="7">
        <v>0</v>
      </c>
      <c r="H656" s="7">
        <v>0</v>
      </c>
      <c r="I656" s="7">
        <v>0</v>
      </c>
      <c r="J656" s="7">
        <v>3700</v>
      </c>
      <c r="K656" s="7">
        <v>48200</v>
      </c>
    </row>
    <row r="657" spans="1:11" x14ac:dyDescent="0.25">
      <c r="A657" s="6">
        <v>48024</v>
      </c>
      <c r="B657" s="7" t="str">
        <f>"FEHF0000257747"</f>
        <v>FEHF0000257747</v>
      </c>
      <c r="C657" s="7">
        <v>900226715</v>
      </c>
      <c r="D657" s="8">
        <v>44608.412523148145</v>
      </c>
      <c r="E657" s="8">
        <v>44626</v>
      </c>
      <c r="F657" s="7">
        <v>131400</v>
      </c>
      <c r="G657" s="7">
        <v>0</v>
      </c>
      <c r="H657" s="7">
        <v>0</v>
      </c>
      <c r="I657" s="7">
        <v>0</v>
      </c>
      <c r="J657" s="7">
        <v>3700</v>
      </c>
      <c r="K657" s="7">
        <v>127700</v>
      </c>
    </row>
    <row r="658" spans="1:11" x14ac:dyDescent="0.25">
      <c r="A658" s="6">
        <v>47981</v>
      </c>
      <c r="B658" s="7" t="str">
        <f>"FEHF0000258149"</f>
        <v>FEHF0000258149</v>
      </c>
      <c r="C658" s="7">
        <v>900226715</v>
      </c>
      <c r="D658" s="8">
        <v>44609.226342592592</v>
      </c>
      <c r="E658" s="8">
        <v>44627</v>
      </c>
      <c r="F658" s="7">
        <v>103500</v>
      </c>
      <c r="G658" s="7">
        <v>0</v>
      </c>
      <c r="H658" s="7">
        <v>0</v>
      </c>
      <c r="I658" s="7">
        <v>0</v>
      </c>
      <c r="J658" s="7">
        <v>0</v>
      </c>
      <c r="K658" s="7">
        <v>103500</v>
      </c>
    </row>
    <row r="659" spans="1:11" x14ac:dyDescent="0.25">
      <c r="A659" s="6">
        <v>47980</v>
      </c>
      <c r="B659" s="7" t="str">
        <f>"FEHF0000258473"</f>
        <v>FEHF0000258473</v>
      </c>
      <c r="C659" s="7">
        <v>900226715</v>
      </c>
      <c r="D659" s="8">
        <v>44609.458877314813</v>
      </c>
      <c r="E659" s="8">
        <v>44626</v>
      </c>
      <c r="F659" s="7">
        <v>849432</v>
      </c>
      <c r="G659" s="7">
        <v>0</v>
      </c>
      <c r="H659" s="7">
        <v>0</v>
      </c>
      <c r="I659" s="7">
        <v>0</v>
      </c>
      <c r="J659" s="7">
        <v>0</v>
      </c>
      <c r="K659" s="7">
        <v>849432</v>
      </c>
    </row>
    <row r="660" spans="1:11" x14ac:dyDescent="0.25">
      <c r="A660" s="6">
        <v>47980</v>
      </c>
      <c r="B660" s="7" t="str">
        <f>"FEHF0000258552"</f>
        <v>FEHF0000258552</v>
      </c>
      <c r="C660" s="7">
        <v>900226715</v>
      </c>
      <c r="D660" s="8">
        <v>44609.525879629633</v>
      </c>
      <c r="E660" s="8">
        <v>44626</v>
      </c>
      <c r="F660" s="7">
        <v>60057</v>
      </c>
      <c r="G660" s="7">
        <v>0</v>
      </c>
      <c r="H660" s="7">
        <v>0</v>
      </c>
      <c r="I660" s="7">
        <v>0</v>
      </c>
      <c r="J660" s="7">
        <v>0</v>
      </c>
      <c r="K660" s="7">
        <v>60057</v>
      </c>
    </row>
    <row r="661" spans="1:11" x14ac:dyDescent="0.25">
      <c r="A661" s="6">
        <v>48005</v>
      </c>
      <c r="B661" s="7" t="str">
        <f>"FEHF0000258586"</f>
        <v>FEHF0000258586</v>
      </c>
      <c r="C661" s="7">
        <v>900226715</v>
      </c>
      <c r="D661" s="8">
        <v>44609.553854166668</v>
      </c>
      <c r="E661" s="8">
        <v>44626</v>
      </c>
      <c r="F661" s="7">
        <v>36000</v>
      </c>
      <c r="G661" s="7">
        <v>0</v>
      </c>
      <c r="H661" s="7">
        <v>0</v>
      </c>
      <c r="I661" s="7">
        <v>0</v>
      </c>
      <c r="J661" s="7">
        <v>0</v>
      </c>
      <c r="K661" s="7">
        <v>36000</v>
      </c>
    </row>
    <row r="662" spans="1:11" x14ac:dyDescent="0.25">
      <c r="A662" s="6">
        <v>47980</v>
      </c>
      <c r="B662" s="7" t="str">
        <f>"FEHF0000258785"</f>
        <v>FEHF0000258785</v>
      </c>
      <c r="C662" s="7">
        <v>900226715</v>
      </c>
      <c r="D662" s="8">
        <v>44609.777372685188</v>
      </c>
      <c r="E662" s="8">
        <v>44626</v>
      </c>
      <c r="F662" s="7">
        <v>136500</v>
      </c>
      <c r="G662" s="7">
        <v>0</v>
      </c>
      <c r="H662" s="7">
        <v>0</v>
      </c>
      <c r="I662" s="7">
        <v>0</v>
      </c>
      <c r="J662" s="7">
        <v>0</v>
      </c>
      <c r="K662" s="7">
        <v>136500</v>
      </c>
    </row>
    <row r="663" spans="1:11" x14ac:dyDescent="0.25">
      <c r="A663" s="6">
        <v>47980</v>
      </c>
      <c r="B663" s="7" t="str">
        <f>"FEHF0000258808"</f>
        <v>FEHF0000258808</v>
      </c>
      <c r="C663" s="7">
        <v>900226715</v>
      </c>
      <c r="D663" s="8">
        <v>44610.066817129627</v>
      </c>
      <c r="E663" s="8">
        <v>44626</v>
      </c>
      <c r="F663" s="7">
        <v>154591</v>
      </c>
      <c r="G663" s="7">
        <v>0</v>
      </c>
      <c r="H663" s="7">
        <v>0</v>
      </c>
      <c r="I663" s="7">
        <v>0</v>
      </c>
      <c r="J663" s="7">
        <v>0</v>
      </c>
      <c r="K663" s="7">
        <v>154591</v>
      </c>
    </row>
    <row r="664" spans="1:11" x14ac:dyDescent="0.25">
      <c r="A664" s="6">
        <v>47980</v>
      </c>
      <c r="B664" s="7" t="str">
        <f>"FEHF0000258819"</f>
        <v>FEHF0000258819</v>
      </c>
      <c r="C664" s="7">
        <v>900226715</v>
      </c>
      <c r="D664" s="8">
        <v>44610.142060185186</v>
      </c>
      <c r="E664" s="8">
        <v>44626</v>
      </c>
      <c r="F664" s="7">
        <v>115778</v>
      </c>
      <c r="G664" s="7">
        <v>0</v>
      </c>
      <c r="H664" s="7">
        <v>0</v>
      </c>
      <c r="I664" s="7">
        <v>0</v>
      </c>
      <c r="J664" s="7">
        <v>0</v>
      </c>
      <c r="K664" s="7">
        <v>115778</v>
      </c>
    </row>
    <row r="665" spans="1:11" x14ac:dyDescent="0.25">
      <c r="A665" s="6">
        <v>47980</v>
      </c>
      <c r="B665" s="7" t="str">
        <f>"FEHF0000259504"</f>
        <v>FEHF0000259504</v>
      </c>
      <c r="C665" s="7">
        <v>900226715</v>
      </c>
      <c r="D665" s="8">
        <v>44611.052858796298</v>
      </c>
      <c r="E665" s="8">
        <v>44626</v>
      </c>
      <c r="F665" s="7">
        <v>167600</v>
      </c>
      <c r="G665" s="7">
        <v>0</v>
      </c>
      <c r="H665" s="7">
        <v>0</v>
      </c>
      <c r="I665" s="7">
        <v>0</v>
      </c>
      <c r="J665" s="7">
        <v>0</v>
      </c>
      <c r="K665" s="7">
        <v>167600</v>
      </c>
    </row>
    <row r="666" spans="1:11" x14ac:dyDescent="0.25">
      <c r="A666" s="6">
        <v>47980</v>
      </c>
      <c r="B666" s="7" t="str">
        <f>"FEHF0000260043"</f>
        <v>FEHF0000260043</v>
      </c>
      <c r="C666" s="7">
        <v>900226715</v>
      </c>
      <c r="D666" s="8">
        <v>44613.329201388886</v>
      </c>
      <c r="E666" s="8">
        <v>44626</v>
      </c>
      <c r="F666" s="7">
        <v>59100</v>
      </c>
      <c r="G666" s="7">
        <v>0</v>
      </c>
      <c r="H666" s="7">
        <v>0</v>
      </c>
      <c r="I666" s="7">
        <v>0</v>
      </c>
      <c r="J666" s="7">
        <v>0</v>
      </c>
      <c r="K666" s="7">
        <v>59100</v>
      </c>
    </row>
    <row r="667" spans="1:11" x14ac:dyDescent="0.25">
      <c r="A667" s="6">
        <v>47981</v>
      </c>
      <c r="B667" s="7" t="str">
        <f>"FEHF0000260610"</f>
        <v>FEHF0000260610</v>
      </c>
      <c r="C667" s="7">
        <v>900226715</v>
      </c>
      <c r="D667" s="8">
        <v>44613.787083333336</v>
      </c>
      <c r="E667" s="8">
        <v>44627</v>
      </c>
      <c r="F667" s="7">
        <v>747494</v>
      </c>
      <c r="G667" s="7">
        <v>0</v>
      </c>
      <c r="H667" s="7">
        <v>0</v>
      </c>
      <c r="I667" s="7">
        <v>0</v>
      </c>
      <c r="J667" s="7">
        <v>0</v>
      </c>
      <c r="K667" s="7">
        <v>747494</v>
      </c>
    </row>
    <row r="668" spans="1:11" x14ac:dyDescent="0.25">
      <c r="A668" s="6">
        <v>48061</v>
      </c>
      <c r="B668" s="7" t="str">
        <f>"FEHF0000260611"</f>
        <v>FEHF0000260611</v>
      </c>
      <c r="C668" s="7">
        <v>900226715</v>
      </c>
      <c r="D668" s="8">
        <v>44613.787083333336</v>
      </c>
      <c r="E668" s="8">
        <v>44626</v>
      </c>
      <c r="F668" s="7">
        <v>9738</v>
      </c>
      <c r="G668" s="7">
        <v>0</v>
      </c>
      <c r="H668" s="7">
        <v>0</v>
      </c>
      <c r="I668" s="7">
        <v>0</v>
      </c>
      <c r="J668" s="7">
        <v>0</v>
      </c>
      <c r="K668" s="7">
        <v>9738</v>
      </c>
    </row>
    <row r="669" spans="1:11" x14ac:dyDescent="0.25">
      <c r="A669" s="6">
        <v>48024</v>
      </c>
      <c r="B669" s="7" t="str">
        <f>"FEHF0000260710"</f>
        <v>FEHF0000260710</v>
      </c>
      <c r="C669" s="7">
        <v>900226715</v>
      </c>
      <c r="D669" s="8">
        <v>44614.315243055556</v>
      </c>
      <c r="E669" s="8">
        <v>44626</v>
      </c>
      <c r="F669" s="7">
        <v>54100</v>
      </c>
      <c r="G669" s="7">
        <v>0</v>
      </c>
      <c r="H669" s="7">
        <v>0</v>
      </c>
      <c r="I669" s="7">
        <v>0</v>
      </c>
      <c r="J669" s="7">
        <v>3700</v>
      </c>
      <c r="K669" s="7">
        <v>50400</v>
      </c>
    </row>
    <row r="670" spans="1:11" x14ac:dyDescent="0.25">
      <c r="A670" s="6">
        <v>47981</v>
      </c>
      <c r="B670" s="7" t="str">
        <f>"FEHF0000260817"</f>
        <v>FEHF0000260817</v>
      </c>
      <c r="C670" s="7">
        <v>900226715</v>
      </c>
      <c r="D670" s="8">
        <v>44614.366388888891</v>
      </c>
      <c r="E670" s="8">
        <v>44627</v>
      </c>
      <c r="F670" s="7">
        <v>125100</v>
      </c>
      <c r="G670" s="7">
        <v>0</v>
      </c>
      <c r="H670" s="7">
        <v>0</v>
      </c>
      <c r="I670" s="7">
        <v>0</v>
      </c>
      <c r="J670" s="7">
        <v>0</v>
      </c>
      <c r="K670" s="7">
        <v>125100</v>
      </c>
    </row>
    <row r="671" spans="1:11" x14ac:dyDescent="0.25">
      <c r="A671" s="6">
        <v>48005</v>
      </c>
      <c r="B671" s="7" t="str">
        <f>"FEHF0000260866"</f>
        <v>FEHF0000260866</v>
      </c>
      <c r="C671" s="7">
        <v>900226715</v>
      </c>
      <c r="D671" s="8">
        <v>44614.39603009259</v>
      </c>
      <c r="E671" s="8">
        <v>44626</v>
      </c>
      <c r="F671" s="7">
        <v>303700</v>
      </c>
      <c r="G671" s="7">
        <v>0</v>
      </c>
      <c r="H671" s="7">
        <v>0</v>
      </c>
      <c r="I671" s="7">
        <v>0</v>
      </c>
      <c r="J671" s="7">
        <v>0</v>
      </c>
      <c r="K671" s="7">
        <v>303700</v>
      </c>
    </row>
    <row r="672" spans="1:11" x14ac:dyDescent="0.25">
      <c r="A672" s="6">
        <v>47981</v>
      </c>
      <c r="B672" s="7" t="str">
        <f>"FEHF0000260969"</f>
        <v>FEHF0000260969</v>
      </c>
      <c r="C672" s="7">
        <v>900226715</v>
      </c>
      <c r="D672" s="8">
        <v>44614.467997685184</v>
      </c>
      <c r="E672" s="8">
        <v>44627</v>
      </c>
      <c r="F672" s="7">
        <v>5088525</v>
      </c>
      <c r="G672" s="7">
        <v>0</v>
      </c>
      <c r="H672" s="7">
        <v>0</v>
      </c>
      <c r="I672" s="7">
        <v>0</v>
      </c>
      <c r="J672" s="7">
        <v>0</v>
      </c>
      <c r="K672" s="7">
        <v>5088525</v>
      </c>
    </row>
    <row r="673" spans="1:11" x14ac:dyDescent="0.25">
      <c r="A673" s="6">
        <v>47980</v>
      </c>
      <c r="B673" s="7" t="str">
        <f>"FEHF0000261235"</f>
        <v>FEHF0000261235</v>
      </c>
      <c r="C673" s="7">
        <v>900226715</v>
      </c>
      <c r="D673" s="8">
        <v>44614.653124999997</v>
      </c>
      <c r="E673" s="8">
        <v>44626</v>
      </c>
      <c r="F673" s="7">
        <v>92375</v>
      </c>
      <c r="G673" s="7">
        <v>0</v>
      </c>
      <c r="H673" s="7">
        <v>0</v>
      </c>
      <c r="I673" s="7">
        <v>0</v>
      </c>
      <c r="J673" s="7">
        <v>0</v>
      </c>
      <c r="K673" s="7">
        <v>92375</v>
      </c>
    </row>
    <row r="674" spans="1:11" x14ac:dyDescent="0.25">
      <c r="A674" s="6">
        <v>48024</v>
      </c>
      <c r="B674" s="7" t="str">
        <f>"FEHF0000261406"</f>
        <v>FEHF0000261406</v>
      </c>
      <c r="C674" s="7">
        <v>900226715</v>
      </c>
      <c r="D674" s="8">
        <v>44615.310069444444</v>
      </c>
      <c r="E674" s="8">
        <v>44626</v>
      </c>
      <c r="F674" s="7">
        <v>23000</v>
      </c>
      <c r="G674" s="7">
        <v>0</v>
      </c>
      <c r="H674" s="7">
        <v>0</v>
      </c>
      <c r="I674" s="7">
        <v>0</v>
      </c>
      <c r="J674" s="7">
        <v>3700</v>
      </c>
      <c r="K674" s="7">
        <v>19300</v>
      </c>
    </row>
    <row r="675" spans="1:11" x14ac:dyDescent="0.25">
      <c r="A675" s="6">
        <v>48024</v>
      </c>
      <c r="B675" s="7" t="str">
        <f>"FEHF0000261448"</f>
        <v>FEHF0000261448</v>
      </c>
      <c r="C675" s="7">
        <v>900226715</v>
      </c>
      <c r="D675" s="8">
        <v>44615.325879629629</v>
      </c>
      <c r="E675" s="8">
        <v>44626</v>
      </c>
      <c r="F675" s="7">
        <v>51900</v>
      </c>
      <c r="G675" s="7">
        <v>0</v>
      </c>
      <c r="H675" s="7">
        <v>0</v>
      </c>
      <c r="I675" s="7">
        <v>0</v>
      </c>
      <c r="J675" s="7">
        <v>3700</v>
      </c>
      <c r="K675" s="7">
        <v>48200</v>
      </c>
    </row>
    <row r="676" spans="1:11" x14ac:dyDescent="0.25">
      <c r="A676" s="6">
        <v>48005</v>
      </c>
      <c r="B676" s="7" t="str">
        <f>"FEHF0000261537"</f>
        <v>FEHF0000261537</v>
      </c>
      <c r="C676" s="7">
        <v>900226715</v>
      </c>
      <c r="D676" s="8">
        <v>44615.366909722223</v>
      </c>
      <c r="E676" s="8">
        <v>44626</v>
      </c>
      <c r="F676" s="7">
        <v>36000</v>
      </c>
      <c r="G676" s="7">
        <v>0</v>
      </c>
      <c r="H676" s="7">
        <v>0</v>
      </c>
      <c r="I676" s="7">
        <v>0</v>
      </c>
      <c r="J676" s="7">
        <v>0</v>
      </c>
      <c r="K676" s="7">
        <v>36000</v>
      </c>
    </row>
    <row r="677" spans="1:11" x14ac:dyDescent="0.25">
      <c r="A677" s="6">
        <v>48005</v>
      </c>
      <c r="B677" s="7" t="str">
        <f>"FEHF0000261604"</f>
        <v>FEHF0000261604</v>
      </c>
      <c r="C677" s="7">
        <v>900226715</v>
      </c>
      <c r="D677" s="8">
        <v>44615.38858796296</v>
      </c>
      <c r="E677" s="8">
        <v>44626</v>
      </c>
      <c r="F677" s="7">
        <v>23000</v>
      </c>
      <c r="G677" s="7">
        <v>0</v>
      </c>
      <c r="H677" s="7">
        <v>0</v>
      </c>
      <c r="I677" s="7">
        <v>0</v>
      </c>
      <c r="J677" s="7">
        <v>0</v>
      </c>
      <c r="K677" s="7">
        <v>23000</v>
      </c>
    </row>
    <row r="678" spans="1:11" x14ac:dyDescent="0.25">
      <c r="A678" s="6">
        <v>47980</v>
      </c>
      <c r="B678" s="7" t="str">
        <f>"FEHF0000261875"</f>
        <v>FEHF0000261875</v>
      </c>
      <c r="C678" s="7">
        <v>900226715</v>
      </c>
      <c r="D678" s="8">
        <v>44615.614444444444</v>
      </c>
      <c r="E678" s="8">
        <v>44626</v>
      </c>
      <c r="F678" s="7">
        <v>60961</v>
      </c>
      <c r="G678" s="7">
        <v>0</v>
      </c>
      <c r="H678" s="7">
        <v>0</v>
      </c>
      <c r="I678" s="7">
        <v>0</v>
      </c>
      <c r="J678" s="7">
        <v>0</v>
      </c>
      <c r="K678" s="7">
        <v>60961</v>
      </c>
    </row>
    <row r="679" spans="1:11" x14ac:dyDescent="0.25">
      <c r="A679" s="6">
        <v>47980</v>
      </c>
      <c r="B679" s="7" t="str">
        <f>"FEHF0000261956"</f>
        <v>FEHF0000261956</v>
      </c>
      <c r="C679" s="7">
        <v>900226715</v>
      </c>
      <c r="D679" s="8">
        <v>44615.734710648147</v>
      </c>
      <c r="E679" s="8">
        <v>44626</v>
      </c>
      <c r="F679" s="7">
        <v>398362</v>
      </c>
      <c r="G679" s="7">
        <v>0</v>
      </c>
      <c r="H679" s="7">
        <v>0</v>
      </c>
      <c r="I679" s="7">
        <v>0</v>
      </c>
      <c r="J679" s="7">
        <v>0</v>
      </c>
      <c r="K679" s="7">
        <v>398362</v>
      </c>
    </row>
    <row r="680" spans="1:11" x14ac:dyDescent="0.25">
      <c r="A680" s="6">
        <v>48024</v>
      </c>
      <c r="B680" s="7" t="str">
        <f>"FEHF0000262145"</f>
        <v>FEHF0000262145</v>
      </c>
      <c r="C680" s="7">
        <v>900226715</v>
      </c>
      <c r="D680" s="8">
        <v>44616.338101851848</v>
      </c>
      <c r="E680" s="8">
        <v>44626</v>
      </c>
      <c r="F680" s="7">
        <v>53600</v>
      </c>
      <c r="G680" s="7">
        <v>0</v>
      </c>
      <c r="H680" s="7">
        <v>0</v>
      </c>
      <c r="I680" s="7">
        <v>0</v>
      </c>
      <c r="J680" s="7">
        <v>3700</v>
      </c>
      <c r="K680" s="7">
        <v>49900</v>
      </c>
    </row>
    <row r="681" spans="1:11" x14ac:dyDescent="0.25">
      <c r="A681" s="6">
        <v>48005</v>
      </c>
      <c r="B681" s="7" t="str">
        <f>"FEHF0000262222"</f>
        <v>FEHF0000262222</v>
      </c>
      <c r="C681" s="7">
        <v>900226715</v>
      </c>
      <c r="D681" s="8">
        <v>44616.373113425929</v>
      </c>
      <c r="E681" s="8">
        <v>44626</v>
      </c>
      <c r="F681" s="7">
        <v>24800</v>
      </c>
      <c r="G681" s="7">
        <v>0</v>
      </c>
      <c r="H681" s="7">
        <v>0</v>
      </c>
      <c r="I681" s="7">
        <v>0</v>
      </c>
      <c r="J681" s="7">
        <v>0</v>
      </c>
      <c r="K681" s="7">
        <v>24800</v>
      </c>
    </row>
    <row r="682" spans="1:11" x14ac:dyDescent="0.25">
      <c r="A682" s="6">
        <v>47980</v>
      </c>
      <c r="B682" s="7" t="str">
        <f>"FEHF0000262620"</f>
        <v>FEHF0000262620</v>
      </c>
      <c r="C682" s="7">
        <v>900226715</v>
      </c>
      <c r="D682" s="8">
        <v>44616.628321759257</v>
      </c>
      <c r="E682" s="8">
        <v>44626</v>
      </c>
      <c r="F682" s="7">
        <v>103500</v>
      </c>
      <c r="G682" s="7">
        <v>0</v>
      </c>
      <c r="H682" s="7">
        <v>0</v>
      </c>
      <c r="I682" s="7">
        <v>0</v>
      </c>
      <c r="J682" s="7">
        <v>0</v>
      </c>
      <c r="K682" s="7">
        <v>103500</v>
      </c>
    </row>
    <row r="683" spans="1:11" x14ac:dyDescent="0.25">
      <c r="A683" s="6">
        <v>48005</v>
      </c>
      <c r="B683" s="7" t="str">
        <f>"FEHF0000262827"</f>
        <v>FEHF0000262827</v>
      </c>
      <c r="C683" s="7">
        <v>900226715</v>
      </c>
      <c r="D683" s="8">
        <v>44617.296851851854</v>
      </c>
      <c r="E683" s="8">
        <v>44626</v>
      </c>
      <c r="F683" s="7">
        <v>23000</v>
      </c>
      <c r="G683" s="7">
        <v>0</v>
      </c>
      <c r="H683" s="7">
        <v>0</v>
      </c>
      <c r="I683" s="7">
        <v>0</v>
      </c>
      <c r="J683" s="7">
        <v>0</v>
      </c>
      <c r="K683" s="7">
        <v>23000</v>
      </c>
    </row>
    <row r="684" spans="1:11" x14ac:dyDescent="0.25">
      <c r="A684" s="6">
        <v>48024</v>
      </c>
      <c r="B684" s="7" t="str">
        <f>"FEHF0000263288"</f>
        <v>FEHF0000263288</v>
      </c>
      <c r="C684" s="7">
        <v>900226715</v>
      </c>
      <c r="D684" s="8">
        <v>44617.561157407406</v>
      </c>
      <c r="E684" s="8">
        <v>44626</v>
      </c>
      <c r="F684" s="7">
        <v>36000</v>
      </c>
      <c r="G684" s="7">
        <v>0</v>
      </c>
      <c r="H684" s="7">
        <v>0</v>
      </c>
      <c r="I684" s="7">
        <v>0</v>
      </c>
      <c r="J684" s="7">
        <v>3700</v>
      </c>
      <c r="K684" s="7">
        <v>32300</v>
      </c>
    </row>
    <row r="685" spans="1:11" x14ac:dyDescent="0.25">
      <c r="A685" s="6">
        <v>48024</v>
      </c>
      <c r="B685" s="7" t="str">
        <f>"FEHF0000263293"</f>
        <v>FEHF0000263293</v>
      </c>
      <c r="C685" s="7">
        <v>900226715</v>
      </c>
      <c r="D685" s="8">
        <v>44617.565925925926</v>
      </c>
      <c r="E685" s="8">
        <v>44626</v>
      </c>
      <c r="F685" s="7">
        <v>36000</v>
      </c>
      <c r="G685" s="7">
        <v>0</v>
      </c>
      <c r="H685" s="7">
        <v>0</v>
      </c>
      <c r="I685" s="7">
        <v>0</v>
      </c>
      <c r="J685" s="7">
        <v>3700</v>
      </c>
      <c r="K685" s="7">
        <v>32300</v>
      </c>
    </row>
    <row r="686" spans="1:11" x14ac:dyDescent="0.25">
      <c r="A686" s="6">
        <v>47980</v>
      </c>
      <c r="B686" s="7" t="str">
        <f>"FEHF0000263520"</f>
        <v>FEHF0000263520</v>
      </c>
      <c r="C686" s="7">
        <v>900226715</v>
      </c>
      <c r="D686" s="8">
        <v>44617.892696759256</v>
      </c>
      <c r="E686" s="8">
        <v>44626</v>
      </c>
      <c r="F686" s="7">
        <v>59978</v>
      </c>
      <c r="G686" s="7">
        <v>0</v>
      </c>
      <c r="H686" s="7">
        <v>0</v>
      </c>
      <c r="I686" s="7">
        <v>0</v>
      </c>
      <c r="J686" s="7">
        <v>0</v>
      </c>
      <c r="K686" s="7">
        <v>59978</v>
      </c>
    </row>
    <row r="687" spans="1:11" x14ac:dyDescent="0.25">
      <c r="A687" s="6">
        <v>47981</v>
      </c>
      <c r="B687" s="7" t="str">
        <f>"FEHF0000263615"</f>
        <v>FEHF0000263615</v>
      </c>
      <c r="C687" s="7">
        <v>900226715</v>
      </c>
      <c r="D687" s="8">
        <v>44618.367974537039</v>
      </c>
      <c r="E687" s="8">
        <v>44627</v>
      </c>
      <c r="F687" s="7">
        <v>8375317</v>
      </c>
      <c r="G687" s="7">
        <v>0</v>
      </c>
      <c r="H687" s="7">
        <v>0</v>
      </c>
      <c r="I687" s="7">
        <v>0</v>
      </c>
      <c r="J687" s="7">
        <v>0</v>
      </c>
      <c r="K687" s="7">
        <v>8375317</v>
      </c>
    </row>
    <row r="688" spans="1:11" x14ac:dyDescent="0.25">
      <c r="A688" s="6">
        <v>47981</v>
      </c>
      <c r="B688" s="7" t="str">
        <f>"FEHF0000263666"</f>
        <v>FEHF0000263666</v>
      </c>
      <c r="C688" s="7">
        <v>900226715</v>
      </c>
      <c r="D688" s="8">
        <v>44618.453136574077</v>
      </c>
      <c r="E688" s="8">
        <v>44627</v>
      </c>
      <c r="F688" s="7">
        <v>59978</v>
      </c>
      <c r="G688" s="7">
        <v>0</v>
      </c>
      <c r="H688" s="7">
        <v>0</v>
      </c>
      <c r="I688" s="7">
        <v>0</v>
      </c>
      <c r="J688" s="7">
        <v>0</v>
      </c>
      <c r="K688" s="7">
        <v>59978</v>
      </c>
    </row>
    <row r="689" spans="1:11" x14ac:dyDescent="0.25">
      <c r="A689" s="6">
        <v>47980</v>
      </c>
      <c r="B689" s="7" t="str">
        <f>"FEHF0000263761"</f>
        <v>FEHF0000263761</v>
      </c>
      <c r="C689" s="7">
        <v>900226715</v>
      </c>
      <c r="D689" s="8">
        <v>44618.648773148147</v>
      </c>
      <c r="E689" s="8">
        <v>44626</v>
      </c>
      <c r="F689" s="7">
        <v>67735</v>
      </c>
      <c r="G689" s="7">
        <v>0</v>
      </c>
      <c r="H689" s="7">
        <v>0</v>
      </c>
      <c r="I689" s="7">
        <v>0</v>
      </c>
      <c r="J689" s="7">
        <v>0</v>
      </c>
      <c r="K689" s="7">
        <v>67735</v>
      </c>
    </row>
    <row r="690" spans="1:11" x14ac:dyDescent="0.25">
      <c r="A690" s="6">
        <v>47981</v>
      </c>
      <c r="B690" s="7" t="str">
        <f>"FEHF0000263793"</f>
        <v>FEHF0000263793</v>
      </c>
      <c r="C690" s="7">
        <v>900226715</v>
      </c>
      <c r="D690" s="8">
        <v>44618.744930555556</v>
      </c>
      <c r="E690" s="8">
        <v>44627</v>
      </c>
      <c r="F690" s="7">
        <v>59100</v>
      </c>
      <c r="G690" s="7">
        <v>0</v>
      </c>
      <c r="H690" s="7">
        <v>0</v>
      </c>
      <c r="I690" s="7">
        <v>0</v>
      </c>
      <c r="J690" s="7">
        <v>0</v>
      </c>
      <c r="K690" s="7">
        <v>59100</v>
      </c>
    </row>
    <row r="691" spans="1:11" x14ac:dyDescent="0.25">
      <c r="A691" s="6">
        <v>47981</v>
      </c>
      <c r="B691" s="7" t="str">
        <f>"FEHF0000263850"</f>
        <v>FEHF0000263850</v>
      </c>
      <c r="C691" s="7">
        <v>900226715</v>
      </c>
      <c r="D691" s="8">
        <v>44619.104363425926</v>
      </c>
      <c r="E691" s="8">
        <v>44627</v>
      </c>
      <c r="F691" s="7">
        <v>1000455</v>
      </c>
      <c r="G691" s="7">
        <v>0</v>
      </c>
      <c r="H691" s="7">
        <v>0</v>
      </c>
      <c r="I691" s="7">
        <v>0</v>
      </c>
      <c r="J691" s="7">
        <v>0</v>
      </c>
      <c r="K691" s="7">
        <v>1000455</v>
      </c>
    </row>
    <row r="692" spans="1:11" x14ac:dyDescent="0.25">
      <c r="A692" s="6">
        <v>47981</v>
      </c>
      <c r="B692" s="7" t="str">
        <f>"FEHF0000264002"</f>
        <v>FEHF0000264002</v>
      </c>
      <c r="C692" s="7">
        <v>900226715</v>
      </c>
      <c r="D692" s="8">
        <v>44619.77034722222</v>
      </c>
      <c r="E692" s="8">
        <v>44627</v>
      </c>
      <c r="F692" s="7">
        <v>59100</v>
      </c>
      <c r="G692" s="7">
        <v>0</v>
      </c>
      <c r="H692" s="7">
        <v>0</v>
      </c>
      <c r="I692" s="7">
        <v>0</v>
      </c>
      <c r="J692" s="7">
        <v>0</v>
      </c>
      <c r="K692" s="7">
        <v>59100</v>
      </c>
    </row>
    <row r="693" spans="1:11" x14ac:dyDescent="0.25">
      <c r="A693" s="6">
        <v>47980</v>
      </c>
      <c r="B693" s="7" t="str">
        <f>"FEHF0000264406"</f>
        <v>FEHF0000264406</v>
      </c>
      <c r="C693" s="7">
        <v>900226715</v>
      </c>
      <c r="D693" s="8">
        <v>44620.476620370369</v>
      </c>
      <c r="E693" s="8">
        <v>44626</v>
      </c>
      <c r="F693" s="7">
        <v>858211</v>
      </c>
      <c r="G693" s="7">
        <v>0</v>
      </c>
      <c r="H693" s="7">
        <v>0</v>
      </c>
      <c r="I693" s="7">
        <v>0</v>
      </c>
      <c r="J693" s="7">
        <v>0</v>
      </c>
      <c r="K693" s="7">
        <v>858211</v>
      </c>
    </row>
    <row r="694" spans="1:11" x14ac:dyDescent="0.25">
      <c r="A694" s="6">
        <v>48005</v>
      </c>
      <c r="B694" s="7" t="str">
        <f>"FEHF0000264422"</f>
        <v>FEHF0000264422</v>
      </c>
      <c r="C694" s="7">
        <v>900226715</v>
      </c>
      <c r="D694" s="8">
        <v>44620.490787037037</v>
      </c>
      <c r="E694" s="8">
        <v>44626</v>
      </c>
      <c r="F694" s="7">
        <v>51900</v>
      </c>
      <c r="G694" s="7">
        <v>0</v>
      </c>
      <c r="H694" s="7">
        <v>0</v>
      </c>
      <c r="I694" s="7">
        <v>0</v>
      </c>
      <c r="J694" s="7">
        <v>0</v>
      </c>
      <c r="K694" s="7">
        <v>51900</v>
      </c>
    </row>
    <row r="695" spans="1:11" x14ac:dyDescent="0.25">
      <c r="A695" s="6">
        <v>48024</v>
      </c>
      <c r="B695" s="7" t="str">
        <f>"FEHF0000264602"</f>
        <v>FEHF0000264602</v>
      </c>
      <c r="C695" s="7">
        <v>900226715</v>
      </c>
      <c r="D695" s="8">
        <v>44620.651863425926</v>
      </c>
      <c r="E695" s="8">
        <v>44626</v>
      </c>
      <c r="F695" s="7">
        <v>36000</v>
      </c>
      <c r="G695" s="7">
        <v>0</v>
      </c>
      <c r="H695" s="7">
        <v>0</v>
      </c>
      <c r="I695" s="7">
        <v>0</v>
      </c>
      <c r="J695" s="7">
        <v>3700</v>
      </c>
      <c r="K695" s="7">
        <v>32300</v>
      </c>
    </row>
    <row r="696" spans="1:11" x14ac:dyDescent="0.25">
      <c r="A696" s="6">
        <v>48024</v>
      </c>
      <c r="B696" s="7" t="str">
        <f>"FEHF0000264604"</f>
        <v>FEHF0000264604</v>
      </c>
      <c r="C696" s="7">
        <v>900226715</v>
      </c>
      <c r="D696" s="8">
        <v>44620.654363425929</v>
      </c>
      <c r="E696" s="8">
        <v>44626</v>
      </c>
      <c r="F696" s="7">
        <v>36000</v>
      </c>
      <c r="G696" s="7">
        <v>0</v>
      </c>
      <c r="H696" s="7">
        <v>0</v>
      </c>
      <c r="I696" s="7">
        <v>0</v>
      </c>
      <c r="J696" s="7">
        <v>3700</v>
      </c>
      <c r="K696" s="7">
        <v>32300</v>
      </c>
    </row>
    <row r="697" spans="1:11" x14ac:dyDescent="0.25">
      <c r="A697" s="6">
        <v>47980</v>
      </c>
      <c r="B697" s="7" t="str">
        <f>"FEHF0000264748"</f>
        <v>FEHF0000264748</v>
      </c>
      <c r="C697" s="7">
        <v>900226715</v>
      </c>
      <c r="D697" s="8">
        <v>44620.872777777775</v>
      </c>
      <c r="E697" s="8">
        <v>44626</v>
      </c>
      <c r="F697" s="7">
        <v>140807</v>
      </c>
      <c r="G697" s="7">
        <v>0</v>
      </c>
      <c r="H697" s="7">
        <v>0</v>
      </c>
      <c r="I697" s="7">
        <v>0</v>
      </c>
      <c r="J697" s="7">
        <v>0</v>
      </c>
      <c r="K697" s="7">
        <v>140807</v>
      </c>
    </row>
    <row r="698" spans="1:11" x14ac:dyDescent="0.25">
      <c r="A698" s="6">
        <v>47981</v>
      </c>
      <c r="B698" s="7" t="str">
        <f>"FEHF0000264765"</f>
        <v>FEHF0000264765</v>
      </c>
      <c r="C698" s="7">
        <v>900226715</v>
      </c>
      <c r="D698" s="8">
        <v>44620.996365740742</v>
      </c>
      <c r="E698" s="8">
        <v>44627</v>
      </c>
      <c r="F698" s="7">
        <v>113724</v>
      </c>
      <c r="G698" s="7">
        <v>0</v>
      </c>
      <c r="H698" s="7">
        <v>0</v>
      </c>
      <c r="I698" s="7">
        <v>0</v>
      </c>
      <c r="J698" s="7">
        <v>0</v>
      </c>
      <c r="K698" s="7">
        <v>113724</v>
      </c>
    </row>
    <row r="699" spans="1:11" x14ac:dyDescent="0.25">
      <c r="A699" s="6">
        <v>47981</v>
      </c>
      <c r="B699" s="7" t="str">
        <f>"FEHF0000264830"</f>
        <v>FEHF0000264830</v>
      </c>
      <c r="C699" s="7">
        <v>900226715</v>
      </c>
      <c r="D699" s="8">
        <v>44621.293032407404</v>
      </c>
      <c r="E699" s="8">
        <v>44627</v>
      </c>
      <c r="F699" s="7">
        <v>7939242</v>
      </c>
      <c r="G699" s="7">
        <v>0</v>
      </c>
      <c r="H699" s="7">
        <v>0</v>
      </c>
      <c r="I699" s="7">
        <v>0</v>
      </c>
      <c r="J699" s="7">
        <v>0</v>
      </c>
      <c r="K699" s="7">
        <v>7939242</v>
      </c>
    </row>
    <row r="700" spans="1:11" x14ac:dyDescent="0.25">
      <c r="A700" s="6">
        <v>48117</v>
      </c>
      <c r="B700" s="7" t="str">
        <f>"FEHF0000264898"</f>
        <v>FEHF0000264898</v>
      </c>
      <c r="C700" s="7">
        <v>900226715</v>
      </c>
      <c r="D700" s="8">
        <v>44621.320856481485</v>
      </c>
      <c r="E700" s="8">
        <v>44660</v>
      </c>
      <c r="F700" s="7">
        <v>48600</v>
      </c>
      <c r="G700" s="7">
        <v>0</v>
      </c>
      <c r="H700" s="7">
        <v>0</v>
      </c>
      <c r="I700" s="7">
        <v>0</v>
      </c>
      <c r="J700" s="7">
        <v>0</v>
      </c>
      <c r="K700" s="7">
        <v>48600</v>
      </c>
    </row>
    <row r="701" spans="1:11" x14ac:dyDescent="0.25">
      <c r="A701" s="6">
        <v>48115</v>
      </c>
      <c r="B701" s="7" t="str">
        <f>"FEHF0000264971"</f>
        <v>FEHF0000264971</v>
      </c>
      <c r="C701" s="7">
        <v>900226715</v>
      </c>
      <c r="D701" s="8">
        <v>44621.351817129631</v>
      </c>
      <c r="E701" s="8">
        <v>44660</v>
      </c>
      <c r="F701" s="7">
        <v>48600</v>
      </c>
      <c r="G701" s="7">
        <v>0</v>
      </c>
      <c r="H701" s="7">
        <v>0</v>
      </c>
      <c r="I701" s="7">
        <v>0</v>
      </c>
      <c r="J701" s="7">
        <v>3700</v>
      </c>
      <c r="K701" s="7">
        <v>44900</v>
      </c>
    </row>
    <row r="702" spans="1:11" x14ac:dyDescent="0.25">
      <c r="A702" s="6">
        <v>48115</v>
      </c>
      <c r="B702" s="7" t="str">
        <f>"FEHF0000264973"</f>
        <v>FEHF0000264973</v>
      </c>
      <c r="C702" s="7">
        <v>900226715</v>
      </c>
      <c r="D702" s="8">
        <v>44621.353055555555</v>
      </c>
      <c r="E702" s="8">
        <v>44660</v>
      </c>
      <c r="F702" s="7">
        <v>138800</v>
      </c>
      <c r="G702" s="7">
        <v>0</v>
      </c>
      <c r="H702" s="7">
        <v>0</v>
      </c>
      <c r="I702" s="7">
        <v>0</v>
      </c>
      <c r="J702" s="7">
        <v>3700</v>
      </c>
      <c r="K702" s="7">
        <v>135100</v>
      </c>
    </row>
    <row r="703" spans="1:11" x14ac:dyDescent="0.25">
      <c r="A703" s="6">
        <v>48115</v>
      </c>
      <c r="B703" s="7" t="str">
        <f>"FEHF0000265046"</f>
        <v>FEHF0000265046</v>
      </c>
      <c r="C703" s="7">
        <v>900226715</v>
      </c>
      <c r="D703" s="8">
        <v>44621.383356481485</v>
      </c>
      <c r="E703" s="8">
        <v>44660</v>
      </c>
      <c r="F703" s="7">
        <v>78800</v>
      </c>
      <c r="G703" s="7">
        <v>0</v>
      </c>
      <c r="H703" s="7">
        <v>0</v>
      </c>
      <c r="I703" s="7">
        <v>0</v>
      </c>
      <c r="J703" s="7">
        <v>3700</v>
      </c>
      <c r="K703" s="7">
        <v>75100</v>
      </c>
    </row>
    <row r="704" spans="1:11" x14ac:dyDescent="0.25">
      <c r="A704" s="6">
        <v>47981</v>
      </c>
      <c r="B704" s="7" t="str">
        <f>"FEHF0000265083"</f>
        <v>FEHF0000265083</v>
      </c>
      <c r="C704" s="7">
        <v>900226715</v>
      </c>
      <c r="D704" s="8">
        <v>44621.405590277776</v>
      </c>
      <c r="E704" s="8">
        <v>44627</v>
      </c>
      <c r="F704" s="7">
        <v>2393851</v>
      </c>
      <c r="G704" s="7">
        <v>0</v>
      </c>
      <c r="H704" s="7">
        <v>0</v>
      </c>
      <c r="I704" s="7">
        <v>0</v>
      </c>
      <c r="J704" s="7">
        <v>0</v>
      </c>
      <c r="K704" s="7">
        <v>2393851</v>
      </c>
    </row>
    <row r="705" spans="1:11" x14ac:dyDescent="0.25">
      <c r="A705" s="6">
        <v>48116</v>
      </c>
      <c r="B705" s="7" t="str">
        <f>"FEHF0000265197"</f>
        <v>FEHF0000265197</v>
      </c>
      <c r="C705" s="7">
        <v>900226715</v>
      </c>
      <c r="D705" s="8">
        <v>44621.472500000003</v>
      </c>
      <c r="E705" s="8">
        <v>44660</v>
      </c>
      <c r="F705" s="7">
        <v>60961</v>
      </c>
      <c r="G705" s="7">
        <v>0</v>
      </c>
      <c r="H705" s="7">
        <v>0</v>
      </c>
      <c r="I705" s="7">
        <v>0</v>
      </c>
      <c r="J705" s="7">
        <v>0</v>
      </c>
      <c r="K705" s="7">
        <v>60961</v>
      </c>
    </row>
    <row r="706" spans="1:11" x14ac:dyDescent="0.25">
      <c r="A706" s="6">
        <v>47981</v>
      </c>
      <c r="B706" s="7" t="str">
        <f>"FEHF0000266693"</f>
        <v>FEHF0000266693</v>
      </c>
      <c r="C706" s="7">
        <v>900226715</v>
      </c>
      <c r="D706" s="8">
        <v>44623.76121527778</v>
      </c>
      <c r="E706" s="8">
        <v>44627</v>
      </c>
      <c r="F706" s="7">
        <v>537056</v>
      </c>
      <c r="G706" s="7">
        <v>0</v>
      </c>
      <c r="H706" s="7">
        <v>0</v>
      </c>
      <c r="I706" s="7">
        <v>0</v>
      </c>
      <c r="J706" s="7">
        <v>0</v>
      </c>
      <c r="K706" s="7">
        <v>537056</v>
      </c>
    </row>
    <row r="707" spans="1:11" x14ac:dyDescent="0.25">
      <c r="A707" s="6">
        <v>48115</v>
      </c>
      <c r="B707" s="7" t="str">
        <f>"FEHF0000266732"</f>
        <v>FEHF0000266732</v>
      </c>
      <c r="C707" s="7">
        <v>900226715</v>
      </c>
      <c r="D707" s="8">
        <v>44624.298437500001</v>
      </c>
      <c r="E707" s="8">
        <v>44660</v>
      </c>
      <c r="F707" s="7">
        <v>98100</v>
      </c>
      <c r="G707" s="7">
        <v>0</v>
      </c>
      <c r="H707" s="7">
        <v>0</v>
      </c>
      <c r="I707" s="7">
        <v>0</v>
      </c>
      <c r="J707" s="7">
        <v>3700</v>
      </c>
      <c r="K707" s="7">
        <v>94400</v>
      </c>
    </row>
    <row r="708" spans="1:11" x14ac:dyDescent="0.25">
      <c r="A708" s="6">
        <v>48117</v>
      </c>
      <c r="B708" s="7" t="str">
        <f>"FEHF0000266912"</f>
        <v>FEHF0000266912</v>
      </c>
      <c r="C708" s="7">
        <v>900226715</v>
      </c>
      <c r="D708" s="8">
        <v>44624.421319444446</v>
      </c>
      <c r="E708" s="8">
        <v>44660</v>
      </c>
      <c r="F708" s="7">
        <v>49200</v>
      </c>
      <c r="G708" s="7">
        <v>0</v>
      </c>
      <c r="H708" s="7">
        <v>0</v>
      </c>
      <c r="I708" s="7">
        <v>0</v>
      </c>
      <c r="J708" s="7">
        <v>0</v>
      </c>
      <c r="K708" s="7">
        <v>49200</v>
      </c>
    </row>
    <row r="709" spans="1:11" x14ac:dyDescent="0.25">
      <c r="A709" s="6">
        <v>48116</v>
      </c>
      <c r="B709" s="7" t="str">
        <f>"FEHF0000267236"</f>
        <v>FEHF0000267236</v>
      </c>
      <c r="C709" s="7">
        <v>900226715</v>
      </c>
      <c r="D709" s="8">
        <v>44625.173506944448</v>
      </c>
      <c r="E709" s="8">
        <v>44660</v>
      </c>
      <c r="F709" s="7">
        <v>59978</v>
      </c>
      <c r="G709" s="7">
        <v>0</v>
      </c>
      <c r="H709" s="7">
        <v>0</v>
      </c>
      <c r="I709" s="7">
        <v>0</v>
      </c>
      <c r="J709" s="7">
        <v>0</v>
      </c>
      <c r="K709" s="7">
        <v>59978</v>
      </c>
    </row>
    <row r="710" spans="1:11" x14ac:dyDescent="0.25">
      <c r="A710" s="6">
        <v>48117</v>
      </c>
      <c r="B710" s="7" t="str">
        <f>"FEHF0000267606"</f>
        <v>FEHF0000267606</v>
      </c>
      <c r="C710" s="7">
        <v>900226715</v>
      </c>
      <c r="D710" s="8">
        <v>44627.299259259256</v>
      </c>
      <c r="E710" s="8">
        <v>44660</v>
      </c>
      <c r="F710" s="7">
        <v>51900</v>
      </c>
      <c r="G710" s="7">
        <v>0</v>
      </c>
      <c r="H710" s="7">
        <v>0</v>
      </c>
      <c r="I710" s="7">
        <v>0</v>
      </c>
      <c r="J710" s="7">
        <v>0</v>
      </c>
      <c r="K710" s="7">
        <v>51900</v>
      </c>
    </row>
    <row r="711" spans="1:11" x14ac:dyDescent="0.25">
      <c r="A711" s="6">
        <v>48117</v>
      </c>
      <c r="B711" s="7" t="str">
        <f>"FEHF0000267617"</f>
        <v>FEHF0000267617</v>
      </c>
      <c r="C711" s="7">
        <v>900226715</v>
      </c>
      <c r="D711" s="8">
        <v>44627.307546296295</v>
      </c>
      <c r="E711" s="8">
        <v>44660</v>
      </c>
      <c r="F711" s="7">
        <v>23000</v>
      </c>
      <c r="G711" s="7">
        <v>0</v>
      </c>
      <c r="H711" s="7">
        <v>0</v>
      </c>
      <c r="I711" s="7">
        <v>0</v>
      </c>
      <c r="J711" s="7">
        <v>0</v>
      </c>
      <c r="K711" s="7">
        <v>23000</v>
      </c>
    </row>
    <row r="712" spans="1:11" x14ac:dyDescent="0.25">
      <c r="A712" s="6">
        <v>48117</v>
      </c>
      <c r="B712" s="7" t="str">
        <f>"FEHF0000267863"</f>
        <v>FEHF0000267863</v>
      </c>
      <c r="C712" s="7">
        <v>900226715</v>
      </c>
      <c r="D712" s="8">
        <v>44627.554606481484</v>
      </c>
      <c r="E712" s="8">
        <v>44660</v>
      </c>
      <c r="F712" s="7">
        <v>36000</v>
      </c>
      <c r="G712" s="7">
        <v>0</v>
      </c>
      <c r="H712" s="7">
        <v>0</v>
      </c>
      <c r="I712" s="7">
        <v>0</v>
      </c>
      <c r="J712" s="7">
        <v>0</v>
      </c>
      <c r="K712" s="7">
        <v>36000</v>
      </c>
    </row>
    <row r="713" spans="1:11" x14ac:dyDescent="0.25">
      <c r="A713" s="6">
        <v>48117</v>
      </c>
      <c r="B713" s="7" t="str">
        <f>"FEHF0000267864"</f>
        <v>FEHF0000267864</v>
      </c>
      <c r="C713" s="7">
        <v>900226715</v>
      </c>
      <c r="D713" s="8">
        <v>44627.557453703703</v>
      </c>
      <c r="E713" s="8">
        <v>44660</v>
      </c>
      <c r="F713" s="7">
        <v>36000</v>
      </c>
      <c r="G713" s="7">
        <v>0</v>
      </c>
      <c r="H713" s="7">
        <v>0</v>
      </c>
      <c r="I713" s="7">
        <v>0</v>
      </c>
      <c r="J713" s="7">
        <v>0</v>
      </c>
      <c r="K713" s="7">
        <v>36000</v>
      </c>
    </row>
    <row r="714" spans="1:11" x14ac:dyDescent="0.25">
      <c r="A714" s="6">
        <v>48115</v>
      </c>
      <c r="B714" s="7" t="str">
        <f>"FEHF0000268102"</f>
        <v>FEHF0000268102</v>
      </c>
      <c r="C714" s="7">
        <v>900226715</v>
      </c>
      <c r="D714" s="8">
        <v>44628.330787037034</v>
      </c>
      <c r="E714" s="8">
        <v>44660</v>
      </c>
      <c r="F714" s="7">
        <v>36000</v>
      </c>
      <c r="G714" s="7">
        <v>0</v>
      </c>
      <c r="H714" s="7">
        <v>0</v>
      </c>
      <c r="I714" s="7">
        <v>0</v>
      </c>
      <c r="J714" s="7">
        <v>3700</v>
      </c>
      <c r="K714" s="7">
        <v>32300</v>
      </c>
    </row>
    <row r="715" spans="1:11" x14ac:dyDescent="0.25">
      <c r="A715" s="6">
        <v>48117</v>
      </c>
      <c r="B715" s="7" t="str">
        <f>"FEHF0000268423"</f>
        <v>FEHF0000268423</v>
      </c>
      <c r="C715" s="7">
        <v>900226715</v>
      </c>
      <c r="D715" s="8">
        <v>44628.639548611114</v>
      </c>
      <c r="E715" s="8">
        <v>44660</v>
      </c>
      <c r="F715" s="7">
        <v>51900</v>
      </c>
      <c r="G715" s="7">
        <v>0</v>
      </c>
      <c r="H715" s="7">
        <v>0</v>
      </c>
      <c r="I715" s="7">
        <v>0</v>
      </c>
      <c r="J715" s="7">
        <v>0</v>
      </c>
      <c r="K715" s="7">
        <v>51900</v>
      </c>
    </row>
    <row r="716" spans="1:11" x14ac:dyDescent="0.25">
      <c r="A716" s="6">
        <v>48118</v>
      </c>
      <c r="B716" s="7" t="str">
        <f>"FEHF0000268443"</f>
        <v>FEHF0000268443</v>
      </c>
      <c r="C716" s="7">
        <v>900226715</v>
      </c>
      <c r="D716" s="8">
        <v>44628.681550925925</v>
      </c>
      <c r="E716" s="8">
        <v>44660</v>
      </c>
      <c r="F716" s="7">
        <v>88107</v>
      </c>
      <c r="G716" s="7">
        <v>0</v>
      </c>
      <c r="H716" s="7">
        <v>0</v>
      </c>
      <c r="I716" s="7">
        <v>0</v>
      </c>
      <c r="J716" s="7">
        <v>0</v>
      </c>
      <c r="K716" s="7">
        <v>88107</v>
      </c>
    </row>
    <row r="717" spans="1:11" x14ac:dyDescent="0.25">
      <c r="A717" s="6">
        <v>48118</v>
      </c>
      <c r="B717" s="7" t="str">
        <f>"FEHF0000268452"</f>
        <v>FEHF0000268452</v>
      </c>
      <c r="C717" s="7">
        <v>900226715</v>
      </c>
      <c r="D717" s="8">
        <v>44628.692824074074</v>
      </c>
      <c r="E717" s="8">
        <v>44660</v>
      </c>
      <c r="F717" s="7">
        <v>782743</v>
      </c>
      <c r="G717" s="7">
        <v>0</v>
      </c>
      <c r="H717" s="7">
        <v>0</v>
      </c>
      <c r="I717" s="7">
        <v>0</v>
      </c>
      <c r="J717" s="7">
        <v>0</v>
      </c>
      <c r="K717" s="7">
        <v>782743</v>
      </c>
    </row>
    <row r="718" spans="1:11" x14ac:dyDescent="0.25">
      <c r="A718" s="6">
        <v>48115</v>
      </c>
      <c r="B718" s="7" t="str">
        <f>"FEHF0000268601"</f>
        <v>FEHF0000268601</v>
      </c>
      <c r="C718" s="7">
        <v>900226715</v>
      </c>
      <c r="D718" s="8">
        <v>44629.344907407409</v>
      </c>
      <c r="E718" s="8">
        <v>44660</v>
      </c>
      <c r="F718" s="7">
        <v>632419</v>
      </c>
      <c r="G718" s="7">
        <v>0</v>
      </c>
      <c r="H718" s="7">
        <v>0</v>
      </c>
      <c r="I718" s="7">
        <v>0</v>
      </c>
      <c r="J718" s="7">
        <v>3700</v>
      </c>
      <c r="K718" s="7">
        <v>628719</v>
      </c>
    </row>
    <row r="719" spans="1:11" x14ac:dyDescent="0.25">
      <c r="A719" s="6">
        <v>48116</v>
      </c>
      <c r="B719" s="7" t="str">
        <f>"FEHF0000268989"</f>
        <v>FEHF0000268989</v>
      </c>
      <c r="C719" s="7">
        <v>900226715</v>
      </c>
      <c r="D719" s="8">
        <v>44629.871111111112</v>
      </c>
      <c r="E719" s="8">
        <v>44660</v>
      </c>
      <c r="F719" s="7">
        <v>618724</v>
      </c>
      <c r="G719" s="7">
        <v>0</v>
      </c>
      <c r="H719" s="7">
        <v>0</v>
      </c>
      <c r="I719" s="7">
        <v>0</v>
      </c>
      <c r="J719" s="7">
        <v>0</v>
      </c>
      <c r="K719" s="7">
        <v>618724</v>
      </c>
    </row>
    <row r="720" spans="1:11" x14ac:dyDescent="0.25">
      <c r="A720" s="6">
        <v>48117</v>
      </c>
      <c r="B720" s="7" t="str">
        <f>"FEHF0000269076"</f>
        <v>FEHF0000269076</v>
      </c>
      <c r="C720" s="7">
        <v>900226715</v>
      </c>
      <c r="D720" s="8">
        <v>44630.327326388891</v>
      </c>
      <c r="E720" s="8">
        <v>44660</v>
      </c>
      <c r="F720" s="7">
        <v>24600</v>
      </c>
      <c r="G720" s="7">
        <v>0</v>
      </c>
      <c r="H720" s="7">
        <v>0</v>
      </c>
      <c r="I720" s="7">
        <v>0</v>
      </c>
      <c r="J720" s="7">
        <v>0</v>
      </c>
      <c r="K720" s="7">
        <v>24600</v>
      </c>
    </row>
    <row r="721" spans="1:11" x14ac:dyDescent="0.25">
      <c r="A721" s="6">
        <v>48117</v>
      </c>
      <c r="B721" s="7" t="str">
        <f>"FEHF0000269155"</f>
        <v>FEHF0000269155</v>
      </c>
      <c r="C721" s="7">
        <v>900226715</v>
      </c>
      <c r="D721" s="8">
        <v>44630.389201388891</v>
      </c>
      <c r="E721" s="8">
        <v>44660</v>
      </c>
      <c r="F721" s="7">
        <v>10700</v>
      </c>
      <c r="G721" s="7">
        <v>0</v>
      </c>
      <c r="H721" s="7">
        <v>0</v>
      </c>
      <c r="I721" s="7">
        <v>0</v>
      </c>
      <c r="J721" s="7">
        <v>0</v>
      </c>
      <c r="K721" s="7">
        <v>10700</v>
      </c>
    </row>
    <row r="722" spans="1:11" x14ac:dyDescent="0.25">
      <c r="A722" s="6">
        <v>48117</v>
      </c>
      <c r="B722" s="7" t="str">
        <f>"FEHF0000269284"</f>
        <v>FEHF0000269284</v>
      </c>
      <c r="C722" s="7">
        <v>900226715</v>
      </c>
      <c r="D722" s="8">
        <v>44630.489270833335</v>
      </c>
      <c r="E722" s="8">
        <v>44660</v>
      </c>
      <c r="F722" s="7">
        <v>51900</v>
      </c>
      <c r="G722" s="7">
        <v>0</v>
      </c>
      <c r="H722" s="7">
        <v>0</v>
      </c>
      <c r="I722" s="7">
        <v>0</v>
      </c>
      <c r="J722" s="7">
        <v>0</v>
      </c>
      <c r="K722" s="7">
        <v>51900</v>
      </c>
    </row>
    <row r="723" spans="1:11" x14ac:dyDescent="0.25">
      <c r="A723" s="6">
        <v>48117</v>
      </c>
      <c r="B723" s="7" t="str">
        <f>"FEHF0000269428"</f>
        <v>FEHF0000269428</v>
      </c>
      <c r="C723" s="7">
        <v>900226715</v>
      </c>
      <c r="D723" s="8">
        <v>44630.638935185183</v>
      </c>
      <c r="E723" s="8">
        <v>44660</v>
      </c>
      <c r="F723" s="7">
        <v>57600</v>
      </c>
      <c r="G723" s="7">
        <v>0</v>
      </c>
      <c r="H723" s="7">
        <v>0</v>
      </c>
      <c r="I723" s="7">
        <v>0</v>
      </c>
      <c r="J723" s="7">
        <v>0</v>
      </c>
      <c r="K723" s="7">
        <v>57600</v>
      </c>
    </row>
    <row r="724" spans="1:11" x14ac:dyDescent="0.25">
      <c r="A724" s="6">
        <v>48116</v>
      </c>
      <c r="B724" s="7" t="str">
        <f>"FEHF0000269476"</f>
        <v>FEHF0000269476</v>
      </c>
      <c r="C724" s="7">
        <v>900226715</v>
      </c>
      <c r="D724" s="8">
        <v>44630.698564814818</v>
      </c>
      <c r="E724" s="8">
        <v>44660</v>
      </c>
      <c r="F724" s="7">
        <v>60124</v>
      </c>
      <c r="G724" s="7">
        <v>0</v>
      </c>
      <c r="H724" s="7">
        <v>0</v>
      </c>
      <c r="I724" s="7">
        <v>0</v>
      </c>
      <c r="J724" s="7">
        <v>0</v>
      </c>
      <c r="K724" s="7">
        <v>60124</v>
      </c>
    </row>
    <row r="725" spans="1:11" x14ac:dyDescent="0.25">
      <c r="A725" s="6">
        <v>48115</v>
      </c>
      <c r="B725" s="7" t="str">
        <f>"FEHF0000269578"</f>
        <v>FEHF0000269578</v>
      </c>
      <c r="C725" s="7">
        <v>900226715</v>
      </c>
      <c r="D725" s="8">
        <v>44631.305671296293</v>
      </c>
      <c r="E725" s="8">
        <v>44660</v>
      </c>
      <c r="F725" s="7">
        <v>366019</v>
      </c>
      <c r="G725" s="7">
        <v>0</v>
      </c>
      <c r="H725" s="7">
        <v>0</v>
      </c>
      <c r="I725" s="7">
        <v>0</v>
      </c>
      <c r="J725" s="7">
        <v>3700</v>
      </c>
      <c r="K725" s="7">
        <v>362319</v>
      </c>
    </row>
    <row r="726" spans="1:11" x14ac:dyDescent="0.25">
      <c r="A726" s="6">
        <v>48117</v>
      </c>
      <c r="B726" s="7" t="str">
        <f>"FEHF0000269720"</f>
        <v>FEHF0000269720</v>
      </c>
      <c r="C726" s="7">
        <v>900226715</v>
      </c>
      <c r="D726" s="8">
        <v>44631.417071759257</v>
      </c>
      <c r="E726" s="8">
        <v>44660</v>
      </c>
      <c r="F726" s="7">
        <v>51900</v>
      </c>
      <c r="G726" s="7">
        <v>0</v>
      </c>
      <c r="H726" s="7">
        <v>0</v>
      </c>
      <c r="I726" s="7">
        <v>0</v>
      </c>
      <c r="J726" s="7">
        <v>0</v>
      </c>
      <c r="K726" s="7">
        <v>51900</v>
      </c>
    </row>
    <row r="727" spans="1:11" x14ac:dyDescent="0.25">
      <c r="A727" s="6">
        <v>48117</v>
      </c>
      <c r="B727" s="7" t="str">
        <f>"FEHF0000269767"</f>
        <v>FEHF0000269767</v>
      </c>
      <c r="C727" s="7">
        <v>900226715</v>
      </c>
      <c r="D727" s="8">
        <v>44631.456296296295</v>
      </c>
      <c r="E727" s="8">
        <v>44660</v>
      </c>
      <c r="F727" s="7">
        <v>26100</v>
      </c>
      <c r="G727" s="7">
        <v>0</v>
      </c>
      <c r="H727" s="7">
        <v>0</v>
      </c>
      <c r="I727" s="7">
        <v>0</v>
      </c>
      <c r="J727" s="7">
        <v>0</v>
      </c>
      <c r="K727" s="7">
        <v>26100</v>
      </c>
    </row>
    <row r="728" spans="1:11" x14ac:dyDescent="0.25">
      <c r="A728" s="6">
        <v>48115</v>
      </c>
      <c r="B728" s="7" t="str">
        <f>"FEHF0000269852"</f>
        <v>FEHF0000269852</v>
      </c>
      <c r="C728" s="7">
        <v>900226715</v>
      </c>
      <c r="D728" s="8">
        <v>44631.552199074074</v>
      </c>
      <c r="E728" s="8">
        <v>44660</v>
      </c>
      <c r="F728" s="7">
        <v>34700</v>
      </c>
      <c r="G728" s="7">
        <v>0</v>
      </c>
      <c r="H728" s="7">
        <v>0</v>
      </c>
      <c r="I728" s="7">
        <v>0</v>
      </c>
      <c r="J728" s="7">
        <v>3700</v>
      </c>
      <c r="K728" s="7">
        <v>31000</v>
      </c>
    </row>
    <row r="729" spans="1:11" x14ac:dyDescent="0.25">
      <c r="A729" s="6">
        <v>48117</v>
      </c>
      <c r="B729" s="7" t="str">
        <f>"FEHF0000269856"</f>
        <v>FEHF0000269856</v>
      </c>
      <c r="C729" s="7">
        <v>900226715</v>
      </c>
      <c r="D729" s="8">
        <v>44631.55846064815</v>
      </c>
      <c r="E729" s="8">
        <v>44660</v>
      </c>
      <c r="F729" s="7">
        <v>36000</v>
      </c>
      <c r="G729" s="7">
        <v>0</v>
      </c>
      <c r="H729" s="7">
        <v>0</v>
      </c>
      <c r="I729" s="7">
        <v>0</v>
      </c>
      <c r="J729" s="7">
        <v>0</v>
      </c>
      <c r="K729" s="7">
        <v>36000</v>
      </c>
    </row>
    <row r="730" spans="1:11" x14ac:dyDescent="0.25">
      <c r="A730" s="6">
        <v>48115</v>
      </c>
      <c r="B730" s="7" t="str">
        <f>"FEHF0000269908"</f>
        <v>FEHF0000269908</v>
      </c>
      <c r="C730" s="7">
        <v>900226715</v>
      </c>
      <c r="D730" s="8">
        <v>44631.628668981481</v>
      </c>
      <c r="E730" s="8">
        <v>44660</v>
      </c>
      <c r="F730" s="7">
        <v>36000</v>
      </c>
      <c r="G730" s="7">
        <v>0</v>
      </c>
      <c r="H730" s="7">
        <v>0</v>
      </c>
      <c r="I730" s="7">
        <v>0</v>
      </c>
      <c r="J730" s="7">
        <v>3700</v>
      </c>
      <c r="K730" s="7">
        <v>32300</v>
      </c>
    </row>
    <row r="731" spans="1:11" x14ac:dyDescent="0.25">
      <c r="A731" s="6">
        <v>48116</v>
      </c>
      <c r="B731" s="7" t="str">
        <f>"FEHF0000269984"</f>
        <v>FEHF0000269984</v>
      </c>
      <c r="C731" s="7">
        <v>900226715</v>
      </c>
      <c r="D731" s="8">
        <v>44631.744444444441</v>
      </c>
      <c r="E731" s="8">
        <v>44660</v>
      </c>
      <c r="F731" s="7">
        <v>221400</v>
      </c>
      <c r="G731" s="7">
        <v>0</v>
      </c>
      <c r="H731" s="7">
        <v>0</v>
      </c>
      <c r="I731" s="7">
        <v>0</v>
      </c>
      <c r="J731" s="7">
        <v>0</v>
      </c>
      <c r="K731" s="7">
        <v>221400</v>
      </c>
    </row>
    <row r="732" spans="1:11" x14ac:dyDescent="0.25">
      <c r="A732" s="6">
        <v>48116</v>
      </c>
      <c r="B732" s="7" t="str">
        <f>"FEHF0000270019"</f>
        <v>FEHF0000270019</v>
      </c>
      <c r="C732" s="7">
        <v>900226715</v>
      </c>
      <c r="D732" s="8">
        <v>44631.896793981483</v>
      </c>
      <c r="E732" s="8">
        <v>44660</v>
      </c>
      <c r="F732" s="7">
        <v>60180</v>
      </c>
      <c r="G732" s="7">
        <v>0</v>
      </c>
      <c r="H732" s="7">
        <v>0</v>
      </c>
      <c r="I732" s="7">
        <v>0</v>
      </c>
      <c r="J732" s="7">
        <v>0</v>
      </c>
      <c r="K732" s="7">
        <v>60180</v>
      </c>
    </row>
    <row r="733" spans="1:11" x14ac:dyDescent="0.25">
      <c r="A733" s="6">
        <v>48118</v>
      </c>
      <c r="B733" s="7" t="str">
        <f>"FEHF0000270164"</f>
        <v>FEHF0000270164</v>
      </c>
      <c r="C733" s="7">
        <v>900226715</v>
      </c>
      <c r="D733" s="8">
        <v>44632.652280092596</v>
      </c>
      <c r="E733" s="8">
        <v>44660</v>
      </c>
      <c r="F733" s="7">
        <v>1466244</v>
      </c>
      <c r="G733" s="7">
        <v>0</v>
      </c>
      <c r="H733" s="7">
        <v>0</v>
      </c>
      <c r="I733" s="7">
        <v>0</v>
      </c>
      <c r="J733" s="7">
        <v>0</v>
      </c>
      <c r="K733" s="7">
        <v>1466244</v>
      </c>
    </row>
    <row r="734" spans="1:11" x14ac:dyDescent="0.25">
      <c r="A734" s="6">
        <v>48118</v>
      </c>
      <c r="B734" s="7" t="str">
        <f>"FEHF0000270193"</f>
        <v>FEHF0000270193</v>
      </c>
      <c r="C734" s="7">
        <v>900226715</v>
      </c>
      <c r="D734" s="8">
        <v>44632.769259259258</v>
      </c>
      <c r="E734" s="8">
        <v>44660</v>
      </c>
      <c r="F734" s="7">
        <v>462229</v>
      </c>
      <c r="G734" s="7">
        <v>0</v>
      </c>
      <c r="H734" s="7">
        <v>0</v>
      </c>
      <c r="I734" s="7">
        <v>0</v>
      </c>
      <c r="J734" s="7">
        <v>0</v>
      </c>
      <c r="K734" s="7">
        <v>462229</v>
      </c>
    </row>
    <row r="735" spans="1:11" x14ac:dyDescent="0.25">
      <c r="A735" s="6">
        <v>48117</v>
      </c>
      <c r="B735" s="7" t="str">
        <f>"FEHF0000270475"</f>
        <v>FEHF0000270475</v>
      </c>
      <c r="C735" s="7">
        <v>900226715</v>
      </c>
      <c r="D735" s="8">
        <v>44634.391030092593</v>
      </c>
      <c r="E735" s="8">
        <v>44660</v>
      </c>
      <c r="F735" s="7">
        <v>36000</v>
      </c>
      <c r="G735" s="7">
        <v>0</v>
      </c>
      <c r="H735" s="7">
        <v>0</v>
      </c>
      <c r="I735" s="7">
        <v>0</v>
      </c>
      <c r="J735" s="7">
        <v>0</v>
      </c>
      <c r="K735" s="7">
        <v>36000</v>
      </c>
    </row>
    <row r="736" spans="1:11" x14ac:dyDescent="0.25">
      <c r="A736" s="6">
        <v>48116</v>
      </c>
      <c r="B736" s="7" t="str">
        <f>"FEHF0000270824"</f>
        <v>FEHF0000270824</v>
      </c>
      <c r="C736" s="7">
        <v>900226715</v>
      </c>
      <c r="D736" s="8">
        <v>44634.786504629628</v>
      </c>
      <c r="E736" s="8">
        <v>44660</v>
      </c>
      <c r="F736" s="7">
        <v>182400</v>
      </c>
      <c r="G736" s="7">
        <v>0</v>
      </c>
      <c r="H736" s="7">
        <v>0</v>
      </c>
      <c r="I736" s="7">
        <v>0</v>
      </c>
      <c r="J736" s="7">
        <v>0</v>
      </c>
      <c r="K736" s="7">
        <v>182400</v>
      </c>
    </row>
    <row r="737" spans="1:11" x14ac:dyDescent="0.25">
      <c r="A737" s="6">
        <v>48115</v>
      </c>
      <c r="B737" s="7" t="str">
        <f>"FEHF0000270890"</f>
        <v>FEHF0000270890</v>
      </c>
      <c r="C737" s="7">
        <v>900226715</v>
      </c>
      <c r="D737" s="8">
        <v>44635.302395833336</v>
      </c>
      <c r="E737" s="8">
        <v>44660</v>
      </c>
      <c r="F737" s="7">
        <v>36000</v>
      </c>
      <c r="G737" s="7">
        <v>0</v>
      </c>
      <c r="H737" s="7">
        <v>0</v>
      </c>
      <c r="I737" s="7">
        <v>0</v>
      </c>
      <c r="J737" s="7">
        <v>3700</v>
      </c>
      <c r="K737" s="7">
        <v>32300</v>
      </c>
    </row>
    <row r="738" spans="1:11" x14ac:dyDescent="0.25">
      <c r="A738" s="6">
        <v>48117</v>
      </c>
      <c r="B738" s="7" t="str">
        <f>"FEHF0000270989"</f>
        <v>FEHF0000270989</v>
      </c>
      <c r="C738" s="7">
        <v>900226715</v>
      </c>
      <c r="D738" s="8">
        <v>44635.373472222222</v>
      </c>
      <c r="E738" s="8">
        <v>44660</v>
      </c>
      <c r="F738" s="7">
        <v>24600</v>
      </c>
      <c r="G738" s="7">
        <v>0</v>
      </c>
      <c r="H738" s="7">
        <v>0</v>
      </c>
      <c r="I738" s="7">
        <v>0</v>
      </c>
      <c r="J738" s="7">
        <v>0</v>
      </c>
      <c r="K738" s="7">
        <v>24600</v>
      </c>
    </row>
    <row r="739" spans="1:11" x14ac:dyDescent="0.25">
      <c r="A739" s="6">
        <v>48117</v>
      </c>
      <c r="B739" s="7" t="str">
        <f>"FEHF0000271023"</f>
        <v>FEHF0000271023</v>
      </c>
      <c r="C739" s="7">
        <v>900226715</v>
      </c>
      <c r="D739" s="8">
        <v>44635.411539351851</v>
      </c>
      <c r="E739" s="8">
        <v>44660</v>
      </c>
      <c r="F739" s="7">
        <v>36000</v>
      </c>
      <c r="G739" s="7">
        <v>0</v>
      </c>
      <c r="H739" s="7">
        <v>0</v>
      </c>
      <c r="I739" s="7">
        <v>0</v>
      </c>
      <c r="J739" s="7">
        <v>0</v>
      </c>
      <c r="K739" s="7">
        <v>36000</v>
      </c>
    </row>
    <row r="740" spans="1:11" x14ac:dyDescent="0.25">
      <c r="A740" s="6">
        <v>48117</v>
      </c>
      <c r="B740" s="7" t="str">
        <f>"FEHF0000271025"</f>
        <v>FEHF0000271025</v>
      </c>
      <c r="C740" s="7">
        <v>900226715</v>
      </c>
      <c r="D740" s="8">
        <v>44635.413483796299</v>
      </c>
      <c r="E740" s="8">
        <v>44660</v>
      </c>
      <c r="F740" s="7">
        <v>36000</v>
      </c>
      <c r="G740" s="7">
        <v>0</v>
      </c>
      <c r="H740" s="7">
        <v>0</v>
      </c>
      <c r="I740" s="7">
        <v>0</v>
      </c>
      <c r="J740" s="7">
        <v>0</v>
      </c>
      <c r="K740" s="7">
        <v>36000</v>
      </c>
    </row>
    <row r="741" spans="1:11" x14ac:dyDescent="0.25">
      <c r="A741" s="6">
        <v>48117</v>
      </c>
      <c r="B741" s="7" t="str">
        <f>"FEHF0000271087"</f>
        <v>FEHF0000271087</v>
      </c>
      <c r="C741" s="7">
        <v>900226715</v>
      </c>
      <c r="D741" s="8">
        <v>44635.469837962963</v>
      </c>
      <c r="E741" s="8">
        <v>44660</v>
      </c>
      <c r="F741" s="7">
        <v>24600</v>
      </c>
      <c r="G741" s="7">
        <v>0</v>
      </c>
      <c r="H741" s="7">
        <v>0</v>
      </c>
      <c r="I741" s="7">
        <v>0</v>
      </c>
      <c r="J741" s="7">
        <v>0</v>
      </c>
      <c r="K741" s="7">
        <v>24600</v>
      </c>
    </row>
    <row r="742" spans="1:11" x14ac:dyDescent="0.25">
      <c r="A742" s="6">
        <v>48117</v>
      </c>
      <c r="B742" s="7" t="str">
        <f>"FEHF0000271093"</f>
        <v>FEHF0000271093</v>
      </c>
      <c r="C742" s="7">
        <v>900226715</v>
      </c>
      <c r="D742" s="8">
        <v>44635.474386574075</v>
      </c>
      <c r="E742" s="8">
        <v>44660</v>
      </c>
      <c r="F742" s="7">
        <v>24600</v>
      </c>
      <c r="G742" s="7">
        <v>0</v>
      </c>
      <c r="H742" s="7">
        <v>0</v>
      </c>
      <c r="I742" s="7">
        <v>0</v>
      </c>
      <c r="J742" s="7">
        <v>0</v>
      </c>
      <c r="K742" s="7">
        <v>24600</v>
      </c>
    </row>
    <row r="743" spans="1:11" x14ac:dyDescent="0.25">
      <c r="A743" s="6">
        <v>48115</v>
      </c>
      <c r="B743" s="7" t="str">
        <f>"FEHF0000271246"</f>
        <v>FEHF0000271246</v>
      </c>
      <c r="C743" s="7">
        <v>900226715</v>
      </c>
      <c r="D743" s="8">
        <v>44635.666226851848</v>
      </c>
      <c r="E743" s="8">
        <v>44660</v>
      </c>
      <c r="F743" s="7">
        <v>36000</v>
      </c>
      <c r="G743" s="7">
        <v>0</v>
      </c>
      <c r="H743" s="7">
        <v>0</v>
      </c>
      <c r="I743" s="7">
        <v>0</v>
      </c>
      <c r="J743" s="7">
        <v>3700</v>
      </c>
      <c r="K743" s="7">
        <v>32300</v>
      </c>
    </row>
    <row r="744" spans="1:11" x14ac:dyDescent="0.25">
      <c r="A744" s="6">
        <v>48116</v>
      </c>
      <c r="B744" s="7" t="str">
        <f>"FEHF0000271499"</f>
        <v>FEHF0000271499</v>
      </c>
      <c r="C744" s="7">
        <v>900226715</v>
      </c>
      <c r="D744" s="8">
        <v>44636.392627314817</v>
      </c>
      <c r="E744" s="8">
        <v>44660</v>
      </c>
      <c r="F744" s="7">
        <v>59100</v>
      </c>
      <c r="G744" s="7">
        <v>0</v>
      </c>
      <c r="H744" s="7">
        <v>0</v>
      </c>
      <c r="I744" s="7">
        <v>0</v>
      </c>
      <c r="J744" s="7">
        <v>0</v>
      </c>
      <c r="K744" s="7">
        <v>59100</v>
      </c>
    </row>
    <row r="745" spans="1:11" x14ac:dyDescent="0.25">
      <c r="A745" s="6">
        <v>48118</v>
      </c>
      <c r="B745" s="7" t="str">
        <f>"FEHF0000271561"</f>
        <v>FEHF0000271561</v>
      </c>
      <c r="C745" s="7">
        <v>900226715</v>
      </c>
      <c r="D745" s="8">
        <v>44636.453819444447</v>
      </c>
      <c r="E745" s="8">
        <v>44660</v>
      </c>
      <c r="F745" s="7">
        <v>976285</v>
      </c>
      <c r="G745" s="7">
        <v>0</v>
      </c>
      <c r="H745" s="7">
        <v>0</v>
      </c>
      <c r="I745" s="7">
        <v>0</v>
      </c>
      <c r="J745" s="7">
        <v>0</v>
      </c>
      <c r="K745" s="7">
        <v>976285</v>
      </c>
    </row>
    <row r="746" spans="1:11" x14ac:dyDescent="0.25">
      <c r="A746" s="6">
        <v>48117</v>
      </c>
      <c r="B746" s="7" t="str">
        <f>"FEHF0000271816"</f>
        <v>FEHF0000271816</v>
      </c>
      <c r="C746" s="7">
        <v>900226715</v>
      </c>
      <c r="D746" s="8">
        <v>44637.302928240744</v>
      </c>
      <c r="E746" s="8">
        <v>44660</v>
      </c>
      <c r="F746" s="7">
        <v>36000</v>
      </c>
      <c r="G746" s="7">
        <v>0</v>
      </c>
      <c r="H746" s="7">
        <v>0</v>
      </c>
      <c r="I746" s="7">
        <v>0</v>
      </c>
      <c r="J746" s="7">
        <v>0</v>
      </c>
      <c r="K746" s="7">
        <v>36000</v>
      </c>
    </row>
    <row r="747" spans="1:11" x14ac:dyDescent="0.25">
      <c r="A747" s="6">
        <v>48117</v>
      </c>
      <c r="B747" s="7" t="str">
        <f>"FEHF0000271826"</f>
        <v>FEHF0000271826</v>
      </c>
      <c r="C747" s="7">
        <v>900226715</v>
      </c>
      <c r="D747" s="8">
        <v>44637.309305555558</v>
      </c>
      <c r="E747" s="8">
        <v>44660</v>
      </c>
      <c r="F747" s="7">
        <v>24600</v>
      </c>
      <c r="G747" s="7">
        <v>0</v>
      </c>
      <c r="H747" s="7">
        <v>0</v>
      </c>
      <c r="I747" s="7">
        <v>0</v>
      </c>
      <c r="J747" s="7">
        <v>0</v>
      </c>
      <c r="K747" s="7">
        <v>24600</v>
      </c>
    </row>
    <row r="748" spans="1:11" x14ac:dyDescent="0.25">
      <c r="A748" s="6">
        <v>48117</v>
      </c>
      <c r="B748" s="7" t="str">
        <f>"FEHF0000271829"</f>
        <v>FEHF0000271829</v>
      </c>
      <c r="C748" s="7">
        <v>900226715</v>
      </c>
      <c r="D748" s="8">
        <v>44637.312280092592</v>
      </c>
      <c r="E748" s="8">
        <v>44660</v>
      </c>
      <c r="F748" s="7">
        <v>24600</v>
      </c>
      <c r="G748" s="7">
        <v>0</v>
      </c>
      <c r="H748" s="7">
        <v>0</v>
      </c>
      <c r="I748" s="7">
        <v>0</v>
      </c>
      <c r="J748" s="7">
        <v>0</v>
      </c>
      <c r="K748" s="7">
        <v>24600</v>
      </c>
    </row>
    <row r="749" spans="1:11" x14ac:dyDescent="0.25">
      <c r="A749" s="6">
        <v>48116</v>
      </c>
      <c r="B749" s="7" t="str">
        <f>"FEHF0000271919"</f>
        <v>FEHF0000271919</v>
      </c>
      <c r="C749" s="7">
        <v>900226715</v>
      </c>
      <c r="D749" s="8">
        <v>44637.382141203707</v>
      </c>
      <c r="E749" s="8">
        <v>44660</v>
      </c>
      <c r="F749" s="7">
        <v>103500</v>
      </c>
      <c r="G749" s="7">
        <v>0</v>
      </c>
      <c r="H749" s="7">
        <v>0</v>
      </c>
      <c r="I749" s="7">
        <v>0</v>
      </c>
      <c r="J749" s="7">
        <v>0</v>
      </c>
      <c r="K749" s="7">
        <v>103500</v>
      </c>
    </row>
    <row r="750" spans="1:11" x14ac:dyDescent="0.25">
      <c r="A750" s="6">
        <v>48115</v>
      </c>
      <c r="B750" s="7" t="str">
        <f>"FEHF0000272398"</f>
        <v>FEHF0000272398</v>
      </c>
      <c r="C750" s="7">
        <v>900226715</v>
      </c>
      <c r="D750" s="8">
        <v>44638.358749999999</v>
      </c>
      <c r="E750" s="8">
        <v>44660</v>
      </c>
      <c r="F750" s="7">
        <v>618700</v>
      </c>
      <c r="G750" s="7">
        <v>0</v>
      </c>
      <c r="H750" s="7">
        <v>0</v>
      </c>
      <c r="I750" s="7">
        <v>0</v>
      </c>
      <c r="J750" s="7">
        <v>3700</v>
      </c>
      <c r="K750" s="7">
        <v>615000</v>
      </c>
    </row>
    <row r="751" spans="1:11" x14ac:dyDescent="0.25">
      <c r="A751" s="6">
        <v>48115</v>
      </c>
      <c r="B751" s="7" t="str">
        <f>"FEHF0000272419"</f>
        <v>FEHF0000272419</v>
      </c>
      <c r="C751" s="7">
        <v>900226715</v>
      </c>
      <c r="D751" s="8">
        <v>44638.366064814814</v>
      </c>
      <c r="E751" s="8">
        <v>44660</v>
      </c>
      <c r="F751" s="7">
        <v>618700</v>
      </c>
      <c r="G751" s="7">
        <v>0</v>
      </c>
      <c r="H751" s="7">
        <v>0</v>
      </c>
      <c r="I751" s="7">
        <v>0</v>
      </c>
      <c r="J751" s="7">
        <v>71200</v>
      </c>
      <c r="K751" s="7">
        <v>547500</v>
      </c>
    </row>
    <row r="752" spans="1:11" x14ac:dyDescent="0.25">
      <c r="A752" s="6">
        <v>48116</v>
      </c>
      <c r="B752" s="7" t="str">
        <f>"FEHF0000272604"</f>
        <v>FEHF0000272604</v>
      </c>
      <c r="C752" s="7">
        <v>900226715</v>
      </c>
      <c r="D752" s="8">
        <v>44638.433148148149</v>
      </c>
      <c r="E752" s="8">
        <v>44660</v>
      </c>
      <c r="F752" s="7">
        <v>473144</v>
      </c>
      <c r="G752" s="7">
        <v>0</v>
      </c>
      <c r="H752" s="7">
        <v>0</v>
      </c>
      <c r="I752" s="7">
        <v>0</v>
      </c>
      <c r="J752" s="7">
        <v>0</v>
      </c>
      <c r="K752" s="7">
        <v>473144</v>
      </c>
    </row>
    <row r="753" spans="1:11" x14ac:dyDescent="0.25">
      <c r="A753" s="6">
        <v>48115</v>
      </c>
      <c r="B753" s="7" t="str">
        <f>"FEHF0000272760"</f>
        <v>FEHF0000272760</v>
      </c>
      <c r="C753" s="7">
        <v>900226715</v>
      </c>
      <c r="D753" s="8">
        <v>44638.590613425928</v>
      </c>
      <c r="E753" s="8">
        <v>44660</v>
      </c>
      <c r="F753" s="7">
        <v>36000</v>
      </c>
      <c r="G753" s="7">
        <v>0</v>
      </c>
      <c r="H753" s="7">
        <v>0</v>
      </c>
      <c r="I753" s="7">
        <v>0</v>
      </c>
      <c r="J753" s="7">
        <v>3700</v>
      </c>
      <c r="K753" s="7">
        <v>32300</v>
      </c>
    </row>
    <row r="754" spans="1:11" x14ac:dyDescent="0.25">
      <c r="A754" s="6">
        <v>48116</v>
      </c>
      <c r="B754" s="7" t="str">
        <f>"FEHF0000273055"</f>
        <v>FEHF0000273055</v>
      </c>
      <c r="C754" s="7">
        <v>900226715</v>
      </c>
      <c r="D754" s="8">
        <v>44639.828657407408</v>
      </c>
      <c r="E754" s="8">
        <v>44660</v>
      </c>
      <c r="F754" s="7">
        <v>125757</v>
      </c>
      <c r="G754" s="7">
        <v>0</v>
      </c>
      <c r="H754" s="7">
        <v>0</v>
      </c>
      <c r="I754" s="7">
        <v>0</v>
      </c>
      <c r="J754" s="7">
        <v>0</v>
      </c>
      <c r="K754" s="7">
        <v>125757</v>
      </c>
    </row>
    <row r="755" spans="1:11" x14ac:dyDescent="0.25">
      <c r="A755" s="6">
        <v>48118</v>
      </c>
      <c r="B755" s="7" t="str">
        <f>"FEHF0000273173"</f>
        <v>FEHF0000273173</v>
      </c>
      <c r="C755" s="7">
        <v>900226715</v>
      </c>
      <c r="D755" s="8">
        <v>44640.71802083333</v>
      </c>
      <c r="E755" s="8">
        <v>44660</v>
      </c>
      <c r="F755" s="7">
        <v>77162</v>
      </c>
      <c r="G755" s="7">
        <v>0</v>
      </c>
      <c r="H755" s="7">
        <v>0</v>
      </c>
      <c r="I755" s="7">
        <v>0</v>
      </c>
      <c r="J755" s="7">
        <v>0</v>
      </c>
      <c r="K755" s="7">
        <v>77162</v>
      </c>
    </row>
    <row r="756" spans="1:11" x14ac:dyDescent="0.25">
      <c r="A756" s="6">
        <v>48116</v>
      </c>
      <c r="B756" s="7" t="str">
        <f>"FEHF0000273308"</f>
        <v>FEHF0000273308</v>
      </c>
      <c r="C756" s="7">
        <v>900226715</v>
      </c>
      <c r="D756" s="8">
        <v>44641.824247685188</v>
      </c>
      <c r="E756" s="8">
        <v>44660</v>
      </c>
      <c r="F756" s="7">
        <v>130461</v>
      </c>
      <c r="G756" s="7">
        <v>0</v>
      </c>
      <c r="H756" s="7">
        <v>0</v>
      </c>
      <c r="I756" s="7">
        <v>0</v>
      </c>
      <c r="J756" s="7">
        <v>0</v>
      </c>
      <c r="K756" s="7">
        <v>130461</v>
      </c>
    </row>
    <row r="757" spans="1:11" x14ac:dyDescent="0.25">
      <c r="A757" s="6">
        <v>48116</v>
      </c>
      <c r="B757" s="7" t="str">
        <f>"FEHF0000273313"</f>
        <v>FEHF0000273313</v>
      </c>
      <c r="C757" s="7">
        <v>900226715</v>
      </c>
      <c r="D757" s="8">
        <v>44641.93478009259</v>
      </c>
      <c r="E757" s="8">
        <v>44660</v>
      </c>
      <c r="F757" s="7">
        <v>139678</v>
      </c>
      <c r="G757" s="7">
        <v>0</v>
      </c>
      <c r="H757" s="7">
        <v>0</v>
      </c>
      <c r="I757" s="7">
        <v>0</v>
      </c>
      <c r="J757" s="7">
        <v>0</v>
      </c>
      <c r="K757" s="7">
        <v>139678</v>
      </c>
    </row>
    <row r="758" spans="1:11" x14ac:dyDescent="0.25">
      <c r="A758" s="6">
        <v>48117</v>
      </c>
      <c r="B758" s="7" t="str">
        <f>"FEHF0000273336"</f>
        <v>FEHF0000273336</v>
      </c>
      <c r="C758" s="7">
        <v>900226715</v>
      </c>
      <c r="D758" s="8">
        <v>44642.298032407409</v>
      </c>
      <c r="E758" s="8">
        <v>44660</v>
      </c>
      <c r="F758" s="7">
        <v>36000</v>
      </c>
      <c r="G758" s="7">
        <v>0</v>
      </c>
      <c r="H758" s="7">
        <v>0</v>
      </c>
      <c r="I758" s="7">
        <v>0</v>
      </c>
      <c r="J758" s="7">
        <v>0</v>
      </c>
      <c r="K758" s="7">
        <v>36000</v>
      </c>
    </row>
    <row r="759" spans="1:11" x14ac:dyDescent="0.25">
      <c r="A759" s="6">
        <v>48115</v>
      </c>
      <c r="B759" s="7" t="str">
        <f>"FEHF0000273410"</f>
        <v>FEHF0000273410</v>
      </c>
      <c r="C759" s="7">
        <v>900226715</v>
      </c>
      <c r="D759" s="8">
        <v>44642.368171296293</v>
      </c>
      <c r="E759" s="8">
        <v>44660</v>
      </c>
      <c r="F759" s="7">
        <v>40900</v>
      </c>
      <c r="G759" s="7">
        <v>0</v>
      </c>
      <c r="H759" s="7">
        <v>0</v>
      </c>
      <c r="I759" s="7">
        <v>0</v>
      </c>
      <c r="J759" s="7">
        <v>0</v>
      </c>
      <c r="K759" s="7">
        <v>40900</v>
      </c>
    </row>
    <row r="760" spans="1:11" x14ac:dyDescent="0.25">
      <c r="A760" s="6">
        <v>48117</v>
      </c>
      <c r="B760" s="7" t="str">
        <f>"FEHF0000273432"</f>
        <v>FEHF0000273432</v>
      </c>
      <c r="C760" s="7">
        <v>900226715</v>
      </c>
      <c r="D760" s="8">
        <v>44642.386655092596</v>
      </c>
      <c r="E760" s="8">
        <v>44660</v>
      </c>
      <c r="F760" s="7">
        <v>51900</v>
      </c>
      <c r="G760" s="7">
        <v>0</v>
      </c>
      <c r="H760" s="7">
        <v>0</v>
      </c>
      <c r="I760" s="7">
        <v>0</v>
      </c>
      <c r="J760" s="7">
        <v>0</v>
      </c>
      <c r="K760" s="7">
        <v>51900</v>
      </c>
    </row>
    <row r="761" spans="1:11" x14ac:dyDescent="0.25">
      <c r="A761" s="6">
        <v>48115</v>
      </c>
      <c r="B761" s="7" t="str">
        <f>"FEHF0000273469"</f>
        <v>FEHF0000273469</v>
      </c>
      <c r="C761" s="7">
        <v>900226715</v>
      </c>
      <c r="D761" s="8">
        <v>44642.420138888891</v>
      </c>
      <c r="E761" s="8">
        <v>44660</v>
      </c>
      <c r="F761" s="7">
        <v>51900</v>
      </c>
      <c r="G761" s="7">
        <v>0</v>
      </c>
      <c r="H761" s="7">
        <v>0</v>
      </c>
      <c r="I761" s="7">
        <v>0</v>
      </c>
      <c r="J761" s="7">
        <v>3700</v>
      </c>
      <c r="K761" s="7">
        <v>48200</v>
      </c>
    </row>
    <row r="762" spans="1:11" x14ac:dyDescent="0.25">
      <c r="A762" s="6">
        <v>48117</v>
      </c>
      <c r="B762" s="7" t="str">
        <f>"FEHF0000273632"</f>
        <v>FEHF0000273632</v>
      </c>
      <c r="C762" s="7">
        <v>900226715</v>
      </c>
      <c r="D762" s="8">
        <v>44642.636712962965</v>
      </c>
      <c r="E762" s="8">
        <v>44660</v>
      </c>
      <c r="F762" s="7">
        <v>36000</v>
      </c>
      <c r="G762" s="7">
        <v>0</v>
      </c>
      <c r="H762" s="7">
        <v>0</v>
      </c>
      <c r="I762" s="7">
        <v>0</v>
      </c>
      <c r="J762" s="7">
        <v>0</v>
      </c>
      <c r="K762" s="7">
        <v>36000</v>
      </c>
    </row>
    <row r="763" spans="1:11" x14ac:dyDescent="0.25">
      <c r="A763" s="6">
        <v>48116</v>
      </c>
      <c r="B763" s="7" t="str">
        <f>"FEHF0000273720"</f>
        <v>FEHF0000273720</v>
      </c>
      <c r="C763" s="7">
        <v>900226715</v>
      </c>
      <c r="D763" s="8">
        <v>44642.734432870369</v>
      </c>
      <c r="E763" s="8">
        <v>44660</v>
      </c>
      <c r="F763" s="7">
        <v>115778</v>
      </c>
      <c r="G763" s="7">
        <v>0</v>
      </c>
      <c r="H763" s="7">
        <v>0</v>
      </c>
      <c r="I763" s="7">
        <v>0</v>
      </c>
      <c r="J763" s="7">
        <v>0</v>
      </c>
      <c r="K763" s="7">
        <v>115778</v>
      </c>
    </row>
    <row r="764" spans="1:11" x14ac:dyDescent="0.25">
      <c r="A764" s="6">
        <v>48116</v>
      </c>
      <c r="B764" s="7" t="str">
        <f>"FEHF0000273760"</f>
        <v>FEHF0000273760</v>
      </c>
      <c r="C764" s="7">
        <v>900226715</v>
      </c>
      <c r="D764" s="8">
        <v>44642.898055555554</v>
      </c>
      <c r="E764" s="8">
        <v>44660</v>
      </c>
      <c r="F764" s="7">
        <v>59100</v>
      </c>
      <c r="G764" s="7">
        <v>0</v>
      </c>
      <c r="H764" s="7">
        <v>0</v>
      </c>
      <c r="I764" s="7">
        <v>0</v>
      </c>
      <c r="J764" s="7">
        <v>0</v>
      </c>
      <c r="K764" s="7">
        <v>59100</v>
      </c>
    </row>
    <row r="765" spans="1:11" x14ac:dyDescent="0.25">
      <c r="A765" s="6">
        <v>48115</v>
      </c>
      <c r="B765" s="7" t="str">
        <f>"FEHF0000273947"</f>
        <v>FEHF0000273947</v>
      </c>
      <c r="C765" s="7">
        <v>900226715</v>
      </c>
      <c r="D765" s="8">
        <v>44643.390104166669</v>
      </c>
      <c r="E765" s="8">
        <v>44660</v>
      </c>
      <c r="F765" s="7">
        <v>51900</v>
      </c>
      <c r="G765" s="7">
        <v>0</v>
      </c>
      <c r="H765" s="7">
        <v>0</v>
      </c>
      <c r="I765" s="7">
        <v>0</v>
      </c>
      <c r="J765" s="7">
        <v>3700</v>
      </c>
      <c r="K765" s="7">
        <v>48200</v>
      </c>
    </row>
    <row r="766" spans="1:11" x14ac:dyDescent="0.25">
      <c r="A766" s="6">
        <v>48116</v>
      </c>
      <c r="B766" s="7" t="str">
        <f>"FEHF0000274076"</f>
        <v>FEHF0000274076</v>
      </c>
      <c r="C766" s="7">
        <v>900226715</v>
      </c>
      <c r="D766" s="8">
        <v>44643.527430555558</v>
      </c>
      <c r="E766" s="8">
        <v>44660</v>
      </c>
      <c r="F766" s="7">
        <v>164900</v>
      </c>
      <c r="G766" s="7">
        <v>0</v>
      </c>
      <c r="H766" s="7">
        <v>0</v>
      </c>
      <c r="I766" s="7">
        <v>0</v>
      </c>
      <c r="J766" s="7">
        <v>0</v>
      </c>
      <c r="K766" s="7">
        <v>164900</v>
      </c>
    </row>
    <row r="767" spans="1:11" x14ac:dyDescent="0.25">
      <c r="A767" s="6">
        <v>48117</v>
      </c>
      <c r="B767" s="7" t="str">
        <f>"FEHF0000274081"</f>
        <v>FEHF0000274081</v>
      </c>
      <c r="C767" s="7">
        <v>900226715</v>
      </c>
      <c r="D767" s="8">
        <v>44643.533032407409</v>
      </c>
      <c r="E767" s="8">
        <v>44660</v>
      </c>
      <c r="F767" s="7">
        <v>36000</v>
      </c>
      <c r="G767" s="7">
        <v>0</v>
      </c>
      <c r="H767" s="7">
        <v>0</v>
      </c>
      <c r="I767" s="7">
        <v>0</v>
      </c>
      <c r="J767" s="7">
        <v>0</v>
      </c>
      <c r="K767" s="7">
        <v>36000</v>
      </c>
    </row>
    <row r="768" spans="1:11" x14ac:dyDescent="0.25">
      <c r="A768" s="6">
        <v>48117</v>
      </c>
      <c r="B768" s="7" t="str">
        <f>"FEHF0000274094"</f>
        <v>FEHF0000274094</v>
      </c>
      <c r="C768" s="7">
        <v>900226715</v>
      </c>
      <c r="D768" s="8">
        <v>44643.553900462961</v>
      </c>
      <c r="E768" s="8">
        <v>44660</v>
      </c>
      <c r="F768" s="7">
        <v>36000</v>
      </c>
      <c r="G768" s="7">
        <v>0</v>
      </c>
      <c r="H768" s="7">
        <v>0</v>
      </c>
      <c r="I768" s="7">
        <v>0</v>
      </c>
      <c r="J768" s="7">
        <v>0</v>
      </c>
      <c r="K768" s="7">
        <v>36000</v>
      </c>
    </row>
    <row r="769" spans="1:11" x14ac:dyDescent="0.25">
      <c r="A769" s="6">
        <v>48117</v>
      </c>
      <c r="B769" s="7" t="str">
        <f>"FEHF0000274096"</f>
        <v>FEHF0000274096</v>
      </c>
      <c r="C769" s="7">
        <v>900226715</v>
      </c>
      <c r="D769" s="8">
        <v>44643.554710648146</v>
      </c>
      <c r="E769" s="8">
        <v>44660</v>
      </c>
      <c r="F769" s="7">
        <v>85500</v>
      </c>
      <c r="G769" s="7">
        <v>0</v>
      </c>
      <c r="H769" s="7">
        <v>0</v>
      </c>
      <c r="I769" s="7">
        <v>0</v>
      </c>
      <c r="J769" s="7">
        <v>0</v>
      </c>
      <c r="K769" s="7">
        <v>85500</v>
      </c>
    </row>
    <row r="770" spans="1:11" x14ac:dyDescent="0.25">
      <c r="A770" s="6">
        <v>48118</v>
      </c>
      <c r="B770" s="7" t="str">
        <f>"FEHF0000274184"</f>
        <v>FEHF0000274184</v>
      </c>
      <c r="C770" s="7">
        <v>900226715</v>
      </c>
      <c r="D770" s="8">
        <v>44643.690428240741</v>
      </c>
      <c r="E770" s="8">
        <v>44660</v>
      </c>
      <c r="F770" s="7">
        <v>237300</v>
      </c>
      <c r="G770" s="7">
        <v>0</v>
      </c>
      <c r="H770" s="7">
        <v>0</v>
      </c>
      <c r="I770" s="7">
        <v>0</v>
      </c>
      <c r="J770" s="7">
        <v>0</v>
      </c>
      <c r="K770" s="7">
        <v>237300</v>
      </c>
    </row>
    <row r="771" spans="1:11" x14ac:dyDescent="0.25">
      <c r="A771" s="6">
        <v>48117</v>
      </c>
      <c r="B771" s="7" t="str">
        <f>"FEHF0000274336"</f>
        <v>FEHF0000274336</v>
      </c>
      <c r="C771" s="7">
        <v>900226715</v>
      </c>
      <c r="D771" s="8">
        <v>44644.321539351855</v>
      </c>
      <c r="E771" s="8">
        <v>44660</v>
      </c>
      <c r="F771" s="7">
        <v>11100</v>
      </c>
      <c r="G771" s="7">
        <v>0</v>
      </c>
      <c r="H771" s="7">
        <v>0</v>
      </c>
      <c r="I771" s="7">
        <v>0</v>
      </c>
      <c r="J771" s="7">
        <v>0</v>
      </c>
      <c r="K771" s="7">
        <v>11100</v>
      </c>
    </row>
    <row r="772" spans="1:11" x14ac:dyDescent="0.25">
      <c r="A772" s="6">
        <v>48115</v>
      </c>
      <c r="B772" s="7" t="str">
        <f>"FEHF0000274370"</f>
        <v>FEHF0000274370</v>
      </c>
      <c r="C772" s="7">
        <v>900226715</v>
      </c>
      <c r="D772" s="8">
        <v>44644.343252314815</v>
      </c>
      <c r="E772" s="8">
        <v>44660</v>
      </c>
      <c r="F772" s="7">
        <v>79700</v>
      </c>
      <c r="G772" s="7">
        <v>0</v>
      </c>
      <c r="H772" s="7">
        <v>0</v>
      </c>
      <c r="I772" s="7">
        <v>0</v>
      </c>
      <c r="J772" s="7">
        <v>3700</v>
      </c>
      <c r="K772" s="7">
        <v>76000</v>
      </c>
    </row>
    <row r="773" spans="1:11" x14ac:dyDescent="0.25">
      <c r="A773" s="6">
        <v>48115</v>
      </c>
      <c r="B773" s="7" t="str">
        <f>"FEHF0000274574"</f>
        <v>FEHF0000274574</v>
      </c>
      <c r="C773" s="7">
        <v>900226715</v>
      </c>
      <c r="D773" s="8">
        <v>44644.54996527778</v>
      </c>
      <c r="E773" s="8">
        <v>44660</v>
      </c>
      <c r="F773" s="7">
        <v>36000</v>
      </c>
      <c r="G773" s="7">
        <v>0</v>
      </c>
      <c r="H773" s="7">
        <v>0</v>
      </c>
      <c r="I773" s="7">
        <v>0</v>
      </c>
      <c r="J773" s="7">
        <v>3700</v>
      </c>
      <c r="K773" s="7">
        <v>32300</v>
      </c>
    </row>
    <row r="774" spans="1:11" x14ac:dyDescent="0.25">
      <c r="A774" s="6">
        <v>48117</v>
      </c>
      <c r="B774" s="7" t="str">
        <f>"FEHF0000274660"</f>
        <v>FEHF0000274660</v>
      </c>
      <c r="C774" s="7">
        <v>900226715</v>
      </c>
      <c r="D774" s="8">
        <v>44644.655185185184</v>
      </c>
      <c r="E774" s="8">
        <v>44660</v>
      </c>
      <c r="F774" s="7">
        <v>23000</v>
      </c>
      <c r="G774" s="7">
        <v>0</v>
      </c>
      <c r="H774" s="7">
        <v>0</v>
      </c>
      <c r="I774" s="7">
        <v>0</v>
      </c>
      <c r="J774" s="7">
        <v>0</v>
      </c>
      <c r="K774" s="7">
        <v>23000</v>
      </c>
    </row>
    <row r="775" spans="1:11" x14ac:dyDescent="0.25">
      <c r="A775" s="6">
        <v>48118</v>
      </c>
      <c r="B775" s="7" t="str">
        <f>"FEHF0000274714"</f>
        <v>FEHF0000274714</v>
      </c>
      <c r="C775" s="7">
        <v>900226715</v>
      </c>
      <c r="D775" s="8">
        <v>44644.712777777779</v>
      </c>
      <c r="E775" s="8">
        <v>44660</v>
      </c>
      <c r="F775" s="7">
        <v>3094362</v>
      </c>
      <c r="G775" s="7">
        <v>0</v>
      </c>
      <c r="H775" s="7">
        <v>0</v>
      </c>
      <c r="I775" s="7">
        <v>0</v>
      </c>
      <c r="J775" s="7">
        <v>0</v>
      </c>
      <c r="K775" s="7">
        <v>3094362</v>
      </c>
    </row>
    <row r="776" spans="1:11" x14ac:dyDescent="0.25">
      <c r="A776" s="6">
        <v>48115</v>
      </c>
      <c r="B776" s="7" t="str">
        <f>"FEHF0000274878"</f>
        <v>FEHF0000274878</v>
      </c>
      <c r="C776" s="7">
        <v>900226715</v>
      </c>
      <c r="D776" s="8">
        <v>44645.294803240744</v>
      </c>
      <c r="E776" s="8">
        <v>44660</v>
      </c>
      <c r="F776" s="7">
        <v>896300</v>
      </c>
      <c r="G776" s="7">
        <v>0</v>
      </c>
      <c r="H776" s="7">
        <v>0</v>
      </c>
      <c r="I776" s="7">
        <v>0</v>
      </c>
      <c r="J776" s="7">
        <v>0</v>
      </c>
      <c r="K776" s="7">
        <v>896300</v>
      </c>
    </row>
    <row r="777" spans="1:11" x14ac:dyDescent="0.25">
      <c r="A777" s="6">
        <v>48115</v>
      </c>
      <c r="B777" s="7" t="str">
        <f>"FEHF0000275120"</f>
        <v>FEHF0000275120</v>
      </c>
      <c r="C777" s="7">
        <v>900226715</v>
      </c>
      <c r="D777" s="8">
        <v>44645.465439814812</v>
      </c>
      <c r="E777" s="8">
        <v>44660</v>
      </c>
      <c r="F777" s="7">
        <v>34700</v>
      </c>
      <c r="G777" s="7">
        <v>0</v>
      </c>
      <c r="H777" s="7">
        <v>0</v>
      </c>
      <c r="I777" s="7">
        <v>0</v>
      </c>
      <c r="J777" s="7">
        <v>3700</v>
      </c>
      <c r="K777" s="7">
        <v>31000</v>
      </c>
    </row>
    <row r="778" spans="1:11" x14ac:dyDescent="0.25">
      <c r="A778" s="6">
        <v>48116</v>
      </c>
      <c r="B778" s="7" t="str">
        <f>"FEHF0000275142"</f>
        <v>FEHF0000275142</v>
      </c>
      <c r="C778" s="7">
        <v>900226715</v>
      </c>
      <c r="D778" s="8">
        <v>44645.481435185182</v>
      </c>
      <c r="E778" s="8">
        <v>44660</v>
      </c>
      <c r="F778" s="7">
        <v>112700</v>
      </c>
      <c r="G778" s="7">
        <v>0</v>
      </c>
      <c r="H778" s="7">
        <v>0</v>
      </c>
      <c r="I778" s="7">
        <v>0</v>
      </c>
      <c r="J778" s="7">
        <v>0</v>
      </c>
      <c r="K778" s="7">
        <v>112700</v>
      </c>
    </row>
    <row r="779" spans="1:11" x14ac:dyDescent="0.25">
      <c r="A779" s="6">
        <v>48118</v>
      </c>
      <c r="B779" s="7" t="str">
        <f>"FEHF0000275195"</f>
        <v>FEHF0000275195</v>
      </c>
      <c r="C779" s="7">
        <v>900226715</v>
      </c>
      <c r="D779" s="8">
        <v>44645.534212962964</v>
      </c>
      <c r="E779" s="8">
        <v>44660</v>
      </c>
      <c r="F779" s="7">
        <v>5029818</v>
      </c>
      <c r="G779" s="7">
        <v>0</v>
      </c>
      <c r="H779" s="7">
        <v>0</v>
      </c>
      <c r="I779" s="7">
        <v>0</v>
      </c>
      <c r="J779" s="7">
        <v>0</v>
      </c>
      <c r="K779" s="7">
        <v>5029818</v>
      </c>
    </row>
    <row r="780" spans="1:11" x14ac:dyDescent="0.25">
      <c r="A780" s="6">
        <v>48118</v>
      </c>
      <c r="B780" s="7" t="str">
        <f>"FEHF0000275383"</f>
        <v>FEHF0000275383</v>
      </c>
      <c r="C780" s="7">
        <v>900226715</v>
      </c>
      <c r="D780" s="8">
        <v>44646.079675925925</v>
      </c>
      <c r="E780" s="8">
        <v>44660</v>
      </c>
      <c r="F780" s="7">
        <v>71911</v>
      </c>
      <c r="G780" s="7">
        <v>0</v>
      </c>
      <c r="H780" s="7">
        <v>0</v>
      </c>
      <c r="I780" s="7">
        <v>0</v>
      </c>
      <c r="J780" s="7">
        <v>0</v>
      </c>
      <c r="K780" s="7">
        <v>71911</v>
      </c>
    </row>
    <row r="781" spans="1:11" x14ac:dyDescent="0.25">
      <c r="A781" s="6">
        <v>48116</v>
      </c>
      <c r="B781" s="7" t="str">
        <f>"FEHF0000275391"</f>
        <v>FEHF0000275391</v>
      </c>
      <c r="C781" s="7">
        <v>900226715</v>
      </c>
      <c r="D781" s="8">
        <v>44646.125601851854</v>
      </c>
      <c r="E781" s="8">
        <v>44660</v>
      </c>
      <c r="F781" s="7">
        <v>73575</v>
      </c>
      <c r="G781" s="7">
        <v>0</v>
      </c>
      <c r="H781" s="7">
        <v>0</v>
      </c>
      <c r="I781" s="7">
        <v>0</v>
      </c>
      <c r="J781" s="7">
        <v>0</v>
      </c>
      <c r="K781" s="7">
        <v>73575</v>
      </c>
    </row>
    <row r="782" spans="1:11" x14ac:dyDescent="0.25">
      <c r="A782" s="6">
        <v>48118</v>
      </c>
      <c r="B782" s="7" t="str">
        <f>"FEHF0000275744"</f>
        <v>FEHF0000275744</v>
      </c>
      <c r="C782" s="7">
        <v>900226715</v>
      </c>
      <c r="D782" s="8">
        <v>44647.665891203702</v>
      </c>
      <c r="E782" s="8">
        <v>44660</v>
      </c>
      <c r="F782" s="7">
        <v>59100</v>
      </c>
      <c r="G782" s="7">
        <v>0</v>
      </c>
      <c r="H782" s="7">
        <v>0</v>
      </c>
      <c r="I782" s="7">
        <v>0</v>
      </c>
      <c r="J782" s="7">
        <v>0</v>
      </c>
      <c r="K782" s="7">
        <v>59100</v>
      </c>
    </row>
    <row r="783" spans="1:11" x14ac:dyDescent="0.25">
      <c r="A783" s="6">
        <v>48117</v>
      </c>
      <c r="B783" s="7" t="str">
        <f>"FEHF0000275843"</f>
        <v>FEHF0000275843</v>
      </c>
      <c r="C783" s="7">
        <v>900226715</v>
      </c>
      <c r="D783" s="8">
        <v>44648.32402777778</v>
      </c>
      <c r="E783" s="8">
        <v>44660</v>
      </c>
      <c r="F783" s="7">
        <v>30800</v>
      </c>
      <c r="G783" s="7">
        <v>0</v>
      </c>
      <c r="H783" s="7">
        <v>0</v>
      </c>
      <c r="I783" s="7">
        <v>0</v>
      </c>
      <c r="J783" s="7">
        <v>0</v>
      </c>
      <c r="K783" s="7">
        <v>30800</v>
      </c>
    </row>
    <row r="784" spans="1:11" x14ac:dyDescent="0.25">
      <c r="A784" s="6">
        <v>48117</v>
      </c>
      <c r="B784" s="7" t="str">
        <f>"FEHF0000275850"</f>
        <v>FEHF0000275850</v>
      </c>
      <c r="C784" s="7">
        <v>900226715</v>
      </c>
      <c r="D784" s="8">
        <v>44648.326631944445</v>
      </c>
      <c r="E784" s="8">
        <v>44660</v>
      </c>
      <c r="F784" s="7">
        <v>48600</v>
      </c>
      <c r="G784" s="7">
        <v>0</v>
      </c>
      <c r="H784" s="7">
        <v>0</v>
      </c>
      <c r="I784" s="7">
        <v>0</v>
      </c>
      <c r="J784" s="7">
        <v>0</v>
      </c>
      <c r="K784" s="7">
        <v>48600</v>
      </c>
    </row>
    <row r="785" spans="1:11" x14ac:dyDescent="0.25">
      <c r="A785" s="6">
        <v>48117</v>
      </c>
      <c r="B785" s="7" t="str">
        <f>"FEHF0000275907"</f>
        <v>FEHF0000275907</v>
      </c>
      <c r="C785" s="7">
        <v>900226715</v>
      </c>
      <c r="D785" s="8">
        <v>44648.369340277779</v>
      </c>
      <c r="E785" s="8">
        <v>44660</v>
      </c>
      <c r="F785" s="7">
        <v>11100</v>
      </c>
      <c r="G785" s="7">
        <v>0</v>
      </c>
      <c r="H785" s="7">
        <v>0</v>
      </c>
      <c r="I785" s="7">
        <v>0</v>
      </c>
      <c r="J785" s="7">
        <v>0</v>
      </c>
      <c r="K785" s="7">
        <v>11100</v>
      </c>
    </row>
    <row r="786" spans="1:11" x14ac:dyDescent="0.25">
      <c r="A786" s="6">
        <v>48117</v>
      </c>
      <c r="B786" s="7" t="str">
        <f>"FEHF0000275960"</f>
        <v>FEHF0000275960</v>
      </c>
      <c r="C786" s="7">
        <v>900226715</v>
      </c>
      <c r="D786" s="8">
        <v>44648.415567129632</v>
      </c>
      <c r="E786" s="8">
        <v>44660</v>
      </c>
      <c r="F786" s="7">
        <v>51900</v>
      </c>
      <c r="G786" s="7">
        <v>0</v>
      </c>
      <c r="H786" s="7">
        <v>0</v>
      </c>
      <c r="I786" s="7">
        <v>0</v>
      </c>
      <c r="J786" s="7">
        <v>0</v>
      </c>
      <c r="K786" s="7">
        <v>51900</v>
      </c>
    </row>
    <row r="787" spans="1:11" x14ac:dyDescent="0.25">
      <c r="A787" s="6">
        <v>48118</v>
      </c>
      <c r="B787" s="7" t="str">
        <f>"FEHF0000276068"</f>
        <v>FEHF0000276068</v>
      </c>
      <c r="C787" s="7">
        <v>900226715</v>
      </c>
      <c r="D787" s="8">
        <v>44648.503645833334</v>
      </c>
      <c r="E787" s="8">
        <v>44660</v>
      </c>
      <c r="F787" s="7">
        <v>313100</v>
      </c>
      <c r="G787" s="7">
        <v>0</v>
      </c>
      <c r="H787" s="7">
        <v>0</v>
      </c>
      <c r="I787" s="7">
        <v>0</v>
      </c>
      <c r="J787" s="7">
        <v>0</v>
      </c>
      <c r="K787" s="7">
        <v>313100</v>
      </c>
    </row>
    <row r="788" spans="1:11" x14ac:dyDescent="0.25">
      <c r="A788" s="6">
        <v>48116</v>
      </c>
      <c r="B788" s="7" t="str">
        <f>"FEHF0000276155"</f>
        <v>FEHF0000276155</v>
      </c>
      <c r="C788" s="7">
        <v>900226715</v>
      </c>
      <c r="D788" s="8">
        <v>44648.584178240744</v>
      </c>
      <c r="E788" s="8">
        <v>44660</v>
      </c>
      <c r="F788" s="7">
        <v>476526</v>
      </c>
      <c r="G788" s="7">
        <v>0</v>
      </c>
      <c r="H788" s="7">
        <v>0</v>
      </c>
      <c r="I788" s="7">
        <v>0</v>
      </c>
      <c r="J788" s="7">
        <v>0</v>
      </c>
      <c r="K788" s="7">
        <v>476526</v>
      </c>
    </row>
    <row r="789" spans="1:11" x14ac:dyDescent="0.25">
      <c r="A789" s="6">
        <v>48115</v>
      </c>
      <c r="B789" s="7" t="str">
        <f>"FEHF0000276201"</f>
        <v>FEHF0000276201</v>
      </c>
      <c r="C789" s="7">
        <v>900226715</v>
      </c>
      <c r="D789" s="8">
        <v>44648.621215277781</v>
      </c>
      <c r="E789" s="8">
        <v>44660</v>
      </c>
      <c r="F789" s="7">
        <v>24600</v>
      </c>
      <c r="G789" s="7">
        <v>0</v>
      </c>
      <c r="H789" s="7">
        <v>0</v>
      </c>
      <c r="I789" s="7">
        <v>0</v>
      </c>
      <c r="J789" s="7">
        <v>3700</v>
      </c>
      <c r="K789" s="7">
        <v>20900</v>
      </c>
    </row>
    <row r="790" spans="1:11" x14ac:dyDescent="0.25">
      <c r="A790" s="6">
        <v>48117</v>
      </c>
      <c r="B790" s="7" t="str">
        <f>"FEHF0000276209"</f>
        <v>FEHF0000276209</v>
      </c>
      <c r="C790" s="7">
        <v>900226715</v>
      </c>
      <c r="D790" s="8">
        <v>44648.623194444444</v>
      </c>
      <c r="E790" s="8">
        <v>44660</v>
      </c>
      <c r="F790" s="7">
        <v>34700</v>
      </c>
      <c r="G790" s="7">
        <v>0</v>
      </c>
      <c r="H790" s="7">
        <v>0</v>
      </c>
      <c r="I790" s="7">
        <v>3500</v>
      </c>
      <c r="J790" s="7">
        <v>0</v>
      </c>
      <c r="K790" s="7">
        <v>31200</v>
      </c>
    </row>
    <row r="791" spans="1:11" x14ac:dyDescent="0.25">
      <c r="A791" s="6">
        <v>48116</v>
      </c>
      <c r="B791" s="7" t="str">
        <f>"FEHF0000276233"</f>
        <v>FEHF0000276233</v>
      </c>
      <c r="C791" s="7">
        <v>900226715</v>
      </c>
      <c r="D791" s="8">
        <v>44648.651944444442</v>
      </c>
      <c r="E791" s="8">
        <v>44660</v>
      </c>
      <c r="F791" s="7">
        <v>276472</v>
      </c>
      <c r="G791" s="7">
        <v>0</v>
      </c>
      <c r="H791" s="7">
        <v>0</v>
      </c>
      <c r="I791" s="7">
        <v>0</v>
      </c>
      <c r="J791" s="7">
        <v>0</v>
      </c>
      <c r="K791" s="7">
        <v>276472</v>
      </c>
    </row>
    <row r="792" spans="1:11" x14ac:dyDescent="0.25">
      <c r="A792" s="6">
        <v>48208</v>
      </c>
      <c r="B792" s="7" t="str">
        <f>"FEHF0000276235"</f>
        <v>FEHF0000276235</v>
      </c>
      <c r="C792" s="7">
        <v>900226715</v>
      </c>
      <c r="D792" s="8">
        <v>44648.653402777774</v>
      </c>
      <c r="E792" s="8">
        <v>44660</v>
      </c>
      <c r="F792" s="7">
        <v>80832</v>
      </c>
      <c r="G792" s="7">
        <v>0</v>
      </c>
      <c r="H792" s="7">
        <v>0</v>
      </c>
      <c r="I792" s="7">
        <v>0</v>
      </c>
      <c r="J792" s="7">
        <v>0</v>
      </c>
      <c r="K792" s="7">
        <v>80832</v>
      </c>
    </row>
    <row r="793" spans="1:11" x14ac:dyDescent="0.25">
      <c r="A793" s="6">
        <v>48116</v>
      </c>
      <c r="B793" s="7" t="str">
        <f>"FEHF0000276240"</f>
        <v>FEHF0000276240</v>
      </c>
      <c r="C793" s="7">
        <v>900226715</v>
      </c>
      <c r="D793" s="8">
        <v>44648.656423611108</v>
      </c>
      <c r="E793" s="8">
        <v>44660</v>
      </c>
      <c r="F793" s="7">
        <v>125824</v>
      </c>
      <c r="G793" s="7">
        <v>0</v>
      </c>
      <c r="H793" s="7">
        <v>0</v>
      </c>
      <c r="I793" s="7">
        <v>0</v>
      </c>
      <c r="J793" s="7">
        <v>0</v>
      </c>
      <c r="K793" s="7">
        <v>125824</v>
      </c>
    </row>
    <row r="794" spans="1:11" x14ac:dyDescent="0.25">
      <c r="A794" s="6">
        <v>48116</v>
      </c>
      <c r="B794" s="7" t="str">
        <f>"FEHF0000276387"</f>
        <v>FEHF0000276387</v>
      </c>
      <c r="C794" s="7">
        <v>900226715</v>
      </c>
      <c r="D794" s="8">
        <v>44649.139351851853</v>
      </c>
      <c r="E794" s="8">
        <v>44660</v>
      </c>
      <c r="F794" s="7">
        <v>60638</v>
      </c>
      <c r="G794" s="7">
        <v>0</v>
      </c>
      <c r="H794" s="7">
        <v>0</v>
      </c>
      <c r="I794" s="7">
        <v>0</v>
      </c>
      <c r="J794" s="7">
        <v>0</v>
      </c>
      <c r="K794" s="7">
        <v>60638</v>
      </c>
    </row>
    <row r="795" spans="1:11" x14ac:dyDescent="0.25">
      <c r="A795" s="6">
        <v>48116</v>
      </c>
      <c r="B795" s="7" t="str">
        <f>"FEHF0000276393"</f>
        <v>FEHF0000276393</v>
      </c>
      <c r="C795" s="7">
        <v>900226715</v>
      </c>
      <c r="D795" s="8">
        <v>44649.171064814815</v>
      </c>
      <c r="E795" s="8">
        <v>44660</v>
      </c>
      <c r="F795" s="7">
        <v>951845</v>
      </c>
      <c r="G795" s="7">
        <v>0</v>
      </c>
      <c r="H795" s="7">
        <v>0</v>
      </c>
      <c r="I795" s="7">
        <v>0</v>
      </c>
      <c r="J795" s="7">
        <v>0</v>
      </c>
      <c r="K795" s="7">
        <v>951845</v>
      </c>
    </row>
    <row r="796" spans="1:11" x14ac:dyDescent="0.25">
      <c r="A796" s="6">
        <v>48116</v>
      </c>
      <c r="B796" s="7" t="str">
        <f>"FEHF0000276398"</f>
        <v>FEHF0000276398</v>
      </c>
      <c r="C796" s="7">
        <v>900226715</v>
      </c>
      <c r="D796" s="8">
        <v>44649.185162037036</v>
      </c>
      <c r="E796" s="8">
        <v>44660</v>
      </c>
      <c r="F796" s="7">
        <v>139342</v>
      </c>
      <c r="G796" s="7">
        <v>0</v>
      </c>
      <c r="H796" s="7">
        <v>0</v>
      </c>
      <c r="I796" s="7">
        <v>0</v>
      </c>
      <c r="J796" s="7">
        <v>0</v>
      </c>
      <c r="K796" s="7">
        <v>139342</v>
      </c>
    </row>
    <row r="797" spans="1:11" x14ac:dyDescent="0.25">
      <c r="A797" s="6">
        <v>48118</v>
      </c>
      <c r="B797" s="7" t="str">
        <f>"FEHF0000276418"</f>
        <v>FEHF0000276418</v>
      </c>
      <c r="C797" s="7">
        <v>900226715</v>
      </c>
      <c r="D797" s="8">
        <v>44649.295266203706</v>
      </c>
      <c r="E797" s="8">
        <v>44660</v>
      </c>
      <c r="F797" s="7">
        <v>114000</v>
      </c>
      <c r="G797" s="7">
        <v>0</v>
      </c>
      <c r="H797" s="7">
        <v>0</v>
      </c>
      <c r="I797" s="7">
        <v>0</v>
      </c>
      <c r="J797" s="7">
        <v>0</v>
      </c>
      <c r="K797" s="7">
        <v>114000</v>
      </c>
    </row>
    <row r="798" spans="1:11" x14ac:dyDescent="0.25">
      <c r="A798" s="6">
        <v>48117</v>
      </c>
      <c r="B798" s="7" t="str">
        <f>"FEHF0000276442"</f>
        <v>FEHF0000276442</v>
      </c>
      <c r="C798" s="7">
        <v>900226715</v>
      </c>
      <c r="D798" s="8">
        <v>44649.320532407408</v>
      </c>
      <c r="E798" s="8">
        <v>44660</v>
      </c>
      <c r="F798" s="7">
        <v>890200</v>
      </c>
      <c r="G798" s="7">
        <v>0</v>
      </c>
      <c r="H798" s="7">
        <v>0</v>
      </c>
      <c r="I798" s="7">
        <v>0</v>
      </c>
      <c r="J798" s="7">
        <v>0</v>
      </c>
      <c r="K798" s="7">
        <v>890200</v>
      </c>
    </row>
    <row r="799" spans="1:11" x14ac:dyDescent="0.25">
      <c r="A799" s="6">
        <v>48115</v>
      </c>
      <c r="B799" s="7" t="str">
        <f>"FEHF0000276475"</f>
        <v>FEHF0000276475</v>
      </c>
      <c r="C799" s="7">
        <v>900226715</v>
      </c>
      <c r="D799" s="8">
        <v>44649.345937500002</v>
      </c>
      <c r="E799" s="8">
        <v>44660</v>
      </c>
      <c r="F799" s="7">
        <v>24600</v>
      </c>
      <c r="G799" s="7">
        <v>0</v>
      </c>
      <c r="H799" s="7">
        <v>0</v>
      </c>
      <c r="I799" s="7">
        <v>0</v>
      </c>
      <c r="J799" s="7">
        <v>3700</v>
      </c>
      <c r="K799" s="7">
        <v>20900</v>
      </c>
    </row>
    <row r="800" spans="1:11" x14ac:dyDescent="0.25">
      <c r="A800" s="6">
        <v>48117</v>
      </c>
      <c r="B800" s="7" t="str">
        <f>"FEHF0000276740"</f>
        <v>FEHF0000276740</v>
      </c>
      <c r="C800" s="7">
        <v>900226715</v>
      </c>
      <c r="D800" s="8">
        <v>44649.630486111113</v>
      </c>
      <c r="E800" s="8">
        <v>44660</v>
      </c>
      <c r="F800" s="7">
        <v>34700</v>
      </c>
      <c r="G800" s="7">
        <v>0</v>
      </c>
      <c r="H800" s="7">
        <v>0</v>
      </c>
      <c r="I800" s="7">
        <v>0</v>
      </c>
      <c r="J800" s="7">
        <v>3500</v>
      </c>
      <c r="K800" s="7">
        <v>31200</v>
      </c>
    </row>
    <row r="801" spans="1:11" x14ac:dyDescent="0.25">
      <c r="A801" s="6">
        <v>48116</v>
      </c>
      <c r="B801" s="7" t="str">
        <f>"FEHF0000276808"</f>
        <v>FEHF0000276808</v>
      </c>
      <c r="C801" s="7">
        <v>900226715</v>
      </c>
      <c r="D801" s="8">
        <v>44649.757881944446</v>
      </c>
      <c r="E801" s="8">
        <v>44660</v>
      </c>
      <c r="F801" s="7">
        <v>121875</v>
      </c>
      <c r="G801" s="7">
        <v>0</v>
      </c>
      <c r="H801" s="7">
        <v>0</v>
      </c>
      <c r="I801" s="7">
        <v>0</v>
      </c>
      <c r="J801" s="7">
        <v>0</v>
      </c>
      <c r="K801" s="7">
        <v>121875</v>
      </c>
    </row>
    <row r="802" spans="1:11" x14ac:dyDescent="0.25">
      <c r="A802" s="6">
        <v>48118</v>
      </c>
      <c r="B802" s="7" t="str">
        <f>"FEHF0000276830"</f>
        <v>FEHF0000276830</v>
      </c>
      <c r="C802" s="7">
        <v>900226715</v>
      </c>
      <c r="D802" s="8">
        <v>44649.837245370371</v>
      </c>
      <c r="E802" s="8">
        <v>44660</v>
      </c>
      <c r="F802" s="7">
        <v>227372</v>
      </c>
      <c r="G802" s="7">
        <v>0</v>
      </c>
      <c r="H802" s="7">
        <v>0</v>
      </c>
      <c r="I802" s="7">
        <v>0</v>
      </c>
      <c r="J802" s="7">
        <v>0</v>
      </c>
      <c r="K802" s="7">
        <v>227372</v>
      </c>
    </row>
    <row r="803" spans="1:11" x14ac:dyDescent="0.25">
      <c r="A803" s="6">
        <v>48115</v>
      </c>
      <c r="B803" s="7" t="str">
        <f>"FEHF0000276888"</f>
        <v>FEHF0000276888</v>
      </c>
      <c r="C803" s="7">
        <v>900226715</v>
      </c>
      <c r="D803" s="8">
        <v>44650.291400462964</v>
      </c>
      <c r="E803" s="8">
        <v>44660</v>
      </c>
      <c r="F803" s="7">
        <v>294700</v>
      </c>
      <c r="G803" s="7">
        <v>0</v>
      </c>
      <c r="H803" s="7">
        <v>0</v>
      </c>
      <c r="I803" s="7">
        <v>0</v>
      </c>
      <c r="J803" s="7">
        <v>3700</v>
      </c>
      <c r="K803" s="7">
        <v>291000</v>
      </c>
    </row>
    <row r="804" spans="1:11" x14ac:dyDescent="0.25">
      <c r="A804" s="6">
        <v>48117</v>
      </c>
      <c r="B804" s="7" t="str">
        <f>"FEHF0000276989"</f>
        <v>FEHF0000276989</v>
      </c>
      <c r="C804" s="7">
        <v>900226715</v>
      </c>
      <c r="D804" s="8">
        <v>44650.362442129626</v>
      </c>
      <c r="E804" s="8">
        <v>44660</v>
      </c>
      <c r="F804" s="7">
        <v>295200</v>
      </c>
      <c r="G804" s="7">
        <v>0</v>
      </c>
      <c r="H804" s="7">
        <v>0</v>
      </c>
      <c r="I804" s="7">
        <v>0</v>
      </c>
      <c r="J804" s="7">
        <v>0</v>
      </c>
      <c r="K804" s="7">
        <v>295200</v>
      </c>
    </row>
    <row r="805" spans="1:11" x14ac:dyDescent="0.25">
      <c r="A805" s="6">
        <v>48117</v>
      </c>
      <c r="B805" s="7" t="str">
        <f>"FEHF0000277016"</f>
        <v>FEHF0000277016</v>
      </c>
      <c r="C805" s="7">
        <v>900226715</v>
      </c>
      <c r="D805" s="8">
        <v>44650.374930555554</v>
      </c>
      <c r="E805" s="8">
        <v>44660</v>
      </c>
      <c r="F805" s="7">
        <v>51900</v>
      </c>
      <c r="G805" s="7">
        <v>0</v>
      </c>
      <c r="H805" s="7">
        <v>0</v>
      </c>
      <c r="I805" s="7">
        <v>0</v>
      </c>
      <c r="J805" s="7">
        <v>0</v>
      </c>
      <c r="K805" s="7">
        <v>51900</v>
      </c>
    </row>
    <row r="806" spans="1:11" x14ac:dyDescent="0.25">
      <c r="A806" s="6">
        <v>48118</v>
      </c>
      <c r="B806" s="7" t="str">
        <f>"FEHF0000277254"</f>
        <v>FEHF0000277254</v>
      </c>
      <c r="C806" s="7">
        <v>900226715</v>
      </c>
      <c r="D806" s="8">
        <v>44650.594224537039</v>
      </c>
      <c r="E806" s="8">
        <v>44660</v>
      </c>
      <c r="F806" s="7">
        <v>124400</v>
      </c>
      <c r="G806" s="7">
        <v>0</v>
      </c>
      <c r="H806" s="7">
        <v>0</v>
      </c>
      <c r="I806" s="7">
        <v>0</v>
      </c>
      <c r="J806" s="7">
        <v>0</v>
      </c>
      <c r="K806" s="7">
        <v>124400</v>
      </c>
    </row>
    <row r="807" spans="1:11" x14ac:dyDescent="0.25">
      <c r="A807" s="6">
        <v>48115</v>
      </c>
      <c r="B807" s="7" t="str">
        <f>"FEHF0000277463"</f>
        <v>FEHF0000277463</v>
      </c>
      <c r="C807" s="7">
        <v>900226715</v>
      </c>
      <c r="D807" s="8">
        <v>44651.310925925929</v>
      </c>
      <c r="E807" s="8">
        <v>44660</v>
      </c>
      <c r="F807" s="7">
        <v>51900</v>
      </c>
      <c r="G807" s="7">
        <v>0</v>
      </c>
      <c r="H807" s="7">
        <v>0</v>
      </c>
      <c r="I807" s="7">
        <v>0</v>
      </c>
      <c r="J807" s="7">
        <v>3700</v>
      </c>
      <c r="K807" s="7">
        <v>48200</v>
      </c>
    </row>
    <row r="808" spans="1:11" x14ac:dyDescent="0.25">
      <c r="A808" s="6">
        <v>48116</v>
      </c>
      <c r="B808" s="7" t="str">
        <f>"FEHF0000277849"</f>
        <v>FEHF0000277849</v>
      </c>
      <c r="C808" s="7">
        <v>900226715</v>
      </c>
      <c r="D808" s="8">
        <v>44651.695821759262</v>
      </c>
      <c r="E808" s="8">
        <v>44660</v>
      </c>
      <c r="F808" s="7">
        <v>1735891</v>
      </c>
      <c r="G808" s="7">
        <v>0</v>
      </c>
      <c r="H808" s="7">
        <v>0</v>
      </c>
      <c r="I808" s="7">
        <v>0</v>
      </c>
      <c r="J808" s="7">
        <v>0</v>
      </c>
      <c r="K808" s="7">
        <v>1735891</v>
      </c>
    </row>
    <row r="809" spans="1:11" x14ac:dyDescent="0.25">
      <c r="A809" s="6">
        <v>48118</v>
      </c>
      <c r="B809" s="7" t="str">
        <f>"FEHF0000277871"</f>
        <v>FEHF0000277871</v>
      </c>
      <c r="C809" s="7">
        <v>900226715</v>
      </c>
      <c r="D809" s="8">
        <v>44651.724166666667</v>
      </c>
      <c r="E809" s="8">
        <v>44660</v>
      </c>
      <c r="F809" s="7">
        <v>237300</v>
      </c>
      <c r="G809" s="7">
        <v>0</v>
      </c>
      <c r="H809" s="7">
        <v>0</v>
      </c>
      <c r="I809" s="7">
        <v>0</v>
      </c>
      <c r="J809" s="7">
        <v>0</v>
      </c>
      <c r="K809" s="7">
        <v>237300</v>
      </c>
    </row>
  </sheetData>
  <mergeCells count="1">
    <mergeCell ref="A1: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1379"/>
  <sheetViews>
    <sheetView topLeftCell="C1" workbookViewId="0">
      <pane ySplit="1" topLeftCell="A743" activePane="bottomLeft" state="frozen"/>
      <selection pane="bottomLeft" activeCell="F772" sqref="F772"/>
    </sheetView>
  </sheetViews>
  <sheetFormatPr baseColWidth="10" defaultRowHeight="15" x14ac:dyDescent="0.25"/>
  <cols>
    <col min="1" max="1" width="27.140625" customWidth="1"/>
    <col min="2" max="2" width="11.42578125" customWidth="1"/>
    <col min="3" max="3" width="14.42578125" customWidth="1"/>
    <col min="4" max="4" width="14.140625" bestFit="1" customWidth="1"/>
    <col min="10" max="10" width="16.28515625" customWidth="1"/>
    <col min="12" max="12" width="18.42578125" customWidth="1"/>
    <col min="15" max="15" width="16.5703125" customWidth="1"/>
    <col min="17" max="17" width="24.140625" customWidth="1"/>
    <col min="20" max="20" width="16.140625" customWidth="1"/>
  </cols>
  <sheetData>
    <row r="1" spans="1:21" s="19" customFormat="1" ht="46.5" customHeight="1" x14ac:dyDescent="0.2">
      <c r="A1" s="10" t="s">
        <v>12</v>
      </c>
      <c r="B1" s="10" t="s">
        <v>13</v>
      </c>
      <c r="C1" s="11" t="s">
        <v>14</v>
      </c>
      <c r="D1" s="12" t="s">
        <v>1</v>
      </c>
      <c r="E1" s="12"/>
      <c r="F1" s="12"/>
      <c r="G1" s="12"/>
      <c r="H1" s="12"/>
      <c r="I1" s="13" t="s">
        <v>16</v>
      </c>
      <c r="J1" s="13" t="s">
        <v>17</v>
      </c>
      <c r="K1" s="14" t="s">
        <v>18</v>
      </c>
      <c r="L1" s="14" t="s">
        <v>19</v>
      </c>
      <c r="M1" s="14" t="s">
        <v>20</v>
      </c>
      <c r="N1" s="14" t="s">
        <v>21</v>
      </c>
      <c r="O1" s="14" t="s">
        <v>15</v>
      </c>
      <c r="P1" s="14" t="s">
        <v>22</v>
      </c>
      <c r="Q1" s="15" t="s">
        <v>23</v>
      </c>
      <c r="R1" s="15" t="s">
        <v>24</v>
      </c>
      <c r="S1" s="16" t="s">
        <v>25</v>
      </c>
      <c r="T1" s="17" t="s">
        <v>26</v>
      </c>
      <c r="U1" s="18" t="s">
        <v>27</v>
      </c>
    </row>
    <row r="2" spans="1:21" x14ac:dyDescent="0.25">
      <c r="A2" s="7" t="s">
        <v>3204</v>
      </c>
      <c r="B2" s="8">
        <v>43131.016446759262</v>
      </c>
      <c r="C2" s="8">
        <v>43147</v>
      </c>
      <c r="D2" s="9">
        <v>79118</v>
      </c>
      <c r="E2" s="7" t="e">
        <f>VLOOKUP(A2,DEVOLUCIONES!A$1:A$231,1,0)</f>
        <v>#N/A</v>
      </c>
      <c r="F2" s="7" t="str">
        <f>VLOOKUP(A2,'GLOSAS X CONCILIAR'!$A$1:$A$37,1,0)</f>
        <v>HSRF3485164</v>
      </c>
      <c r="G2" s="7" t="str">
        <f>VLOOKUP(A2,'TODAS LAS P'!A:A,1,0)</f>
        <v>HSRF3485164</v>
      </c>
      <c r="H2" s="7" t="e">
        <f>VLOOKUP(A2,PAGOS!A36:$A$1553,1,0)</f>
        <v>#N/A</v>
      </c>
      <c r="I2" s="40"/>
      <c r="J2" s="40"/>
      <c r="K2" s="40"/>
      <c r="L2" s="40"/>
      <c r="M2" s="40"/>
      <c r="N2" s="40">
        <f>VLOOKUP(A2,'GLOSAS X CONCILIAR'!A$1:C$37,3,0)</f>
        <v>79118</v>
      </c>
      <c r="O2" s="40"/>
      <c r="P2" s="40"/>
      <c r="Q2" s="7"/>
      <c r="R2" s="7"/>
      <c r="S2" s="7"/>
      <c r="T2" s="35">
        <f>D2-SUM(I2:Q2)</f>
        <v>0</v>
      </c>
      <c r="U2" s="7"/>
    </row>
    <row r="3" spans="1:21" x14ac:dyDescent="0.25">
      <c r="A3" s="7" t="s">
        <v>3205</v>
      </c>
      <c r="B3" s="8">
        <v>43316.233368055553</v>
      </c>
      <c r="C3" s="8">
        <v>43353</v>
      </c>
      <c r="D3" s="9">
        <v>87652</v>
      </c>
      <c r="E3" s="7" t="e">
        <f>VLOOKUP(A3,DEVOLUCIONES!A$1:A$231,1,0)</f>
        <v>#N/A</v>
      </c>
      <c r="F3" s="7" t="e">
        <f>VLOOKUP(A3,'GLOSAS X CONCILIAR'!$A$1:$A$37,1,0)</f>
        <v>#N/A</v>
      </c>
      <c r="G3" s="7" t="str">
        <f>VLOOKUP(A3,'TODAS LAS P'!A:A,1,0)</f>
        <v>HSRF3594243</v>
      </c>
      <c r="H3" s="7" t="e">
        <f>VLOOKUP(A3,PAGOS!A37:$A$1553,1,0)</f>
        <v>#N/A</v>
      </c>
      <c r="I3" s="40"/>
      <c r="J3" s="40"/>
      <c r="K3" s="40"/>
      <c r="L3" s="40"/>
      <c r="M3" s="40"/>
      <c r="N3" s="40"/>
      <c r="O3" s="40">
        <v>235976</v>
      </c>
      <c r="P3" s="40"/>
      <c r="Q3" s="7"/>
      <c r="R3" s="7"/>
      <c r="S3" s="7"/>
      <c r="T3" s="35">
        <f t="shared" ref="T3:T66" si="0">D3-SUM(I3:Q3)</f>
        <v>-148324</v>
      </c>
      <c r="U3" s="7"/>
    </row>
    <row r="4" spans="1:21" x14ac:dyDescent="0.25">
      <c r="A4" s="7" t="s">
        <v>3206</v>
      </c>
      <c r="B4" s="8">
        <v>43317.720462962963</v>
      </c>
      <c r="C4" s="8">
        <v>43353</v>
      </c>
      <c r="D4" s="9">
        <v>707100</v>
      </c>
      <c r="E4" s="7" t="e">
        <f>VLOOKUP(A4,DEVOLUCIONES!A$1:A$231,1,0)</f>
        <v>#N/A</v>
      </c>
      <c r="F4" s="7" t="str">
        <f>VLOOKUP(A4,'GLOSAS X CONCILIAR'!$A$1:$A$37,1,0)</f>
        <v>HSRF3594612</v>
      </c>
      <c r="G4" s="7" t="str">
        <f>VLOOKUP(A4,'TODAS LAS P'!A:A,1,0)</f>
        <v>HSRF3594612</v>
      </c>
      <c r="H4" s="7" t="e">
        <f>VLOOKUP(A4,PAGOS!A38:$A$1553,1,0)</f>
        <v>#N/A</v>
      </c>
      <c r="I4" s="40"/>
      <c r="J4" s="40"/>
      <c r="K4" s="40"/>
      <c r="L4" s="40"/>
      <c r="M4" s="40"/>
      <c r="N4" s="40">
        <f>VLOOKUP(A4,'GLOSAS X CONCILIAR'!A$1:C$37,3,0)</f>
        <v>707100</v>
      </c>
      <c r="O4" s="40"/>
      <c r="P4" s="40"/>
      <c r="Q4" s="7"/>
      <c r="R4" s="7"/>
      <c r="S4" s="7"/>
      <c r="T4" s="35">
        <f t="shared" si="0"/>
        <v>0</v>
      </c>
      <c r="U4" s="7"/>
    </row>
    <row r="5" spans="1:21" x14ac:dyDescent="0.25">
      <c r="A5" s="7" t="s">
        <v>3207</v>
      </c>
      <c r="B5" s="8">
        <v>43365.766967592594</v>
      </c>
      <c r="C5" s="8">
        <v>43385</v>
      </c>
      <c r="D5" s="9">
        <v>615600</v>
      </c>
      <c r="E5" s="7" t="e">
        <f>VLOOKUP(A5,DEVOLUCIONES!A$1:A$231,1,0)</f>
        <v>#N/A</v>
      </c>
      <c r="F5" s="7" t="str">
        <f>VLOOKUP(A5,'GLOSAS X CONCILIAR'!$A$1:$A$37,1,0)</f>
        <v>HSRF3625767</v>
      </c>
      <c r="G5" s="7" t="str">
        <f>VLOOKUP(A5,'TODAS LAS P'!A:A,1,0)</f>
        <v>HSRF3625767</v>
      </c>
      <c r="H5" s="7" t="e">
        <f>VLOOKUP(A5,PAGOS!A39:$A$1553,1,0)</f>
        <v>#N/A</v>
      </c>
      <c r="I5" s="40"/>
      <c r="J5" s="40"/>
      <c r="K5" s="40"/>
      <c r="L5" s="40"/>
      <c r="M5" s="40"/>
      <c r="N5" s="40">
        <f>VLOOKUP(A5,'GLOSAS X CONCILIAR'!A$1:C$37,3,0)</f>
        <v>615600</v>
      </c>
      <c r="O5" s="40"/>
      <c r="P5" s="40"/>
      <c r="Q5" s="7"/>
      <c r="R5" s="7"/>
      <c r="S5" s="7"/>
      <c r="T5" s="35">
        <f t="shared" si="0"/>
        <v>0</v>
      </c>
      <c r="U5" s="7"/>
    </row>
    <row r="6" spans="1:21" x14ac:dyDescent="0.25">
      <c r="A6" s="7" t="s">
        <v>3208</v>
      </c>
      <c r="B6" s="8">
        <v>43378.478495370371</v>
      </c>
      <c r="C6" s="8">
        <v>43444</v>
      </c>
      <c r="D6" s="9">
        <v>27875</v>
      </c>
      <c r="E6" s="7" t="e">
        <f>VLOOKUP(A6,DEVOLUCIONES!A$1:A$231,1,0)</f>
        <v>#N/A</v>
      </c>
      <c r="F6" s="7" t="str">
        <f>VLOOKUP(A6,'GLOSAS X CONCILIAR'!$A$1:$A$37,1,0)</f>
        <v>HSRF3634928</v>
      </c>
      <c r="G6" s="7" t="str">
        <f>VLOOKUP(A6,'TODAS LAS P'!A:A,1,0)</f>
        <v>HSRF3634928</v>
      </c>
      <c r="H6" s="7" t="e">
        <f>VLOOKUP(A6,PAGOS!A40:$A$1553,1,0)</f>
        <v>#N/A</v>
      </c>
      <c r="I6" s="40"/>
      <c r="J6" s="40"/>
      <c r="K6" s="40"/>
      <c r="L6" s="40"/>
      <c r="M6" s="40"/>
      <c r="N6" s="40">
        <f>VLOOKUP(A6,'GLOSAS X CONCILIAR'!A$1:C$37,3,0)</f>
        <v>27875</v>
      </c>
      <c r="O6" s="40"/>
      <c r="P6" s="40"/>
      <c r="Q6" s="7"/>
      <c r="R6" s="7"/>
      <c r="S6" s="7"/>
      <c r="T6" s="35">
        <f t="shared" si="0"/>
        <v>0</v>
      </c>
      <c r="U6" s="7"/>
    </row>
    <row r="7" spans="1:21" x14ac:dyDescent="0.25">
      <c r="A7" s="7" t="s">
        <v>3209</v>
      </c>
      <c r="B7" s="8">
        <v>43414.377384259256</v>
      </c>
      <c r="C7" s="8">
        <v>43444</v>
      </c>
      <c r="D7" s="9">
        <v>579900</v>
      </c>
      <c r="E7" s="7" t="e">
        <f>VLOOKUP(A7,DEVOLUCIONES!A$1:A$231,1,0)</f>
        <v>#N/A</v>
      </c>
      <c r="F7" s="7" t="str">
        <f>VLOOKUP(A7,'GLOSAS X CONCILIAR'!$A$1:$A$37,1,0)</f>
        <v>HSRF3655924</v>
      </c>
      <c r="G7" s="7" t="str">
        <f>VLOOKUP(A7,'TODAS LAS P'!A:A,1,0)</f>
        <v>HSRF3655924</v>
      </c>
      <c r="H7" s="7" t="e">
        <f>VLOOKUP(A7,PAGOS!A41:$A$1553,1,0)</f>
        <v>#N/A</v>
      </c>
      <c r="I7" s="40"/>
      <c r="J7" s="40"/>
      <c r="K7" s="40"/>
      <c r="L7" s="40"/>
      <c r="M7" s="40"/>
      <c r="N7" s="40">
        <f>VLOOKUP(A7,'GLOSAS X CONCILIAR'!A$1:C$37,3,0)</f>
        <v>579900</v>
      </c>
      <c r="O7" s="40"/>
      <c r="P7" s="40"/>
      <c r="Q7" s="7"/>
      <c r="R7" s="7"/>
      <c r="S7" s="7"/>
      <c r="T7" s="35">
        <f t="shared" si="0"/>
        <v>0</v>
      </c>
      <c r="U7" s="7"/>
    </row>
    <row r="8" spans="1:21" x14ac:dyDescent="0.25">
      <c r="A8" s="7" t="s">
        <v>3210</v>
      </c>
      <c r="B8" s="8">
        <v>43418.731562499997</v>
      </c>
      <c r="C8" s="8">
        <v>43444</v>
      </c>
      <c r="D8" s="9">
        <v>761775</v>
      </c>
      <c r="E8" s="7" t="e">
        <f>VLOOKUP(A8,DEVOLUCIONES!A$1:A$231,1,0)</f>
        <v>#N/A</v>
      </c>
      <c r="F8" s="7" t="str">
        <f>VLOOKUP(A8,'GLOSAS X CONCILIAR'!$A$1:$A$37,1,0)</f>
        <v>HSRF3657905</v>
      </c>
      <c r="G8" s="7" t="str">
        <f>VLOOKUP(A8,'TODAS LAS P'!A:A,1,0)</f>
        <v>HSRF3657905</v>
      </c>
      <c r="H8" s="7" t="e">
        <f>VLOOKUP(A8,PAGOS!A42:$A$1553,1,0)</f>
        <v>#N/A</v>
      </c>
      <c r="I8" s="40"/>
      <c r="J8" s="40"/>
      <c r="K8" s="40"/>
      <c r="L8" s="40"/>
      <c r="M8" s="40"/>
      <c r="N8" s="40">
        <f>VLOOKUP(A8,'GLOSAS X CONCILIAR'!A$1:C$37,3,0)</f>
        <v>761775</v>
      </c>
      <c r="O8" s="40"/>
      <c r="P8" s="40"/>
      <c r="Q8" s="7"/>
      <c r="R8" s="7"/>
      <c r="S8" s="7"/>
      <c r="T8" s="35">
        <f t="shared" si="0"/>
        <v>0</v>
      </c>
      <c r="U8" s="7"/>
    </row>
    <row r="9" spans="1:21" x14ac:dyDescent="0.25">
      <c r="A9" s="7" t="s">
        <v>3211</v>
      </c>
      <c r="B9" s="8">
        <v>43447.644212962965</v>
      </c>
      <c r="C9" s="8">
        <v>43507</v>
      </c>
      <c r="D9" s="9">
        <v>537739</v>
      </c>
      <c r="E9" s="7" t="str">
        <f>VLOOKUP(A9,DEVOLUCIONES!A$1:A$231,1,0)</f>
        <v>HSRF3676176</v>
      </c>
      <c r="F9" s="7" t="e">
        <f>VLOOKUP(A9,'GLOSAS X CONCILIAR'!$A$1:$A$37,1,0)</f>
        <v>#N/A</v>
      </c>
      <c r="G9" s="7" t="e">
        <f>VLOOKUP(A9,'TODAS LAS P'!A:A,1,0)</f>
        <v>#N/A</v>
      </c>
      <c r="H9" s="7" t="e">
        <f>VLOOKUP(A9,PAGOS!A43:$A$1553,1,0)</f>
        <v>#N/A</v>
      </c>
      <c r="I9" s="40"/>
      <c r="J9" s="40">
        <f>D9</f>
        <v>537739</v>
      </c>
      <c r="K9" s="40"/>
      <c r="L9" s="40"/>
      <c r="M9" s="40"/>
      <c r="N9" s="40"/>
      <c r="O9" s="40"/>
      <c r="P9" s="40"/>
      <c r="Q9" s="7" t="str">
        <f>VLOOKUP(A9,DEVOLUCIONES!A$1:B$231,2,0)</f>
        <v>DF-769224731057</v>
      </c>
      <c r="R9" s="7"/>
      <c r="S9" s="7" t="str">
        <f>VLOOKUP(A9,DEVOLUCIONES!A$1:H$231,8,0)</f>
        <v>Se realiza devolución de la factura No HSRF0003676176 ya que no se evidencia trazabilidad de anexo 2 informando la atención de urgencia a la entidad responsable de pago dentro de los tiempos establecidos por la normatividad vigente</v>
      </c>
      <c r="T9" s="35">
        <f t="shared" si="0"/>
        <v>0</v>
      </c>
      <c r="U9" s="7"/>
    </row>
    <row r="10" spans="1:21" x14ac:dyDescent="0.25">
      <c r="A10" s="7" t="s">
        <v>3212</v>
      </c>
      <c r="B10" s="8">
        <v>43493.114386574074</v>
      </c>
      <c r="C10" s="8">
        <v>43507</v>
      </c>
      <c r="D10" s="9">
        <v>78100</v>
      </c>
      <c r="E10" s="7" t="e">
        <f>VLOOKUP(A10,DEVOLUCIONES!A$1:A$231,1,0)</f>
        <v>#N/A</v>
      </c>
      <c r="F10" s="7" t="e">
        <f>VLOOKUP(A10,'GLOSAS X CONCILIAR'!$A$1:$A$37,1,0)</f>
        <v>#N/A</v>
      </c>
      <c r="G10" s="7" t="str">
        <f>VLOOKUP(A10,'TODAS LAS P'!A:A,1,0)</f>
        <v>HSRF3699496</v>
      </c>
      <c r="H10" s="7" t="str">
        <f>VLOOKUP(A10,PAGOS!A44:$A$1553,1,0)</f>
        <v>HSRF3699496</v>
      </c>
      <c r="I10" s="40"/>
      <c r="J10" s="40"/>
      <c r="K10" s="40"/>
      <c r="L10" s="40"/>
      <c r="M10" s="40"/>
      <c r="N10" s="40"/>
      <c r="O10" s="40"/>
      <c r="P10" s="40">
        <v>78100</v>
      </c>
      <c r="Q10" s="7"/>
      <c r="R10" s="7"/>
      <c r="S10" s="7"/>
      <c r="T10" s="35">
        <f t="shared" si="0"/>
        <v>0</v>
      </c>
      <c r="U10" s="7"/>
    </row>
    <row r="11" spans="1:21" x14ac:dyDescent="0.25">
      <c r="A11" s="7" t="s">
        <v>3213</v>
      </c>
      <c r="B11" s="8">
        <v>43585.709594907406</v>
      </c>
      <c r="C11" s="8">
        <v>44208</v>
      </c>
      <c r="D11" s="9">
        <v>3454909</v>
      </c>
      <c r="E11" s="7" t="str">
        <f>VLOOKUP(A11,DEVOLUCIONES!A$1:A$231,1,0)</f>
        <v>HSRF3756811</v>
      </c>
      <c r="F11" s="7" t="e">
        <f>VLOOKUP(A11,'GLOSAS X CONCILIAR'!$A$1:$A$37,1,0)</f>
        <v>#N/A</v>
      </c>
      <c r="G11" s="7" t="e">
        <f>VLOOKUP(A11,'TODAS LAS P'!A:A,1,0)</f>
        <v>#N/A</v>
      </c>
      <c r="H11" s="7" t="e">
        <f>VLOOKUP(A11,PAGOS!A45:$A$1553,1,0)</f>
        <v>#N/A</v>
      </c>
      <c r="I11" s="40"/>
      <c r="J11" s="40">
        <f t="shared" ref="J11:J15" si="1">D11</f>
        <v>3454909</v>
      </c>
      <c r="K11" s="40"/>
      <c r="L11" s="40"/>
      <c r="M11" s="40"/>
      <c r="N11" s="40"/>
      <c r="O11" s="40"/>
      <c r="P11" s="40"/>
      <c r="Q11" s="7" t="str">
        <f>VLOOKUP(A11,DEVOLUCIONES!A$1:B$231,2,0)</f>
        <v>DF-9493077310139</v>
      </c>
      <c r="R11" s="7"/>
      <c r="S11" s="7" t="str">
        <f>VLOOKUP(A11,DEVOLUCIONES!A$1:H$231,8,0)</f>
        <v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v>
      </c>
      <c r="T11" s="35">
        <f t="shared" si="0"/>
        <v>0</v>
      </c>
      <c r="U11" s="7"/>
    </row>
    <row r="12" spans="1:21" x14ac:dyDescent="0.25">
      <c r="A12" s="7" t="s">
        <v>3214</v>
      </c>
      <c r="B12" s="8">
        <v>43585.733483796299</v>
      </c>
      <c r="C12" s="8">
        <v>44208</v>
      </c>
      <c r="D12" s="9">
        <v>1064963</v>
      </c>
      <c r="E12" s="7" t="str">
        <f>VLOOKUP(A12,DEVOLUCIONES!A$1:A$231,1,0)</f>
        <v>HSRF3756843</v>
      </c>
      <c r="F12" s="7" t="e">
        <f>VLOOKUP(A12,'GLOSAS X CONCILIAR'!$A$1:$A$37,1,0)</f>
        <v>#N/A</v>
      </c>
      <c r="G12" s="7" t="e">
        <f>VLOOKUP(A12,'TODAS LAS P'!A:A,1,0)</f>
        <v>#N/A</v>
      </c>
      <c r="H12" s="7" t="e">
        <f>VLOOKUP(A12,PAGOS!A46:$A$1553,1,0)</f>
        <v>#N/A</v>
      </c>
      <c r="I12" s="40"/>
      <c r="J12" s="40">
        <f t="shared" si="1"/>
        <v>1064963</v>
      </c>
      <c r="K12" s="40"/>
      <c r="L12" s="40"/>
      <c r="M12" s="40"/>
      <c r="N12" s="40"/>
      <c r="O12" s="40"/>
      <c r="P12" s="40"/>
      <c r="Q12" s="7" t="str">
        <f>VLOOKUP(A12,DEVOLUCIONES!A$1:B$231,2,0)</f>
        <v>DF-9493077310140</v>
      </c>
      <c r="R12" s="7"/>
      <c r="S12" s="7" t="str">
        <f>VLOOKUP(A12,DEVOLUCIONES!A$1:H$231,8,0)</f>
        <v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v>
      </c>
      <c r="T12" s="35">
        <f t="shared" si="0"/>
        <v>0</v>
      </c>
      <c r="U12" s="7"/>
    </row>
    <row r="13" spans="1:21" x14ac:dyDescent="0.25">
      <c r="A13" s="7" t="s">
        <v>3215</v>
      </c>
      <c r="B13" s="8">
        <v>43591.687037037038</v>
      </c>
      <c r="C13" s="8">
        <v>43622</v>
      </c>
      <c r="D13" s="9">
        <v>952190</v>
      </c>
      <c r="E13" s="7" t="str">
        <f>VLOOKUP(A13,DEVOLUCIONES!A$1:A$231,1,0)</f>
        <v>HSRF3759939</v>
      </c>
      <c r="F13" s="7" t="e">
        <f>VLOOKUP(A13,'GLOSAS X CONCILIAR'!$A$1:$A$37,1,0)</f>
        <v>#N/A</v>
      </c>
      <c r="G13" s="7" t="e">
        <f>VLOOKUP(A13,'TODAS LAS P'!A:A,1,0)</f>
        <v>#N/A</v>
      </c>
      <c r="H13" s="7" t="e">
        <f>VLOOKUP(A13,PAGOS!A47:$A$1553,1,0)</f>
        <v>#N/A</v>
      </c>
      <c r="I13" s="40"/>
      <c r="J13" s="40">
        <f t="shared" si="1"/>
        <v>952190</v>
      </c>
      <c r="K13" s="40"/>
      <c r="L13" s="40"/>
      <c r="M13" s="40"/>
      <c r="N13" s="40"/>
      <c r="O13" s="40"/>
      <c r="P13" s="40"/>
      <c r="Q13" s="7" t="str">
        <f>VLOOKUP(A13,DEVOLUCIONES!A$1:B$231,2,0)</f>
        <v>DF-0520932258</v>
      </c>
      <c r="R13" s="7"/>
      <c r="S13" s="7" t="str">
        <f>VLOOKUP(A13,DEVOLUCIONES!A$1:H$231,8,0)</f>
        <v>se realiza devolucion de la factura segun concepto de gestor hospitalario Yesika Gomez "Usuario que se encuentra con reporte de solicitud de autorización de servicios adicionales a la atención inicial de urgencias en línea 018000 de Coosalud de quien no se recibe historia clínica para avalar internación esta se solicitó a la IPS sin obtener envío oportuno de la misma por lo que dado el incumplimiento de la Resolución 1995 en cuanto a obligatoriedad del registro completo legible y comprensible en orden lógico y cronológico secuencialidad y disponibilidad se objeta estancia integral desde el día inicial de notificación en línea 01800 de Coosalud y demás valores que se facturen anteriores y posteriores a la fecha asociados a la misma hospitalización pues no se reconoce la atención notificada ante la no evidencia de historia clínica completa que registre esta atención"</v>
      </c>
      <c r="T13" s="35">
        <f t="shared" si="0"/>
        <v>0</v>
      </c>
      <c r="U13" s="7"/>
    </row>
    <row r="14" spans="1:21" x14ac:dyDescent="0.25">
      <c r="A14" s="7" t="s">
        <v>3216</v>
      </c>
      <c r="B14" s="8">
        <v>43594.637569444443</v>
      </c>
      <c r="C14" s="8">
        <v>43622</v>
      </c>
      <c r="D14" s="9">
        <v>95608</v>
      </c>
      <c r="E14" s="7" t="str">
        <f>VLOOKUP(A14,DEVOLUCIONES!A$1:A$231,1,0)</f>
        <v>HSRF3762481</v>
      </c>
      <c r="F14" s="7" t="e">
        <f>VLOOKUP(A14,'GLOSAS X CONCILIAR'!$A$1:$A$37,1,0)</f>
        <v>#N/A</v>
      </c>
      <c r="G14" s="7" t="e">
        <f>VLOOKUP(A14,'TODAS LAS P'!A:A,1,0)</f>
        <v>#N/A</v>
      </c>
      <c r="H14" s="7" t="e">
        <f>VLOOKUP(A14,PAGOS!A48:$A$1553,1,0)</f>
        <v>#N/A</v>
      </c>
      <c r="I14" s="40"/>
      <c r="J14" s="40">
        <f t="shared" si="1"/>
        <v>95608</v>
      </c>
      <c r="K14" s="40"/>
      <c r="L14" s="40"/>
      <c r="M14" s="40"/>
      <c r="N14" s="40"/>
      <c r="O14" s="40"/>
      <c r="P14" s="40"/>
      <c r="Q14" s="7" t="str">
        <f>VLOOKUP(A14,DEVOLUCIONES!A$1:B$231,2,0)</f>
        <v>DF-2051136663</v>
      </c>
      <c r="R14" s="7"/>
      <c r="S14" s="7" t="str">
        <f>VLOOKUP(A14,DEVOLUCIONES!A$1:H$231,8,0)</f>
        <v xml:space="preserve">Se aplica devolución a la presente factura toda vez que usuario registra fecha de afiliación el 16/05/2019 por tanto el sistema no permite ingresar la factura con fecha de atención anterior a la fecha de afiliación  </v>
      </c>
      <c r="T14" s="35">
        <f t="shared" si="0"/>
        <v>0</v>
      </c>
      <c r="U14" s="7"/>
    </row>
    <row r="15" spans="1:21" x14ac:dyDescent="0.25">
      <c r="A15" s="7" t="s">
        <v>3217</v>
      </c>
      <c r="B15" s="8">
        <v>43598.243842592594</v>
      </c>
      <c r="C15" s="8">
        <v>44208</v>
      </c>
      <c r="D15" s="9">
        <v>614631</v>
      </c>
      <c r="E15" s="7" t="str">
        <f>VLOOKUP(A15,DEVOLUCIONES!A$1:A$231,1,0)</f>
        <v>HSRF3763863</v>
      </c>
      <c r="F15" s="7" t="e">
        <f>VLOOKUP(A15,'GLOSAS X CONCILIAR'!$A$1:$A$37,1,0)</f>
        <v>#N/A</v>
      </c>
      <c r="G15" s="7" t="e">
        <f>VLOOKUP(A15,'TODAS LAS P'!A:A,1,0)</f>
        <v>#N/A</v>
      </c>
      <c r="H15" s="7" t="e">
        <f>VLOOKUP(A15,PAGOS!A49:$A$1553,1,0)</f>
        <v>#N/A</v>
      </c>
      <c r="I15" s="40"/>
      <c r="J15" s="40">
        <f t="shared" si="1"/>
        <v>614631</v>
      </c>
      <c r="K15" s="40"/>
      <c r="L15" s="40"/>
      <c r="M15" s="40"/>
      <c r="N15" s="40"/>
      <c r="O15" s="40"/>
      <c r="P15" s="40"/>
      <c r="Q15" s="7" t="str">
        <f>VLOOKUP(A15,DEVOLUCIONES!A$1:B$231,2,0)</f>
        <v>DF-9493077310138</v>
      </c>
      <c r="R15" s="7"/>
      <c r="S15" s="7" t="str">
        <f>VLOOKUP(A15,DEVOLUCIONES!A$1:H$231,8,0)</f>
        <v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v>
      </c>
      <c r="T15" s="35">
        <f t="shared" si="0"/>
        <v>0</v>
      </c>
      <c r="U15" s="7"/>
    </row>
    <row r="16" spans="1:21" x14ac:dyDescent="0.25">
      <c r="A16" s="7" t="s">
        <v>3218</v>
      </c>
      <c r="B16" s="8">
        <v>43608.699120370373</v>
      </c>
      <c r="C16" s="8">
        <v>43661</v>
      </c>
      <c r="D16" s="9">
        <v>55240</v>
      </c>
      <c r="E16" s="7" t="e">
        <f>VLOOKUP(A16,DEVOLUCIONES!A$1:A$231,1,0)</f>
        <v>#N/A</v>
      </c>
      <c r="F16" s="7" t="e">
        <f>VLOOKUP(A16,'GLOSAS X CONCILIAR'!$A$1:$A$37,1,0)</f>
        <v>#N/A</v>
      </c>
      <c r="G16" s="7" t="str">
        <f>VLOOKUP(A16,'TODAS LAS P'!A:A,1,0)</f>
        <v>HSRF3772177</v>
      </c>
      <c r="H16" s="7" t="e">
        <f>VLOOKUP(A16,PAGOS!A50:$A$1553,1,0)</f>
        <v>#N/A</v>
      </c>
      <c r="I16" s="40"/>
      <c r="J16" s="40"/>
      <c r="K16" s="40"/>
      <c r="L16" s="40"/>
      <c r="M16" s="40"/>
      <c r="N16" s="40"/>
      <c r="O16" s="40">
        <v>55240</v>
      </c>
      <c r="P16" s="40"/>
      <c r="Q16" s="7"/>
      <c r="R16" s="7"/>
      <c r="S16" s="7"/>
      <c r="T16" s="35">
        <f t="shared" si="0"/>
        <v>0</v>
      </c>
      <c r="U16" s="7"/>
    </row>
    <row r="17" spans="1:21" x14ac:dyDescent="0.25">
      <c r="A17" s="7" t="s">
        <v>3219</v>
      </c>
      <c r="B17" s="8">
        <v>43611.264652777776</v>
      </c>
      <c r="C17" s="8">
        <v>44208</v>
      </c>
      <c r="D17" s="9">
        <v>2593789</v>
      </c>
      <c r="E17" s="7" t="str">
        <f>VLOOKUP(A17,DEVOLUCIONES!A$1:A$231,1,0)</f>
        <v>HSRF3773320</v>
      </c>
      <c r="F17" s="7" t="e">
        <f>VLOOKUP(A17,'GLOSAS X CONCILIAR'!$A$1:$A$37,1,0)</f>
        <v>#N/A</v>
      </c>
      <c r="G17" s="7" t="e">
        <f>VLOOKUP(A17,'TODAS LAS P'!A:A,1,0)</f>
        <v>#N/A</v>
      </c>
      <c r="H17" s="7" t="e">
        <f>VLOOKUP(A17,PAGOS!A51:$A$1553,1,0)</f>
        <v>#N/A</v>
      </c>
      <c r="I17" s="40"/>
      <c r="J17" s="40">
        <f t="shared" ref="J17:J24" si="2">D17</f>
        <v>2593789</v>
      </c>
      <c r="K17" s="40"/>
      <c r="L17" s="40"/>
      <c r="M17" s="40"/>
      <c r="N17" s="40"/>
      <c r="O17" s="40"/>
      <c r="P17" s="40"/>
      <c r="Q17" s="7" t="str">
        <f>VLOOKUP(A17,DEVOLUCIONES!A$1:B$231,2,0)</f>
        <v>DF-9493077310137</v>
      </c>
      <c r="R17" s="7"/>
      <c r="S17" s="7" t="str">
        <f>VLOOKUP(A17,DEVOLUCIONES!A$1:H$231,8,0)</f>
        <v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v>
      </c>
      <c r="T17" s="35">
        <f t="shared" si="0"/>
        <v>0</v>
      </c>
      <c r="U17" s="7"/>
    </row>
    <row r="18" spans="1:21" x14ac:dyDescent="0.25">
      <c r="A18" s="7" t="s">
        <v>3220</v>
      </c>
      <c r="B18" s="8">
        <v>43613.70380787037</v>
      </c>
      <c r="C18" s="8">
        <v>44208</v>
      </c>
      <c r="D18" s="9">
        <v>1229806</v>
      </c>
      <c r="E18" s="7" t="str">
        <f>VLOOKUP(A18,DEVOLUCIONES!A$1:A$231,1,0)</f>
        <v>HSRF3775229</v>
      </c>
      <c r="F18" s="7" t="e">
        <f>VLOOKUP(A18,'GLOSAS X CONCILIAR'!$A$1:$A$37,1,0)</f>
        <v>#N/A</v>
      </c>
      <c r="G18" s="7" t="e">
        <f>VLOOKUP(A18,'TODAS LAS P'!A:A,1,0)</f>
        <v>#N/A</v>
      </c>
      <c r="H18" s="7" t="e">
        <f>VLOOKUP(A18,PAGOS!A52:$A$1553,1,0)</f>
        <v>#N/A</v>
      </c>
      <c r="I18" s="40"/>
      <c r="J18" s="40">
        <f t="shared" si="2"/>
        <v>1229806</v>
      </c>
      <c r="K18" s="40"/>
      <c r="L18" s="40"/>
      <c r="M18" s="40"/>
      <c r="N18" s="40"/>
      <c r="O18" s="40"/>
      <c r="P18" s="40"/>
      <c r="Q18" s="7" t="str">
        <f>VLOOKUP(A18,DEVOLUCIONES!A$1:B$231,2,0)</f>
        <v>DF-9493077310136</v>
      </c>
      <c r="R18" s="7"/>
      <c r="S18" s="7" t="str">
        <f>VLOOKUP(A18,DEVOLUCIONES!A$1:H$231,8,0)</f>
        <v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v>
      </c>
      <c r="T18" s="35">
        <f t="shared" si="0"/>
        <v>0</v>
      </c>
      <c r="U18" s="7"/>
    </row>
    <row r="19" spans="1:21" x14ac:dyDescent="0.25">
      <c r="A19" s="7" t="s">
        <v>3221</v>
      </c>
      <c r="B19" s="8">
        <v>43617.974027777775</v>
      </c>
      <c r="C19" s="8">
        <v>44208</v>
      </c>
      <c r="D19" s="9">
        <v>54400</v>
      </c>
      <c r="E19" s="7" t="str">
        <f>VLOOKUP(A19,DEVOLUCIONES!A$1:A$231,1,0)</f>
        <v>HSRF3778167</v>
      </c>
      <c r="F19" s="7" t="e">
        <f>VLOOKUP(A19,'GLOSAS X CONCILIAR'!$A$1:$A$37,1,0)</f>
        <v>#N/A</v>
      </c>
      <c r="G19" s="7" t="e">
        <f>VLOOKUP(A19,'TODAS LAS P'!A:A,1,0)</f>
        <v>#N/A</v>
      </c>
      <c r="H19" s="7" t="e">
        <f>VLOOKUP(A19,PAGOS!A53:$A$1553,1,0)</f>
        <v>#N/A</v>
      </c>
      <c r="I19" s="40"/>
      <c r="J19" s="40">
        <f t="shared" si="2"/>
        <v>54400</v>
      </c>
      <c r="K19" s="40"/>
      <c r="L19" s="40"/>
      <c r="M19" s="40"/>
      <c r="N19" s="40"/>
      <c r="O19" s="40"/>
      <c r="P19" s="40"/>
      <c r="Q19" s="7" t="str">
        <f>VLOOKUP(A19,DEVOLUCIONES!A$1:B$231,2,0)</f>
        <v>DF-769301734697</v>
      </c>
      <c r="R19" s="7"/>
      <c r="S19" s="7" t="str">
        <f>VLOOKUP(A19,DEVOLUCIONES!A$1:H$231,8,0)</f>
        <v>SIN RIPS Se hace devolucion de la factura ya que llegan a nuestra sede sin sus respectivos rips en cd magnético o el cargue exitoso en la plataforma sami se solicita que se anexe para su respectiva radicación Cualquier inquietud 3057189792</v>
      </c>
      <c r="T19" s="35">
        <f t="shared" si="0"/>
        <v>0</v>
      </c>
      <c r="U19" s="7"/>
    </row>
    <row r="20" spans="1:21" x14ac:dyDescent="0.25">
      <c r="A20" s="7" t="s">
        <v>3222</v>
      </c>
      <c r="B20" s="8">
        <v>43619.647962962961</v>
      </c>
      <c r="C20" s="8">
        <v>44208</v>
      </c>
      <c r="D20" s="9">
        <v>866432</v>
      </c>
      <c r="E20" s="7" t="str">
        <f>VLOOKUP(A20,DEVOLUCIONES!A$1:A$231,1,0)</f>
        <v>HSRF3778497</v>
      </c>
      <c r="F20" s="7" t="e">
        <f>VLOOKUP(A20,'GLOSAS X CONCILIAR'!$A$1:$A$37,1,0)</f>
        <v>#N/A</v>
      </c>
      <c r="G20" s="7" t="e">
        <f>VLOOKUP(A20,'TODAS LAS P'!A:A,1,0)</f>
        <v>#N/A</v>
      </c>
      <c r="H20" s="7" t="e">
        <f>VLOOKUP(A20,PAGOS!A54:$A$1553,1,0)</f>
        <v>#N/A</v>
      </c>
      <c r="I20" s="40"/>
      <c r="J20" s="40">
        <f t="shared" si="2"/>
        <v>866432</v>
      </c>
      <c r="K20" s="40"/>
      <c r="L20" s="40"/>
      <c r="M20" s="40"/>
      <c r="N20" s="40"/>
      <c r="O20" s="40"/>
      <c r="P20" s="40"/>
      <c r="Q20" s="7" t="str">
        <f>VLOOKUP(A20,DEVOLUCIONES!A$1:B$231,2,0)</f>
        <v>DF-9493077310018</v>
      </c>
      <c r="R20" s="7"/>
      <c r="S20" s="7" t="str">
        <f>VLOOKUP(A20,DEVOLUCIONES!A$1:H$231,8,0)</f>
        <v>SE HACE DEVOLUCIÓN DE LA CUENTA YA QUE LOS ARCHIVOS INTERNOS DEL RIPS PRESENTAN INCONSISTENCIA EN EL NUMERO DE LA FACTURA DEBE TEBER LOS TRES (CEROS) ENTRE EL PREFIJO Y EL CONSECUTIVO  VERIFICAR QUE TODOS LOS CAMPOS ESTÉN BIEN DILIGENCIADOSPOR FAVOR REALIZAR LAS RESPECTIVAS CORRECCIONES Y UNA VEZ SUBSANE ENVIAR PARA CONTINUAR CON EL PROCESO DE RADICACIÓN</v>
      </c>
      <c r="T20" s="35">
        <f t="shared" si="0"/>
        <v>0</v>
      </c>
      <c r="U20" s="7"/>
    </row>
    <row r="21" spans="1:21" x14ac:dyDescent="0.25">
      <c r="A21" s="7" t="s">
        <v>3223</v>
      </c>
      <c r="B21" s="8">
        <v>43621.302673611113</v>
      </c>
      <c r="C21" s="8">
        <v>43661</v>
      </c>
      <c r="D21" s="9">
        <v>38565614</v>
      </c>
      <c r="E21" s="7" t="str">
        <f>VLOOKUP(A21,DEVOLUCIONES!A$1:A$231,1,0)</f>
        <v>HSRF3779542</v>
      </c>
      <c r="F21" s="7" t="e">
        <f>VLOOKUP(A21,'GLOSAS X CONCILIAR'!$A$1:$A$37,1,0)</f>
        <v>#N/A</v>
      </c>
      <c r="G21" s="7" t="e">
        <f>VLOOKUP(A21,'TODAS LAS P'!A:A,1,0)</f>
        <v>#N/A</v>
      </c>
      <c r="H21" s="7" t="e">
        <f>VLOOKUP(A21,PAGOS!A55:$A$1553,1,0)</f>
        <v>#N/A</v>
      </c>
      <c r="I21" s="40"/>
      <c r="J21" s="40">
        <f t="shared" si="2"/>
        <v>38565614</v>
      </c>
      <c r="K21" s="40"/>
      <c r="L21" s="40"/>
      <c r="M21" s="40"/>
      <c r="N21" s="40"/>
      <c r="O21" s="40"/>
      <c r="P21" s="40"/>
      <c r="Q21" s="7" t="str">
        <f>VLOOKUP(A21,DEVOLUCIONES!A$1:B$231,2,0)</f>
        <v>DF-47927913428</v>
      </c>
      <c r="R21" s="7"/>
      <c r="S21" s="7" t="str">
        <f>VLOOKUP(A21,DEVOLUCIONES!A$1:H$231,8,0)</f>
        <v xml:space="preserve"> Se hace devolución de factura con todos sus soportes  según art 12 y 14 de la resolución 3047 ( cod 49 factura no cumple requisitos legales)  dado que no se evidencia registro de la atencion del usuario en dinamicos ni en 018000  reporte oportuno este fue notificado  el dia 2019/05/30 paciente con ingreso 02/05/19 y egresa el dia 18/05/19  como tampoco reporte por gestion hospitalaria </v>
      </c>
      <c r="T21" s="35">
        <f t="shared" si="0"/>
        <v>0</v>
      </c>
      <c r="U21" s="7"/>
    </row>
    <row r="22" spans="1:21" x14ac:dyDescent="0.25">
      <c r="A22" s="7" t="s">
        <v>3224</v>
      </c>
      <c r="B22" s="8">
        <v>43642.755347222221</v>
      </c>
      <c r="C22" s="8">
        <v>43661</v>
      </c>
      <c r="D22" s="9">
        <v>54400</v>
      </c>
      <c r="E22" s="7" t="str">
        <f>VLOOKUP(A22,DEVOLUCIONES!A$1:A$231,1,0)</f>
        <v>HSRF3794525</v>
      </c>
      <c r="F22" s="7" t="e">
        <f>VLOOKUP(A22,'GLOSAS X CONCILIAR'!$A$1:$A$37,1,0)</f>
        <v>#N/A</v>
      </c>
      <c r="G22" s="7" t="e">
        <f>VLOOKUP(A22,'TODAS LAS P'!A:A,1,0)</f>
        <v>#N/A</v>
      </c>
      <c r="H22" s="7" t="e">
        <f>VLOOKUP(A22,PAGOS!A56:$A$1553,1,0)</f>
        <v>#N/A</v>
      </c>
      <c r="I22" s="40"/>
      <c r="J22" s="40">
        <f t="shared" si="2"/>
        <v>54400</v>
      </c>
      <c r="K22" s="40"/>
      <c r="L22" s="40"/>
      <c r="M22" s="40"/>
      <c r="N22" s="40"/>
      <c r="O22" s="40"/>
      <c r="P22" s="40"/>
      <c r="Q22" s="7" t="str">
        <f>VLOOKUP(A22,DEVOLUCIONES!A$1:B$231,2,0)</f>
        <v>DF-47923283505</v>
      </c>
      <c r="R22" s="7"/>
      <c r="S22" s="7" t="str">
        <f>VLOOKUP(A22,DEVOLUCIONES!A$1:H$231,8,0)</f>
        <v>Se hace devolución de factura según art 12 y 14 de la resolución 3047      ( 49 Factura no cumple requisitos legales) dado que revisado la linea =!800 y la plataforma Dynamicos no se evidencia reporte de la atencion inicial de urgencias asi mismo en soportes no se evidencia trazabilidad del reporte</v>
      </c>
      <c r="T22" s="35">
        <f t="shared" si="0"/>
        <v>0</v>
      </c>
      <c r="U22" s="7"/>
    </row>
    <row r="23" spans="1:21" x14ac:dyDescent="0.25">
      <c r="A23" s="7" t="s">
        <v>3225</v>
      </c>
      <c r="B23" s="8">
        <v>43642.866967592592</v>
      </c>
      <c r="C23" s="8">
        <v>44208</v>
      </c>
      <c r="D23" s="9">
        <v>1282017</v>
      </c>
      <c r="E23" s="7" t="str">
        <f>VLOOKUP(A23,DEVOLUCIONES!A$1:A$231,1,0)</f>
        <v>HSRF3794582</v>
      </c>
      <c r="F23" s="7" t="e">
        <f>VLOOKUP(A23,'GLOSAS X CONCILIAR'!$A$1:$A$37,1,0)</f>
        <v>#N/A</v>
      </c>
      <c r="G23" s="7" t="e">
        <f>VLOOKUP(A23,'TODAS LAS P'!A:A,1,0)</f>
        <v>#N/A</v>
      </c>
      <c r="H23" s="7" t="e">
        <f>VLOOKUP(A23,PAGOS!A57:$A$1553,1,0)</f>
        <v>#N/A</v>
      </c>
      <c r="I23" s="40"/>
      <c r="J23" s="40">
        <f t="shared" si="2"/>
        <v>1282017</v>
      </c>
      <c r="K23" s="40"/>
      <c r="L23" s="40"/>
      <c r="M23" s="40"/>
      <c r="N23" s="40"/>
      <c r="O23" s="40"/>
      <c r="P23" s="40"/>
      <c r="Q23" s="7" t="str">
        <f>VLOOKUP(A23,DEVOLUCIONES!A$1:B$231,2,0)</f>
        <v>DF-9493077310143</v>
      </c>
      <c r="R23" s="7"/>
      <c r="S23" s="7" t="str">
        <f>VLOOKUP(A23,DEVOLUCIONES!A$1:H$231,8,0)</f>
        <v xml:space="preserve">SE HACE DEVOLUCIÓN DE LA FACTURA CON SUS RESPECTIVOS SOPORTES DE ACUERDO A LA DIRECTRIZ DE COOSALUD  EPSS PARA LA RADICACION DE LA FACTURAS POR LOS SERVICIOS PRESTADOS A LOS USUARIOS Y QUE NO PERTENEZCAN A LA RED ADSCRITA DEBEN PRESENTAR POR SEPARADO LOS SERVICIOS CORRESPONDIENTE DE URGENCIA COMO DE HOSPITALIZACION POR SEPARADO POR FAVOR REALIZAR LAS RESPECTIVAS CORRECCIONES Y UNA VEZ SUBSANE ENVIAR PARA CONTINUAR CON EL PROCESO DE AUDITORIA  Y ADJUNTAR NUEVAMENTE LOS RIPS CORRESPONDIENTE A LA FACTURA   </v>
      </c>
      <c r="T23" s="35">
        <f t="shared" si="0"/>
        <v>0</v>
      </c>
      <c r="U23" s="7"/>
    </row>
    <row r="24" spans="1:21" x14ac:dyDescent="0.25">
      <c r="A24" s="7" t="s">
        <v>3226</v>
      </c>
      <c r="B24" s="8">
        <v>43644.285011574073</v>
      </c>
      <c r="C24" s="8">
        <v>43661</v>
      </c>
      <c r="D24" s="9">
        <v>237314</v>
      </c>
      <c r="E24" s="7" t="str">
        <f>VLOOKUP(A24,DEVOLUCIONES!A$1:A$231,1,0)</f>
        <v>HSRF3795697</v>
      </c>
      <c r="F24" s="7" t="e">
        <f>VLOOKUP(A24,'GLOSAS X CONCILIAR'!$A$1:$A$37,1,0)</f>
        <v>#N/A</v>
      </c>
      <c r="G24" s="7" t="e">
        <f>VLOOKUP(A24,'TODAS LAS P'!A:A,1,0)</f>
        <v>#N/A</v>
      </c>
      <c r="H24" s="7" t="e">
        <f>VLOOKUP(A24,PAGOS!A58:$A$1553,1,0)</f>
        <v>#N/A</v>
      </c>
      <c r="I24" s="40"/>
      <c r="J24" s="40">
        <f t="shared" si="2"/>
        <v>237314</v>
      </c>
      <c r="K24" s="40"/>
      <c r="L24" s="40"/>
      <c r="M24" s="40"/>
      <c r="N24" s="40"/>
      <c r="O24" s="40"/>
      <c r="P24" s="40"/>
      <c r="Q24" s="7" t="str">
        <f>VLOOKUP(A24,DEVOLUCIONES!A$1:B$231,2,0)</f>
        <v>DF-47923283506</v>
      </c>
      <c r="R24" s="7"/>
      <c r="S24" s="7" t="str">
        <f>VLOOKUP(A24,DEVOLUCIONES!A$1:H$231,8,0)</f>
        <v>Se hace devolución de factura según art 12 y 14 de la resolución 3047      ( 49 Factura no cumple requisitos legales) dado que revisado la linea =!800 y la plataforma Dynamicos no se evidencia reporte de la atencion inicial de urgencias asi mismo en soportes no se evidencia trazabilidad del reporte</v>
      </c>
      <c r="T24" s="35">
        <f t="shared" si="0"/>
        <v>0</v>
      </c>
      <c r="U24" s="7"/>
    </row>
    <row r="25" spans="1:21" x14ac:dyDescent="0.25">
      <c r="A25" s="7" t="s">
        <v>3227</v>
      </c>
      <c r="B25" s="8">
        <v>43651.50917824074</v>
      </c>
      <c r="C25" s="8">
        <v>44208</v>
      </c>
      <c r="D25" s="9">
        <v>105000</v>
      </c>
      <c r="E25" s="7" t="e">
        <f>VLOOKUP(A25,DEVOLUCIONES!A$1:A$231,1,0)</f>
        <v>#N/A</v>
      </c>
      <c r="F25" s="7" t="e">
        <f>VLOOKUP(A25,'GLOSAS X CONCILIAR'!$A$1:$A$37,1,0)</f>
        <v>#N/A</v>
      </c>
      <c r="G25" s="7" t="e">
        <f>VLOOKUP(A25,'TODAS LAS P'!A:A,1,0)</f>
        <v>#N/A</v>
      </c>
      <c r="H25" s="7" t="e">
        <f>VLOOKUP(A25,PAGOS!A59:$A$1553,1,0)</f>
        <v>#N/A</v>
      </c>
      <c r="I25" s="40"/>
      <c r="J25" s="40"/>
      <c r="K25" s="40"/>
      <c r="L25" s="40">
        <f>D25</f>
        <v>105000</v>
      </c>
      <c r="M25" s="40"/>
      <c r="N25" s="40"/>
      <c r="O25" s="40"/>
      <c r="P25" s="40"/>
      <c r="Q25" s="7"/>
      <c r="R25" s="7"/>
      <c r="S25" s="7"/>
      <c r="T25" s="35">
        <f t="shared" si="0"/>
        <v>0</v>
      </c>
      <c r="U25" s="7"/>
    </row>
    <row r="26" spans="1:21" x14ac:dyDescent="0.25">
      <c r="A26" s="7" t="s">
        <v>3228</v>
      </c>
      <c r="B26" s="8">
        <v>43661.676261574074</v>
      </c>
      <c r="C26" s="8">
        <v>44208</v>
      </c>
      <c r="D26" s="9">
        <v>54400</v>
      </c>
      <c r="E26" s="7" t="e">
        <f>VLOOKUP(A26,DEVOLUCIONES!A$1:A$231,1,0)</f>
        <v>#N/A</v>
      </c>
      <c r="F26" s="7" t="e">
        <f>VLOOKUP(A26,'GLOSAS X CONCILIAR'!$A$1:$A$37,1,0)</f>
        <v>#N/A</v>
      </c>
      <c r="G26" s="7" t="e">
        <f>VLOOKUP(A26,'TODAS LAS P'!A:A,1,0)</f>
        <v>#N/A</v>
      </c>
      <c r="H26" s="7" t="e">
        <f>VLOOKUP(A26,PAGOS!A60:$A$1553,1,0)</f>
        <v>#N/A</v>
      </c>
      <c r="I26" s="40"/>
      <c r="J26" s="40"/>
      <c r="K26" s="40"/>
      <c r="L26" s="40">
        <f t="shared" ref="L26:L34" si="3">D26</f>
        <v>54400</v>
      </c>
      <c r="M26" s="40"/>
      <c r="N26" s="40"/>
      <c r="O26" s="40"/>
      <c r="P26" s="40"/>
      <c r="Q26" s="7"/>
      <c r="R26" s="7"/>
      <c r="S26" s="7"/>
      <c r="T26" s="35">
        <f t="shared" si="0"/>
        <v>0</v>
      </c>
      <c r="U26" s="7"/>
    </row>
    <row r="27" spans="1:21" x14ac:dyDescent="0.25">
      <c r="A27" s="7" t="s">
        <v>3229</v>
      </c>
      <c r="B27" s="8">
        <v>43662.409456018519</v>
      </c>
      <c r="C27" s="8">
        <v>44208</v>
      </c>
      <c r="D27" s="9">
        <v>394171</v>
      </c>
      <c r="E27" s="7" t="e">
        <f>VLOOKUP(A27,DEVOLUCIONES!A$1:A$231,1,0)</f>
        <v>#N/A</v>
      </c>
      <c r="F27" s="7" t="e">
        <f>VLOOKUP(A27,'GLOSAS X CONCILIAR'!$A$1:$A$37,1,0)</f>
        <v>#N/A</v>
      </c>
      <c r="G27" s="7" t="e">
        <f>VLOOKUP(A27,'TODAS LAS P'!A:A,1,0)</f>
        <v>#N/A</v>
      </c>
      <c r="H27" s="7" t="e">
        <f>VLOOKUP(A27,PAGOS!A61:$A$1553,1,0)</f>
        <v>#N/A</v>
      </c>
      <c r="I27" s="40"/>
      <c r="J27" s="40"/>
      <c r="K27" s="40"/>
      <c r="L27" s="40">
        <f t="shared" si="3"/>
        <v>394171</v>
      </c>
      <c r="M27" s="40"/>
      <c r="N27" s="40"/>
      <c r="O27" s="40"/>
      <c r="P27" s="40"/>
      <c r="Q27" s="7"/>
      <c r="R27" s="7"/>
      <c r="S27" s="7"/>
      <c r="T27" s="35">
        <f t="shared" si="0"/>
        <v>0</v>
      </c>
      <c r="U27" s="7"/>
    </row>
    <row r="28" spans="1:21" x14ac:dyDescent="0.25">
      <c r="A28" s="7" t="s">
        <v>3230</v>
      </c>
      <c r="B28" s="8">
        <v>43663.489722222221</v>
      </c>
      <c r="C28" s="8">
        <v>44208</v>
      </c>
      <c r="D28" s="9">
        <v>641603</v>
      </c>
      <c r="E28" s="7" t="e">
        <f>VLOOKUP(A28,DEVOLUCIONES!A$1:A$231,1,0)</f>
        <v>#N/A</v>
      </c>
      <c r="F28" s="7" t="e">
        <f>VLOOKUP(A28,'GLOSAS X CONCILIAR'!$A$1:$A$37,1,0)</f>
        <v>#N/A</v>
      </c>
      <c r="G28" s="7" t="e">
        <f>VLOOKUP(A28,'TODAS LAS P'!A:A,1,0)</f>
        <v>#N/A</v>
      </c>
      <c r="H28" s="7" t="e">
        <f>VLOOKUP(A28,PAGOS!A62:$A$1553,1,0)</f>
        <v>#N/A</v>
      </c>
      <c r="I28" s="40"/>
      <c r="J28" s="40"/>
      <c r="K28" s="40"/>
      <c r="L28" s="40">
        <f t="shared" si="3"/>
        <v>641603</v>
      </c>
      <c r="M28" s="40"/>
      <c r="N28" s="40"/>
      <c r="O28" s="40"/>
      <c r="P28" s="40"/>
      <c r="Q28" s="7"/>
      <c r="R28" s="7"/>
      <c r="S28" s="7"/>
      <c r="T28" s="35">
        <f t="shared" si="0"/>
        <v>0</v>
      </c>
      <c r="U28" s="7"/>
    </row>
    <row r="29" spans="1:21" x14ac:dyDescent="0.25">
      <c r="A29" s="7" t="s">
        <v>3231</v>
      </c>
      <c r="B29" s="8">
        <v>43663.706504629627</v>
      </c>
      <c r="C29" s="8">
        <v>44208</v>
      </c>
      <c r="D29" s="9">
        <v>188868</v>
      </c>
      <c r="E29" s="7" t="e">
        <f>VLOOKUP(A29,DEVOLUCIONES!A$1:A$231,1,0)</f>
        <v>#N/A</v>
      </c>
      <c r="F29" s="7" t="e">
        <f>VLOOKUP(A29,'GLOSAS X CONCILIAR'!$A$1:$A$37,1,0)</f>
        <v>#N/A</v>
      </c>
      <c r="G29" s="7" t="e">
        <f>VLOOKUP(A29,'TODAS LAS P'!A:A,1,0)</f>
        <v>#N/A</v>
      </c>
      <c r="H29" s="7" t="e">
        <f>VLOOKUP(A29,PAGOS!A63:$A$1553,1,0)</f>
        <v>#N/A</v>
      </c>
      <c r="I29" s="40"/>
      <c r="J29" s="40"/>
      <c r="K29" s="40"/>
      <c r="L29" s="40">
        <f t="shared" si="3"/>
        <v>188868</v>
      </c>
      <c r="M29" s="40"/>
      <c r="N29" s="40"/>
      <c r="O29" s="40"/>
      <c r="P29" s="40"/>
      <c r="Q29" s="7"/>
      <c r="R29" s="7"/>
      <c r="S29" s="7"/>
      <c r="T29" s="35">
        <f t="shared" si="0"/>
        <v>0</v>
      </c>
      <c r="U29" s="7"/>
    </row>
    <row r="30" spans="1:21" x14ac:dyDescent="0.25">
      <c r="A30" s="7" t="s">
        <v>3232</v>
      </c>
      <c r="B30" s="8">
        <v>43665.695173611108</v>
      </c>
      <c r="C30" s="8">
        <v>44208</v>
      </c>
      <c r="D30" s="9">
        <v>57946</v>
      </c>
      <c r="E30" s="7" t="e">
        <f>VLOOKUP(A30,DEVOLUCIONES!A$1:A$231,1,0)</f>
        <v>#N/A</v>
      </c>
      <c r="F30" s="7" t="e">
        <f>VLOOKUP(A30,'GLOSAS X CONCILIAR'!$A$1:$A$37,1,0)</f>
        <v>#N/A</v>
      </c>
      <c r="G30" s="7" t="e">
        <f>VLOOKUP(A30,'TODAS LAS P'!A:A,1,0)</f>
        <v>#N/A</v>
      </c>
      <c r="H30" s="7" t="e">
        <f>VLOOKUP(A30,PAGOS!A64:$A$1553,1,0)</f>
        <v>#N/A</v>
      </c>
      <c r="I30" s="40"/>
      <c r="J30" s="40"/>
      <c r="K30" s="40"/>
      <c r="L30" s="40">
        <f t="shared" si="3"/>
        <v>57946</v>
      </c>
      <c r="M30" s="40"/>
      <c r="N30" s="40"/>
      <c r="O30" s="40"/>
      <c r="P30" s="40"/>
      <c r="Q30" s="7"/>
      <c r="R30" s="7"/>
      <c r="S30" s="7"/>
      <c r="T30" s="35">
        <f t="shared" si="0"/>
        <v>0</v>
      </c>
      <c r="U30" s="7"/>
    </row>
    <row r="31" spans="1:21" x14ac:dyDescent="0.25">
      <c r="A31" s="7" t="s">
        <v>3233</v>
      </c>
      <c r="B31" s="8">
        <v>43669.635127314818</v>
      </c>
      <c r="C31" s="8">
        <v>44208</v>
      </c>
      <c r="D31" s="9">
        <v>3227239</v>
      </c>
      <c r="E31" s="7" t="e">
        <f>VLOOKUP(A31,DEVOLUCIONES!A$1:A$231,1,0)</f>
        <v>#N/A</v>
      </c>
      <c r="F31" s="7" t="e">
        <f>VLOOKUP(A31,'GLOSAS X CONCILIAR'!$A$1:$A$37,1,0)</f>
        <v>#N/A</v>
      </c>
      <c r="G31" s="7" t="e">
        <f>VLOOKUP(A31,'TODAS LAS P'!A:A,1,0)</f>
        <v>#N/A</v>
      </c>
      <c r="H31" s="7" t="e">
        <f>VLOOKUP(A31,PAGOS!A65:$A$1553,1,0)</f>
        <v>#N/A</v>
      </c>
      <c r="I31" s="40"/>
      <c r="J31" s="40"/>
      <c r="K31" s="40"/>
      <c r="L31" s="40">
        <f t="shared" si="3"/>
        <v>3227239</v>
      </c>
      <c r="M31" s="40"/>
      <c r="N31" s="40"/>
      <c r="O31" s="40"/>
      <c r="P31" s="40"/>
      <c r="Q31" s="7"/>
      <c r="R31" s="7"/>
      <c r="S31" s="7"/>
      <c r="T31" s="35">
        <f t="shared" si="0"/>
        <v>0</v>
      </c>
      <c r="U31" s="7"/>
    </row>
    <row r="32" spans="1:21" x14ac:dyDescent="0.25">
      <c r="A32" s="7" t="s">
        <v>3234</v>
      </c>
      <c r="B32" s="8">
        <v>43671.860671296294</v>
      </c>
      <c r="C32" s="8">
        <v>44208</v>
      </c>
      <c r="D32" s="9">
        <v>54400</v>
      </c>
      <c r="E32" s="7" t="e">
        <f>VLOOKUP(A32,DEVOLUCIONES!A$1:A$231,1,0)</f>
        <v>#N/A</v>
      </c>
      <c r="F32" s="7" t="e">
        <f>VLOOKUP(A32,'GLOSAS X CONCILIAR'!$A$1:$A$37,1,0)</f>
        <v>#N/A</v>
      </c>
      <c r="G32" s="7" t="e">
        <f>VLOOKUP(A32,'TODAS LAS P'!A:A,1,0)</f>
        <v>#N/A</v>
      </c>
      <c r="H32" s="7" t="e">
        <f>VLOOKUP(A32,PAGOS!A66:$A$1553,1,0)</f>
        <v>#N/A</v>
      </c>
      <c r="I32" s="40"/>
      <c r="J32" s="40"/>
      <c r="K32" s="40"/>
      <c r="L32" s="40">
        <f t="shared" si="3"/>
        <v>54400</v>
      </c>
      <c r="M32" s="40"/>
      <c r="N32" s="40"/>
      <c r="O32" s="40"/>
      <c r="P32" s="40"/>
      <c r="Q32" s="7"/>
      <c r="R32" s="7"/>
      <c r="S32" s="7"/>
      <c r="T32" s="35">
        <f t="shared" si="0"/>
        <v>0</v>
      </c>
      <c r="U32" s="7"/>
    </row>
    <row r="33" spans="1:21" x14ac:dyDescent="0.25">
      <c r="A33" s="7" t="s">
        <v>3235</v>
      </c>
      <c r="B33" s="8">
        <v>43672.456678240742</v>
      </c>
      <c r="C33" s="8">
        <v>44208</v>
      </c>
      <c r="D33" s="9">
        <v>34018387</v>
      </c>
      <c r="E33" s="7" t="e">
        <f>VLOOKUP(A33,DEVOLUCIONES!A$1:A$231,1,0)</f>
        <v>#N/A</v>
      </c>
      <c r="F33" s="7" t="e">
        <f>VLOOKUP(A33,'GLOSAS X CONCILIAR'!$A$1:$A$37,1,0)</f>
        <v>#N/A</v>
      </c>
      <c r="G33" s="7" t="e">
        <f>VLOOKUP(A33,'TODAS LAS P'!A:A,1,0)</f>
        <v>#N/A</v>
      </c>
      <c r="H33" s="7" t="e">
        <f>VLOOKUP(A33,PAGOS!A67:$A$1553,1,0)</f>
        <v>#N/A</v>
      </c>
      <c r="I33" s="40"/>
      <c r="J33" s="40"/>
      <c r="K33" s="40"/>
      <c r="L33" s="40">
        <f t="shared" si="3"/>
        <v>34018387</v>
      </c>
      <c r="M33" s="40"/>
      <c r="N33" s="40"/>
      <c r="O33" s="40"/>
      <c r="P33" s="40"/>
      <c r="Q33" s="7"/>
      <c r="R33" s="7"/>
      <c r="S33" s="7"/>
      <c r="T33" s="35">
        <f t="shared" si="0"/>
        <v>0</v>
      </c>
      <c r="U33" s="7"/>
    </row>
    <row r="34" spans="1:21" x14ac:dyDescent="0.25">
      <c r="A34" s="7" t="s">
        <v>3236</v>
      </c>
      <c r="B34" s="8">
        <v>43677.785081018519</v>
      </c>
      <c r="C34" s="8">
        <v>44208</v>
      </c>
      <c r="D34" s="9">
        <v>103800</v>
      </c>
      <c r="E34" s="7" t="e">
        <f>VLOOKUP(A34,DEVOLUCIONES!A$1:A$231,1,0)</f>
        <v>#N/A</v>
      </c>
      <c r="F34" s="7" t="e">
        <f>VLOOKUP(A34,'GLOSAS X CONCILIAR'!$A$1:$A$37,1,0)</f>
        <v>#N/A</v>
      </c>
      <c r="G34" s="7" t="e">
        <f>VLOOKUP(A34,'TODAS LAS P'!A:A,1,0)</f>
        <v>#N/A</v>
      </c>
      <c r="H34" s="7" t="e">
        <f>VLOOKUP(A34,PAGOS!A68:$A$1553,1,0)</f>
        <v>#N/A</v>
      </c>
      <c r="I34" s="40"/>
      <c r="J34" s="40"/>
      <c r="K34" s="40"/>
      <c r="L34" s="40">
        <f t="shared" si="3"/>
        <v>103800</v>
      </c>
      <c r="M34" s="40"/>
      <c r="N34" s="40"/>
      <c r="O34" s="40"/>
      <c r="P34" s="40"/>
      <c r="Q34" s="7"/>
      <c r="R34" s="7"/>
      <c r="S34" s="7"/>
      <c r="T34" s="35">
        <f t="shared" si="0"/>
        <v>0</v>
      </c>
      <c r="U34" s="7"/>
    </row>
    <row r="35" spans="1:21" x14ac:dyDescent="0.25">
      <c r="A35" s="7" t="s">
        <v>3237</v>
      </c>
      <c r="B35" s="8">
        <v>43678.197557870371</v>
      </c>
      <c r="C35" s="8">
        <v>43689</v>
      </c>
      <c r="D35" s="9">
        <v>105064</v>
      </c>
      <c r="E35" s="7" t="str">
        <f>VLOOKUP(A35,DEVOLUCIONES!A$1:A$231,1,0)</f>
        <v>HSRF3817847</v>
      </c>
      <c r="F35" s="7" t="e">
        <f>VLOOKUP(A35,'GLOSAS X CONCILIAR'!$A$1:$A$37,1,0)</f>
        <v>#N/A</v>
      </c>
      <c r="G35" s="7" t="e">
        <f>VLOOKUP(A35,'TODAS LAS P'!A:A,1,0)</f>
        <v>#N/A</v>
      </c>
      <c r="H35" s="7" t="e">
        <f>VLOOKUP(A35,PAGOS!A69:$A$1553,1,0)</f>
        <v>#N/A</v>
      </c>
      <c r="I35" s="40"/>
      <c r="J35" s="40">
        <f>D35</f>
        <v>105064</v>
      </c>
      <c r="K35" s="40"/>
      <c r="L35" s="40"/>
      <c r="M35" s="40"/>
      <c r="N35" s="40"/>
      <c r="O35" s="40"/>
      <c r="P35" s="40"/>
      <c r="Q35" s="7" t="str">
        <f>VLOOKUP(A35,DEVOLUCIONES!A$1:B$231,2,0)</f>
        <v>DF-08555556293194</v>
      </c>
      <c r="R35" s="7"/>
      <c r="S35" s="7" t="str">
        <f>VLOOKUP(A35,DEVOLUCIONES!A$1:H$231,8,0)</f>
        <v>SE HACE DEVOLUCION DE FACTURA CON TODOS SUS ANEXOS YA QUE NO SE ENCUENTRA LA ATENCION EN LOS PORTALES DE INFORMACION</v>
      </c>
      <c r="T35" s="35">
        <f t="shared" si="0"/>
        <v>0</v>
      </c>
      <c r="U35" s="7"/>
    </row>
    <row r="36" spans="1:21" x14ac:dyDescent="0.25">
      <c r="A36" s="7" t="s">
        <v>3238</v>
      </c>
      <c r="B36" s="8">
        <v>43678.704085648147</v>
      </c>
      <c r="C36" s="8">
        <v>44208</v>
      </c>
      <c r="D36" s="9">
        <v>105397</v>
      </c>
      <c r="E36" s="7" t="e">
        <f>VLOOKUP(A36,DEVOLUCIONES!A$1:A$231,1,0)</f>
        <v>#N/A</v>
      </c>
      <c r="F36" s="7" t="e">
        <f>VLOOKUP(A36,'GLOSAS X CONCILIAR'!$A$1:$A$37,1,0)</f>
        <v>#N/A</v>
      </c>
      <c r="G36" s="7" t="e">
        <f>VLOOKUP(A36,'TODAS LAS P'!A:A,1,0)</f>
        <v>#N/A</v>
      </c>
      <c r="H36" s="7" t="e">
        <f>VLOOKUP(A36,PAGOS!A70:$A$1553,1,0)</f>
        <v>#N/A</v>
      </c>
      <c r="I36" s="40"/>
      <c r="J36" s="40"/>
      <c r="K36" s="40"/>
      <c r="L36" s="40">
        <f t="shared" ref="L36:L43" si="4">D36</f>
        <v>105397</v>
      </c>
      <c r="M36" s="40"/>
      <c r="N36" s="40"/>
      <c r="O36" s="40"/>
      <c r="P36" s="40"/>
      <c r="Q36" s="7"/>
      <c r="R36" s="7"/>
      <c r="S36" s="7"/>
      <c r="T36" s="35">
        <f t="shared" si="0"/>
        <v>0</v>
      </c>
      <c r="U36" s="7"/>
    </row>
    <row r="37" spans="1:21" x14ac:dyDescent="0.25">
      <c r="A37" s="7" t="s">
        <v>3239</v>
      </c>
      <c r="B37" s="8">
        <v>43679.061712962961</v>
      </c>
      <c r="C37" s="8">
        <v>44045</v>
      </c>
      <c r="D37" s="9">
        <v>285950</v>
      </c>
      <c r="E37" s="7" t="e">
        <f>VLOOKUP(A37,DEVOLUCIONES!A$1:A$231,1,0)</f>
        <v>#N/A</v>
      </c>
      <c r="F37" s="7" t="e">
        <f>VLOOKUP(A37,'GLOSAS X CONCILIAR'!$A$1:$A$37,1,0)</f>
        <v>#N/A</v>
      </c>
      <c r="G37" s="7" t="e">
        <f>VLOOKUP(A37,'TODAS LAS P'!A:A,1,0)</f>
        <v>#N/A</v>
      </c>
      <c r="H37" s="7" t="e">
        <f>VLOOKUP(A37,PAGOS!A71:$A$1553,1,0)</f>
        <v>#N/A</v>
      </c>
      <c r="I37" s="40"/>
      <c r="J37" s="40"/>
      <c r="K37" s="40"/>
      <c r="L37" s="40">
        <f t="shared" si="4"/>
        <v>285950</v>
      </c>
      <c r="M37" s="40"/>
      <c r="N37" s="40"/>
      <c r="O37" s="40"/>
      <c r="P37" s="40"/>
      <c r="Q37" s="7"/>
      <c r="R37" s="7"/>
      <c r="S37" s="7"/>
      <c r="T37" s="35">
        <f t="shared" si="0"/>
        <v>0</v>
      </c>
      <c r="U37" s="7"/>
    </row>
    <row r="38" spans="1:21" x14ac:dyDescent="0.25">
      <c r="A38" s="7" t="s">
        <v>3240</v>
      </c>
      <c r="B38" s="8">
        <v>43679.693483796298</v>
      </c>
      <c r="C38" s="8">
        <v>44045</v>
      </c>
      <c r="D38" s="9">
        <v>54400</v>
      </c>
      <c r="E38" s="7" t="e">
        <f>VLOOKUP(A38,DEVOLUCIONES!A$1:A$231,1,0)</f>
        <v>#N/A</v>
      </c>
      <c r="F38" s="7" t="e">
        <f>VLOOKUP(A38,'GLOSAS X CONCILIAR'!$A$1:$A$37,1,0)</f>
        <v>#N/A</v>
      </c>
      <c r="G38" s="7" t="e">
        <f>VLOOKUP(A38,'TODAS LAS P'!A:A,1,0)</f>
        <v>#N/A</v>
      </c>
      <c r="H38" s="7" t="e">
        <f>VLOOKUP(A38,PAGOS!A72:$A$1553,1,0)</f>
        <v>#N/A</v>
      </c>
      <c r="I38" s="40"/>
      <c r="J38" s="40"/>
      <c r="K38" s="40"/>
      <c r="L38" s="40">
        <f t="shared" si="4"/>
        <v>54400</v>
      </c>
      <c r="M38" s="40"/>
      <c r="N38" s="40"/>
      <c r="O38" s="40"/>
      <c r="P38" s="40"/>
      <c r="Q38" s="7"/>
      <c r="R38" s="7"/>
      <c r="S38" s="7"/>
      <c r="T38" s="35">
        <f t="shared" si="0"/>
        <v>0</v>
      </c>
      <c r="U38" s="7"/>
    </row>
    <row r="39" spans="1:21" x14ac:dyDescent="0.25">
      <c r="A39" s="7" t="s">
        <v>3241</v>
      </c>
      <c r="B39" s="8">
        <v>43684.207476851851</v>
      </c>
      <c r="C39" s="8">
        <v>44045</v>
      </c>
      <c r="D39" s="9">
        <v>81540</v>
      </c>
      <c r="E39" s="7" t="e">
        <f>VLOOKUP(A39,DEVOLUCIONES!A$1:A$231,1,0)</f>
        <v>#N/A</v>
      </c>
      <c r="F39" s="7" t="e">
        <f>VLOOKUP(A39,'GLOSAS X CONCILIAR'!$A$1:$A$37,1,0)</f>
        <v>#N/A</v>
      </c>
      <c r="G39" s="7" t="e">
        <f>VLOOKUP(A39,'TODAS LAS P'!A:A,1,0)</f>
        <v>#N/A</v>
      </c>
      <c r="H39" s="7" t="e">
        <f>VLOOKUP(A39,PAGOS!A73:$A$1553,1,0)</f>
        <v>#N/A</v>
      </c>
      <c r="I39" s="40"/>
      <c r="J39" s="40"/>
      <c r="K39" s="40"/>
      <c r="L39" s="40">
        <f t="shared" si="4"/>
        <v>81540</v>
      </c>
      <c r="M39" s="40"/>
      <c r="N39" s="40"/>
      <c r="O39" s="40"/>
      <c r="P39" s="40"/>
      <c r="Q39" s="7"/>
      <c r="R39" s="7"/>
      <c r="S39" s="7"/>
      <c r="T39" s="35">
        <f t="shared" si="0"/>
        <v>0</v>
      </c>
      <c r="U39" s="7"/>
    </row>
    <row r="40" spans="1:21" x14ac:dyDescent="0.25">
      <c r="A40" s="7" t="s">
        <v>3242</v>
      </c>
      <c r="B40" s="8">
        <v>43686.652905092589</v>
      </c>
      <c r="C40" s="8">
        <v>44045</v>
      </c>
      <c r="D40" s="9">
        <v>1428161</v>
      </c>
      <c r="E40" s="7" t="e">
        <f>VLOOKUP(A40,DEVOLUCIONES!A$1:A$231,1,0)</f>
        <v>#N/A</v>
      </c>
      <c r="F40" s="7" t="e">
        <f>VLOOKUP(A40,'GLOSAS X CONCILIAR'!$A$1:$A$37,1,0)</f>
        <v>#N/A</v>
      </c>
      <c r="G40" s="7" t="e">
        <f>VLOOKUP(A40,'TODAS LAS P'!A:A,1,0)</f>
        <v>#N/A</v>
      </c>
      <c r="H40" s="7" t="e">
        <f>VLOOKUP(A40,PAGOS!A74:$A$1553,1,0)</f>
        <v>#N/A</v>
      </c>
      <c r="I40" s="40"/>
      <c r="J40" s="40"/>
      <c r="K40" s="40"/>
      <c r="L40" s="40">
        <f t="shared" si="4"/>
        <v>1428161</v>
      </c>
      <c r="M40" s="40"/>
      <c r="N40" s="40"/>
      <c r="O40" s="40"/>
      <c r="P40" s="40"/>
      <c r="Q40" s="7"/>
      <c r="R40" s="7"/>
      <c r="S40" s="7"/>
      <c r="T40" s="35">
        <f t="shared" si="0"/>
        <v>0</v>
      </c>
      <c r="U40" s="7"/>
    </row>
    <row r="41" spans="1:21" x14ac:dyDescent="0.25">
      <c r="A41" s="7" t="s">
        <v>3243</v>
      </c>
      <c r="B41" s="8">
        <v>43687.681828703702</v>
      </c>
      <c r="C41" s="8">
        <v>44045</v>
      </c>
      <c r="D41" s="9">
        <v>1151116</v>
      </c>
      <c r="E41" s="7" t="e">
        <f>VLOOKUP(A41,DEVOLUCIONES!A$1:A$231,1,0)</f>
        <v>#N/A</v>
      </c>
      <c r="F41" s="7" t="e">
        <f>VLOOKUP(A41,'GLOSAS X CONCILIAR'!$A$1:$A$37,1,0)</f>
        <v>#N/A</v>
      </c>
      <c r="G41" s="7" t="e">
        <f>VLOOKUP(A41,'TODAS LAS P'!A:A,1,0)</f>
        <v>#N/A</v>
      </c>
      <c r="H41" s="7" t="e">
        <f>VLOOKUP(A41,PAGOS!A75:$A$1553,1,0)</f>
        <v>#N/A</v>
      </c>
      <c r="I41" s="40"/>
      <c r="J41" s="40"/>
      <c r="K41" s="40"/>
      <c r="L41" s="40">
        <f t="shared" si="4"/>
        <v>1151116</v>
      </c>
      <c r="M41" s="40"/>
      <c r="N41" s="40"/>
      <c r="O41" s="40"/>
      <c r="P41" s="40"/>
      <c r="Q41" s="7"/>
      <c r="R41" s="7"/>
      <c r="S41" s="7"/>
      <c r="T41" s="35">
        <f t="shared" si="0"/>
        <v>0</v>
      </c>
      <c r="U41" s="7"/>
    </row>
    <row r="42" spans="1:21" x14ac:dyDescent="0.25">
      <c r="A42" s="7" t="s">
        <v>3244</v>
      </c>
      <c r="B42" s="8">
        <v>43688.034270833334</v>
      </c>
      <c r="C42" s="8">
        <v>44045</v>
      </c>
      <c r="D42" s="9">
        <v>187234</v>
      </c>
      <c r="E42" s="7" t="e">
        <f>VLOOKUP(A42,DEVOLUCIONES!A$1:A$231,1,0)</f>
        <v>#N/A</v>
      </c>
      <c r="F42" s="7" t="e">
        <f>VLOOKUP(A42,'GLOSAS X CONCILIAR'!$A$1:$A$37,1,0)</f>
        <v>#N/A</v>
      </c>
      <c r="G42" s="7" t="e">
        <f>VLOOKUP(A42,'TODAS LAS P'!A:A,1,0)</f>
        <v>#N/A</v>
      </c>
      <c r="H42" s="7" t="e">
        <f>VLOOKUP(A42,PAGOS!A76:$A$1553,1,0)</f>
        <v>#N/A</v>
      </c>
      <c r="I42" s="40"/>
      <c r="J42" s="40"/>
      <c r="K42" s="40"/>
      <c r="L42" s="40">
        <f t="shared" si="4"/>
        <v>187234</v>
      </c>
      <c r="M42" s="40"/>
      <c r="N42" s="40"/>
      <c r="O42" s="40"/>
      <c r="P42" s="40"/>
      <c r="Q42" s="7"/>
      <c r="R42" s="7"/>
      <c r="S42" s="7"/>
      <c r="T42" s="35">
        <f t="shared" si="0"/>
        <v>0</v>
      </c>
      <c r="U42" s="7"/>
    </row>
    <row r="43" spans="1:21" x14ac:dyDescent="0.25">
      <c r="A43" s="7" t="s">
        <v>3245</v>
      </c>
      <c r="B43" s="8">
        <v>43689.075694444444</v>
      </c>
      <c r="C43" s="8">
        <v>44045</v>
      </c>
      <c r="D43" s="9">
        <v>104208</v>
      </c>
      <c r="E43" s="7" t="e">
        <f>VLOOKUP(A43,DEVOLUCIONES!A$1:A$231,1,0)</f>
        <v>#N/A</v>
      </c>
      <c r="F43" s="7" t="e">
        <f>VLOOKUP(A43,'GLOSAS X CONCILIAR'!$A$1:$A$37,1,0)</f>
        <v>#N/A</v>
      </c>
      <c r="G43" s="7" t="e">
        <f>VLOOKUP(A43,'TODAS LAS P'!A:A,1,0)</f>
        <v>#N/A</v>
      </c>
      <c r="H43" s="7" t="e">
        <f>VLOOKUP(A43,PAGOS!A77:$A$1553,1,0)</f>
        <v>#N/A</v>
      </c>
      <c r="I43" s="40"/>
      <c r="J43" s="40"/>
      <c r="K43" s="40"/>
      <c r="L43" s="40">
        <f t="shared" si="4"/>
        <v>104208</v>
      </c>
      <c r="M43" s="40"/>
      <c r="N43" s="40"/>
      <c r="O43" s="40"/>
      <c r="P43" s="40"/>
      <c r="Q43" s="7"/>
      <c r="R43" s="7"/>
      <c r="S43" s="7"/>
      <c r="T43" s="35">
        <f t="shared" si="0"/>
        <v>0</v>
      </c>
      <c r="U43" s="7"/>
    </row>
    <row r="44" spans="1:21" x14ac:dyDescent="0.25">
      <c r="A44" s="7" t="s">
        <v>3246</v>
      </c>
      <c r="B44" s="8">
        <v>43689.619976851849</v>
      </c>
      <c r="C44" s="8">
        <v>44045</v>
      </c>
      <c r="D44" s="9">
        <v>54300</v>
      </c>
      <c r="E44" s="7" t="str">
        <f>VLOOKUP(A44,DEVOLUCIONES!A$1:A$231,1,0)</f>
        <v>HSRF3824427</v>
      </c>
      <c r="F44" s="7" t="e">
        <f>VLOOKUP(A44,'GLOSAS X CONCILIAR'!$A$1:$A$37,1,0)</f>
        <v>#N/A</v>
      </c>
      <c r="G44" s="7" t="e">
        <f>VLOOKUP(A44,'TODAS LAS P'!A:A,1,0)</f>
        <v>#N/A</v>
      </c>
      <c r="H44" s="7" t="e">
        <f>VLOOKUP(A44,PAGOS!A78:$A$1553,1,0)</f>
        <v>#N/A</v>
      </c>
      <c r="I44" s="40"/>
      <c r="J44" s="40">
        <f>D44</f>
        <v>54300</v>
      </c>
      <c r="K44" s="40"/>
      <c r="L44" s="40"/>
      <c r="M44" s="40"/>
      <c r="N44" s="40"/>
      <c r="O44" s="40"/>
      <c r="P44" s="40"/>
      <c r="Q44" s="7" t="str">
        <f>VLOOKUP(A44,DEVOLUCIONES!A$1:B$231,2,0)</f>
        <v>DF-479238935478</v>
      </c>
      <c r="R44" s="7"/>
      <c r="S44" s="7" t="str">
        <f>VLOOKUP(A44,DEVOLUCIONES!A$1:H$231,8,0)</f>
        <v>Factura no cumple requisitos legales registros individualesde prestacion de servicios (rips)no coinciden en 1 o mas servicios cobrados en la factura los cuales ademas deben registrarse con codigo CUPS y CUM de acuerdo a la resolucion 3495 de 2019 y la 537 del 2020</v>
      </c>
      <c r="T44" s="35">
        <f t="shared" si="0"/>
        <v>0</v>
      </c>
      <c r="U44" s="7"/>
    </row>
    <row r="45" spans="1:21" x14ac:dyDescent="0.25">
      <c r="A45" s="7" t="s">
        <v>3247</v>
      </c>
      <c r="B45" s="8">
        <v>43690.764872685184</v>
      </c>
      <c r="C45" s="8">
        <v>44045</v>
      </c>
      <c r="D45" s="9">
        <v>357903</v>
      </c>
      <c r="E45" s="7" t="e">
        <f>VLOOKUP(A45,DEVOLUCIONES!A$1:A$231,1,0)</f>
        <v>#N/A</v>
      </c>
      <c r="F45" s="7" t="e">
        <f>VLOOKUP(A45,'GLOSAS X CONCILIAR'!$A$1:$A$37,1,0)</f>
        <v>#N/A</v>
      </c>
      <c r="G45" s="7" t="e">
        <f>VLOOKUP(A45,'TODAS LAS P'!A:A,1,0)</f>
        <v>#N/A</v>
      </c>
      <c r="H45" s="7" t="e">
        <f>VLOOKUP(A45,PAGOS!A79:$A$1553,1,0)</f>
        <v>#N/A</v>
      </c>
      <c r="I45" s="40"/>
      <c r="J45" s="40"/>
      <c r="K45" s="40"/>
      <c r="L45" s="40">
        <f t="shared" ref="L45:L108" si="5">D45</f>
        <v>357903</v>
      </c>
      <c r="M45" s="40"/>
      <c r="N45" s="40"/>
      <c r="O45" s="40"/>
      <c r="P45" s="40"/>
      <c r="Q45" s="7"/>
      <c r="R45" s="7"/>
      <c r="S45" s="7"/>
      <c r="T45" s="35">
        <f t="shared" si="0"/>
        <v>0</v>
      </c>
      <c r="U45" s="7"/>
    </row>
    <row r="46" spans="1:21" x14ac:dyDescent="0.25">
      <c r="A46" s="7" t="s">
        <v>3248</v>
      </c>
      <c r="B46" s="8">
        <v>43692.625069444446</v>
      </c>
      <c r="C46" s="8">
        <v>44045</v>
      </c>
      <c r="D46" s="9">
        <v>1695262</v>
      </c>
      <c r="E46" s="7" t="e">
        <f>VLOOKUP(A46,DEVOLUCIONES!A$1:A$231,1,0)</f>
        <v>#N/A</v>
      </c>
      <c r="F46" s="7" t="e">
        <f>VLOOKUP(A46,'GLOSAS X CONCILIAR'!$A$1:$A$37,1,0)</f>
        <v>#N/A</v>
      </c>
      <c r="G46" s="7" t="e">
        <f>VLOOKUP(A46,'TODAS LAS P'!A:A,1,0)</f>
        <v>#N/A</v>
      </c>
      <c r="H46" s="7" t="e">
        <f>VLOOKUP(A46,PAGOS!A80:$A$1553,1,0)</f>
        <v>#N/A</v>
      </c>
      <c r="I46" s="40"/>
      <c r="J46" s="40"/>
      <c r="K46" s="40"/>
      <c r="L46" s="40">
        <f t="shared" si="5"/>
        <v>1695262</v>
      </c>
      <c r="M46" s="40"/>
      <c r="N46" s="40"/>
      <c r="O46" s="40"/>
      <c r="P46" s="40"/>
      <c r="Q46" s="7"/>
      <c r="R46" s="7"/>
      <c r="S46" s="7"/>
      <c r="T46" s="35">
        <f t="shared" si="0"/>
        <v>0</v>
      </c>
      <c r="U46" s="7"/>
    </row>
    <row r="47" spans="1:21" x14ac:dyDescent="0.25">
      <c r="A47" s="7" t="s">
        <v>2922</v>
      </c>
      <c r="B47" s="8">
        <v>43693.481828703705</v>
      </c>
      <c r="C47" s="8">
        <v>44045</v>
      </c>
      <c r="D47" s="9">
        <v>33100</v>
      </c>
      <c r="E47" s="7" t="e">
        <f>VLOOKUP(A47,DEVOLUCIONES!A$1:A$231,1,0)</f>
        <v>#N/A</v>
      </c>
      <c r="F47" s="7" t="e">
        <f>VLOOKUP(A47,'GLOSAS X CONCILIAR'!$A$1:$A$37,1,0)</f>
        <v>#N/A</v>
      </c>
      <c r="G47" s="7" t="e">
        <f>VLOOKUP(A47,'TODAS LAS P'!A:A,1,0)</f>
        <v>#N/A</v>
      </c>
      <c r="H47" s="7" t="e">
        <f>VLOOKUP(A47,PAGOS!A81:$A$1553,1,0)</f>
        <v>#N/A</v>
      </c>
      <c r="I47" s="40"/>
      <c r="J47" s="40"/>
      <c r="K47" s="40"/>
      <c r="L47" s="40">
        <f t="shared" si="5"/>
        <v>33100</v>
      </c>
      <c r="M47" s="40"/>
      <c r="N47" s="40"/>
      <c r="O47" s="40"/>
      <c r="P47" s="40"/>
      <c r="Q47" s="7"/>
      <c r="R47" s="7"/>
      <c r="S47" s="7"/>
      <c r="T47" s="35">
        <f t="shared" si="0"/>
        <v>0</v>
      </c>
      <c r="U47" s="7"/>
    </row>
    <row r="48" spans="1:21" x14ac:dyDescent="0.25">
      <c r="A48" s="7" t="s">
        <v>3249</v>
      </c>
      <c r="B48" s="8">
        <v>43695.898368055554</v>
      </c>
      <c r="C48" s="8">
        <v>44045</v>
      </c>
      <c r="D48" s="9">
        <v>227686</v>
      </c>
      <c r="E48" s="7" t="e">
        <f>VLOOKUP(A48,DEVOLUCIONES!A$1:A$231,1,0)</f>
        <v>#N/A</v>
      </c>
      <c r="F48" s="7" t="e">
        <f>VLOOKUP(A48,'GLOSAS X CONCILIAR'!$A$1:$A$37,1,0)</f>
        <v>#N/A</v>
      </c>
      <c r="G48" s="7" t="e">
        <f>VLOOKUP(A48,'TODAS LAS P'!A:A,1,0)</f>
        <v>#N/A</v>
      </c>
      <c r="H48" s="7" t="e">
        <f>VLOOKUP(A48,PAGOS!A82:$A$1553,1,0)</f>
        <v>#N/A</v>
      </c>
      <c r="I48" s="40"/>
      <c r="J48" s="40"/>
      <c r="K48" s="40"/>
      <c r="L48" s="40">
        <f t="shared" si="5"/>
        <v>227686</v>
      </c>
      <c r="M48" s="40"/>
      <c r="N48" s="40"/>
      <c r="O48" s="40"/>
      <c r="P48" s="40"/>
      <c r="Q48" s="7"/>
      <c r="R48" s="7"/>
      <c r="S48" s="7"/>
      <c r="T48" s="35">
        <f t="shared" si="0"/>
        <v>0</v>
      </c>
      <c r="U48" s="7"/>
    </row>
    <row r="49" spans="1:21" x14ac:dyDescent="0.25">
      <c r="A49" s="7" t="s">
        <v>3250</v>
      </c>
      <c r="B49" s="8">
        <v>43697.547615740739</v>
      </c>
      <c r="C49" s="8">
        <v>44045</v>
      </c>
      <c r="D49" s="9">
        <v>54400</v>
      </c>
      <c r="E49" s="7" t="e">
        <f>VLOOKUP(A49,DEVOLUCIONES!A$1:A$231,1,0)</f>
        <v>#N/A</v>
      </c>
      <c r="F49" s="7" t="e">
        <f>VLOOKUP(A49,'GLOSAS X CONCILIAR'!$A$1:$A$37,1,0)</f>
        <v>#N/A</v>
      </c>
      <c r="G49" s="7" t="e">
        <f>VLOOKUP(A49,'TODAS LAS P'!A:A,1,0)</f>
        <v>#N/A</v>
      </c>
      <c r="H49" s="7" t="e">
        <f>VLOOKUP(A49,PAGOS!A83:$A$1553,1,0)</f>
        <v>#N/A</v>
      </c>
      <c r="I49" s="40"/>
      <c r="J49" s="40"/>
      <c r="K49" s="40"/>
      <c r="L49" s="40">
        <f t="shared" si="5"/>
        <v>54400</v>
      </c>
      <c r="M49" s="40"/>
      <c r="N49" s="40"/>
      <c r="O49" s="40"/>
      <c r="P49" s="40"/>
      <c r="Q49" s="7"/>
      <c r="R49" s="7"/>
      <c r="S49" s="7"/>
      <c r="T49" s="35">
        <f t="shared" si="0"/>
        <v>0</v>
      </c>
      <c r="U49" s="7"/>
    </row>
    <row r="50" spans="1:21" x14ac:dyDescent="0.25">
      <c r="A50" s="7" t="s">
        <v>2923</v>
      </c>
      <c r="B50" s="8">
        <v>43698.41101851852</v>
      </c>
      <c r="C50" s="8">
        <v>44045</v>
      </c>
      <c r="D50" s="9">
        <v>33100</v>
      </c>
      <c r="E50" s="7" t="e">
        <f>VLOOKUP(A50,DEVOLUCIONES!A$1:A$231,1,0)</f>
        <v>#N/A</v>
      </c>
      <c r="F50" s="7" t="e">
        <f>VLOOKUP(A50,'GLOSAS X CONCILIAR'!$A$1:$A$37,1,0)</f>
        <v>#N/A</v>
      </c>
      <c r="G50" s="7" t="e">
        <f>VLOOKUP(A50,'TODAS LAS P'!A:A,1,0)</f>
        <v>#N/A</v>
      </c>
      <c r="H50" s="7" t="e">
        <f>VLOOKUP(A50,PAGOS!A84:$A$1553,1,0)</f>
        <v>#N/A</v>
      </c>
      <c r="I50" s="40"/>
      <c r="J50" s="40"/>
      <c r="K50" s="40"/>
      <c r="L50" s="40">
        <f t="shared" si="5"/>
        <v>33100</v>
      </c>
      <c r="M50" s="40"/>
      <c r="N50" s="40"/>
      <c r="O50" s="40"/>
      <c r="P50" s="40"/>
      <c r="Q50" s="7"/>
      <c r="R50" s="7"/>
      <c r="S50" s="7"/>
      <c r="T50" s="35">
        <f t="shared" si="0"/>
        <v>0</v>
      </c>
      <c r="U50" s="7"/>
    </row>
    <row r="51" spans="1:21" x14ac:dyDescent="0.25">
      <c r="A51" s="7" t="s">
        <v>3251</v>
      </c>
      <c r="B51" s="8">
        <v>43702.765567129631</v>
      </c>
      <c r="C51" s="8">
        <v>44045</v>
      </c>
      <c r="D51" s="9">
        <v>182499</v>
      </c>
      <c r="E51" s="7" t="e">
        <f>VLOOKUP(A51,DEVOLUCIONES!A$1:A$231,1,0)</f>
        <v>#N/A</v>
      </c>
      <c r="F51" s="7" t="e">
        <f>VLOOKUP(A51,'GLOSAS X CONCILIAR'!$A$1:$A$37,1,0)</f>
        <v>#N/A</v>
      </c>
      <c r="G51" s="7" t="e">
        <f>VLOOKUP(A51,'TODAS LAS P'!A:A,1,0)</f>
        <v>#N/A</v>
      </c>
      <c r="H51" s="7" t="e">
        <f>VLOOKUP(A51,PAGOS!A85:$A$1553,1,0)</f>
        <v>#N/A</v>
      </c>
      <c r="I51" s="40"/>
      <c r="J51" s="40"/>
      <c r="K51" s="40"/>
      <c r="L51" s="40">
        <f t="shared" si="5"/>
        <v>182499</v>
      </c>
      <c r="M51" s="40"/>
      <c r="N51" s="40"/>
      <c r="O51" s="40"/>
      <c r="P51" s="40"/>
      <c r="Q51" s="7"/>
      <c r="R51" s="7"/>
      <c r="S51" s="7"/>
      <c r="T51" s="35">
        <f t="shared" si="0"/>
        <v>0</v>
      </c>
      <c r="U51" s="7"/>
    </row>
    <row r="52" spans="1:21" x14ac:dyDescent="0.25">
      <c r="A52" s="7" t="s">
        <v>3252</v>
      </c>
      <c r="B52" s="8">
        <v>43703.45244212963</v>
      </c>
      <c r="C52" s="8">
        <v>44045</v>
      </c>
      <c r="D52" s="9">
        <v>2606985</v>
      </c>
      <c r="E52" s="7" t="e">
        <f>VLOOKUP(A52,DEVOLUCIONES!A$1:A$231,1,0)</f>
        <v>#N/A</v>
      </c>
      <c r="F52" s="7" t="e">
        <f>VLOOKUP(A52,'GLOSAS X CONCILIAR'!$A$1:$A$37,1,0)</f>
        <v>#N/A</v>
      </c>
      <c r="G52" s="7" t="e">
        <f>VLOOKUP(A52,'TODAS LAS P'!A:A,1,0)</f>
        <v>#N/A</v>
      </c>
      <c r="H52" s="7" t="e">
        <f>VLOOKUP(A52,PAGOS!A86:$A$1553,1,0)</f>
        <v>#N/A</v>
      </c>
      <c r="I52" s="40"/>
      <c r="J52" s="40"/>
      <c r="K52" s="40"/>
      <c r="L52" s="40">
        <f t="shared" si="5"/>
        <v>2606985</v>
      </c>
      <c r="M52" s="40"/>
      <c r="N52" s="40"/>
      <c r="O52" s="40"/>
      <c r="P52" s="40"/>
      <c r="Q52" s="7"/>
      <c r="R52" s="7"/>
      <c r="S52" s="7"/>
      <c r="T52" s="35">
        <f t="shared" si="0"/>
        <v>0</v>
      </c>
      <c r="U52" s="7"/>
    </row>
    <row r="53" spans="1:21" x14ac:dyDescent="0.25">
      <c r="A53" s="7" t="s">
        <v>3253</v>
      </c>
      <c r="B53" s="8">
        <v>43703.476967592593</v>
      </c>
      <c r="C53" s="8">
        <v>44045</v>
      </c>
      <c r="D53" s="9">
        <v>274700</v>
      </c>
      <c r="E53" s="7" t="e">
        <f>VLOOKUP(A53,DEVOLUCIONES!A$1:A$231,1,0)</f>
        <v>#N/A</v>
      </c>
      <c r="F53" s="7" t="e">
        <f>VLOOKUP(A53,'GLOSAS X CONCILIAR'!$A$1:$A$37,1,0)</f>
        <v>#N/A</v>
      </c>
      <c r="G53" s="7" t="e">
        <f>VLOOKUP(A53,'TODAS LAS P'!A:A,1,0)</f>
        <v>#N/A</v>
      </c>
      <c r="H53" s="7" t="e">
        <f>VLOOKUP(A53,PAGOS!A87:$A$1553,1,0)</f>
        <v>#N/A</v>
      </c>
      <c r="I53" s="40"/>
      <c r="J53" s="40"/>
      <c r="K53" s="40"/>
      <c r="L53" s="40">
        <f t="shared" si="5"/>
        <v>274700</v>
      </c>
      <c r="M53" s="40"/>
      <c r="N53" s="40"/>
      <c r="O53" s="40"/>
      <c r="P53" s="40"/>
      <c r="Q53" s="7"/>
      <c r="R53" s="7"/>
      <c r="S53" s="7"/>
      <c r="T53" s="35">
        <f t="shared" si="0"/>
        <v>0</v>
      </c>
      <c r="U53" s="7"/>
    </row>
    <row r="54" spans="1:21" x14ac:dyDescent="0.25">
      <c r="A54" s="7" t="s">
        <v>3254</v>
      </c>
      <c r="B54" s="8">
        <v>43703.66609953704</v>
      </c>
      <c r="C54" s="8">
        <v>44045</v>
      </c>
      <c r="D54" s="9">
        <v>54805</v>
      </c>
      <c r="E54" s="7" t="e">
        <f>VLOOKUP(A54,DEVOLUCIONES!A$1:A$231,1,0)</f>
        <v>#N/A</v>
      </c>
      <c r="F54" s="7" t="e">
        <f>VLOOKUP(A54,'GLOSAS X CONCILIAR'!$A$1:$A$37,1,0)</f>
        <v>#N/A</v>
      </c>
      <c r="G54" s="7" t="e">
        <f>VLOOKUP(A54,'TODAS LAS P'!A:A,1,0)</f>
        <v>#N/A</v>
      </c>
      <c r="H54" s="7" t="e">
        <f>VLOOKUP(A54,PAGOS!A88:$A$1553,1,0)</f>
        <v>#N/A</v>
      </c>
      <c r="I54" s="40"/>
      <c r="J54" s="40"/>
      <c r="K54" s="40"/>
      <c r="L54" s="40">
        <f t="shared" si="5"/>
        <v>54805</v>
      </c>
      <c r="M54" s="40"/>
      <c r="N54" s="40"/>
      <c r="O54" s="40"/>
      <c r="P54" s="40"/>
      <c r="Q54" s="7"/>
      <c r="R54" s="7"/>
      <c r="S54" s="7"/>
      <c r="T54" s="35">
        <f t="shared" si="0"/>
        <v>0</v>
      </c>
      <c r="U54" s="7"/>
    </row>
    <row r="55" spans="1:21" x14ac:dyDescent="0.25">
      <c r="A55" s="7" t="s">
        <v>3255</v>
      </c>
      <c r="B55" s="8">
        <v>43705.534826388888</v>
      </c>
      <c r="C55" s="8">
        <v>44045</v>
      </c>
      <c r="D55" s="9">
        <v>55790</v>
      </c>
      <c r="E55" s="7" t="e">
        <f>VLOOKUP(A55,DEVOLUCIONES!A$1:A$231,1,0)</f>
        <v>#N/A</v>
      </c>
      <c r="F55" s="7" t="e">
        <f>VLOOKUP(A55,'GLOSAS X CONCILIAR'!$A$1:$A$37,1,0)</f>
        <v>#N/A</v>
      </c>
      <c r="G55" s="7" t="e">
        <f>VLOOKUP(A55,'TODAS LAS P'!A:A,1,0)</f>
        <v>#N/A</v>
      </c>
      <c r="H55" s="7" t="e">
        <f>VLOOKUP(A55,PAGOS!A89:$A$1553,1,0)</f>
        <v>#N/A</v>
      </c>
      <c r="I55" s="40"/>
      <c r="J55" s="40"/>
      <c r="K55" s="40"/>
      <c r="L55" s="40">
        <f t="shared" si="5"/>
        <v>55790</v>
      </c>
      <c r="M55" s="40"/>
      <c r="N55" s="40"/>
      <c r="O55" s="40"/>
      <c r="P55" s="40"/>
      <c r="Q55" s="7"/>
      <c r="R55" s="7"/>
      <c r="S55" s="7"/>
      <c r="T55" s="35">
        <f t="shared" si="0"/>
        <v>0</v>
      </c>
      <c r="U55" s="7"/>
    </row>
    <row r="56" spans="1:21" x14ac:dyDescent="0.25">
      <c r="A56" s="7" t="s">
        <v>3256</v>
      </c>
      <c r="B56" s="8">
        <v>43705.572511574072</v>
      </c>
      <c r="C56" s="8">
        <v>44045</v>
      </c>
      <c r="D56" s="9">
        <v>54400</v>
      </c>
      <c r="E56" s="7" t="e">
        <f>VLOOKUP(A56,DEVOLUCIONES!A$1:A$231,1,0)</f>
        <v>#N/A</v>
      </c>
      <c r="F56" s="7" t="e">
        <f>VLOOKUP(A56,'GLOSAS X CONCILIAR'!$A$1:$A$37,1,0)</f>
        <v>#N/A</v>
      </c>
      <c r="G56" s="7" t="e">
        <f>VLOOKUP(A56,'TODAS LAS P'!A:A,1,0)</f>
        <v>#N/A</v>
      </c>
      <c r="H56" s="7" t="e">
        <f>VLOOKUP(A56,PAGOS!A90:$A$1553,1,0)</f>
        <v>#N/A</v>
      </c>
      <c r="I56" s="40"/>
      <c r="J56" s="40"/>
      <c r="K56" s="40"/>
      <c r="L56" s="40">
        <f t="shared" si="5"/>
        <v>54400</v>
      </c>
      <c r="M56" s="40"/>
      <c r="N56" s="40"/>
      <c r="O56" s="40"/>
      <c r="P56" s="40"/>
      <c r="Q56" s="7"/>
      <c r="R56" s="7"/>
      <c r="S56" s="7"/>
      <c r="T56" s="35">
        <f t="shared" si="0"/>
        <v>0</v>
      </c>
      <c r="U56" s="7"/>
    </row>
    <row r="57" spans="1:21" x14ac:dyDescent="0.25">
      <c r="A57" s="7" t="s">
        <v>3257</v>
      </c>
      <c r="B57" s="8">
        <v>43706.051203703704</v>
      </c>
      <c r="C57" s="8">
        <v>44045</v>
      </c>
      <c r="D57" s="9">
        <v>208988</v>
      </c>
      <c r="E57" s="7" t="e">
        <f>VLOOKUP(A57,DEVOLUCIONES!A$1:A$231,1,0)</f>
        <v>#N/A</v>
      </c>
      <c r="F57" s="7" t="e">
        <f>VLOOKUP(A57,'GLOSAS X CONCILIAR'!$A$1:$A$37,1,0)</f>
        <v>#N/A</v>
      </c>
      <c r="G57" s="7" t="e">
        <f>VLOOKUP(A57,'TODAS LAS P'!A:A,1,0)</f>
        <v>#N/A</v>
      </c>
      <c r="H57" s="7" t="e">
        <f>VLOOKUP(A57,PAGOS!A91:$A$1553,1,0)</f>
        <v>#N/A</v>
      </c>
      <c r="I57" s="40"/>
      <c r="J57" s="40"/>
      <c r="K57" s="40"/>
      <c r="L57" s="40">
        <f t="shared" si="5"/>
        <v>208988</v>
      </c>
      <c r="M57" s="40"/>
      <c r="N57" s="40"/>
      <c r="O57" s="40"/>
      <c r="P57" s="40"/>
      <c r="Q57" s="7"/>
      <c r="R57" s="7"/>
      <c r="S57" s="7"/>
      <c r="T57" s="35">
        <f t="shared" si="0"/>
        <v>0</v>
      </c>
      <c r="U57" s="7"/>
    </row>
    <row r="58" spans="1:21" x14ac:dyDescent="0.25">
      <c r="A58" s="7" t="s">
        <v>2924</v>
      </c>
      <c r="B58" s="8">
        <v>43707.402604166666</v>
      </c>
      <c r="C58" s="8">
        <v>44045</v>
      </c>
      <c r="D58" s="9">
        <v>33100</v>
      </c>
      <c r="E58" s="7" t="e">
        <f>VLOOKUP(A58,DEVOLUCIONES!A$1:A$231,1,0)</f>
        <v>#N/A</v>
      </c>
      <c r="F58" s="7" t="e">
        <f>VLOOKUP(A58,'GLOSAS X CONCILIAR'!$A$1:$A$37,1,0)</f>
        <v>#N/A</v>
      </c>
      <c r="G58" s="7" t="e">
        <f>VLOOKUP(A58,'TODAS LAS P'!A:A,1,0)</f>
        <v>#N/A</v>
      </c>
      <c r="H58" s="7" t="e">
        <f>VLOOKUP(A58,PAGOS!A92:$A$1553,1,0)</f>
        <v>#N/A</v>
      </c>
      <c r="I58" s="40"/>
      <c r="J58" s="40"/>
      <c r="K58" s="40"/>
      <c r="L58" s="40">
        <f t="shared" si="5"/>
        <v>33100</v>
      </c>
      <c r="M58" s="40"/>
      <c r="N58" s="40"/>
      <c r="O58" s="40"/>
      <c r="P58" s="40"/>
      <c r="Q58" s="7"/>
      <c r="R58" s="7"/>
      <c r="S58" s="7"/>
      <c r="T58" s="35">
        <f t="shared" si="0"/>
        <v>0</v>
      </c>
      <c r="U58" s="7"/>
    </row>
    <row r="59" spans="1:21" x14ac:dyDescent="0.25">
      <c r="A59" s="7" t="s">
        <v>3258</v>
      </c>
      <c r="B59" s="8">
        <v>43708.203761574077</v>
      </c>
      <c r="C59" s="8">
        <v>44045</v>
      </c>
      <c r="D59" s="9">
        <v>209682</v>
      </c>
      <c r="E59" s="7" t="e">
        <f>VLOOKUP(A59,DEVOLUCIONES!A$1:A$231,1,0)</f>
        <v>#N/A</v>
      </c>
      <c r="F59" s="7" t="e">
        <f>VLOOKUP(A59,'GLOSAS X CONCILIAR'!$A$1:$A$37,1,0)</f>
        <v>#N/A</v>
      </c>
      <c r="G59" s="7" t="e">
        <f>VLOOKUP(A59,'TODAS LAS P'!A:A,1,0)</f>
        <v>#N/A</v>
      </c>
      <c r="H59" s="7" t="e">
        <f>VLOOKUP(A59,PAGOS!A93:$A$1553,1,0)</f>
        <v>#N/A</v>
      </c>
      <c r="I59" s="40"/>
      <c r="J59" s="40"/>
      <c r="K59" s="40"/>
      <c r="L59" s="40">
        <f t="shared" si="5"/>
        <v>209682</v>
      </c>
      <c r="M59" s="40"/>
      <c r="N59" s="40"/>
      <c r="O59" s="40"/>
      <c r="P59" s="40"/>
      <c r="Q59" s="7"/>
      <c r="R59" s="7"/>
      <c r="S59" s="7"/>
      <c r="T59" s="35">
        <f t="shared" si="0"/>
        <v>0</v>
      </c>
      <c r="U59" s="7"/>
    </row>
    <row r="60" spans="1:21" x14ac:dyDescent="0.25">
      <c r="A60" s="7" t="s">
        <v>3259</v>
      </c>
      <c r="B60" s="8">
        <v>43708.240752314814</v>
      </c>
      <c r="C60" s="8">
        <v>44045</v>
      </c>
      <c r="D60" s="9">
        <v>180587</v>
      </c>
      <c r="E60" s="7" t="e">
        <f>VLOOKUP(A60,DEVOLUCIONES!A$1:A$231,1,0)</f>
        <v>#N/A</v>
      </c>
      <c r="F60" s="7" t="e">
        <f>VLOOKUP(A60,'GLOSAS X CONCILIAR'!$A$1:$A$37,1,0)</f>
        <v>#N/A</v>
      </c>
      <c r="G60" s="7" t="e">
        <f>VLOOKUP(A60,'TODAS LAS P'!A:A,1,0)</f>
        <v>#N/A</v>
      </c>
      <c r="H60" s="7" t="e">
        <f>VLOOKUP(A60,PAGOS!A94:$A$1553,1,0)</f>
        <v>#N/A</v>
      </c>
      <c r="I60" s="40"/>
      <c r="J60" s="40"/>
      <c r="K60" s="40"/>
      <c r="L60" s="40">
        <f t="shared" si="5"/>
        <v>180587</v>
      </c>
      <c r="M60" s="40"/>
      <c r="N60" s="40"/>
      <c r="O60" s="40"/>
      <c r="P60" s="40"/>
      <c r="Q60" s="7"/>
      <c r="R60" s="7"/>
      <c r="S60" s="7"/>
      <c r="T60" s="35">
        <f t="shared" si="0"/>
        <v>0</v>
      </c>
      <c r="U60" s="7"/>
    </row>
    <row r="61" spans="1:21" x14ac:dyDescent="0.25">
      <c r="A61" s="7" t="s">
        <v>3260</v>
      </c>
      <c r="B61" s="8">
        <v>43708.563032407408</v>
      </c>
      <c r="C61" s="8">
        <v>44045</v>
      </c>
      <c r="D61" s="9">
        <v>191761</v>
      </c>
      <c r="E61" s="7" t="e">
        <f>VLOOKUP(A61,DEVOLUCIONES!A$1:A$231,1,0)</f>
        <v>#N/A</v>
      </c>
      <c r="F61" s="7" t="e">
        <f>VLOOKUP(A61,'GLOSAS X CONCILIAR'!$A$1:$A$37,1,0)</f>
        <v>#N/A</v>
      </c>
      <c r="G61" s="7" t="e">
        <f>VLOOKUP(A61,'TODAS LAS P'!A:A,1,0)</f>
        <v>#N/A</v>
      </c>
      <c r="H61" s="7" t="e">
        <f>VLOOKUP(A61,PAGOS!A95:$A$1553,1,0)</f>
        <v>#N/A</v>
      </c>
      <c r="I61" s="40"/>
      <c r="J61" s="40"/>
      <c r="K61" s="40"/>
      <c r="L61" s="40">
        <f t="shared" si="5"/>
        <v>191761</v>
      </c>
      <c r="M61" s="40"/>
      <c r="N61" s="40"/>
      <c r="O61" s="40"/>
      <c r="P61" s="40"/>
      <c r="Q61" s="7"/>
      <c r="R61" s="7"/>
      <c r="S61" s="7"/>
      <c r="T61" s="35">
        <f t="shared" si="0"/>
        <v>0</v>
      </c>
      <c r="U61" s="7"/>
    </row>
    <row r="62" spans="1:21" x14ac:dyDescent="0.25">
      <c r="A62" s="7" t="s">
        <v>3261</v>
      </c>
      <c r="B62" s="8">
        <v>43709.694513888891</v>
      </c>
      <c r="C62" s="8">
        <v>44208</v>
      </c>
      <c r="D62" s="9">
        <v>55698</v>
      </c>
      <c r="E62" s="7" t="e">
        <f>VLOOKUP(A62,DEVOLUCIONES!A$1:A$231,1,0)</f>
        <v>#N/A</v>
      </c>
      <c r="F62" s="7" t="e">
        <f>VLOOKUP(A62,'GLOSAS X CONCILIAR'!$A$1:$A$37,1,0)</f>
        <v>#N/A</v>
      </c>
      <c r="G62" s="7" t="e">
        <f>VLOOKUP(A62,'TODAS LAS P'!A:A,1,0)</f>
        <v>#N/A</v>
      </c>
      <c r="H62" s="7" t="e">
        <f>VLOOKUP(A62,PAGOS!A96:$A$1553,1,0)</f>
        <v>#N/A</v>
      </c>
      <c r="I62" s="40"/>
      <c r="J62" s="40"/>
      <c r="K62" s="40"/>
      <c r="L62" s="40">
        <f t="shared" si="5"/>
        <v>55698</v>
      </c>
      <c r="M62" s="40"/>
      <c r="N62" s="40"/>
      <c r="O62" s="40"/>
      <c r="P62" s="40"/>
      <c r="Q62" s="7"/>
      <c r="R62" s="7"/>
      <c r="S62" s="7"/>
      <c r="T62" s="35">
        <f t="shared" si="0"/>
        <v>0</v>
      </c>
      <c r="U62" s="7"/>
    </row>
    <row r="63" spans="1:21" x14ac:dyDescent="0.25">
      <c r="A63" s="7" t="s">
        <v>3262</v>
      </c>
      <c r="B63" s="8">
        <v>43710.659560185188</v>
      </c>
      <c r="C63" s="8">
        <v>44045</v>
      </c>
      <c r="D63" s="9">
        <v>54708</v>
      </c>
      <c r="E63" s="7" t="e">
        <f>VLOOKUP(A63,DEVOLUCIONES!A$1:A$231,1,0)</f>
        <v>#N/A</v>
      </c>
      <c r="F63" s="7" t="e">
        <f>VLOOKUP(A63,'GLOSAS X CONCILIAR'!$A$1:$A$37,1,0)</f>
        <v>#N/A</v>
      </c>
      <c r="G63" s="7" t="e">
        <f>VLOOKUP(A63,'TODAS LAS P'!A:A,1,0)</f>
        <v>#N/A</v>
      </c>
      <c r="H63" s="7" t="e">
        <f>VLOOKUP(A63,PAGOS!A97:$A$1553,1,0)</f>
        <v>#N/A</v>
      </c>
      <c r="I63" s="40"/>
      <c r="J63" s="40"/>
      <c r="K63" s="40"/>
      <c r="L63" s="40">
        <f t="shared" si="5"/>
        <v>54708</v>
      </c>
      <c r="M63" s="40"/>
      <c r="N63" s="40"/>
      <c r="O63" s="40"/>
      <c r="P63" s="40"/>
      <c r="Q63" s="7"/>
      <c r="R63" s="7"/>
      <c r="S63" s="7"/>
      <c r="T63" s="35">
        <f t="shared" si="0"/>
        <v>0</v>
      </c>
      <c r="U63" s="7"/>
    </row>
    <row r="64" spans="1:21" x14ac:dyDescent="0.25">
      <c r="A64" s="7" t="s">
        <v>3263</v>
      </c>
      <c r="B64" s="8">
        <v>43712.285462962966</v>
      </c>
      <c r="C64" s="8">
        <v>44208</v>
      </c>
      <c r="D64" s="9">
        <v>10200</v>
      </c>
      <c r="E64" s="7" t="e">
        <f>VLOOKUP(A64,DEVOLUCIONES!A$1:A$231,1,0)</f>
        <v>#N/A</v>
      </c>
      <c r="F64" s="7" t="e">
        <f>VLOOKUP(A64,'GLOSAS X CONCILIAR'!$A$1:$A$37,1,0)</f>
        <v>#N/A</v>
      </c>
      <c r="G64" s="7" t="e">
        <f>VLOOKUP(A64,'TODAS LAS P'!A:A,1,0)</f>
        <v>#N/A</v>
      </c>
      <c r="H64" s="7" t="e">
        <f>VLOOKUP(A64,PAGOS!A98:$A$1553,1,0)</f>
        <v>#N/A</v>
      </c>
      <c r="I64" s="40"/>
      <c r="J64" s="40"/>
      <c r="K64" s="40"/>
      <c r="L64" s="40">
        <f t="shared" si="5"/>
        <v>10200</v>
      </c>
      <c r="M64" s="40"/>
      <c r="N64" s="40"/>
      <c r="O64" s="40"/>
      <c r="P64" s="40"/>
      <c r="Q64" s="7"/>
      <c r="R64" s="7"/>
      <c r="S64" s="7"/>
      <c r="T64" s="35">
        <f t="shared" si="0"/>
        <v>0</v>
      </c>
      <c r="U64" s="7"/>
    </row>
    <row r="65" spans="1:21" x14ac:dyDescent="0.25">
      <c r="A65" s="7" t="s">
        <v>3264</v>
      </c>
      <c r="B65" s="8">
        <v>43712.308009259257</v>
      </c>
      <c r="C65" s="8">
        <v>44208</v>
      </c>
      <c r="D65" s="9">
        <v>537300</v>
      </c>
      <c r="E65" s="7" t="e">
        <f>VLOOKUP(A65,DEVOLUCIONES!A$1:A$231,1,0)</f>
        <v>#N/A</v>
      </c>
      <c r="F65" s="7" t="e">
        <f>VLOOKUP(A65,'GLOSAS X CONCILIAR'!$A$1:$A$37,1,0)</f>
        <v>#N/A</v>
      </c>
      <c r="G65" s="7" t="e">
        <f>VLOOKUP(A65,'TODAS LAS P'!A:A,1,0)</f>
        <v>#N/A</v>
      </c>
      <c r="H65" s="7" t="e">
        <f>VLOOKUP(A65,PAGOS!A99:$A$1553,1,0)</f>
        <v>#N/A</v>
      </c>
      <c r="I65" s="40"/>
      <c r="J65" s="40"/>
      <c r="K65" s="40"/>
      <c r="L65" s="40">
        <f t="shared" si="5"/>
        <v>537300</v>
      </c>
      <c r="M65" s="40"/>
      <c r="N65" s="40"/>
      <c r="O65" s="40"/>
      <c r="P65" s="40"/>
      <c r="Q65" s="7"/>
      <c r="R65" s="7"/>
      <c r="S65" s="7"/>
      <c r="T65" s="35">
        <f t="shared" si="0"/>
        <v>0</v>
      </c>
      <c r="U65" s="7"/>
    </row>
    <row r="66" spans="1:21" x14ac:dyDescent="0.25">
      <c r="A66" s="7" t="s">
        <v>3265</v>
      </c>
      <c r="B66" s="8">
        <v>43712.60052083333</v>
      </c>
      <c r="C66" s="8">
        <v>44208</v>
      </c>
      <c r="D66" s="9">
        <v>88600</v>
      </c>
      <c r="E66" s="7" t="e">
        <f>VLOOKUP(A66,DEVOLUCIONES!A$1:A$231,1,0)</f>
        <v>#N/A</v>
      </c>
      <c r="F66" s="7" t="e">
        <f>VLOOKUP(A66,'GLOSAS X CONCILIAR'!$A$1:$A$37,1,0)</f>
        <v>#N/A</v>
      </c>
      <c r="G66" s="7" t="e">
        <f>VLOOKUP(A66,'TODAS LAS P'!A:A,1,0)</f>
        <v>#N/A</v>
      </c>
      <c r="H66" s="7" t="e">
        <f>VLOOKUP(A66,PAGOS!A100:$A$1553,1,0)</f>
        <v>#N/A</v>
      </c>
      <c r="I66" s="40"/>
      <c r="J66" s="40"/>
      <c r="K66" s="40"/>
      <c r="L66" s="40">
        <f t="shared" si="5"/>
        <v>88600</v>
      </c>
      <c r="M66" s="40"/>
      <c r="N66" s="40"/>
      <c r="O66" s="40"/>
      <c r="P66" s="40"/>
      <c r="Q66" s="7"/>
      <c r="R66" s="7"/>
      <c r="S66" s="7"/>
      <c r="T66" s="35">
        <f t="shared" si="0"/>
        <v>0</v>
      </c>
      <c r="U66" s="7"/>
    </row>
    <row r="67" spans="1:21" x14ac:dyDescent="0.25">
      <c r="A67" s="7" t="s">
        <v>3266</v>
      </c>
      <c r="B67" s="8">
        <v>43713.577685185184</v>
      </c>
      <c r="C67" s="8">
        <v>44208</v>
      </c>
      <c r="D67" s="9">
        <v>54400</v>
      </c>
      <c r="E67" s="7" t="e">
        <f>VLOOKUP(A67,DEVOLUCIONES!A$1:A$231,1,0)</f>
        <v>#N/A</v>
      </c>
      <c r="F67" s="7" t="e">
        <f>VLOOKUP(A67,'GLOSAS X CONCILIAR'!$A$1:$A$37,1,0)</f>
        <v>#N/A</v>
      </c>
      <c r="G67" s="7" t="e">
        <f>VLOOKUP(A67,'TODAS LAS P'!A:A,1,0)</f>
        <v>#N/A</v>
      </c>
      <c r="H67" s="7" t="e">
        <f>VLOOKUP(A67,PAGOS!A101:$A$1553,1,0)</f>
        <v>#N/A</v>
      </c>
      <c r="I67" s="40"/>
      <c r="J67" s="40"/>
      <c r="K67" s="40"/>
      <c r="L67" s="40">
        <f t="shared" si="5"/>
        <v>54400</v>
      </c>
      <c r="M67" s="40"/>
      <c r="N67" s="40"/>
      <c r="O67" s="40"/>
      <c r="P67" s="40"/>
      <c r="Q67" s="7"/>
      <c r="R67" s="7"/>
      <c r="S67" s="7"/>
      <c r="T67" s="35">
        <f t="shared" ref="T67:T130" si="6">D67-SUM(I67:Q67)</f>
        <v>0</v>
      </c>
      <c r="U67" s="7"/>
    </row>
    <row r="68" spans="1:21" x14ac:dyDescent="0.25">
      <c r="A68" s="7" t="s">
        <v>3267</v>
      </c>
      <c r="B68" s="8">
        <v>43715.742280092592</v>
      </c>
      <c r="C68" s="8">
        <v>44208</v>
      </c>
      <c r="D68" s="9">
        <v>54400</v>
      </c>
      <c r="E68" s="7" t="e">
        <f>VLOOKUP(A68,DEVOLUCIONES!A$1:A$231,1,0)</f>
        <v>#N/A</v>
      </c>
      <c r="F68" s="7" t="e">
        <f>VLOOKUP(A68,'GLOSAS X CONCILIAR'!$A$1:$A$37,1,0)</f>
        <v>#N/A</v>
      </c>
      <c r="G68" s="7" t="e">
        <f>VLOOKUP(A68,'TODAS LAS P'!A:A,1,0)</f>
        <v>#N/A</v>
      </c>
      <c r="H68" s="7" t="e">
        <f>VLOOKUP(A68,PAGOS!A102:$A$1553,1,0)</f>
        <v>#N/A</v>
      </c>
      <c r="I68" s="40"/>
      <c r="J68" s="40"/>
      <c r="K68" s="40"/>
      <c r="L68" s="40">
        <f t="shared" si="5"/>
        <v>54400</v>
      </c>
      <c r="M68" s="40"/>
      <c r="N68" s="40"/>
      <c r="O68" s="40"/>
      <c r="P68" s="40"/>
      <c r="Q68" s="7"/>
      <c r="R68" s="7"/>
      <c r="S68" s="7"/>
      <c r="T68" s="35">
        <f t="shared" si="6"/>
        <v>0</v>
      </c>
      <c r="U68" s="7"/>
    </row>
    <row r="69" spans="1:21" x14ac:dyDescent="0.25">
      <c r="A69" s="7" t="s">
        <v>3268</v>
      </c>
      <c r="B69" s="8">
        <v>43719.401099537034</v>
      </c>
      <c r="C69" s="8">
        <v>44208</v>
      </c>
      <c r="D69" s="9">
        <v>455260</v>
      </c>
      <c r="E69" s="7" t="e">
        <f>VLOOKUP(A69,DEVOLUCIONES!A$1:A$231,1,0)</f>
        <v>#N/A</v>
      </c>
      <c r="F69" s="7" t="e">
        <f>VLOOKUP(A69,'GLOSAS X CONCILIAR'!$A$1:$A$37,1,0)</f>
        <v>#N/A</v>
      </c>
      <c r="G69" s="7" t="e">
        <f>VLOOKUP(A69,'TODAS LAS P'!A:A,1,0)</f>
        <v>#N/A</v>
      </c>
      <c r="H69" s="7" t="e">
        <f>VLOOKUP(A69,PAGOS!A103:$A$1553,1,0)</f>
        <v>#N/A</v>
      </c>
      <c r="I69" s="40"/>
      <c r="J69" s="40"/>
      <c r="K69" s="40"/>
      <c r="L69" s="40">
        <f t="shared" si="5"/>
        <v>455260</v>
      </c>
      <c r="M69" s="40"/>
      <c r="N69" s="40"/>
      <c r="O69" s="40"/>
      <c r="P69" s="40"/>
      <c r="Q69" s="7"/>
      <c r="R69" s="7"/>
      <c r="S69" s="7"/>
      <c r="T69" s="35">
        <f t="shared" si="6"/>
        <v>0</v>
      </c>
      <c r="U69" s="7"/>
    </row>
    <row r="70" spans="1:21" x14ac:dyDescent="0.25">
      <c r="A70" s="7" t="s">
        <v>3269</v>
      </c>
      <c r="B70" s="8">
        <v>43722.11136574074</v>
      </c>
      <c r="C70" s="8">
        <v>44208</v>
      </c>
      <c r="D70" s="9">
        <v>162898</v>
      </c>
      <c r="E70" s="7" t="e">
        <f>VLOOKUP(A70,DEVOLUCIONES!A$1:A$231,1,0)</f>
        <v>#N/A</v>
      </c>
      <c r="F70" s="7" t="e">
        <f>VLOOKUP(A70,'GLOSAS X CONCILIAR'!$A$1:$A$37,1,0)</f>
        <v>#N/A</v>
      </c>
      <c r="G70" s="7" t="e">
        <f>VLOOKUP(A70,'TODAS LAS P'!A:A,1,0)</f>
        <v>#N/A</v>
      </c>
      <c r="H70" s="7" t="e">
        <f>VLOOKUP(A70,PAGOS!A104:$A$1553,1,0)</f>
        <v>#N/A</v>
      </c>
      <c r="I70" s="40"/>
      <c r="J70" s="40"/>
      <c r="K70" s="40"/>
      <c r="L70" s="40">
        <f t="shared" si="5"/>
        <v>162898</v>
      </c>
      <c r="M70" s="40"/>
      <c r="N70" s="40"/>
      <c r="O70" s="40"/>
      <c r="P70" s="40"/>
      <c r="Q70" s="7"/>
      <c r="R70" s="7"/>
      <c r="S70" s="7"/>
      <c r="T70" s="35">
        <f t="shared" si="6"/>
        <v>0</v>
      </c>
      <c r="U70" s="7"/>
    </row>
    <row r="71" spans="1:21" x14ac:dyDescent="0.25">
      <c r="A71" s="7" t="s">
        <v>3270</v>
      </c>
      <c r="B71" s="8">
        <v>43722.764560185184</v>
      </c>
      <c r="C71" s="8">
        <v>44208</v>
      </c>
      <c r="D71" s="9">
        <v>154400</v>
      </c>
      <c r="E71" s="7" t="e">
        <f>VLOOKUP(A71,DEVOLUCIONES!A$1:A$231,1,0)</f>
        <v>#N/A</v>
      </c>
      <c r="F71" s="7" t="e">
        <f>VLOOKUP(A71,'GLOSAS X CONCILIAR'!$A$1:$A$37,1,0)</f>
        <v>#N/A</v>
      </c>
      <c r="G71" s="7" t="e">
        <f>VLOOKUP(A71,'TODAS LAS P'!A:A,1,0)</f>
        <v>#N/A</v>
      </c>
      <c r="H71" s="7" t="e">
        <f>VLOOKUP(A71,PAGOS!A105:$A$1553,1,0)</f>
        <v>#N/A</v>
      </c>
      <c r="I71" s="40"/>
      <c r="J71" s="40"/>
      <c r="K71" s="40"/>
      <c r="L71" s="40">
        <f t="shared" si="5"/>
        <v>154400</v>
      </c>
      <c r="M71" s="40"/>
      <c r="N71" s="40"/>
      <c r="O71" s="40"/>
      <c r="P71" s="40"/>
      <c r="Q71" s="7"/>
      <c r="R71" s="7"/>
      <c r="S71" s="7"/>
      <c r="T71" s="35">
        <f t="shared" si="6"/>
        <v>0</v>
      </c>
      <c r="U71" s="7"/>
    </row>
    <row r="72" spans="1:21" x14ac:dyDescent="0.25">
      <c r="A72" s="7" t="s">
        <v>3271</v>
      </c>
      <c r="B72" s="8">
        <v>43724.987268518518</v>
      </c>
      <c r="C72" s="8">
        <v>44208</v>
      </c>
      <c r="D72" s="9">
        <v>340836</v>
      </c>
      <c r="E72" s="7" t="e">
        <f>VLOOKUP(A72,DEVOLUCIONES!A$1:A$231,1,0)</f>
        <v>#N/A</v>
      </c>
      <c r="F72" s="7" t="e">
        <f>VLOOKUP(A72,'GLOSAS X CONCILIAR'!$A$1:$A$37,1,0)</f>
        <v>#N/A</v>
      </c>
      <c r="G72" s="7" t="e">
        <f>VLOOKUP(A72,'TODAS LAS P'!A:A,1,0)</f>
        <v>#N/A</v>
      </c>
      <c r="H72" s="7" t="e">
        <f>VLOOKUP(A72,PAGOS!A106:$A$1553,1,0)</f>
        <v>#N/A</v>
      </c>
      <c r="I72" s="40"/>
      <c r="J72" s="40"/>
      <c r="K72" s="40"/>
      <c r="L72" s="40">
        <f t="shared" si="5"/>
        <v>340836</v>
      </c>
      <c r="M72" s="40"/>
      <c r="N72" s="40"/>
      <c r="O72" s="40"/>
      <c r="P72" s="40"/>
      <c r="Q72" s="7"/>
      <c r="R72" s="7"/>
      <c r="S72" s="7"/>
      <c r="T72" s="35">
        <f t="shared" si="6"/>
        <v>0</v>
      </c>
      <c r="U72" s="7"/>
    </row>
    <row r="73" spans="1:21" x14ac:dyDescent="0.25">
      <c r="A73" s="7" t="s">
        <v>3272</v>
      </c>
      <c r="B73" s="8">
        <v>43728.161620370367</v>
      </c>
      <c r="C73" s="8">
        <v>44045</v>
      </c>
      <c r="D73" s="9">
        <v>182399</v>
      </c>
      <c r="E73" s="7" t="e">
        <f>VLOOKUP(A73,DEVOLUCIONES!A$1:A$231,1,0)</f>
        <v>#N/A</v>
      </c>
      <c r="F73" s="7" t="e">
        <f>VLOOKUP(A73,'GLOSAS X CONCILIAR'!$A$1:$A$37,1,0)</f>
        <v>#N/A</v>
      </c>
      <c r="G73" s="7" t="e">
        <f>VLOOKUP(A73,'TODAS LAS P'!A:A,1,0)</f>
        <v>#N/A</v>
      </c>
      <c r="H73" s="7" t="e">
        <f>VLOOKUP(A73,PAGOS!A107:$A$1553,1,0)</f>
        <v>#N/A</v>
      </c>
      <c r="I73" s="40"/>
      <c r="J73" s="40"/>
      <c r="K73" s="40"/>
      <c r="L73" s="40">
        <f t="shared" si="5"/>
        <v>182399</v>
      </c>
      <c r="M73" s="40"/>
      <c r="N73" s="40"/>
      <c r="O73" s="40"/>
      <c r="P73" s="40"/>
      <c r="Q73" s="7"/>
      <c r="R73" s="7"/>
      <c r="S73" s="7"/>
      <c r="T73" s="35">
        <f t="shared" si="6"/>
        <v>0</v>
      </c>
      <c r="U73" s="7"/>
    </row>
    <row r="74" spans="1:21" x14ac:dyDescent="0.25">
      <c r="A74" s="7" t="s">
        <v>3273</v>
      </c>
      <c r="B74" s="8">
        <v>43728.593946759262</v>
      </c>
      <c r="C74" s="8">
        <v>44208</v>
      </c>
      <c r="D74" s="9">
        <v>56811</v>
      </c>
      <c r="E74" s="7" t="e">
        <f>VLOOKUP(A74,DEVOLUCIONES!A$1:A$231,1,0)</f>
        <v>#N/A</v>
      </c>
      <c r="F74" s="7" t="e">
        <f>VLOOKUP(A74,'GLOSAS X CONCILIAR'!$A$1:$A$37,1,0)</f>
        <v>#N/A</v>
      </c>
      <c r="G74" s="7" t="e">
        <f>VLOOKUP(A74,'TODAS LAS P'!A:A,1,0)</f>
        <v>#N/A</v>
      </c>
      <c r="H74" s="7" t="e">
        <f>VLOOKUP(A74,PAGOS!A108:$A$1553,1,0)</f>
        <v>#N/A</v>
      </c>
      <c r="I74" s="40"/>
      <c r="J74" s="40"/>
      <c r="K74" s="40"/>
      <c r="L74" s="40">
        <f t="shared" si="5"/>
        <v>56811</v>
      </c>
      <c r="M74" s="40"/>
      <c r="N74" s="40"/>
      <c r="O74" s="40"/>
      <c r="P74" s="40"/>
      <c r="Q74" s="7"/>
      <c r="R74" s="7"/>
      <c r="S74" s="7"/>
      <c r="T74" s="35">
        <f t="shared" si="6"/>
        <v>0</v>
      </c>
      <c r="U74" s="7"/>
    </row>
    <row r="75" spans="1:21" x14ac:dyDescent="0.25">
      <c r="A75" s="7" t="s">
        <v>3274</v>
      </c>
      <c r="B75" s="8">
        <v>43728.762858796297</v>
      </c>
      <c r="C75" s="8">
        <v>44045</v>
      </c>
      <c r="D75" s="9">
        <v>1936540</v>
      </c>
      <c r="E75" s="7" t="e">
        <f>VLOOKUP(A75,DEVOLUCIONES!A$1:A$231,1,0)</f>
        <v>#N/A</v>
      </c>
      <c r="F75" s="7" t="e">
        <f>VLOOKUP(A75,'GLOSAS X CONCILIAR'!$A$1:$A$37,1,0)</f>
        <v>#N/A</v>
      </c>
      <c r="G75" s="7" t="e">
        <f>VLOOKUP(A75,'TODAS LAS P'!A:A,1,0)</f>
        <v>#N/A</v>
      </c>
      <c r="H75" s="7" t="e">
        <f>VLOOKUP(A75,PAGOS!A109:$A$1553,1,0)</f>
        <v>#N/A</v>
      </c>
      <c r="I75" s="40"/>
      <c r="J75" s="40"/>
      <c r="K75" s="40"/>
      <c r="L75" s="40">
        <f t="shared" si="5"/>
        <v>1936540</v>
      </c>
      <c r="M75" s="40"/>
      <c r="N75" s="40"/>
      <c r="O75" s="40"/>
      <c r="P75" s="40"/>
      <c r="Q75" s="7"/>
      <c r="R75" s="7"/>
      <c r="S75" s="7"/>
      <c r="T75" s="35">
        <f t="shared" si="6"/>
        <v>0</v>
      </c>
      <c r="U75" s="7"/>
    </row>
    <row r="76" spans="1:21" x14ac:dyDescent="0.25">
      <c r="A76" s="7" t="s">
        <v>3275</v>
      </c>
      <c r="B76" s="8">
        <v>43728.770636574074</v>
      </c>
      <c r="C76" s="8">
        <v>44208</v>
      </c>
      <c r="D76" s="9">
        <v>614482</v>
      </c>
      <c r="E76" s="7" t="e">
        <f>VLOOKUP(A76,DEVOLUCIONES!A$1:A$231,1,0)</f>
        <v>#N/A</v>
      </c>
      <c r="F76" s="7" t="e">
        <f>VLOOKUP(A76,'GLOSAS X CONCILIAR'!$A$1:$A$37,1,0)</f>
        <v>#N/A</v>
      </c>
      <c r="G76" s="7" t="e">
        <f>VLOOKUP(A76,'TODAS LAS P'!A:A,1,0)</f>
        <v>#N/A</v>
      </c>
      <c r="H76" s="7" t="e">
        <f>VLOOKUP(A76,PAGOS!A110:$A$1553,1,0)</f>
        <v>#N/A</v>
      </c>
      <c r="I76" s="40"/>
      <c r="J76" s="40"/>
      <c r="K76" s="40"/>
      <c r="L76" s="40">
        <f t="shared" si="5"/>
        <v>614482</v>
      </c>
      <c r="M76" s="40"/>
      <c r="N76" s="40"/>
      <c r="O76" s="40"/>
      <c r="P76" s="40"/>
      <c r="Q76" s="7"/>
      <c r="R76" s="7"/>
      <c r="S76" s="7"/>
      <c r="T76" s="35">
        <f t="shared" si="6"/>
        <v>0</v>
      </c>
      <c r="U76" s="7"/>
    </row>
    <row r="77" spans="1:21" x14ac:dyDescent="0.25">
      <c r="A77" s="7" t="s">
        <v>3276</v>
      </c>
      <c r="B77" s="8">
        <v>43730.009479166663</v>
      </c>
      <c r="C77" s="8">
        <v>44208</v>
      </c>
      <c r="D77" s="9">
        <v>55764</v>
      </c>
      <c r="E77" s="7" t="e">
        <f>VLOOKUP(A77,DEVOLUCIONES!A$1:A$231,1,0)</f>
        <v>#N/A</v>
      </c>
      <c r="F77" s="7" t="e">
        <f>VLOOKUP(A77,'GLOSAS X CONCILIAR'!$A$1:$A$37,1,0)</f>
        <v>#N/A</v>
      </c>
      <c r="G77" s="7" t="e">
        <f>VLOOKUP(A77,'TODAS LAS P'!A:A,1,0)</f>
        <v>#N/A</v>
      </c>
      <c r="H77" s="7" t="e">
        <f>VLOOKUP(A77,PAGOS!A111:$A$1553,1,0)</f>
        <v>#N/A</v>
      </c>
      <c r="I77" s="40"/>
      <c r="J77" s="40"/>
      <c r="K77" s="40"/>
      <c r="L77" s="40">
        <f t="shared" si="5"/>
        <v>55764</v>
      </c>
      <c r="M77" s="40"/>
      <c r="N77" s="40"/>
      <c r="O77" s="40"/>
      <c r="P77" s="40"/>
      <c r="Q77" s="7"/>
      <c r="R77" s="7"/>
      <c r="S77" s="7"/>
      <c r="T77" s="35">
        <f t="shared" si="6"/>
        <v>0</v>
      </c>
      <c r="U77" s="7"/>
    </row>
    <row r="78" spans="1:21" x14ac:dyDescent="0.25">
      <c r="A78" s="7" t="s">
        <v>3277</v>
      </c>
      <c r="B78" s="8">
        <v>43730.439108796294</v>
      </c>
      <c r="C78" s="8">
        <v>44208</v>
      </c>
      <c r="D78" s="9">
        <v>123386</v>
      </c>
      <c r="E78" s="7" t="e">
        <f>VLOOKUP(A78,DEVOLUCIONES!A$1:A$231,1,0)</f>
        <v>#N/A</v>
      </c>
      <c r="F78" s="7" t="e">
        <f>VLOOKUP(A78,'GLOSAS X CONCILIAR'!$A$1:$A$37,1,0)</f>
        <v>#N/A</v>
      </c>
      <c r="G78" s="7" t="e">
        <f>VLOOKUP(A78,'TODAS LAS P'!A:A,1,0)</f>
        <v>#N/A</v>
      </c>
      <c r="H78" s="7" t="e">
        <f>VLOOKUP(A78,PAGOS!A112:$A$1553,1,0)</f>
        <v>#N/A</v>
      </c>
      <c r="I78" s="40"/>
      <c r="J78" s="40"/>
      <c r="K78" s="40"/>
      <c r="L78" s="40">
        <f t="shared" si="5"/>
        <v>123386</v>
      </c>
      <c r="M78" s="40"/>
      <c r="N78" s="40"/>
      <c r="O78" s="40"/>
      <c r="P78" s="40"/>
      <c r="Q78" s="7"/>
      <c r="R78" s="7"/>
      <c r="S78" s="7"/>
      <c r="T78" s="35">
        <f t="shared" si="6"/>
        <v>0</v>
      </c>
      <c r="U78" s="7"/>
    </row>
    <row r="79" spans="1:21" x14ac:dyDescent="0.25">
      <c r="A79" s="7" t="s">
        <v>3278</v>
      </c>
      <c r="B79" s="8">
        <v>43731.560266203705</v>
      </c>
      <c r="C79" s="8">
        <v>44208</v>
      </c>
      <c r="D79" s="9">
        <v>24100</v>
      </c>
      <c r="E79" s="7" t="e">
        <f>VLOOKUP(A79,DEVOLUCIONES!A$1:A$231,1,0)</f>
        <v>#N/A</v>
      </c>
      <c r="F79" s="7" t="e">
        <f>VLOOKUP(A79,'GLOSAS X CONCILIAR'!$A$1:$A$37,1,0)</f>
        <v>#N/A</v>
      </c>
      <c r="G79" s="7" t="e">
        <f>VLOOKUP(A79,'TODAS LAS P'!A:A,1,0)</f>
        <v>#N/A</v>
      </c>
      <c r="H79" s="7" t="e">
        <f>VLOOKUP(A79,PAGOS!A113:$A$1553,1,0)</f>
        <v>#N/A</v>
      </c>
      <c r="I79" s="40"/>
      <c r="J79" s="40"/>
      <c r="K79" s="40"/>
      <c r="L79" s="40">
        <f t="shared" si="5"/>
        <v>24100</v>
      </c>
      <c r="M79" s="40"/>
      <c r="N79" s="40"/>
      <c r="O79" s="40"/>
      <c r="P79" s="40"/>
      <c r="Q79" s="7"/>
      <c r="R79" s="7"/>
      <c r="S79" s="7"/>
      <c r="T79" s="35">
        <f t="shared" si="6"/>
        <v>0</v>
      </c>
      <c r="U79" s="7"/>
    </row>
    <row r="80" spans="1:21" x14ac:dyDescent="0.25">
      <c r="A80" s="7" t="s">
        <v>3279</v>
      </c>
      <c r="B80" s="8">
        <v>43732.695671296293</v>
      </c>
      <c r="C80" s="8">
        <v>44208</v>
      </c>
      <c r="D80" s="9">
        <v>65600</v>
      </c>
      <c r="E80" s="7" t="e">
        <f>VLOOKUP(A80,DEVOLUCIONES!A$1:A$231,1,0)</f>
        <v>#N/A</v>
      </c>
      <c r="F80" s="7" t="e">
        <f>VLOOKUP(A80,'GLOSAS X CONCILIAR'!$A$1:$A$37,1,0)</f>
        <v>#N/A</v>
      </c>
      <c r="G80" s="7" t="e">
        <f>VLOOKUP(A80,'TODAS LAS P'!A:A,1,0)</f>
        <v>#N/A</v>
      </c>
      <c r="H80" s="7" t="e">
        <f>VLOOKUP(A80,PAGOS!A114:$A$1553,1,0)</f>
        <v>#N/A</v>
      </c>
      <c r="I80" s="40"/>
      <c r="J80" s="40"/>
      <c r="K80" s="40"/>
      <c r="L80" s="40">
        <f t="shared" si="5"/>
        <v>65600</v>
      </c>
      <c r="M80" s="40"/>
      <c r="N80" s="40"/>
      <c r="O80" s="40"/>
      <c r="P80" s="40"/>
      <c r="Q80" s="7"/>
      <c r="R80" s="7"/>
      <c r="S80" s="7"/>
      <c r="T80" s="35">
        <f t="shared" si="6"/>
        <v>0</v>
      </c>
      <c r="U80" s="7"/>
    </row>
    <row r="81" spans="1:21" x14ac:dyDescent="0.25">
      <c r="A81" s="7" t="s">
        <v>2925</v>
      </c>
      <c r="B81" s="8">
        <v>43733.343842592592</v>
      </c>
      <c r="C81" s="8">
        <v>44208</v>
      </c>
      <c r="D81" s="9">
        <v>22700</v>
      </c>
      <c r="E81" s="7" t="e">
        <f>VLOOKUP(A81,DEVOLUCIONES!A$1:A$231,1,0)</f>
        <v>#N/A</v>
      </c>
      <c r="F81" s="7" t="e">
        <f>VLOOKUP(A81,'GLOSAS X CONCILIAR'!$A$1:$A$37,1,0)</f>
        <v>#N/A</v>
      </c>
      <c r="G81" s="7" t="e">
        <f>VLOOKUP(A81,'TODAS LAS P'!A:A,1,0)</f>
        <v>#N/A</v>
      </c>
      <c r="H81" s="7" t="e">
        <f>VLOOKUP(A81,PAGOS!A115:$A$1553,1,0)</f>
        <v>#N/A</v>
      </c>
      <c r="I81" s="40"/>
      <c r="J81" s="40"/>
      <c r="K81" s="40"/>
      <c r="L81" s="40">
        <f t="shared" si="5"/>
        <v>22700</v>
      </c>
      <c r="M81" s="40"/>
      <c r="N81" s="40"/>
      <c r="O81" s="40"/>
      <c r="P81" s="40"/>
      <c r="Q81" s="7"/>
      <c r="R81" s="7"/>
      <c r="S81" s="7"/>
      <c r="T81" s="35">
        <f t="shared" si="6"/>
        <v>0</v>
      </c>
      <c r="U81" s="7"/>
    </row>
    <row r="82" spans="1:21" x14ac:dyDescent="0.25">
      <c r="A82" s="7" t="s">
        <v>2926</v>
      </c>
      <c r="B82" s="8">
        <v>43733.363506944443</v>
      </c>
      <c r="C82" s="8">
        <v>44208</v>
      </c>
      <c r="D82" s="9">
        <v>33100</v>
      </c>
      <c r="E82" s="7" t="e">
        <f>VLOOKUP(A82,DEVOLUCIONES!A$1:A$231,1,0)</f>
        <v>#N/A</v>
      </c>
      <c r="F82" s="7" t="e">
        <f>VLOOKUP(A82,'GLOSAS X CONCILIAR'!$A$1:$A$37,1,0)</f>
        <v>#N/A</v>
      </c>
      <c r="G82" s="7" t="e">
        <f>VLOOKUP(A82,'TODAS LAS P'!A:A,1,0)</f>
        <v>#N/A</v>
      </c>
      <c r="H82" s="7" t="e">
        <f>VLOOKUP(A82,PAGOS!A116:$A$1553,1,0)</f>
        <v>#N/A</v>
      </c>
      <c r="I82" s="40"/>
      <c r="J82" s="40"/>
      <c r="K82" s="40"/>
      <c r="L82" s="40">
        <f t="shared" si="5"/>
        <v>33100</v>
      </c>
      <c r="M82" s="40"/>
      <c r="N82" s="40"/>
      <c r="O82" s="40"/>
      <c r="P82" s="40"/>
      <c r="Q82" s="7"/>
      <c r="R82" s="7"/>
      <c r="S82" s="7"/>
      <c r="T82" s="35">
        <f t="shared" si="6"/>
        <v>0</v>
      </c>
      <c r="U82" s="7"/>
    </row>
    <row r="83" spans="1:21" x14ac:dyDescent="0.25">
      <c r="A83" s="7" t="s">
        <v>3280</v>
      </c>
      <c r="B83" s="8">
        <v>43733.538611111115</v>
      </c>
      <c r="C83" s="8">
        <v>44208</v>
      </c>
      <c r="D83" s="9">
        <v>1289250</v>
      </c>
      <c r="E83" s="7" t="e">
        <f>VLOOKUP(A83,DEVOLUCIONES!A$1:A$231,1,0)</f>
        <v>#N/A</v>
      </c>
      <c r="F83" s="7" t="e">
        <f>VLOOKUP(A83,'GLOSAS X CONCILIAR'!$A$1:$A$37,1,0)</f>
        <v>#N/A</v>
      </c>
      <c r="G83" s="7" t="e">
        <f>VLOOKUP(A83,'TODAS LAS P'!A:A,1,0)</f>
        <v>#N/A</v>
      </c>
      <c r="H83" s="7" t="e">
        <f>VLOOKUP(A83,PAGOS!A117:$A$1553,1,0)</f>
        <v>#N/A</v>
      </c>
      <c r="I83" s="40"/>
      <c r="J83" s="40"/>
      <c r="K83" s="40"/>
      <c r="L83" s="40">
        <f t="shared" si="5"/>
        <v>1289250</v>
      </c>
      <c r="M83" s="40"/>
      <c r="N83" s="40"/>
      <c r="O83" s="40"/>
      <c r="P83" s="40"/>
      <c r="Q83" s="7"/>
      <c r="R83" s="7"/>
      <c r="S83" s="7"/>
      <c r="T83" s="35">
        <f t="shared" si="6"/>
        <v>0</v>
      </c>
      <c r="U83" s="7"/>
    </row>
    <row r="84" spans="1:21" x14ac:dyDescent="0.25">
      <c r="A84" s="7" t="s">
        <v>3281</v>
      </c>
      <c r="B84" s="8">
        <v>43734.016145833331</v>
      </c>
      <c r="C84" s="8">
        <v>44208</v>
      </c>
      <c r="D84" s="9">
        <v>101000</v>
      </c>
      <c r="E84" s="7" t="e">
        <f>VLOOKUP(A84,DEVOLUCIONES!A$1:A$231,1,0)</f>
        <v>#N/A</v>
      </c>
      <c r="F84" s="7" t="e">
        <f>VLOOKUP(A84,'GLOSAS X CONCILIAR'!$A$1:$A$37,1,0)</f>
        <v>#N/A</v>
      </c>
      <c r="G84" s="7" t="e">
        <f>VLOOKUP(A84,'TODAS LAS P'!A:A,1,0)</f>
        <v>#N/A</v>
      </c>
      <c r="H84" s="7" t="e">
        <f>VLOOKUP(A84,PAGOS!A118:$A$1553,1,0)</f>
        <v>#N/A</v>
      </c>
      <c r="I84" s="40"/>
      <c r="J84" s="40"/>
      <c r="K84" s="40"/>
      <c r="L84" s="40">
        <f t="shared" si="5"/>
        <v>101000</v>
      </c>
      <c r="M84" s="40"/>
      <c r="N84" s="40"/>
      <c r="O84" s="40"/>
      <c r="P84" s="40"/>
      <c r="Q84" s="7"/>
      <c r="R84" s="7"/>
      <c r="S84" s="7"/>
      <c r="T84" s="35">
        <f t="shared" si="6"/>
        <v>0</v>
      </c>
      <c r="U84" s="7"/>
    </row>
    <row r="85" spans="1:21" x14ac:dyDescent="0.25">
      <c r="A85" s="7" t="s">
        <v>3282</v>
      </c>
      <c r="B85" s="8">
        <v>43736.165509259263</v>
      </c>
      <c r="C85" s="8">
        <v>44208</v>
      </c>
      <c r="D85" s="9">
        <v>236526</v>
      </c>
      <c r="E85" s="7" t="e">
        <f>VLOOKUP(A85,DEVOLUCIONES!A$1:A$231,1,0)</f>
        <v>#N/A</v>
      </c>
      <c r="F85" s="7" t="e">
        <f>VLOOKUP(A85,'GLOSAS X CONCILIAR'!$A$1:$A$37,1,0)</f>
        <v>#N/A</v>
      </c>
      <c r="G85" s="7" t="e">
        <f>VLOOKUP(A85,'TODAS LAS P'!A:A,1,0)</f>
        <v>#N/A</v>
      </c>
      <c r="H85" s="7" t="e">
        <f>VLOOKUP(A85,PAGOS!A119:$A$1553,1,0)</f>
        <v>#N/A</v>
      </c>
      <c r="I85" s="40"/>
      <c r="J85" s="40"/>
      <c r="K85" s="40"/>
      <c r="L85" s="40">
        <f t="shared" si="5"/>
        <v>236526</v>
      </c>
      <c r="M85" s="40"/>
      <c r="N85" s="40"/>
      <c r="O85" s="40"/>
      <c r="P85" s="40"/>
      <c r="Q85" s="7"/>
      <c r="R85" s="7"/>
      <c r="S85" s="7"/>
      <c r="T85" s="35">
        <f t="shared" si="6"/>
        <v>0</v>
      </c>
      <c r="U85" s="7"/>
    </row>
    <row r="86" spans="1:21" x14ac:dyDescent="0.25">
      <c r="A86" s="7" t="s">
        <v>3283</v>
      </c>
      <c r="B86" s="8">
        <v>43737.919745370367</v>
      </c>
      <c r="C86" s="8">
        <v>44208</v>
      </c>
      <c r="D86" s="9">
        <v>64629</v>
      </c>
      <c r="E86" s="7" t="e">
        <f>VLOOKUP(A86,DEVOLUCIONES!A$1:A$231,1,0)</f>
        <v>#N/A</v>
      </c>
      <c r="F86" s="7" t="e">
        <f>VLOOKUP(A86,'GLOSAS X CONCILIAR'!$A$1:$A$37,1,0)</f>
        <v>#N/A</v>
      </c>
      <c r="G86" s="7" t="e">
        <f>VLOOKUP(A86,'TODAS LAS P'!A:A,1,0)</f>
        <v>#N/A</v>
      </c>
      <c r="H86" s="7" t="e">
        <f>VLOOKUP(A86,PAGOS!A120:$A$1553,1,0)</f>
        <v>#N/A</v>
      </c>
      <c r="I86" s="40"/>
      <c r="J86" s="40"/>
      <c r="K86" s="40"/>
      <c r="L86" s="40">
        <f t="shared" si="5"/>
        <v>64629</v>
      </c>
      <c r="M86" s="40"/>
      <c r="N86" s="40"/>
      <c r="O86" s="40"/>
      <c r="P86" s="40"/>
      <c r="Q86" s="7"/>
      <c r="R86" s="7"/>
      <c r="S86" s="7"/>
      <c r="T86" s="35">
        <f t="shared" si="6"/>
        <v>0</v>
      </c>
      <c r="U86" s="7"/>
    </row>
    <row r="87" spans="1:21" x14ac:dyDescent="0.25">
      <c r="A87" s="7" t="s">
        <v>3284</v>
      </c>
      <c r="B87" s="8">
        <v>43738.083854166667</v>
      </c>
      <c r="C87" s="8">
        <v>44208</v>
      </c>
      <c r="D87" s="9">
        <v>104415</v>
      </c>
      <c r="E87" s="7" t="e">
        <f>VLOOKUP(A87,DEVOLUCIONES!A$1:A$231,1,0)</f>
        <v>#N/A</v>
      </c>
      <c r="F87" s="7" t="e">
        <f>VLOOKUP(A87,'GLOSAS X CONCILIAR'!$A$1:$A$37,1,0)</f>
        <v>#N/A</v>
      </c>
      <c r="G87" s="7" t="e">
        <f>VLOOKUP(A87,'TODAS LAS P'!A:A,1,0)</f>
        <v>#N/A</v>
      </c>
      <c r="H87" s="7" t="e">
        <f>VLOOKUP(A87,PAGOS!A121:$A$1553,1,0)</f>
        <v>#N/A</v>
      </c>
      <c r="I87" s="40"/>
      <c r="J87" s="40"/>
      <c r="K87" s="40"/>
      <c r="L87" s="40">
        <f t="shared" si="5"/>
        <v>104415</v>
      </c>
      <c r="M87" s="40"/>
      <c r="N87" s="40"/>
      <c r="O87" s="40"/>
      <c r="P87" s="40"/>
      <c r="Q87" s="7"/>
      <c r="R87" s="7"/>
      <c r="S87" s="7"/>
      <c r="T87" s="35">
        <f t="shared" si="6"/>
        <v>0</v>
      </c>
      <c r="U87" s="7"/>
    </row>
    <row r="88" spans="1:21" x14ac:dyDescent="0.25">
      <c r="A88" s="7" t="s">
        <v>3285</v>
      </c>
      <c r="B88" s="8">
        <v>43738.732638888891</v>
      </c>
      <c r="C88" s="8">
        <v>44208</v>
      </c>
      <c r="D88" s="9">
        <v>54456</v>
      </c>
      <c r="E88" s="7" t="e">
        <f>VLOOKUP(A88,DEVOLUCIONES!A$1:A$231,1,0)</f>
        <v>#N/A</v>
      </c>
      <c r="F88" s="7" t="e">
        <f>VLOOKUP(A88,'GLOSAS X CONCILIAR'!$A$1:$A$37,1,0)</f>
        <v>#N/A</v>
      </c>
      <c r="G88" s="7" t="e">
        <f>VLOOKUP(A88,'TODAS LAS P'!A:A,1,0)</f>
        <v>#N/A</v>
      </c>
      <c r="H88" s="7" t="e">
        <f>VLOOKUP(A88,PAGOS!A122:$A$1553,1,0)</f>
        <v>#N/A</v>
      </c>
      <c r="I88" s="40"/>
      <c r="J88" s="40"/>
      <c r="K88" s="40"/>
      <c r="L88" s="40">
        <f t="shared" si="5"/>
        <v>54456</v>
      </c>
      <c r="M88" s="40"/>
      <c r="N88" s="40"/>
      <c r="O88" s="40"/>
      <c r="P88" s="40"/>
      <c r="Q88" s="7"/>
      <c r="R88" s="7"/>
      <c r="S88" s="7"/>
      <c r="T88" s="35">
        <f t="shared" si="6"/>
        <v>0</v>
      </c>
      <c r="U88" s="7"/>
    </row>
    <row r="89" spans="1:21" x14ac:dyDescent="0.25">
      <c r="A89" s="7" t="s">
        <v>3286</v>
      </c>
      <c r="B89" s="8">
        <v>43738.830740740741</v>
      </c>
      <c r="C89" s="8">
        <v>44208</v>
      </c>
      <c r="D89" s="9">
        <v>122408</v>
      </c>
      <c r="E89" s="7" t="e">
        <f>VLOOKUP(A89,DEVOLUCIONES!A$1:A$231,1,0)</f>
        <v>#N/A</v>
      </c>
      <c r="F89" s="7" t="e">
        <f>VLOOKUP(A89,'GLOSAS X CONCILIAR'!$A$1:$A$37,1,0)</f>
        <v>#N/A</v>
      </c>
      <c r="G89" s="7" t="e">
        <f>VLOOKUP(A89,'TODAS LAS P'!A:A,1,0)</f>
        <v>#N/A</v>
      </c>
      <c r="H89" s="7" t="e">
        <f>VLOOKUP(A89,PAGOS!A123:$A$1553,1,0)</f>
        <v>#N/A</v>
      </c>
      <c r="I89" s="40"/>
      <c r="J89" s="40"/>
      <c r="K89" s="40"/>
      <c r="L89" s="40">
        <f t="shared" si="5"/>
        <v>122408</v>
      </c>
      <c r="M89" s="40"/>
      <c r="N89" s="40"/>
      <c r="O89" s="40"/>
      <c r="P89" s="40"/>
      <c r="Q89" s="7"/>
      <c r="R89" s="7"/>
      <c r="S89" s="7"/>
      <c r="T89" s="35">
        <f t="shared" si="6"/>
        <v>0</v>
      </c>
      <c r="U89" s="7"/>
    </row>
    <row r="90" spans="1:21" x14ac:dyDescent="0.25">
      <c r="A90" s="7" t="s">
        <v>3287</v>
      </c>
      <c r="B90" s="8">
        <v>43739.753298611111</v>
      </c>
      <c r="C90" s="8">
        <v>44045</v>
      </c>
      <c r="D90" s="9">
        <v>1418164</v>
      </c>
      <c r="E90" s="7" t="e">
        <f>VLOOKUP(A90,DEVOLUCIONES!A$1:A$231,1,0)</f>
        <v>#N/A</v>
      </c>
      <c r="F90" s="7" t="e">
        <f>VLOOKUP(A90,'GLOSAS X CONCILIAR'!$A$1:$A$37,1,0)</f>
        <v>#N/A</v>
      </c>
      <c r="G90" s="7" t="e">
        <f>VLOOKUP(A90,'TODAS LAS P'!A:A,1,0)</f>
        <v>#N/A</v>
      </c>
      <c r="H90" s="7" t="e">
        <f>VLOOKUP(A90,PAGOS!A124:$A$1553,1,0)</f>
        <v>#N/A</v>
      </c>
      <c r="I90" s="40"/>
      <c r="J90" s="40"/>
      <c r="K90" s="40"/>
      <c r="L90" s="40">
        <f t="shared" si="5"/>
        <v>1418164</v>
      </c>
      <c r="M90" s="40"/>
      <c r="N90" s="40"/>
      <c r="O90" s="40"/>
      <c r="P90" s="40"/>
      <c r="Q90" s="7"/>
      <c r="R90" s="7"/>
      <c r="S90" s="7"/>
      <c r="T90" s="35">
        <f t="shared" si="6"/>
        <v>0</v>
      </c>
      <c r="U90" s="7"/>
    </row>
    <row r="91" spans="1:21" x14ac:dyDescent="0.25">
      <c r="A91" s="7" t="s">
        <v>3288</v>
      </c>
      <c r="B91" s="8">
        <v>43741.525358796294</v>
      </c>
      <c r="C91" s="8">
        <v>44208</v>
      </c>
      <c r="D91" s="9">
        <v>181775</v>
      </c>
      <c r="E91" s="7" t="e">
        <f>VLOOKUP(A91,DEVOLUCIONES!A$1:A$231,1,0)</f>
        <v>#N/A</v>
      </c>
      <c r="F91" s="7" t="e">
        <f>VLOOKUP(A91,'GLOSAS X CONCILIAR'!$A$1:$A$37,1,0)</f>
        <v>#N/A</v>
      </c>
      <c r="G91" s="7" t="e">
        <f>VLOOKUP(A91,'TODAS LAS P'!A:A,1,0)</f>
        <v>#N/A</v>
      </c>
      <c r="H91" s="7" t="e">
        <f>VLOOKUP(A91,PAGOS!A125:$A$1553,1,0)</f>
        <v>#N/A</v>
      </c>
      <c r="I91" s="40"/>
      <c r="J91" s="40"/>
      <c r="K91" s="40"/>
      <c r="L91" s="40">
        <f t="shared" si="5"/>
        <v>181775</v>
      </c>
      <c r="M91" s="40"/>
      <c r="N91" s="40"/>
      <c r="O91" s="40"/>
      <c r="P91" s="40"/>
      <c r="Q91" s="7"/>
      <c r="R91" s="7"/>
      <c r="S91" s="7"/>
      <c r="T91" s="35">
        <f t="shared" si="6"/>
        <v>0</v>
      </c>
      <c r="U91" s="7"/>
    </row>
    <row r="92" spans="1:21" x14ac:dyDescent="0.25">
      <c r="A92" s="7" t="s">
        <v>2927</v>
      </c>
      <c r="B92" s="8">
        <v>43742.574571759258</v>
      </c>
      <c r="C92" s="8">
        <v>44045</v>
      </c>
      <c r="D92" s="9">
        <v>33100</v>
      </c>
      <c r="E92" s="7" t="e">
        <f>VLOOKUP(A92,DEVOLUCIONES!A$1:A$231,1,0)</f>
        <v>#N/A</v>
      </c>
      <c r="F92" s="7" t="e">
        <f>VLOOKUP(A92,'GLOSAS X CONCILIAR'!$A$1:$A$37,1,0)</f>
        <v>#N/A</v>
      </c>
      <c r="G92" s="7" t="e">
        <f>VLOOKUP(A92,'TODAS LAS P'!A:A,1,0)</f>
        <v>#N/A</v>
      </c>
      <c r="H92" s="7" t="e">
        <f>VLOOKUP(A92,PAGOS!A126:$A$1553,1,0)</f>
        <v>#N/A</v>
      </c>
      <c r="I92" s="40"/>
      <c r="J92" s="40"/>
      <c r="K92" s="40"/>
      <c r="L92" s="40">
        <f t="shared" si="5"/>
        <v>33100</v>
      </c>
      <c r="M92" s="40"/>
      <c r="N92" s="40"/>
      <c r="O92" s="40"/>
      <c r="P92" s="40"/>
      <c r="Q92" s="7"/>
      <c r="R92" s="7"/>
      <c r="S92" s="7"/>
      <c r="T92" s="35">
        <f t="shared" si="6"/>
        <v>0</v>
      </c>
      <c r="U92" s="7"/>
    </row>
    <row r="93" spans="1:21" x14ac:dyDescent="0.25">
      <c r="A93" s="7" t="s">
        <v>2928</v>
      </c>
      <c r="B93" s="8">
        <v>43742.576296296298</v>
      </c>
      <c r="C93" s="8">
        <v>44045</v>
      </c>
      <c r="D93" s="9">
        <v>33100</v>
      </c>
      <c r="E93" s="7" t="e">
        <f>VLOOKUP(A93,DEVOLUCIONES!A$1:A$231,1,0)</f>
        <v>#N/A</v>
      </c>
      <c r="F93" s="7" t="e">
        <f>VLOOKUP(A93,'GLOSAS X CONCILIAR'!$A$1:$A$37,1,0)</f>
        <v>#N/A</v>
      </c>
      <c r="G93" s="7" t="e">
        <f>VLOOKUP(A93,'TODAS LAS P'!A:A,1,0)</f>
        <v>#N/A</v>
      </c>
      <c r="H93" s="7" t="e">
        <f>VLOOKUP(A93,PAGOS!A127:$A$1553,1,0)</f>
        <v>#N/A</v>
      </c>
      <c r="I93" s="40"/>
      <c r="J93" s="40"/>
      <c r="K93" s="40"/>
      <c r="L93" s="40">
        <f t="shared" si="5"/>
        <v>33100</v>
      </c>
      <c r="M93" s="40"/>
      <c r="N93" s="40"/>
      <c r="O93" s="40"/>
      <c r="P93" s="40"/>
      <c r="Q93" s="7"/>
      <c r="R93" s="7"/>
      <c r="S93" s="7"/>
      <c r="T93" s="35">
        <f t="shared" si="6"/>
        <v>0</v>
      </c>
      <c r="U93" s="7"/>
    </row>
    <row r="94" spans="1:21" x14ac:dyDescent="0.25">
      <c r="A94" s="7" t="s">
        <v>3289</v>
      </c>
      <c r="B94" s="8">
        <v>43743.03565972222</v>
      </c>
      <c r="C94" s="8">
        <v>44045</v>
      </c>
      <c r="D94" s="9">
        <v>451408</v>
      </c>
      <c r="E94" s="7" t="e">
        <f>VLOOKUP(A94,DEVOLUCIONES!A$1:A$231,1,0)</f>
        <v>#N/A</v>
      </c>
      <c r="F94" s="7" t="e">
        <f>VLOOKUP(A94,'GLOSAS X CONCILIAR'!$A$1:$A$37,1,0)</f>
        <v>#N/A</v>
      </c>
      <c r="G94" s="7" t="e">
        <f>VLOOKUP(A94,'TODAS LAS P'!A:A,1,0)</f>
        <v>#N/A</v>
      </c>
      <c r="H94" s="7" t="e">
        <f>VLOOKUP(A94,PAGOS!A128:$A$1553,1,0)</f>
        <v>#N/A</v>
      </c>
      <c r="I94" s="40"/>
      <c r="J94" s="40"/>
      <c r="K94" s="40"/>
      <c r="L94" s="40">
        <f t="shared" si="5"/>
        <v>451408</v>
      </c>
      <c r="M94" s="40"/>
      <c r="N94" s="40"/>
      <c r="O94" s="40"/>
      <c r="P94" s="40"/>
      <c r="Q94" s="7"/>
      <c r="R94" s="7"/>
      <c r="S94" s="7"/>
      <c r="T94" s="35">
        <f t="shared" si="6"/>
        <v>0</v>
      </c>
      <c r="U94" s="7"/>
    </row>
    <row r="95" spans="1:21" x14ac:dyDescent="0.25">
      <c r="A95" s="7" t="s">
        <v>3290</v>
      </c>
      <c r="B95" s="8">
        <v>43744.75576388889</v>
      </c>
      <c r="C95" s="8">
        <v>44045</v>
      </c>
      <c r="D95" s="9">
        <v>177015</v>
      </c>
      <c r="E95" s="7" t="e">
        <f>VLOOKUP(A95,DEVOLUCIONES!A$1:A$231,1,0)</f>
        <v>#N/A</v>
      </c>
      <c r="F95" s="7" t="e">
        <f>VLOOKUP(A95,'GLOSAS X CONCILIAR'!$A$1:$A$37,1,0)</f>
        <v>#N/A</v>
      </c>
      <c r="G95" s="7" t="e">
        <f>VLOOKUP(A95,'TODAS LAS P'!A:A,1,0)</f>
        <v>#N/A</v>
      </c>
      <c r="H95" s="7" t="e">
        <f>VLOOKUP(A95,PAGOS!A129:$A$1553,1,0)</f>
        <v>#N/A</v>
      </c>
      <c r="I95" s="40"/>
      <c r="J95" s="40"/>
      <c r="K95" s="40"/>
      <c r="L95" s="40">
        <f t="shared" si="5"/>
        <v>177015</v>
      </c>
      <c r="M95" s="40"/>
      <c r="N95" s="40"/>
      <c r="O95" s="40"/>
      <c r="P95" s="40"/>
      <c r="Q95" s="7"/>
      <c r="R95" s="7"/>
      <c r="S95" s="7"/>
      <c r="T95" s="35">
        <f t="shared" si="6"/>
        <v>0</v>
      </c>
      <c r="U95" s="7"/>
    </row>
    <row r="96" spans="1:21" x14ac:dyDescent="0.25">
      <c r="A96" s="7" t="s">
        <v>3291</v>
      </c>
      <c r="B96" s="8">
        <v>43744.892291666663</v>
      </c>
      <c r="C96" s="8">
        <v>44045</v>
      </c>
      <c r="D96" s="9">
        <v>242406</v>
      </c>
      <c r="E96" s="7" t="e">
        <f>VLOOKUP(A96,DEVOLUCIONES!A$1:A$231,1,0)</f>
        <v>#N/A</v>
      </c>
      <c r="F96" s="7" t="e">
        <f>VLOOKUP(A96,'GLOSAS X CONCILIAR'!$A$1:$A$37,1,0)</f>
        <v>#N/A</v>
      </c>
      <c r="G96" s="7" t="e">
        <f>VLOOKUP(A96,'TODAS LAS P'!A:A,1,0)</f>
        <v>#N/A</v>
      </c>
      <c r="H96" s="7" t="e">
        <f>VLOOKUP(A96,PAGOS!A130:$A$1553,1,0)</f>
        <v>#N/A</v>
      </c>
      <c r="I96" s="40"/>
      <c r="J96" s="40"/>
      <c r="K96" s="40"/>
      <c r="L96" s="40">
        <f t="shared" si="5"/>
        <v>242406</v>
      </c>
      <c r="M96" s="40"/>
      <c r="N96" s="40"/>
      <c r="O96" s="40"/>
      <c r="P96" s="40"/>
      <c r="Q96" s="7"/>
      <c r="R96" s="7"/>
      <c r="S96" s="7"/>
      <c r="T96" s="35">
        <f t="shared" si="6"/>
        <v>0</v>
      </c>
      <c r="U96" s="7"/>
    </row>
    <row r="97" spans="1:21" x14ac:dyDescent="0.25">
      <c r="A97" s="7" t="s">
        <v>3292</v>
      </c>
      <c r="B97" s="8">
        <v>43746.761759259258</v>
      </c>
      <c r="C97" s="8">
        <v>44045</v>
      </c>
      <c r="D97" s="9">
        <v>60461</v>
      </c>
      <c r="E97" s="7" t="e">
        <f>VLOOKUP(A97,DEVOLUCIONES!A$1:A$231,1,0)</f>
        <v>#N/A</v>
      </c>
      <c r="F97" s="7" t="e">
        <f>VLOOKUP(A97,'GLOSAS X CONCILIAR'!$A$1:$A$37,1,0)</f>
        <v>#N/A</v>
      </c>
      <c r="G97" s="7" t="e">
        <f>VLOOKUP(A97,'TODAS LAS P'!A:A,1,0)</f>
        <v>#N/A</v>
      </c>
      <c r="H97" s="7" t="e">
        <f>VLOOKUP(A97,PAGOS!A131:$A$1553,1,0)</f>
        <v>#N/A</v>
      </c>
      <c r="I97" s="40"/>
      <c r="J97" s="40"/>
      <c r="K97" s="40"/>
      <c r="L97" s="40">
        <f t="shared" si="5"/>
        <v>60461</v>
      </c>
      <c r="M97" s="40"/>
      <c r="N97" s="40"/>
      <c r="O97" s="40"/>
      <c r="P97" s="40"/>
      <c r="Q97" s="7"/>
      <c r="R97" s="7"/>
      <c r="S97" s="7"/>
      <c r="T97" s="35">
        <f t="shared" si="6"/>
        <v>0</v>
      </c>
      <c r="U97" s="7"/>
    </row>
    <row r="98" spans="1:21" x14ac:dyDescent="0.25">
      <c r="A98" s="7" t="s">
        <v>3293</v>
      </c>
      <c r="B98" s="8">
        <v>43747.640497685185</v>
      </c>
      <c r="C98" s="8">
        <v>44045</v>
      </c>
      <c r="D98" s="9">
        <v>54400</v>
      </c>
      <c r="E98" s="7" t="e">
        <f>VLOOKUP(A98,DEVOLUCIONES!A$1:A$231,1,0)</f>
        <v>#N/A</v>
      </c>
      <c r="F98" s="7" t="e">
        <f>VLOOKUP(A98,'GLOSAS X CONCILIAR'!$A$1:$A$37,1,0)</f>
        <v>#N/A</v>
      </c>
      <c r="G98" s="7" t="e">
        <f>VLOOKUP(A98,'TODAS LAS P'!A:A,1,0)</f>
        <v>#N/A</v>
      </c>
      <c r="H98" s="7" t="e">
        <f>VLOOKUP(A98,PAGOS!A132:$A$1553,1,0)</f>
        <v>#N/A</v>
      </c>
      <c r="I98" s="40"/>
      <c r="J98" s="40"/>
      <c r="K98" s="40"/>
      <c r="L98" s="40">
        <f t="shared" si="5"/>
        <v>54400</v>
      </c>
      <c r="M98" s="40"/>
      <c r="N98" s="40"/>
      <c r="O98" s="40"/>
      <c r="P98" s="40"/>
      <c r="Q98" s="7"/>
      <c r="R98" s="7"/>
      <c r="S98" s="7"/>
      <c r="T98" s="35">
        <f t="shared" si="6"/>
        <v>0</v>
      </c>
      <c r="U98" s="7"/>
    </row>
    <row r="99" spans="1:21" x14ac:dyDescent="0.25">
      <c r="A99" s="7" t="s">
        <v>3294</v>
      </c>
      <c r="B99" s="8">
        <v>43748.289456018516</v>
      </c>
      <c r="C99" s="8">
        <v>44045</v>
      </c>
      <c r="D99" s="9">
        <v>1144368</v>
      </c>
      <c r="E99" s="7" t="e">
        <f>VLOOKUP(A99,DEVOLUCIONES!A$1:A$231,1,0)</f>
        <v>#N/A</v>
      </c>
      <c r="F99" s="7" t="e">
        <f>VLOOKUP(A99,'GLOSAS X CONCILIAR'!$A$1:$A$37,1,0)</f>
        <v>#N/A</v>
      </c>
      <c r="G99" s="7" t="e">
        <f>VLOOKUP(A99,'TODAS LAS P'!A:A,1,0)</f>
        <v>#N/A</v>
      </c>
      <c r="H99" s="7" t="e">
        <f>VLOOKUP(A99,PAGOS!A133:$A$1553,1,0)</f>
        <v>#N/A</v>
      </c>
      <c r="I99" s="40"/>
      <c r="J99" s="40"/>
      <c r="K99" s="40"/>
      <c r="L99" s="40">
        <f t="shared" si="5"/>
        <v>1144368</v>
      </c>
      <c r="M99" s="40"/>
      <c r="N99" s="40"/>
      <c r="O99" s="40"/>
      <c r="P99" s="40"/>
      <c r="Q99" s="7"/>
      <c r="R99" s="7"/>
      <c r="S99" s="7"/>
      <c r="T99" s="35">
        <f t="shared" si="6"/>
        <v>0</v>
      </c>
      <c r="U99" s="7"/>
    </row>
    <row r="100" spans="1:21" x14ac:dyDescent="0.25">
      <c r="A100" s="7" t="s">
        <v>3295</v>
      </c>
      <c r="B100" s="8">
        <v>43748.589328703703</v>
      </c>
      <c r="C100" s="8">
        <v>44045</v>
      </c>
      <c r="D100" s="9">
        <v>1301016</v>
      </c>
      <c r="E100" s="7" t="e">
        <f>VLOOKUP(A100,DEVOLUCIONES!A$1:A$231,1,0)</f>
        <v>#N/A</v>
      </c>
      <c r="F100" s="7" t="e">
        <f>VLOOKUP(A100,'GLOSAS X CONCILIAR'!$A$1:$A$37,1,0)</f>
        <v>#N/A</v>
      </c>
      <c r="G100" s="7" t="e">
        <f>VLOOKUP(A100,'TODAS LAS P'!A:A,1,0)</f>
        <v>#N/A</v>
      </c>
      <c r="H100" s="7" t="e">
        <f>VLOOKUP(A100,PAGOS!A134:$A$1553,1,0)</f>
        <v>#N/A</v>
      </c>
      <c r="I100" s="40"/>
      <c r="J100" s="40"/>
      <c r="K100" s="40"/>
      <c r="L100" s="40">
        <f t="shared" si="5"/>
        <v>1301016</v>
      </c>
      <c r="M100" s="40"/>
      <c r="N100" s="40"/>
      <c r="O100" s="40"/>
      <c r="P100" s="40"/>
      <c r="Q100" s="7"/>
      <c r="R100" s="7"/>
      <c r="S100" s="7"/>
      <c r="T100" s="35">
        <f t="shared" si="6"/>
        <v>0</v>
      </c>
      <c r="U100" s="7"/>
    </row>
    <row r="101" spans="1:21" x14ac:dyDescent="0.25">
      <c r="A101" s="7" t="s">
        <v>3296</v>
      </c>
      <c r="B101" s="8">
        <v>43748.615162037036</v>
      </c>
      <c r="C101" s="8">
        <v>44045</v>
      </c>
      <c r="D101" s="9">
        <v>445007</v>
      </c>
      <c r="E101" s="7" t="e">
        <f>VLOOKUP(A101,DEVOLUCIONES!A$1:A$231,1,0)</f>
        <v>#N/A</v>
      </c>
      <c r="F101" s="7" t="e">
        <f>VLOOKUP(A101,'GLOSAS X CONCILIAR'!$A$1:$A$37,1,0)</f>
        <v>#N/A</v>
      </c>
      <c r="G101" s="7" t="e">
        <f>VLOOKUP(A101,'TODAS LAS P'!A:A,1,0)</f>
        <v>#N/A</v>
      </c>
      <c r="H101" s="7" t="e">
        <f>VLOOKUP(A101,PAGOS!A135:$A$1553,1,0)</f>
        <v>#N/A</v>
      </c>
      <c r="I101" s="40"/>
      <c r="J101" s="40"/>
      <c r="K101" s="40"/>
      <c r="L101" s="40">
        <f t="shared" si="5"/>
        <v>445007</v>
      </c>
      <c r="M101" s="40"/>
      <c r="N101" s="40"/>
      <c r="O101" s="40"/>
      <c r="P101" s="40"/>
      <c r="Q101" s="7"/>
      <c r="R101" s="7"/>
      <c r="S101" s="7"/>
      <c r="T101" s="35">
        <f t="shared" si="6"/>
        <v>0</v>
      </c>
      <c r="U101" s="7"/>
    </row>
    <row r="102" spans="1:21" x14ac:dyDescent="0.25">
      <c r="A102" s="7" t="s">
        <v>3297</v>
      </c>
      <c r="B102" s="8">
        <v>43749.643738425926</v>
      </c>
      <c r="C102" s="8">
        <v>44045</v>
      </c>
      <c r="D102" s="9">
        <v>115899</v>
      </c>
      <c r="E102" s="7" t="e">
        <f>VLOOKUP(A102,DEVOLUCIONES!A$1:A$231,1,0)</f>
        <v>#N/A</v>
      </c>
      <c r="F102" s="7" t="e">
        <f>VLOOKUP(A102,'GLOSAS X CONCILIAR'!$A$1:$A$37,1,0)</f>
        <v>#N/A</v>
      </c>
      <c r="G102" s="7" t="e">
        <f>VLOOKUP(A102,'TODAS LAS P'!A:A,1,0)</f>
        <v>#N/A</v>
      </c>
      <c r="H102" s="7" t="e">
        <f>VLOOKUP(A102,PAGOS!A136:$A$1553,1,0)</f>
        <v>#N/A</v>
      </c>
      <c r="I102" s="40"/>
      <c r="J102" s="40"/>
      <c r="K102" s="40"/>
      <c r="L102" s="40">
        <f t="shared" si="5"/>
        <v>115899</v>
      </c>
      <c r="M102" s="40"/>
      <c r="N102" s="40"/>
      <c r="O102" s="40"/>
      <c r="P102" s="40"/>
      <c r="Q102" s="7"/>
      <c r="R102" s="7"/>
      <c r="S102" s="7"/>
      <c r="T102" s="35">
        <f t="shared" si="6"/>
        <v>0</v>
      </c>
      <c r="U102" s="7"/>
    </row>
    <row r="103" spans="1:21" x14ac:dyDescent="0.25">
      <c r="A103" s="7" t="s">
        <v>3298</v>
      </c>
      <c r="B103" s="8">
        <v>43750.445810185185</v>
      </c>
      <c r="C103" s="8">
        <v>44045</v>
      </c>
      <c r="D103" s="9">
        <v>95200</v>
      </c>
      <c r="E103" s="7" t="e">
        <f>VLOOKUP(A103,DEVOLUCIONES!A$1:A$231,1,0)</f>
        <v>#N/A</v>
      </c>
      <c r="F103" s="7" t="e">
        <f>VLOOKUP(A103,'GLOSAS X CONCILIAR'!$A$1:$A$37,1,0)</f>
        <v>#N/A</v>
      </c>
      <c r="G103" s="7" t="e">
        <f>VLOOKUP(A103,'TODAS LAS P'!A:A,1,0)</f>
        <v>#N/A</v>
      </c>
      <c r="H103" s="7" t="e">
        <f>VLOOKUP(A103,PAGOS!A137:$A$1553,1,0)</f>
        <v>#N/A</v>
      </c>
      <c r="I103" s="40"/>
      <c r="J103" s="40"/>
      <c r="K103" s="40"/>
      <c r="L103" s="40">
        <f t="shared" si="5"/>
        <v>95200</v>
      </c>
      <c r="M103" s="40"/>
      <c r="N103" s="40"/>
      <c r="O103" s="40"/>
      <c r="P103" s="40"/>
      <c r="Q103" s="7"/>
      <c r="R103" s="7"/>
      <c r="S103" s="7"/>
      <c r="T103" s="35">
        <f t="shared" si="6"/>
        <v>0</v>
      </c>
      <c r="U103" s="7"/>
    </row>
    <row r="104" spans="1:21" x14ac:dyDescent="0.25">
      <c r="A104" s="7" t="s">
        <v>3299</v>
      </c>
      <c r="B104" s="8">
        <v>43750.665011574078</v>
      </c>
      <c r="C104" s="8">
        <v>44045</v>
      </c>
      <c r="D104" s="9">
        <v>233960</v>
      </c>
      <c r="E104" s="7" t="e">
        <f>VLOOKUP(A104,DEVOLUCIONES!A$1:A$231,1,0)</f>
        <v>#N/A</v>
      </c>
      <c r="F104" s="7" t="e">
        <f>VLOOKUP(A104,'GLOSAS X CONCILIAR'!$A$1:$A$37,1,0)</f>
        <v>#N/A</v>
      </c>
      <c r="G104" s="7" t="e">
        <f>VLOOKUP(A104,'TODAS LAS P'!A:A,1,0)</f>
        <v>#N/A</v>
      </c>
      <c r="H104" s="7" t="e">
        <f>VLOOKUP(A104,PAGOS!A138:$A$1553,1,0)</f>
        <v>#N/A</v>
      </c>
      <c r="I104" s="40"/>
      <c r="J104" s="40"/>
      <c r="K104" s="40"/>
      <c r="L104" s="40">
        <f t="shared" si="5"/>
        <v>233960</v>
      </c>
      <c r="M104" s="40"/>
      <c r="N104" s="40"/>
      <c r="O104" s="40"/>
      <c r="P104" s="40"/>
      <c r="Q104" s="7"/>
      <c r="R104" s="7"/>
      <c r="S104" s="7"/>
      <c r="T104" s="35">
        <f t="shared" si="6"/>
        <v>0</v>
      </c>
      <c r="U104" s="7"/>
    </row>
    <row r="105" spans="1:21" x14ac:dyDescent="0.25">
      <c r="A105" s="7" t="s">
        <v>3300</v>
      </c>
      <c r="B105" s="8">
        <v>43753.65084490741</v>
      </c>
      <c r="C105" s="8">
        <v>44045</v>
      </c>
      <c r="D105" s="9">
        <v>240615</v>
      </c>
      <c r="E105" s="7" t="e">
        <f>VLOOKUP(A105,DEVOLUCIONES!A$1:A$231,1,0)</f>
        <v>#N/A</v>
      </c>
      <c r="F105" s="7" t="e">
        <f>VLOOKUP(A105,'GLOSAS X CONCILIAR'!$A$1:$A$37,1,0)</f>
        <v>#N/A</v>
      </c>
      <c r="G105" s="7" t="e">
        <f>VLOOKUP(A105,'TODAS LAS P'!A:A,1,0)</f>
        <v>#N/A</v>
      </c>
      <c r="H105" s="7" t="e">
        <f>VLOOKUP(A105,PAGOS!A139:$A$1553,1,0)</f>
        <v>#N/A</v>
      </c>
      <c r="I105" s="40"/>
      <c r="J105" s="40"/>
      <c r="K105" s="40"/>
      <c r="L105" s="40">
        <f t="shared" si="5"/>
        <v>240615</v>
      </c>
      <c r="M105" s="40"/>
      <c r="N105" s="40"/>
      <c r="O105" s="40"/>
      <c r="P105" s="40"/>
      <c r="Q105" s="7"/>
      <c r="R105" s="7"/>
      <c r="S105" s="7"/>
      <c r="T105" s="35">
        <f t="shared" si="6"/>
        <v>0</v>
      </c>
      <c r="U105" s="7"/>
    </row>
    <row r="106" spans="1:21" x14ac:dyDescent="0.25">
      <c r="A106" s="7" t="s">
        <v>3301</v>
      </c>
      <c r="B106" s="8">
        <v>43753.766284722224</v>
      </c>
      <c r="C106" s="8">
        <v>44045</v>
      </c>
      <c r="D106" s="9">
        <v>148315</v>
      </c>
      <c r="E106" s="7" t="e">
        <f>VLOOKUP(A106,DEVOLUCIONES!A$1:A$231,1,0)</f>
        <v>#N/A</v>
      </c>
      <c r="F106" s="7" t="e">
        <f>VLOOKUP(A106,'GLOSAS X CONCILIAR'!$A$1:$A$37,1,0)</f>
        <v>#N/A</v>
      </c>
      <c r="G106" s="7" t="e">
        <f>VLOOKUP(A106,'TODAS LAS P'!A:A,1,0)</f>
        <v>#N/A</v>
      </c>
      <c r="H106" s="7" t="e">
        <f>VLOOKUP(A106,PAGOS!A140:$A$1553,1,0)</f>
        <v>#N/A</v>
      </c>
      <c r="I106" s="40"/>
      <c r="J106" s="40"/>
      <c r="K106" s="40"/>
      <c r="L106" s="40">
        <f t="shared" si="5"/>
        <v>148315</v>
      </c>
      <c r="M106" s="40"/>
      <c r="N106" s="40"/>
      <c r="O106" s="40"/>
      <c r="P106" s="40"/>
      <c r="Q106" s="7"/>
      <c r="R106" s="7"/>
      <c r="S106" s="7"/>
      <c r="T106" s="35">
        <f t="shared" si="6"/>
        <v>0</v>
      </c>
      <c r="U106" s="7"/>
    </row>
    <row r="107" spans="1:21" x14ac:dyDescent="0.25">
      <c r="A107" s="7" t="s">
        <v>3302</v>
      </c>
      <c r="B107" s="8">
        <v>43755.719189814816</v>
      </c>
      <c r="C107" s="8">
        <v>44045</v>
      </c>
      <c r="D107" s="9">
        <v>154400</v>
      </c>
      <c r="E107" s="7" t="e">
        <f>VLOOKUP(A107,DEVOLUCIONES!A$1:A$231,1,0)</f>
        <v>#N/A</v>
      </c>
      <c r="F107" s="7" t="e">
        <f>VLOOKUP(A107,'GLOSAS X CONCILIAR'!$A$1:$A$37,1,0)</f>
        <v>#N/A</v>
      </c>
      <c r="G107" s="7" t="e">
        <f>VLOOKUP(A107,'TODAS LAS P'!A:A,1,0)</f>
        <v>#N/A</v>
      </c>
      <c r="H107" s="7" t="e">
        <f>VLOOKUP(A107,PAGOS!A141:$A$1553,1,0)</f>
        <v>#N/A</v>
      </c>
      <c r="I107" s="40"/>
      <c r="J107" s="40"/>
      <c r="K107" s="40"/>
      <c r="L107" s="40">
        <f t="shared" si="5"/>
        <v>154400</v>
      </c>
      <c r="M107" s="40"/>
      <c r="N107" s="40"/>
      <c r="O107" s="40"/>
      <c r="P107" s="40"/>
      <c r="Q107" s="7"/>
      <c r="R107" s="7"/>
      <c r="S107" s="7"/>
      <c r="T107" s="35">
        <f t="shared" si="6"/>
        <v>0</v>
      </c>
      <c r="U107" s="7"/>
    </row>
    <row r="108" spans="1:21" x14ac:dyDescent="0.25">
      <c r="A108" s="7" t="s">
        <v>3303</v>
      </c>
      <c r="B108" s="8">
        <v>43757.324236111112</v>
      </c>
      <c r="C108" s="8">
        <v>44045</v>
      </c>
      <c r="D108" s="9">
        <v>2268646</v>
      </c>
      <c r="E108" s="7" t="e">
        <f>VLOOKUP(A108,DEVOLUCIONES!A$1:A$231,1,0)</f>
        <v>#N/A</v>
      </c>
      <c r="F108" s="7" t="e">
        <f>VLOOKUP(A108,'GLOSAS X CONCILIAR'!$A$1:$A$37,1,0)</f>
        <v>#N/A</v>
      </c>
      <c r="G108" s="7" t="e">
        <f>VLOOKUP(A108,'TODAS LAS P'!A:A,1,0)</f>
        <v>#N/A</v>
      </c>
      <c r="H108" s="7" t="e">
        <f>VLOOKUP(A108,PAGOS!A142:$A$1553,1,0)</f>
        <v>#N/A</v>
      </c>
      <c r="I108" s="40"/>
      <c r="J108" s="40"/>
      <c r="K108" s="40"/>
      <c r="L108" s="40">
        <f t="shared" si="5"/>
        <v>2268646</v>
      </c>
      <c r="M108" s="40"/>
      <c r="N108" s="40"/>
      <c r="O108" s="40"/>
      <c r="P108" s="40"/>
      <c r="Q108" s="7"/>
      <c r="R108" s="7"/>
      <c r="S108" s="7"/>
      <c r="T108" s="35">
        <f t="shared" si="6"/>
        <v>0</v>
      </c>
      <c r="U108" s="7"/>
    </row>
    <row r="109" spans="1:21" x14ac:dyDescent="0.25">
      <c r="A109" s="7" t="s">
        <v>3304</v>
      </c>
      <c r="B109" s="8">
        <v>43757.384351851855</v>
      </c>
      <c r="C109" s="8">
        <v>44045</v>
      </c>
      <c r="D109" s="9">
        <v>54400</v>
      </c>
      <c r="E109" s="7" t="e">
        <f>VLOOKUP(A109,DEVOLUCIONES!A$1:A$231,1,0)</f>
        <v>#N/A</v>
      </c>
      <c r="F109" s="7" t="e">
        <f>VLOOKUP(A109,'GLOSAS X CONCILIAR'!$A$1:$A$37,1,0)</f>
        <v>#N/A</v>
      </c>
      <c r="G109" s="7" t="e">
        <f>VLOOKUP(A109,'TODAS LAS P'!A:A,1,0)</f>
        <v>#N/A</v>
      </c>
      <c r="H109" s="7" t="e">
        <f>VLOOKUP(A109,PAGOS!A143:$A$1553,1,0)</f>
        <v>#N/A</v>
      </c>
      <c r="I109" s="40"/>
      <c r="J109" s="40"/>
      <c r="K109" s="40"/>
      <c r="L109" s="40">
        <f t="shared" ref="L109:L172" si="7">D109</f>
        <v>54400</v>
      </c>
      <c r="M109" s="40"/>
      <c r="N109" s="40"/>
      <c r="O109" s="40"/>
      <c r="P109" s="40"/>
      <c r="Q109" s="7"/>
      <c r="R109" s="7"/>
      <c r="S109" s="7"/>
      <c r="T109" s="35">
        <f t="shared" si="6"/>
        <v>0</v>
      </c>
      <c r="U109" s="7"/>
    </row>
    <row r="110" spans="1:21" x14ac:dyDescent="0.25">
      <c r="A110" s="7" t="s">
        <v>3305</v>
      </c>
      <c r="B110" s="8">
        <v>43759.186273148145</v>
      </c>
      <c r="C110" s="8">
        <v>44045</v>
      </c>
      <c r="D110" s="9">
        <v>54400</v>
      </c>
      <c r="E110" s="7" t="e">
        <f>VLOOKUP(A110,DEVOLUCIONES!A$1:A$231,1,0)</f>
        <v>#N/A</v>
      </c>
      <c r="F110" s="7" t="e">
        <f>VLOOKUP(A110,'GLOSAS X CONCILIAR'!$A$1:$A$37,1,0)</f>
        <v>#N/A</v>
      </c>
      <c r="G110" s="7" t="e">
        <f>VLOOKUP(A110,'TODAS LAS P'!A:A,1,0)</f>
        <v>#N/A</v>
      </c>
      <c r="H110" s="7" t="e">
        <f>VLOOKUP(A110,PAGOS!A144:$A$1553,1,0)</f>
        <v>#N/A</v>
      </c>
      <c r="I110" s="40"/>
      <c r="J110" s="40"/>
      <c r="K110" s="40"/>
      <c r="L110" s="40">
        <f t="shared" si="7"/>
        <v>54400</v>
      </c>
      <c r="M110" s="40"/>
      <c r="N110" s="40"/>
      <c r="O110" s="40"/>
      <c r="P110" s="40"/>
      <c r="Q110" s="7"/>
      <c r="R110" s="7"/>
      <c r="S110" s="7"/>
      <c r="T110" s="35">
        <f t="shared" si="6"/>
        <v>0</v>
      </c>
      <c r="U110" s="7"/>
    </row>
    <row r="111" spans="1:21" x14ac:dyDescent="0.25">
      <c r="A111" s="7" t="s">
        <v>3306</v>
      </c>
      <c r="B111" s="8">
        <v>43759.519884259258</v>
      </c>
      <c r="C111" s="8">
        <v>44045</v>
      </c>
      <c r="D111" s="9">
        <v>240615</v>
      </c>
      <c r="E111" s="7" t="e">
        <f>VLOOKUP(A111,DEVOLUCIONES!A$1:A$231,1,0)</f>
        <v>#N/A</v>
      </c>
      <c r="F111" s="7" t="e">
        <f>VLOOKUP(A111,'GLOSAS X CONCILIAR'!$A$1:$A$37,1,0)</f>
        <v>#N/A</v>
      </c>
      <c r="G111" s="7" t="e">
        <f>VLOOKUP(A111,'TODAS LAS P'!A:A,1,0)</f>
        <v>#N/A</v>
      </c>
      <c r="H111" s="7" t="e">
        <f>VLOOKUP(A111,PAGOS!A145:$A$1553,1,0)</f>
        <v>#N/A</v>
      </c>
      <c r="I111" s="40"/>
      <c r="J111" s="40"/>
      <c r="K111" s="40"/>
      <c r="L111" s="40">
        <f t="shared" si="7"/>
        <v>240615</v>
      </c>
      <c r="M111" s="40"/>
      <c r="N111" s="40"/>
      <c r="O111" s="40"/>
      <c r="P111" s="40"/>
      <c r="Q111" s="7"/>
      <c r="R111" s="7"/>
      <c r="S111" s="7"/>
      <c r="T111" s="35">
        <f t="shared" si="6"/>
        <v>0</v>
      </c>
      <c r="U111" s="7"/>
    </row>
    <row r="112" spans="1:21" x14ac:dyDescent="0.25">
      <c r="A112" s="7" t="s">
        <v>3307</v>
      </c>
      <c r="B112" s="8">
        <v>43759.556967592594</v>
      </c>
      <c r="C112" s="8">
        <v>44045</v>
      </c>
      <c r="D112" s="9">
        <v>1070308</v>
      </c>
      <c r="E112" s="7" t="e">
        <f>VLOOKUP(A112,DEVOLUCIONES!A$1:A$231,1,0)</f>
        <v>#N/A</v>
      </c>
      <c r="F112" s="7" t="e">
        <f>VLOOKUP(A112,'GLOSAS X CONCILIAR'!$A$1:$A$37,1,0)</f>
        <v>#N/A</v>
      </c>
      <c r="G112" s="7" t="e">
        <f>VLOOKUP(A112,'TODAS LAS P'!A:A,1,0)</f>
        <v>#N/A</v>
      </c>
      <c r="H112" s="7" t="e">
        <f>VLOOKUP(A112,PAGOS!A146:$A$1553,1,0)</f>
        <v>#N/A</v>
      </c>
      <c r="I112" s="40"/>
      <c r="J112" s="40"/>
      <c r="K112" s="40"/>
      <c r="L112" s="40">
        <f t="shared" si="7"/>
        <v>1070308</v>
      </c>
      <c r="M112" s="40"/>
      <c r="N112" s="40"/>
      <c r="O112" s="40"/>
      <c r="P112" s="40"/>
      <c r="Q112" s="7"/>
      <c r="R112" s="7"/>
      <c r="S112" s="7"/>
      <c r="T112" s="35">
        <f t="shared" si="6"/>
        <v>0</v>
      </c>
      <c r="U112" s="7"/>
    </row>
    <row r="113" spans="1:21" x14ac:dyDescent="0.25">
      <c r="A113" s="7" t="s">
        <v>3308</v>
      </c>
      <c r="B113" s="8">
        <v>43759.692280092589</v>
      </c>
      <c r="C113" s="8">
        <v>44045</v>
      </c>
      <c r="D113" s="9">
        <v>198351</v>
      </c>
      <c r="E113" s="7" t="e">
        <f>VLOOKUP(A113,DEVOLUCIONES!A$1:A$231,1,0)</f>
        <v>#N/A</v>
      </c>
      <c r="F113" s="7" t="e">
        <f>VLOOKUP(A113,'GLOSAS X CONCILIAR'!$A$1:$A$37,1,0)</f>
        <v>#N/A</v>
      </c>
      <c r="G113" s="7" t="e">
        <f>VLOOKUP(A113,'TODAS LAS P'!A:A,1,0)</f>
        <v>#N/A</v>
      </c>
      <c r="H113" s="7" t="e">
        <f>VLOOKUP(A113,PAGOS!A147:$A$1553,1,0)</f>
        <v>#N/A</v>
      </c>
      <c r="I113" s="40"/>
      <c r="J113" s="40"/>
      <c r="K113" s="40"/>
      <c r="L113" s="40">
        <f t="shared" si="7"/>
        <v>198351</v>
      </c>
      <c r="M113" s="40"/>
      <c r="N113" s="40"/>
      <c r="O113" s="40"/>
      <c r="P113" s="40"/>
      <c r="Q113" s="7"/>
      <c r="R113" s="7"/>
      <c r="S113" s="7"/>
      <c r="T113" s="35">
        <f t="shared" si="6"/>
        <v>0</v>
      </c>
      <c r="U113" s="7"/>
    </row>
    <row r="114" spans="1:21" x14ac:dyDescent="0.25">
      <c r="A114" s="7" t="s">
        <v>3309</v>
      </c>
      <c r="B114" s="8">
        <v>43760.664189814815</v>
      </c>
      <c r="C114" s="8">
        <v>44045</v>
      </c>
      <c r="D114" s="9">
        <v>107100</v>
      </c>
      <c r="E114" s="7" t="e">
        <f>VLOOKUP(A114,DEVOLUCIONES!A$1:A$231,1,0)</f>
        <v>#N/A</v>
      </c>
      <c r="F114" s="7" t="e">
        <f>VLOOKUP(A114,'GLOSAS X CONCILIAR'!$A$1:$A$37,1,0)</f>
        <v>#N/A</v>
      </c>
      <c r="G114" s="7" t="e">
        <f>VLOOKUP(A114,'TODAS LAS P'!A:A,1,0)</f>
        <v>#N/A</v>
      </c>
      <c r="H114" s="7" t="e">
        <f>VLOOKUP(A114,PAGOS!A148:$A$1553,1,0)</f>
        <v>#N/A</v>
      </c>
      <c r="I114" s="40"/>
      <c r="J114" s="40"/>
      <c r="K114" s="40"/>
      <c r="L114" s="40">
        <f t="shared" si="7"/>
        <v>107100</v>
      </c>
      <c r="M114" s="40"/>
      <c r="N114" s="40"/>
      <c r="O114" s="40"/>
      <c r="P114" s="40"/>
      <c r="Q114" s="7"/>
      <c r="R114" s="7"/>
      <c r="S114" s="7"/>
      <c r="T114" s="35">
        <f t="shared" si="6"/>
        <v>0</v>
      </c>
      <c r="U114" s="7"/>
    </row>
    <row r="115" spans="1:21" x14ac:dyDescent="0.25">
      <c r="A115" s="7" t="s">
        <v>3310</v>
      </c>
      <c r="B115" s="8">
        <v>43760.741863425923</v>
      </c>
      <c r="C115" s="8">
        <v>44045</v>
      </c>
      <c r="D115" s="9">
        <v>55015</v>
      </c>
      <c r="E115" s="7" t="e">
        <f>VLOOKUP(A115,DEVOLUCIONES!A$1:A$231,1,0)</f>
        <v>#N/A</v>
      </c>
      <c r="F115" s="7" t="e">
        <f>VLOOKUP(A115,'GLOSAS X CONCILIAR'!$A$1:$A$37,1,0)</f>
        <v>#N/A</v>
      </c>
      <c r="G115" s="7" t="e">
        <f>VLOOKUP(A115,'TODAS LAS P'!A:A,1,0)</f>
        <v>#N/A</v>
      </c>
      <c r="H115" s="7" t="e">
        <f>VLOOKUP(A115,PAGOS!A149:$A$1553,1,0)</f>
        <v>#N/A</v>
      </c>
      <c r="I115" s="40"/>
      <c r="J115" s="40"/>
      <c r="K115" s="40"/>
      <c r="L115" s="40">
        <f t="shared" si="7"/>
        <v>55015</v>
      </c>
      <c r="M115" s="40"/>
      <c r="N115" s="40"/>
      <c r="O115" s="40"/>
      <c r="P115" s="40"/>
      <c r="Q115" s="7"/>
      <c r="R115" s="7"/>
      <c r="S115" s="7"/>
      <c r="T115" s="35">
        <f t="shared" si="6"/>
        <v>0</v>
      </c>
      <c r="U115" s="7"/>
    </row>
    <row r="116" spans="1:21" x14ac:dyDescent="0.25">
      <c r="A116" s="7" t="s">
        <v>3311</v>
      </c>
      <c r="B116" s="8">
        <v>43760.88076388889</v>
      </c>
      <c r="C116" s="8">
        <v>44045</v>
      </c>
      <c r="D116" s="9">
        <v>2097681</v>
      </c>
      <c r="E116" s="7" t="e">
        <f>VLOOKUP(A116,DEVOLUCIONES!A$1:A$231,1,0)</f>
        <v>#N/A</v>
      </c>
      <c r="F116" s="7" t="e">
        <f>VLOOKUP(A116,'GLOSAS X CONCILIAR'!$A$1:$A$37,1,0)</f>
        <v>#N/A</v>
      </c>
      <c r="G116" s="7" t="e">
        <f>VLOOKUP(A116,'TODAS LAS P'!A:A,1,0)</f>
        <v>#N/A</v>
      </c>
      <c r="H116" s="7" t="e">
        <f>VLOOKUP(A116,PAGOS!A150:$A$1553,1,0)</f>
        <v>#N/A</v>
      </c>
      <c r="I116" s="40"/>
      <c r="J116" s="40"/>
      <c r="K116" s="40"/>
      <c r="L116" s="40">
        <f t="shared" si="7"/>
        <v>2097681</v>
      </c>
      <c r="M116" s="40"/>
      <c r="N116" s="40"/>
      <c r="O116" s="40"/>
      <c r="P116" s="40"/>
      <c r="Q116" s="7"/>
      <c r="R116" s="7"/>
      <c r="S116" s="7"/>
      <c r="T116" s="35">
        <f t="shared" si="6"/>
        <v>0</v>
      </c>
      <c r="U116" s="7"/>
    </row>
    <row r="117" spans="1:21" x14ac:dyDescent="0.25">
      <c r="A117" s="7" t="s">
        <v>2929</v>
      </c>
      <c r="B117" s="8">
        <v>43763.467372685183</v>
      </c>
      <c r="C117" s="8">
        <v>44045</v>
      </c>
      <c r="D117" s="9">
        <v>33100</v>
      </c>
      <c r="E117" s="7" t="e">
        <f>VLOOKUP(A117,DEVOLUCIONES!A$1:A$231,1,0)</f>
        <v>#N/A</v>
      </c>
      <c r="F117" s="7" t="e">
        <f>VLOOKUP(A117,'GLOSAS X CONCILIAR'!$A$1:$A$37,1,0)</f>
        <v>#N/A</v>
      </c>
      <c r="G117" s="7" t="e">
        <f>VLOOKUP(A117,'TODAS LAS P'!A:A,1,0)</f>
        <v>#N/A</v>
      </c>
      <c r="H117" s="7" t="e">
        <f>VLOOKUP(A117,PAGOS!A151:$A$1553,1,0)</f>
        <v>#N/A</v>
      </c>
      <c r="I117" s="40"/>
      <c r="J117" s="40"/>
      <c r="K117" s="40"/>
      <c r="L117" s="40">
        <f t="shared" si="7"/>
        <v>33100</v>
      </c>
      <c r="M117" s="40"/>
      <c r="N117" s="40"/>
      <c r="O117" s="40"/>
      <c r="P117" s="40"/>
      <c r="Q117" s="7"/>
      <c r="R117" s="7"/>
      <c r="S117" s="7"/>
      <c r="T117" s="35">
        <f t="shared" si="6"/>
        <v>0</v>
      </c>
      <c r="U117" s="7"/>
    </row>
    <row r="118" spans="1:21" x14ac:dyDescent="0.25">
      <c r="A118" s="7" t="s">
        <v>3312</v>
      </c>
      <c r="B118" s="8">
        <v>43764.683506944442</v>
      </c>
      <c r="C118" s="8">
        <v>44045</v>
      </c>
      <c r="D118" s="9">
        <v>106298</v>
      </c>
      <c r="E118" s="7" t="e">
        <f>VLOOKUP(A118,DEVOLUCIONES!A$1:A$231,1,0)</f>
        <v>#N/A</v>
      </c>
      <c r="F118" s="7" t="e">
        <f>VLOOKUP(A118,'GLOSAS X CONCILIAR'!$A$1:$A$37,1,0)</f>
        <v>#N/A</v>
      </c>
      <c r="G118" s="7" t="e">
        <f>VLOOKUP(A118,'TODAS LAS P'!A:A,1,0)</f>
        <v>#N/A</v>
      </c>
      <c r="H118" s="7" t="e">
        <f>VLOOKUP(A118,PAGOS!A152:$A$1553,1,0)</f>
        <v>#N/A</v>
      </c>
      <c r="I118" s="40"/>
      <c r="J118" s="40"/>
      <c r="K118" s="40"/>
      <c r="L118" s="40">
        <f t="shared" si="7"/>
        <v>106298</v>
      </c>
      <c r="M118" s="40"/>
      <c r="N118" s="40"/>
      <c r="O118" s="40"/>
      <c r="P118" s="40"/>
      <c r="Q118" s="7"/>
      <c r="R118" s="7"/>
      <c r="S118" s="7"/>
      <c r="T118" s="35">
        <f t="shared" si="6"/>
        <v>0</v>
      </c>
      <c r="U118" s="7"/>
    </row>
    <row r="119" spans="1:21" x14ac:dyDescent="0.25">
      <c r="A119" s="7" t="s">
        <v>3313</v>
      </c>
      <c r="B119" s="8">
        <v>43766.259444444448</v>
      </c>
      <c r="C119" s="8">
        <v>44045</v>
      </c>
      <c r="D119" s="9">
        <v>94600</v>
      </c>
      <c r="E119" s="7" t="e">
        <f>VLOOKUP(A119,DEVOLUCIONES!A$1:A$231,1,0)</f>
        <v>#N/A</v>
      </c>
      <c r="F119" s="7" t="e">
        <f>VLOOKUP(A119,'GLOSAS X CONCILIAR'!$A$1:$A$37,1,0)</f>
        <v>#N/A</v>
      </c>
      <c r="G119" s="7" t="e">
        <f>VLOOKUP(A119,'TODAS LAS P'!A:A,1,0)</f>
        <v>#N/A</v>
      </c>
      <c r="H119" s="7" t="e">
        <f>VLOOKUP(A119,PAGOS!A153:$A$1553,1,0)</f>
        <v>#N/A</v>
      </c>
      <c r="I119" s="40"/>
      <c r="J119" s="40"/>
      <c r="K119" s="40"/>
      <c r="L119" s="40">
        <f t="shared" si="7"/>
        <v>94600</v>
      </c>
      <c r="M119" s="40"/>
      <c r="N119" s="40"/>
      <c r="O119" s="40"/>
      <c r="P119" s="40"/>
      <c r="Q119" s="7"/>
      <c r="R119" s="7"/>
      <c r="S119" s="7"/>
      <c r="T119" s="35">
        <f t="shared" si="6"/>
        <v>0</v>
      </c>
      <c r="U119" s="7"/>
    </row>
    <row r="120" spans="1:21" x14ac:dyDescent="0.25">
      <c r="A120" s="7" t="s">
        <v>3314</v>
      </c>
      <c r="B120" s="8">
        <v>43767.608854166669</v>
      </c>
      <c r="C120" s="8">
        <v>44045</v>
      </c>
      <c r="D120" s="9">
        <v>105000</v>
      </c>
      <c r="E120" s="7" t="e">
        <f>VLOOKUP(A120,DEVOLUCIONES!A$1:A$231,1,0)</f>
        <v>#N/A</v>
      </c>
      <c r="F120" s="7" t="e">
        <f>VLOOKUP(A120,'GLOSAS X CONCILIAR'!$A$1:$A$37,1,0)</f>
        <v>#N/A</v>
      </c>
      <c r="G120" s="7" t="e">
        <f>VLOOKUP(A120,'TODAS LAS P'!A:A,1,0)</f>
        <v>#N/A</v>
      </c>
      <c r="H120" s="7" t="e">
        <f>VLOOKUP(A120,PAGOS!A154:$A$1553,1,0)</f>
        <v>#N/A</v>
      </c>
      <c r="I120" s="40"/>
      <c r="J120" s="40"/>
      <c r="K120" s="40"/>
      <c r="L120" s="40">
        <f t="shared" si="7"/>
        <v>105000</v>
      </c>
      <c r="M120" s="40"/>
      <c r="N120" s="40"/>
      <c r="O120" s="40"/>
      <c r="P120" s="40"/>
      <c r="Q120" s="7"/>
      <c r="R120" s="7"/>
      <c r="S120" s="7"/>
      <c r="T120" s="35">
        <f t="shared" si="6"/>
        <v>0</v>
      </c>
      <c r="U120" s="7"/>
    </row>
    <row r="121" spans="1:21" x14ac:dyDescent="0.25">
      <c r="A121" s="7" t="s">
        <v>3315</v>
      </c>
      <c r="B121" s="8">
        <v>43768.823368055557</v>
      </c>
      <c r="C121" s="8">
        <v>44045</v>
      </c>
      <c r="D121" s="9">
        <v>846224</v>
      </c>
      <c r="E121" s="7" t="e">
        <f>VLOOKUP(A121,DEVOLUCIONES!A$1:A$231,1,0)</f>
        <v>#N/A</v>
      </c>
      <c r="F121" s="7" t="e">
        <f>VLOOKUP(A121,'GLOSAS X CONCILIAR'!$A$1:$A$37,1,0)</f>
        <v>#N/A</v>
      </c>
      <c r="G121" s="7" t="e">
        <f>VLOOKUP(A121,'TODAS LAS P'!A:A,1,0)</f>
        <v>#N/A</v>
      </c>
      <c r="H121" s="7" t="e">
        <f>VLOOKUP(A121,PAGOS!A155:$A$1553,1,0)</f>
        <v>#N/A</v>
      </c>
      <c r="I121" s="40"/>
      <c r="J121" s="40"/>
      <c r="K121" s="40"/>
      <c r="L121" s="40">
        <f t="shared" si="7"/>
        <v>846224</v>
      </c>
      <c r="M121" s="40"/>
      <c r="N121" s="40"/>
      <c r="O121" s="40"/>
      <c r="P121" s="40"/>
      <c r="Q121" s="7"/>
      <c r="R121" s="7"/>
      <c r="S121" s="7"/>
      <c r="T121" s="35">
        <f t="shared" si="6"/>
        <v>0</v>
      </c>
      <c r="U121" s="7"/>
    </row>
    <row r="122" spans="1:21" x14ac:dyDescent="0.25">
      <c r="A122" s="7" t="s">
        <v>3316</v>
      </c>
      <c r="B122" s="8">
        <v>43771.161574074074</v>
      </c>
      <c r="C122" s="8">
        <v>44045</v>
      </c>
      <c r="D122" s="9">
        <v>55008</v>
      </c>
      <c r="E122" s="7" t="e">
        <f>VLOOKUP(A122,DEVOLUCIONES!A$1:A$231,1,0)</f>
        <v>#N/A</v>
      </c>
      <c r="F122" s="7" t="e">
        <f>VLOOKUP(A122,'GLOSAS X CONCILIAR'!$A$1:$A$37,1,0)</f>
        <v>#N/A</v>
      </c>
      <c r="G122" s="7" t="e">
        <f>VLOOKUP(A122,'TODAS LAS P'!A:A,1,0)</f>
        <v>#N/A</v>
      </c>
      <c r="H122" s="7" t="e">
        <f>VLOOKUP(A122,PAGOS!A156:$A$1553,1,0)</f>
        <v>#N/A</v>
      </c>
      <c r="I122" s="40"/>
      <c r="J122" s="40"/>
      <c r="K122" s="40"/>
      <c r="L122" s="40">
        <f t="shared" si="7"/>
        <v>55008</v>
      </c>
      <c r="M122" s="40"/>
      <c r="N122" s="40"/>
      <c r="O122" s="40"/>
      <c r="P122" s="40"/>
      <c r="Q122" s="7"/>
      <c r="R122" s="7"/>
      <c r="S122" s="7"/>
      <c r="T122" s="35">
        <f t="shared" si="6"/>
        <v>0</v>
      </c>
      <c r="U122" s="7"/>
    </row>
    <row r="123" spans="1:21" x14ac:dyDescent="0.25">
      <c r="A123" s="7" t="s">
        <v>3317</v>
      </c>
      <c r="B123" s="8">
        <v>43772.821087962962</v>
      </c>
      <c r="C123" s="8">
        <v>44045</v>
      </c>
      <c r="D123" s="9">
        <v>167800</v>
      </c>
      <c r="E123" s="7" t="e">
        <f>VLOOKUP(A123,DEVOLUCIONES!A$1:A$231,1,0)</f>
        <v>#N/A</v>
      </c>
      <c r="F123" s="7" t="e">
        <f>VLOOKUP(A123,'GLOSAS X CONCILIAR'!$A$1:$A$37,1,0)</f>
        <v>#N/A</v>
      </c>
      <c r="G123" s="7" t="e">
        <f>VLOOKUP(A123,'TODAS LAS P'!A:A,1,0)</f>
        <v>#N/A</v>
      </c>
      <c r="H123" s="7" t="e">
        <f>VLOOKUP(A123,PAGOS!A157:$A$1553,1,0)</f>
        <v>#N/A</v>
      </c>
      <c r="I123" s="40"/>
      <c r="J123" s="40"/>
      <c r="K123" s="40"/>
      <c r="L123" s="40">
        <f t="shared" si="7"/>
        <v>167800</v>
      </c>
      <c r="M123" s="40"/>
      <c r="N123" s="40"/>
      <c r="O123" s="40"/>
      <c r="P123" s="40"/>
      <c r="Q123" s="7"/>
      <c r="R123" s="7"/>
      <c r="S123" s="7"/>
      <c r="T123" s="35">
        <f t="shared" si="6"/>
        <v>0</v>
      </c>
      <c r="U123" s="7"/>
    </row>
    <row r="124" spans="1:21" x14ac:dyDescent="0.25">
      <c r="A124" s="7" t="s">
        <v>3318</v>
      </c>
      <c r="B124" s="8">
        <v>43773.7734837963</v>
      </c>
      <c r="C124" s="8">
        <v>44045</v>
      </c>
      <c r="D124" s="9">
        <v>318924</v>
      </c>
      <c r="E124" s="7" t="e">
        <f>VLOOKUP(A124,DEVOLUCIONES!A$1:A$231,1,0)</f>
        <v>#N/A</v>
      </c>
      <c r="F124" s="7" t="e">
        <f>VLOOKUP(A124,'GLOSAS X CONCILIAR'!$A$1:$A$37,1,0)</f>
        <v>#N/A</v>
      </c>
      <c r="G124" s="7" t="e">
        <f>VLOOKUP(A124,'TODAS LAS P'!A:A,1,0)</f>
        <v>#N/A</v>
      </c>
      <c r="H124" s="7" t="e">
        <f>VLOOKUP(A124,PAGOS!A158:$A$1553,1,0)</f>
        <v>#N/A</v>
      </c>
      <c r="I124" s="40"/>
      <c r="J124" s="40"/>
      <c r="K124" s="40"/>
      <c r="L124" s="40">
        <f t="shared" si="7"/>
        <v>318924</v>
      </c>
      <c r="M124" s="40"/>
      <c r="N124" s="40"/>
      <c r="O124" s="40"/>
      <c r="P124" s="40"/>
      <c r="Q124" s="7"/>
      <c r="R124" s="7"/>
      <c r="S124" s="7"/>
      <c r="T124" s="35">
        <f t="shared" si="6"/>
        <v>0</v>
      </c>
      <c r="U124" s="7"/>
    </row>
    <row r="125" spans="1:21" x14ac:dyDescent="0.25">
      <c r="A125" s="7" t="s">
        <v>3319</v>
      </c>
      <c r="B125" s="8">
        <v>43774.446469907409</v>
      </c>
      <c r="C125" s="8">
        <v>44045</v>
      </c>
      <c r="D125" s="9">
        <v>1941557</v>
      </c>
      <c r="E125" s="7" t="e">
        <f>VLOOKUP(A125,DEVOLUCIONES!A$1:A$231,1,0)</f>
        <v>#N/A</v>
      </c>
      <c r="F125" s="7" t="e">
        <f>VLOOKUP(A125,'GLOSAS X CONCILIAR'!$A$1:$A$37,1,0)</f>
        <v>#N/A</v>
      </c>
      <c r="G125" s="7" t="e">
        <f>VLOOKUP(A125,'TODAS LAS P'!A:A,1,0)</f>
        <v>#N/A</v>
      </c>
      <c r="H125" s="7" t="e">
        <f>VLOOKUP(A125,PAGOS!A159:$A$1553,1,0)</f>
        <v>#N/A</v>
      </c>
      <c r="I125" s="40"/>
      <c r="J125" s="40"/>
      <c r="K125" s="40"/>
      <c r="L125" s="40">
        <f t="shared" si="7"/>
        <v>1941557</v>
      </c>
      <c r="M125" s="40"/>
      <c r="N125" s="40"/>
      <c r="O125" s="40"/>
      <c r="P125" s="40"/>
      <c r="Q125" s="7"/>
      <c r="R125" s="7"/>
      <c r="S125" s="7"/>
      <c r="T125" s="35">
        <f t="shared" si="6"/>
        <v>0</v>
      </c>
      <c r="U125" s="7"/>
    </row>
    <row r="126" spans="1:21" x14ac:dyDescent="0.25">
      <c r="A126" s="7" t="s">
        <v>3320</v>
      </c>
      <c r="B126" s="8">
        <v>43775.63685185185</v>
      </c>
      <c r="C126" s="8">
        <v>44045</v>
      </c>
      <c r="D126" s="9">
        <v>123685</v>
      </c>
      <c r="E126" s="7" t="e">
        <f>VLOOKUP(A126,DEVOLUCIONES!A$1:A$231,1,0)</f>
        <v>#N/A</v>
      </c>
      <c r="F126" s="7" t="e">
        <f>VLOOKUP(A126,'GLOSAS X CONCILIAR'!$A$1:$A$37,1,0)</f>
        <v>#N/A</v>
      </c>
      <c r="G126" s="7" t="e">
        <f>VLOOKUP(A126,'TODAS LAS P'!A:A,1,0)</f>
        <v>#N/A</v>
      </c>
      <c r="H126" s="7" t="e">
        <f>VLOOKUP(A126,PAGOS!A160:$A$1553,1,0)</f>
        <v>#N/A</v>
      </c>
      <c r="I126" s="40"/>
      <c r="J126" s="40"/>
      <c r="K126" s="40"/>
      <c r="L126" s="40">
        <f t="shared" si="7"/>
        <v>123685</v>
      </c>
      <c r="M126" s="40"/>
      <c r="N126" s="40"/>
      <c r="O126" s="40"/>
      <c r="P126" s="40"/>
      <c r="Q126" s="7"/>
      <c r="R126" s="7"/>
      <c r="S126" s="7"/>
      <c r="T126" s="35">
        <f t="shared" si="6"/>
        <v>0</v>
      </c>
      <c r="U126" s="7"/>
    </row>
    <row r="127" spans="1:21" x14ac:dyDescent="0.25">
      <c r="A127" s="7" t="s">
        <v>2930</v>
      </c>
      <c r="B127" s="8">
        <v>43776.366944444446</v>
      </c>
      <c r="C127" s="8">
        <v>44045</v>
      </c>
      <c r="D127" s="9">
        <v>37900</v>
      </c>
      <c r="E127" s="7" t="e">
        <f>VLOOKUP(A127,DEVOLUCIONES!A$1:A$231,1,0)</f>
        <v>#N/A</v>
      </c>
      <c r="F127" s="7" t="e">
        <f>VLOOKUP(A127,'GLOSAS X CONCILIAR'!$A$1:$A$37,1,0)</f>
        <v>#N/A</v>
      </c>
      <c r="G127" s="7" t="e">
        <f>VLOOKUP(A127,'TODAS LAS P'!A:A,1,0)</f>
        <v>#N/A</v>
      </c>
      <c r="H127" s="7" t="e">
        <f>VLOOKUP(A127,PAGOS!A161:$A$1553,1,0)</f>
        <v>#N/A</v>
      </c>
      <c r="I127" s="40"/>
      <c r="J127" s="40"/>
      <c r="K127" s="40"/>
      <c r="L127" s="40">
        <f t="shared" si="7"/>
        <v>37900</v>
      </c>
      <c r="M127" s="40"/>
      <c r="N127" s="40"/>
      <c r="O127" s="40"/>
      <c r="P127" s="40"/>
      <c r="Q127" s="7"/>
      <c r="R127" s="7"/>
      <c r="S127" s="7"/>
      <c r="T127" s="35">
        <f t="shared" si="6"/>
        <v>0</v>
      </c>
      <c r="U127" s="7"/>
    </row>
    <row r="128" spans="1:21" x14ac:dyDescent="0.25">
      <c r="A128" s="7" t="s">
        <v>3321</v>
      </c>
      <c r="B128" s="8">
        <v>43776.564953703702</v>
      </c>
      <c r="C128" s="8">
        <v>44045</v>
      </c>
      <c r="D128" s="9">
        <v>322567</v>
      </c>
      <c r="E128" s="7" t="e">
        <f>VLOOKUP(A128,DEVOLUCIONES!A$1:A$231,1,0)</f>
        <v>#N/A</v>
      </c>
      <c r="F128" s="7" t="e">
        <f>VLOOKUP(A128,'GLOSAS X CONCILIAR'!$A$1:$A$37,1,0)</f>
        <v>#N/A</v>
      </c>
      <c r="G128" s="7" t="e">
        <f>VLOOKUP(A128,'TODAS LAS P'!A:A,1,0)</f>
        <v>#N/A</v>
      </c>
      <c r="H128" s="7" t="e">
        <f>VLOOKUP(A128,PAGOS!A162:$A$1553,1,0)</f>
        <v>#N/A</v>
      </c>
      <c r="I128" s="40"/>
      <c r="J128" s="40"/>
      <c r="K128" s="40"/>
      <c r="L128" s="40">
        <f t="shared" si="7"/>
        <v>322567</v>
      </c>
      <c r="M128" s="40"/>
      <c r="N128" s="40"/>
      <c r="O128" s="40"/>
      <c r="P128" s="40"/>
      <c r="Q128" s="7"/>
      <c r="R128" s="7"/>
      <c r="S128" s="7"/>
      <c r="T128" s="35">
        <f t="shared" si="6"/>
        <v>0</v>
      </c>
      <c r="U128" s="7"/>
    </row>
    <row r="129" spans="1:21" x14ac:dyDescent="0.25">
      <c r="A129" s="7" t="s">
        <v>3322</v>
      </c>
      <c r="B129" s="8">
        <v>43777.296516203707</v>
      </c>
      <c r="C129" s="8">
        <v>44045</v>
      </c>
      <c r="D129" s="9">
        <v>78100</v>
      </c>
      <c r="E129" s="7" t="e">
        <f>VLOOKUP(A129,DEVOLUCIONES!A$1:A$231,1,0)</f>
        <v>#N/A</v>
      </c>
      <c r="F129" s="7" t="e">
        <f>VLOOKUP(A129,'GLOSAS X CONCILIAR'!$A$1:$A$37,1,0)</f>
        <v>#N/A</v>
      </c>
      <c r="G129" s="7" t="e">
        <f>VLOOKUP(A129,'TODAS LAS P'!A:A,1,0)</f>
        <v>#N/A</v>
      </c>
      <c r="H129" s="7" t="e">
        <f>VLOOKUP(A129,PAGOS!A163:$A$1553,1,0)</f>
        <v>#N/A</v>
      </c>
      <c r="I129" s="40"/>
      <c r="J129" s="40"/>
      <c r="K129" s="40"/>
      <c r="L129" s="40">
        <f t="shared" si="7"/>
        <v>78100</v>
      </c>
      <c r="M129" s="40"/>
      <c r="N129" s="40"/>
      <c r="O129" s="40"/>
      <c r="P129" s="40"/>
      <c r="Q129" s="7"/>
      <c r="R129" s="7"/>
      <c r="S129" s="7"/>
      <c r="T129" s="35">
        <f t="shared" si="6"/>
        <v>0</v>
      </c>
      <c r="U129" s="7"/>
    </row>
    <row r="130" spans="1:21" x14ac:dyDescent="0.25">
      <c r="A130" s="7" t="s">
        <v>3323</v>
      </c>
      <c r="B130" s="8">
        <v>43777.428055555552</v>
      </c>
      <c r="C130" s="8">
        <v>44045</v>
      </c>
      <c r="D130" s="9">
        <v>148466</v>
      </c>
      <c r="E130" s="7" t="e">
        <f>VLOOKUP(A130,DEVOLUCIONES!A$1:A$231,1,0)</f>
        <v>#N/A</v>
      </c>
      <c r="F130" s="7" t="e">
        <f>VLOOKUP(A130,'GLOSAS X CONCILIAR'!$A$1:$A$37,1,0)</f>
        <v>#N/A</v>
      </c>
      <c r="G130" s="7" t="e">
        <f>VLOOKUP(A130,'TODAS LAS P'!A:A,1,0)</f>
        <v>#N/A</v>
      </c>
      <c r="H130" s="7" t="e">
        <f>VLOOKUP(A130,PAGOS!A164:$A$1553,1,0)</f>
        <v>#N/A</v>
      </c>
      <c r="I130" s="40"/>
      <c r="J130" s="40"/>
      <c r="K130" s="40"/>
      <c r="L130" s="40">
        <f t="shared" si="7"/>
        <v>148466</v>
      </c>
      <c r="M130" s="40"/>
      <c r="N130" s="40"/>
      <c r="O130" s="40"/>
      <c r="P130" s="40"/>
      <c r="Q130" s="7"/>
      <c r="R130" s="7"/>
      <c r="S130" s="7"/>
      <c r="T130" s="35">
        <f t="shared" si="6"/>
        <v>0</v>
      </c>
      <c r="U130" s="7"/>
    </row>
    <row r="131" spans="1:21" x14ac:dyDescent="0.25">
      <c r="A131" s="7" t="s">
        <v>3324</v>
      </c>
      <c r="B131" s="8">
        <v>43778.712048611109</v>
      </c>
      <c r="C131" s="8">
        <v>44045</v>
      </c>
      <c r="D131" s="9">
        <v>58477</v>
      </c>
      <c r="E131" s="7" t="e">
        <f>VLOOKUP(A131,DEVOLUCIONES!A$1:A$231,1,0)</f>
        <v>#N/A</v>
      </c>
      <c r="F131" s="7" t="e">
        <f>VLOOKUP(A131,'GLOSAS X CONCILIAR'!$A$1:$A$37,1,0)</f>
        <v>#N/A</v>
      </c>
      <c r="G131" s="7" t="e">
        <f>VLOOKUP(A131,'TODAS LAS P'!A:A,1,0)</f>
        <v>#N/A</v>
      </c>
      <c r="H131" s="7" t="e">
        <f>VLOOKUP(A131,PAGOS!A165:$A$1553,1,0)</f>
        <v>#N/A</v>
      </c>
      <c r="I131" s="40"/>
      <c r="J131" s="40"/>
      <c r="K131" s="40"/>
      <c r="L131" s="40">
        <f t="shared" si="7"/>
        <v>58477</v>
      </c>
      <c r="M131" s="40"/>
      <c r="N131" s="40"/>
      <c r="O131" s="40"/>
      <c r="P131" s="40"/>
      <c r="Q131" s="7"/>
      <c r="R131" s="7"/>
      <c r="S131" s="7"/>
      <c r="T131" s="35">
        <f t="shared" ref="T131:T194" si="8">D131-SUM(I131:Q131)</f>
        <v>0</v>
      </c>
      <c r="U131" s="7"/>
    </row>
    <row r="132" spans="1:21" x14ac:dyDescent="0.25">
      <c r="A132" s="7" t="s">
        <v>3325</v>
      </c>
      <c r="B132" s="8">
        <v>43781.02579861111</v>
      </c>
      <c r="C132" s="8">
        <v>44045</v>
      </c>
      <c r="D132" s="9">
        <v>152057</v>
      </c>
      <c r="E132" s="7" t="e">
        <f>VLOOKUP(A132,DEVOLUCIONES!A$1:A$231,1,0)</f>
        <v>#N/A</v>
      </c>
      <c r="F132" s="7" t="e">
        <f>VLOOKUP(A132,'GLOSAS X CONCILIAR'!$A$1:$A$37,1,0)</f>
        <v>#N/A</v>
      </c>
      <c r="G132" s="7" t="e">
        <f>VLOOKUP(A132,'TODAS LAS P'!A:A,1,0)</f>
        <v>#N/A</v>
      </c>
      <c r="H132" s="7" t="e">
        <f>VLOOKUP(A132,PAGOS!A166:$A$1553,1,0)</f>
        <v>#N/A</v>
      </c>
      <c r="I132" s="40"/>
      <c r="J132" s="40"/>
      <c r="K132" s="40"/>
      <c r="L132" s="40">
        <f t="shared" si="7"/>
        <v>152057</v>
      </c>
      <c r="M132" s="40"/>
      <c r="N132" s="40"/>
      <c r="O132" s="40"/>
      <c r="P132" s="40"/>
      <c r="Q132" s="7"/>
      <c r="R132" s="7"/>
      <c r="S132" s="7"/>
      <c r="T132" s="35">
        <f t="shared" si="8"/>
        <v>0</v>
      </c>
      <c r="U132" s="7"/>
    </row>
    <row r="133" spans="1:21" x14ac:dyDescent="0.25">
      <c r="A133" s="7" t="s">
        <v>3326</v>
      </c>
      <c r="B133" s="8">
        <v>43782.269120370373</v>
      </c>
      <c r="C133" s="8">
        <v>44045</v>
      </c>
      <c r="D133" s="9">
        <v>54400</v>
      </c>
      <c r="E133" s="7" t="e">
        <f>VLOOKUP(A133,DEVOLUCIONES!A$1:A$231,1,0)</f>
        <v>#N/A</v>
      </c>
      <c r="F133" s="7" t="e">
        <f>VLOOKUP(A133,'GLOSAS X CONCILIAR'!$A$1:$A$37,1,0)</f>
        <v>#N/A</v>
      </c>
      <c r="G133" s="7" t="e">
        <f>VLOOKUP(A133,'TODAS LAS P'!A:A,1,0)</f>
        <v>#N/A</v>
      </c>
      <c r="H133" s="7" t="e">
        <f>VLOOKUP(A133,PAGOS!A167:$A$1553,1,0)</f>
        <v>#N/A</v>
      </c>
      <c r="I133" s="40"/>
      <c r="J133" s="40"/>
      <c r="K133" s="40"/>
      <c r="L133" s="40">
        <f t="shared" si="7"/>
        <v>54400</v>
      </c>
      <c r="M133" s="40"/>
      <c r="N133" s="40"/>
      <c r="O133" s="40"/>
      <c r="P133" s="40"/>
      <c r="Q133" s="7"/>
      <c r="R133" s="7"/>
      <c r="S133" s="7"/>
      <c r="T133" s="35">
        <f t="shared" si="8"/>
        <v>0</v>
      </c>
      <c r="U133" s="7"/>
    </row>
    <row r="134" spans="1:21" x14ac:dyDescent="0.25">
      <c r="A134" s="7" t="s">
        <v>3327</v>
      </c>
      <c r="B134" s="8">
        <v>43785.514675925922</v>
      </c>
      <c r="C134" s="8">
        <v>44045</v>
      </c>
      <c r="D134" s="9">
        <v>55754</v>
      </c>
      <c r="E134" s="7" t="e">
        <f>VLOOKUP(A134,DEVOLUCIONES!A$1:A$231,1,0)</f>
        <v>#N/A</v>
      </c>
      <c r="F134" s="7" t="e">
        <f>VLOOKUP(A134,'GLOSAS X CONCILIAR'!$A$1:$A$37,1,0)</f>
        <v>#N/A</v>
      </c>
      <c r="G134" s="7" t="e">
        <f>VLOOKUP(A134,'TODAS LAS P'!A:A,1,0)</f>
        <v>#N/A</v>
      </c>
      <c r="H134" s="7" t="e">
        <f>VLOOKUP(A134,PAGOS!A168:$A$1553,1,0)</f>
        <v>#N/A</v>
      </c>
      <c r="I134" s="40"/>
      <c r="J134" s="40"/>
      <c r="K134" s="40"/>
      <c r="L134" s="40">
        <f t="shared" si="7"/>
        <v>55754</v>
      </c>
      <c r="M134" s="40"/>
      <c r="N134" s="40"/>
      <c r="O134" s="40"/>
      <c r="P134" s="40"/>
      <c r="Q134" s="7"/>
      <c r="R134" s="7"/>
      <c r="S134" s="7"/>
      <c r="T134" s="35">
        <f t="shared" si="8"/>
        <v>0</v>
      </c>
      <c r="U134" s="7"/>
    </row>
    <row r="135" spans="1:21" x14ac:dyDescent="0.25">
      <c r="A135" s="7" t="s">
        <v>3328</v>
      </c>
      <c r="B135" s="8">
        <v>43787.650335648148</v>
      </c>
      <c r="C135" s="8">
        <v>44045</v>
      </c>
      <c r="D135" s="9">
        <v>54808</v>
      </c>
      <c r="E135" s="7" t="e">
        <f>VLOOKUP(A135,DEVOLUCIONES!A$1:A$231,1,0)</f>
        <v>#N/A</v>
      </c>
      <c r="F135" s="7" t="e">
        <f>VLOOKUP(A135,'GLOSAS X CONCILIAR'!$A$1:$A$37,1,0)</f>
        <v>#N/A</v>
      </c>
      <c r="G135" s="7" t="e">
        <f>VLOOKUP(A135,'TODAS LAS P'!A:A,1,0)</f>
        <v>#N/A</v>
      </c>
      <c r="H135" s="7" t="e">
        <f>VLOOKUP(A135,PAGOS!A169:$A$1553,1,0)</f>
        <v>#N/A</v>
      </c>
      <c r="I135" s="40"/>
      <c r="J135" s="40"/>
      <c r="K135" s="40"/>
      <c r="L135" s="40">
        <f t="shared" si="7"/>
        <v>54808</v>
      </c>
      <c r="M135" s="40"/>
      <c r="N135" s="40"/>
      <c r="O135" s="40"/>
      <c r="P135" s="40"/>
      <c r="Q135" s="7"/>
      <c r="R135" s="7"/>
      <c r="S135" s="7"/>
      <c r="T135" s="35">
        <f t="shared" si="8"/>
        <v>0</v>
      </c>
      <c r="U135" s="7"/>
    </row>
    <row r="136" spans="1:21" x14ac:dyDescent="0.25">
      <c r="A136" s="7" t="s">
        <v>3329</v>
      </c>
      <c r="B136" s="8">
        <v>43788.393263888887</v>
      </c>
      <c r="C136" s="8">
        <v>44045</v>
      </c>
      <c r="D136" s="9">
        <v>447338</v>
      </c>
      <c r="E136" s="7" t="e">
        <f>VLOOKUP(A136,DEVOLUCIONES!A$1:A$231,1,0)</f>
        <v>#N/A</v>
      </c>
      <c r="F136" s="7" t="e">
        <f>VLOOKUP(A136,'GLOSAS X CONCILIAR'!$A$1:$A$37,1,0)</f>
        <v>#N/A</v>
      </c>
      <c r="G136" s="7" t="e">
        <f>VLOOKUP(A136,'TODAS LAS P'!A:A,1,0)</f>
        <v>#N/A</v>
      </c>
      <c r="H136" s="7" t="e">
        <f>VLOOKUP(A136,PAGOS!A170:$A$1553,1,0)</f>
        <v>#N/A</v>
      </c>
      <c r="I136" s="40"/>
      <c r="J136" s="40"/>
      <c r="K136" s="40"/>
      <c r="L136" s="40">
        <f t="shared" si="7"/>
        <v>447338</v>
      </c>
      <c r="M136" s="40"/>
      <c r="N136" s="40"/>
      <c r="O136" s="40"/>
      <c r="P136" s="40"/>
      <c r="Q136" s="7"/>
      <c r="R136" s="7"/>
      <c r="S136" s="7"/>
      <c r="T136" s="35">
        <f t="shared" si="8"/>
        <v>0</v>
      </c>
      <c r="U136" s="7"/>
    </row>
    <row r="137" spans="1:21" x14ac:dyDescent="0.25">
      <c r="A137" s="7" t="s">
        <v>3330</v>
      </c>
      <c r="B137" s="8">
        <v>43790.363171296296</v>
      </c>
      <c r="C137" s="8">
        <v>44045</v>
      </c>
      <c r="D137" s="9">
        <v>72600</v>
      </c>
      <c r="E137" s="7" t="e">
        <f>VLOOKUP(A137,DEVOLUCIONES!A$1:A$231,1,0)</f>
        <v>#N/A</v>
      </c>
      <c r="F137" s="7" t="e">
        <f>VLOOKUP(A137,'GLOSAS X CONCILIAR'!$A$1:$A$37,1,0)</f>
        <v>#N/A</v>
      </c>
      <c r="G137" s="7" t="e">
        <f>VLOOKUP(A137,'TODAS LAS P'!A:A,1,0)</f>
        <v>#N/A</v>
      </c>
      <c r="H137" s="7" t="e">
        <f>VLOOKUP(A137,PAGOS!A171:$A$1553,1,0)</f>
        <v>#N/A</v>
      </c>
      <c r="I137" s="40"/>
      <c r="J137" s="40"/>
      <c r="K137" s="40"/>
      <c r="L137" s="40">
        <f t="shared" si="7"/>
        <v>72600</v>
      </c>
      <c r="M137" s="40"/>
      <c r="N137" s="40"/>
      <c r="O137" s="40"/>
      <c r="P137" s="40"/>
      <c r="Q137" s="7"/>
      <c r="R137" s="7"/>
      <c r="S137" s="7"/>
      <c r="T137" s="35">
        <f t="shared" si="8"/>
        <v>0</v>
      </c>
      <c r="U137" s="7"/>
    </row>
    <row r="138" spans="1:21" x14ac:dyDescent="0.25">
      <c r="A138" s="7" t="s">
        <v>2931</v>
      </c>
      <c r="B138" s="8">
        <v>43790.436435185184</v>
      </c>
      <c r="C138" s="8">
        <v>44045</v>
      </c>
      <c r="D138" s="9">
        <v>47800</v>
      </c>
      <c r="E138" s="7" t="e">
        <f>VLOOKUP(A138,DEVOLUCIONES!A$1:A$231,1,0)</f>
        <v>#N/A</v>
      </c>
      <c r="F138" s="7" t="e">
        <f>VLOOKUP(A138,'GLOSAS X CONCILIAR'!$A$1:$A$37,1,0)</f>
        <v>#N/A</v>
      </c>
      <c r="G138" s="7" t="e">
        <f>VLOOKUP(A138,'TODAS LAS P'!A:A,1,0)</f>
        <v>#N/A</v>
      </c>
      <c r="H138" s="7" t="e">
        <f>VLOOKUP(A138,PAGOS!A172:$A$1553,1,0)</f>
        <v>#N/A</v>
      </c>
      <c r="I138" s="40"/>
      <c r="J138" s="40"/>
      <c r="K138" s="40"/>
      <c r="L138" s="40">
        <f t="shared" si="7"/>
        <v>47800</v>
      </c>
      <c r="M138" s="40"/>
      <c r="N138" s="40"/>
      <c r="O138" s="40"/>
      <c r="P138" s="40"/>
      <c r="Q138" s="7"/>
      <c r="R138" s="7"/>
      <c r="S138" s="7"/>
      <c r="T138" s="35">
        <f t="shared" si="8"/>
        <v>0</v>
      </c>
      <c r="U138" s="7"/>
    </row>
    <row r="139" spans="1:21" x14ac:dyDescent="0.25">
      <c r="A139" s="7" t="s">
        <v>3331</v>
      </c>
      <c r="B139" s="8">
        <v>43791.540069444447</v>
      </c>
      <c r="C139" s="8">
        <v>44045</v>
      </c>
      <c r="D139" s="9">
        <v>24100</v>
      </c>
      <c r="E139" s="7" t="e">
        <f>VLOOKUP(A139,DEVOLUCIONES!A$1:A$231,1,0)</f>
        <v>#N/A</v>
      </c>
      <c r="F139" s="7" t="e">
        <f>VLOOKUP(A139,'GLOSAS X CONCILIAR'!$A$1:$A$37,1,0)</f>
        <v>#N/A</v>
      </c>
      <c r="G139" s="7" t="e">
        <f>VLOOKUP(A139,'TODAS LAS P'!A:A,1,0)</f>
        <v>#N/A</v>
      </c>
      <c r="H139" s="7" t="e">
        <f>VLOOKUP(A139,PAGOS!A173:$A$1553,1,0)</f>
        <v>#N/A</v>
      </c>
      <c r="I139" s="40"/>
      <c r="J139" s="40"/>
      <c r="K139" s="40"/>
      <c r="L139" s="40">
        <f t="shared" si="7"/>
        <v>24100</v>
      </c>
      <c r="M139" s="40"/>
      <c r="N139" s="40"/>
      <c r="O139" s="40"/>
      <c r="P139" s="40"/>
      <c r="Q139" s="7"/>
      <c r="R139" s="7"/>
      <c r="S139" s="7"/>
      <c r="T139" s="35">
        <f t="shared" si="8"/>
        <v>0</v>
      </c>
      <c r="U139" s="7"/>
    </row>
    <row r="140" spans="1:21" x14ac:dyDescent="0.25">
      <c r="A140" s="7" t="s">
        <v>3332</v>
      </c>
      <c r="B140" s="8">
        <v>43791.826331018521</v>
      </c>
      <c r="C140" s="8">
        <v>44045</v>
      </c>
      <c r="D140" s="9">
        <v>105408</v>
      </c>
      <c r="E140" s="7" t="e">
        <f>VLOOKUP(A140,DEVOLUCIONES!A$1:A$231,1,0)</f>
        <v>#N/A</v>
      </c>
      <c r="F140" s="7" t="e">
        <f>VLOOKUP(A140,'GLOSAS X CONCILIAR'!$A$1:$A$37,1,0)</f>
        <v>#N/A</v>
      </c>
      <c r="G140" s="7" t="e">
        <f>VLOOKUP(A140,'TODAS LAS P'!A:A,1,0)</f>
        <v>#N/A</v>
      </c>
      <c r="H140" s="7" t="e">
        <f>VLOOKUP(A140,PAGOS!A174:$A$1553,1,0)</f>
        <v>#N/A</v>
      </c>
      <c r="I140" s="40"/>
      <c r="J140" s="40"/>
      <c r="K140" s="40"/>
      <c r="L140" s="40">
        <f t="shared" si="7"/>
        <v>105408</v>
      </c>
      <c r="M140" s="40"/>
      <c r="N140" s="40"/>
      <c r="O140" s="40"/>
      <c r="P140" s="40"/>
      <c r="Q140" s="7"/>
      <c r="R140" s="7"/>
      <c r="S140" s="7"/>
      <c r="T140" s="35">
        <f t="shared" si="8"/>
        <v>0</v>
      </c>
      <c r="U140" s="7"/>
    </row>
    <row r="141" spans="1:21" x14ac:dyDescent="0.25">
      <c r="A141" s="7" t="s">
        <v>2932</v>
      </c>
      <c r="B141" s="8">
        <v>43794.472939814812</v>
      </c>
      <c r="C141" s="8">
        <v>44045</v>
      </c>
      <c r="D141" s="9">
        <v>33100</v>
      </c>
      <c r="E141" s="7" t="e">
        <f>VLOOKUP(A141,DEVOLUCIONES!A$1:A$231,1,0)</f>
        <v>#N/A</v>
      </c>
      <c r="F141" s="7" t="e">
        <f>VLOOKUP(A141,'GLOSAS X CONCILIAR'!$A$1:$A$37,1,0)</f>
        <v>#N/A</v>
      </c>
      <c r="G141" s="7" t="e">
        <f>VLOOKUP(A141,'TODAS LAS P'!A:A,1,0)</f>
        <v>#N/A</v>
      </c>
      <c r="H141" s="7" t="e">
        <f>VLOOKUP(A141,PAGOS!A175:$A$1553,1,0)</f>
        <v>#N/A</v>
      </c>
      <c r="I141" s="40"/>
      <c r="J141" s="40"/>
      <c r="K141" s="40"/>
      <c r="L141" s="40">
        <f t="shared" si="7"/>
        <v>33100</v>
      </c>
      <c r="M141" s="40"/>
      <c r="N141" s="40"/>
      <c r="O141" s="40"/>
      <c r="P141" s="40"/>
      <c r="Q141" s="7"/>
      <c r="R141" s="7"/>
      <c r="S141" s="7"/>
      <c r="T141" s="35">
        <f t="shared" si="8"/>
        <v>0</v>
      </c>
      <c r="U141" s="7"/>
    </row>
    <row r="142" spans="1:21" x14ac:dyDescent="0.25">
      <c r="A142" s="7" t="s">
        <v>3333</v>
      </c>
      <c r="B142" s="8">
        <v>43794.674108796295</v>
      </c>
      <c r="C142" s="8">
        <v>44045</v>
      </c>
      <c r="D142" s="9">
        <v>107248</v>
      </c>
      <c r="E142" s="7" t="e">
        <f>VLOOKUP(A142,DEVOLUCIONES!A$1:A$231,1,0)</f>
        <v>#N/A</v>
      </c>
      <c r="F142" s="7" t="e">
        <f>VLOOKUP(A142,'GLOSAS X CONCILIAR'!$A$1:$A$37,1,0)</f>
        <v>#N/A</v>
      </c>
      <c r="G142" s="7" t="e">
        <f>VLOOKUP(A142,'TODAS LAS P'!A:A,1,0)</f>
        <v>#N/A</v>
      </c>
      <c r="H142" s="7" t="e">
        <f>VLOOKUP(A142,PAGOS!A176:$A$1553,1,0)</f>
        <v>#N/A</v>
      </c>
      <c r="I142" s="40"/>
      <c r="J142" s="40"/>
      <c r="K142" s="40"/>
      <c r="L142" s="40">
        <f t="shared" si="7"/>
        <v>107248</v>
      </c>
      <c r="M142" s="40"/>
      <c r="N142" s="40"/>
      <c r="O142" s="40"/>
      <c r="P142" s="40"/>
      <c r="Q142" s="7"/>
      <c r="R142" s="7"/>
      <c r="S142" s="7"/>
      <c r="T142" s="35">
        <f t="shared" si="8"/>
        <v>0</v>
      </c>
      <c r="U142" s="7"/>
    </row>
    <row r="143" spans="1:21" x14ac:dyDescent="0.25">
      <c r="A143" s="7" t="s">
        <v>3334</v>
      </c>
      <c r="B143" s="8">
        <v>43795.473402777781</v>
      </c>
      <c r="C143" s="8">
        <v>44045</v>
      </c>
      <c r="D143" s="9">
        <v>193391</v>
      </c>
      <c r="E143" s="7" t="e">
        <f>VLOOKUP(A143,DEVOLUCIONES!A$1:A$231,1,0)</f>
        <v>#N/A</v>
      </c>
      <c r="F143" s="7" t="e">
        <f>VLOOKUP(A143,'GLOSAS X CONCILIAR'!$A$1:$A$37,1,0)</f>
        <v>#N/A</v>
      </c>
      <c r="G143" s="7" t="e">
        <f>VLOOKUP(A143,'TODAS LAS P'!A:A,1,0)</f>
        <v>#N/A</v>
      </c>
      <c r="H143" s="7" t="e">
        <f>VLOOKUP(A143,PAGOS!A177:$A$1553,1,0)</f>
        <v>#N/A</v>
      </c>
      <c r="I143" s="40"/>
      <c r="J143" s="40"/>
      <c r="K143" s="40"/>
      <c r="L143" s="40">
        <f t="shared" si="7"/>
        <v>193391</v>
      </c>
      <c r="M143" s="40"/>
      <c r="N143" s="40"/>
      <c r="O143" s="40"/>
      <c r="P143" s="40"/>
      <c r="Q143" s="7"/>
      <c r="R143" s="7"/>
      <c r="S143" s="7"/>
      <c r="T143" s="35">
        <f t="shared" si="8"/>
        <v>0</v>
      </c>
      <c r="U143" s="7"/>
    </row>
    <row r="144" spans="1:21" x14ac:dyDescent="0.25">
      <c r="A144" s="7" t="s">
        <v>3335</v>
      </c>
      <c r="B144" s="8">
        <v>43796.79074074074</v>
      </c>
      <c r="C144" s="8">
        <v>44045</v>
      </c>
      <c r="D144" s="9">
        <v>54848</v>
      </c>
      <c r="E144" s="7" t="e">
        <f>VLOOKUP(A144,DEVOLUCIONES!A$1:A$231,1,0)</f>
        <v>#N/A</v>
      </c>
      <c r="F144" s="7" t="e">
        <f>VLOOKUP(A144,'GLOSAS X CONCILIAR'!$A$1:$A$37,1,0)</f>
        <v>#N/A</v>
      </c>
      <c r="G144" s="7" t="e">
        <f>VLOOKUP(A144,'TODAS LAS P'!A:A,1,0)</f>
        <v>#N/A</v>
      </c>
      <c r="H144" s="7" t="e">
        <f>VLOOKUP(A144,PAGOS!A178:$A$1553,1,0)</f>
        <v>#N/A</v>
      </c>
      <c r="I144" s="40"/>
      <c r="J144" s="40"/>
      <c r="K144" s="40"/>
      <c r="L144" s="40">
        <f t="shared" si="7"/>
        <v>54848</v>
      </c>
      <c r="M144" s="40"/>
      <c r="N144" s="40"/>
      <c r="O144" s="40"/>
      <c r="P144" s="40"/>
      <c r="Q144" s="7"/>
      <c r="R144" s="7"/>
      <c r="S144" s="7"/>
      <c r="T144" s="35">
        <f t="shared" si="8"/>
        <v>0</v>
      </c>
      <c r="U144" s="7"/>
    </row>
    <row r="145" spans="1:21" x14ac:dyDescent="0.25">
      <c r="A145" s="7" t="s">
        <v>3336</v>
      </c>
      <c r="B145" s="8">
        <v>43796.90221064815</v>
      </c>
      <c r="C145" s="8">
        <v>44045</v>
      </c>
      <c r="D145" s="9">
        <v>195131</v>
      </c>
      <c r="E145" s="7" t="e">
        <f>VLOOKUP(A145,DEVOLUCIONES!A$1:A$231,1,0)</f>
        <v>#N/A</v>
      </c>
      <c r="F145" s="7" t="e">
        <f>VLOOKUP(A145,'GLOSAS X CONCILIAR'!$A$1:$A$37,1,0)</f>
        <v>#N/A</v>
      </c>
      <c r="G145" s="7" t="e">
        <f>VLOOKUP(A145,'TODAS LAS P'!A:A,1,0)</f>
        <v>#N/A</v>
      </c>
      <c r="H145" s="7" t="e">
        <f>VLOOKUP(A145,PAGOS!A179:$A$1553,1,0)</f>
        <v>#N/A</v>
      </c>
      <c r="I145" s="40"/>
      <c r="J145" s="40"/>
      <c r="K145" s="40"/>
      <c r="L145" s="40">
        <f t="shared" si="7"/>
        <v>195131</v>
      </c>
      <c r="M145" s="40"/>
      <c r="N145" s="40"/>
      <c r="O145" s="40"/>
      <c r="P145" s="40"/>
      <c r="Q145" s="7"/>
      <c r="R145" s="7"/>
      <c r="S145" s="7"/>
      <c r="T145" s="35">
        <f t="shared" si="8"/>
        <v>0</v>
      </c>
      <c r="U145" s="7"/>
    </row>
    <row r="146" spans="1:21" x14ac:dyDescent="0.25">
      <c r="A146" s="7" t="s">
        <v>3337</v>
      </c>
      <c r="B146" s="8">
        <v>43797.186643518522</v>
      </c>
      <c r="C146" s="8">
        <v>44045</v>
      </c>
      <c r="D146" s="9">
        <v>808096</v>
      </c>
      <c r="E146" s="7" t="e">
        <f>VLOOKUP(A146,DEVOLUCIONES!A$1:A$231,1,0)</f>
        <v>#N/A</v>
      </c>
      <c r="F146" s="7" t="e">
        <f>VLOOKUP(A146,'GLOSAS X CONCILIAR'!$A$1:$A$37,1,0)</f>
        <v>#N/A</v>
      </c>
      <c r="G146" s="7" t="e">
        <f>VLOOKUP(A146,'TODAS LAS P'!A:A,1,0)</f>
        <v>#N/A</v>
      </c>
      <c r="H146" s="7" t="e">
        <f>VLOOKUP(A146,PAGOS!A180:$A$1553,1,0)</f>
        <v>#N/A</v>
      </c>
      <c r="I146" s="40"/>
      <c r="J146" s="40"/>
      <c r="K146" s="40"/>
      <c r="L146" s="40">
        <f t="shared" si="7"/>
        <v>808096</v>
      </c>
      <c r="M146" s="40"/>
      <c r="N146" s="40"/>
      <c r="O146" s="40"/>
      <c r="P146" s="40"/>
      <c r="Q146" s="7"/>
      <c r="R146" s="7"/>
      <c r="S146" s="7"/>
      <c r="T146" s="35">
        <f t="shared" si="8"/>
        <v>0</v>
      </c>
      <c r="U146" s="7"/>
    </row>
    <row r="147" spans="1:21" x14ac:dyDescent="0.25">
      <c r="A147" s="7" t="s">
        <v>3338</v>
      </c>
      <c r="B147" s="8">
        <v>43797.508252314816</v>
      </c>
      <c r="C147" s="8">
        <v>44045</v>
      </c>
      <c r="D147" s="9">
        <v>95200</v>
      </c>
      <c r="E147" s="7" t="e">
        <f>VLOOKUP(A147,DEVOLUCIONES!A$1:A$231,1,0)</f>
        <v>#N/A</v>
      </c>
      <c r="F147" s="7" t="e">
        <f>VLOOKUP(A147,'GLOSAS X CONCILIAR'!$A$1:$A$37,1,0)</f>
        <v>#N/A</v>
      </c>
      <c r="G147" s="7" t="e">
        <f>VLOOKUP(A147,'TODAS LAS P'!A:A,1,0)</f>
        <v>#N/A</v>
      </c>
      <c r="H147" s="7" t="e">
        <f>VLOOKUP(A147,PAGOS!A181:$A$1553,1,0)</f>
        <v>#N/A</v>
      </c>
      <c r="I147" s="40"/>
      <c r="J147" s="40"/>
      <c r="K147" s="40"/>
      <c r="L147" s="40">
        <f t="shared" si="7"/>
        <v>95200</v>
      </c>
      <c r="M147" s="40"/>
      <c r="N147" s="40"/>
      <c r="O147" s="40"/>
      <c r="P147" s="40"/>
      <c r="Q147" s="7"/>
      <c r="R147" s="7"/>
      <c r="S147" s="7"/>
      <c r="T147" s="35">
        <f t="shared" si="8"/>
        <v>0</v>
      </c>
      <c r="U147" s="7"/>
    </row>
    <row r="148" spans="1:21" x14ac:dyDescent="0.25">
      <c r="A148" s="7" t="s">
        <v>3339</v>
      </c>
      <c r="B148" s="8">
        <v>43797.655671296299</v>
      </c>
      <c r="C148" s="8">
        <v>44045</v>
      </c>
      <c r="D148" s="9">
        <v>99575</v>
      </c>
      <c r="E148" s="7" t="e">
        <f>VLOOKUP(A148,DEVOLUCIONES!A$1:A$231,1,0)</f>
        <v>#N/A</v>
      </c>
      <c r="F148" s="7" t="e">
        <f>VLOOKUP(A148,'GLOSAS X CONCILIAR'!$A$1:$A$37,1,0)</f>
        <v>#N/A</v>
      </c>
      <c r="G148" s="7" t="e">
        <f>VLOOKUP(A148,'TODAS LAS P'!A:A,1,0)</f>
        <v>#N/A</v>
      </c>
      <c r="H148" s="7" t="e">
        <f>VLOOKUP(A148,PAGOS!A182:$A$1553,1,0)</f>
        <v>#N/A</v>
      </c>
      <c r="I148" s="40"/>
      <c r="J148" s="40"/>
      <c r="K148" s="40"/>
      <c r="L148" s="40">
        <f t="shared" si="7"/>
        <v>99575</v>
      </c>
      <c r="M148" s="40"/>
      <c r="N148" s="40"/>
      <c r="O148" s="40"/>
      <c r="P148" s="40"/>
      <c r="Q148" s="7"/>
      <c r="R148" s="7"/>
      <c r="S148" s="7"/>
      <c r="T148" s="35">
        <f t="shared" si="8"/>
        <v>0</v>
      </c>
      <c r="U148" s="7"/>
    </row>
    <row r="149" spans="1:21" x14ac:dyDescent="0.25">
      <c r="A149" s="7" t="s">
        <v>3340</v>
      </c>
      <c r="B149" s="8">
        <v>43797.948009259257</v>
      </c>
      <c r="C149" s="8">
        <v>44045</v>
      </c>
      <c r="D149" s="9">
        <v>54981</v>
      </c>
      <c r="E149" s="7" t="e">
        <f>VLOOKUP(A149,DEVOLUCIONES!A$1:A$231,1,0)</f>
        <v>#N/A</v>
      </c>
      <c r="F149" s="7" t="e">
        <f>VLOOKUP(A149,'GLOSAS X CONCILIAR'!$A$1:$A$37,1,0)</f>
        <v>#N/A</v>
      </c>
      <c r="G149" s="7" t="e">
        <f>VLOOKUP(A149,'TODAS LAS P'!A:A,1,0)</f>
        <v>#N/A</v>
      </c>
      <c r="H149" s="7" t="e">
        <f>VLOOKUP(A149,PAGOS!A183:$A$1553,1,0)</f>
        <v>#N/A</v>
      </c>
      <c r="I149" s="40"/>
      <c r="J149" s="40"/>
      <c r="K149" s="40"/>
      <c r="L149" s="40">
        <f t="shared" si="7"/>
        <v>54981</v>
      </c>
      <c r="M149" s="40"/>
      <c r="N149" s="40"/>
      <c r="O149" s="40"/>
      <c r="P149" s="40"/>
      <c r="Q149" s="7"/>
      <c r="R149" s="7"/>
      <c r="S149" s="7"/>
      <c r="T149" s="35">
        <f t="shared" si="8"/>
        <v>0</v>
      </c>
      <c r="U149" s="7"/>
    </row>
    <row r="150" spans="1:21" x14ac:dyDescent="0.25">
      <c r="A150" s="7" t="s">
        <v>3341</v>
      </c>
      <c r="B150" s="8">
        <v>43797.95008101852</v>
      </c>
      <c r="C150" s="8">
        <v>44045</v>
      </c>
      <c r="D150" s="9">
        <v>284921</v>
      </c>
      <c r="E150" s="7" t="e">
        <f>VLOOKUP(A150,DEVOLUCIONES!A$1:A$231,1,0)</f>
        <v>#N/A</v>
      </c>
      <c r="F150" s="7" t="e">
        <f>VLOOKUP(A150,'GLOSAS X CONCILIAR'!$A$1:$A$37,1,0)</f>
        <v>#N/A</v>
      </c>
      <c r="G150" s="7" t="e">
        <f>VLOOKUP(A150,'TODAS LAS P'!A:A,1,0)</f>
        <v>#N/A</v>
      </c>
      <c r="H150" s="7" t="e">
        <f>VLOOKUP(A150,PAGOS!A184:$A$1553,1,0)</f>
        <v>#N/A</v>
      </c>
      <c r="I150" s="40"/>
      <c r="J150" s="40"/>
      <c r="K150" s="40"/>
      <c r="L150" s="40">
        <f t="shared" si="7"/>
        <v>284921</v>
      </c>
      <c r="M150" s="40"/>
      <c r="N150" s="40"/>
      <c r="O150" s="40"/>
      <c r="P150" s="40"/>
      <c r="Q150" s="7"/>
      <c r="R150" s="7"/>
      <c r="S150" s="7"/>
      <c r="T150" s="35">
        <f t="shared" si="8"/>
        <v>0</v>
      </c>
      <c r="U150" s="7"/>
    </row>
    <row r="151" spans="1:21" x14ac:dyDescent="0.25">
      <c r="A151" s="7" t="s">
        <v>3342</v>
      </c>
      <c r="B151" s="8">
        <v>43798.754131944443</v>
      </c>
      <c r="C151" s="8">
        <v>44045</v>
      </c>
      <c r="D151" s="9">
        <v>179910</v>
      </c>
      <c r="E151" s="7" t="e">
        <f>VLOOKUP(A151,DEVOLUCIONES!A$1:A$231,1,0)</f>
        <v>#N/A</v>
      </c>
      <c r="F151" s="7" t="e">
        <f>VLOOKUP(A151,'GLOSAS X CONCILIAR'!$A$1:$A$37,1,0)</f>
        <v>#N/A</v>
      </c>
      <c r="G151" s="7" t="e">
        <f>VLOOKUP(A151,'TODAS LAS P'!A:A,1,0)</f>
        <v>#N/A</v>
      </c>
      <c r="H151" s="7" t="e">
        <f>VLOOKUP(A151,PAGOS!A185:$A$1553,1,0)</f>
        <v>#N/A</v>
      </c>
      <c r="I151" s="40"/>
      <c r="J151" s="40"/>
      <c r="K151" s="40"/>
      <c r="L151" s="40">
        <f t="shared" si="7"/>
        <v>179910</v>
      </c>
      <c r="M151" s="40"/>
      <c r="N151" s="40"/>
      <c r="O151" s="40"/>
      <c r="P151" s="40"/>
      <c r="Q151" s="7"/>
      <c r="R151" s="7"/>
      <c r="S151" s="7"/>
      <c r="T151" s="35">
        <f t="shared" si="8"/>
        <v>0</v>
      </c>
      <c r="U151" s="7"/>
    </row>
    <row r="152" spans="1:21" x14ac:dyDescent="0.25">
      <c r="A152" s="7" t="s">
        <v>3343</v>
      </c>
      <c r="B152" s="8">
        <v>43801.01152777778</v>
      </c>
      <c r="C152" s="8">
        <v>44045</v>
      </c>
      <c r="D152" s="9">
        <v>287262</v>
      </c>
      <c r="E152" s="7" t="e">
        <f>VLOOKUP(A152,DEVOLUCIONES!A$1:A$231,1,0)</f>
        <v>#N/A</v>
      </c>
      <c r="F152" s="7" t="e">
        <f>VLOOKUP(A152,'GLOSAS X CONCILIAR'!$A$1:$A$37,1,0)</f>
        <v>#N/A</v>
      </c>
      <c r="G152" s="7" t="e">
        <f>VLOOKUP(A152,'TODAS LAS P'!A:A,1,0)</f>
        <v>#N/A</v>
      </c>
      <c r="H152" s="7" t="e">
        <f>VLOOKUP(A152,PAGOS!A186:$A$1553,1,0)</f>
        <v>#N/A</v>
      </c>
      <c r="I152" s="40"/>
      <c r="J152" s="40"/>
      <c r="K152" s="40"/>
      <c r="L152" s="40">
        <f t="shared" si="7"/>
        <v>287262</v>
      </c>
      <c r="M152" s="40"/>
      <c r="N152" s="40"/>
      <c r="O152" s="40"/>
      <c r="P152" s="40"/>
      <c r="Q152" s="7"/>
      <c r="R152" s="7"/>
      <c r="S152" s="7"/>
      <c r="T152" s="35">
        <f t="shared" si="8"/>
        <v>0</v>
      </c>
      <c r="U152" s="7"/>
    </row>
    <row r="153" spans="1:21" x14ac:dyDescent="0.25">
      <c r="A153" s="7" t="s">
        <v>3344</v>
      </c>
      <c r="B153" s="8">
        <v>43803.742581018516</v>
      </c>
      <c r="C153" s="8">
        <v>44045</v>
      </c>
      <c r="D153" s="9">
        <v>169098</v>
      </c>
      <c r="E153" s="7" t="e">
        <f>VLOOKUP(A153,DEVOLUCIONES!A$1:A$231,1,0)</f>
        <v>#N/A</v>
      </c>
      <c r="F153" s="7" t="e">
        <f>VLOOKUP(A153,'GLOSAS X CONCILIAR'!$A$1:$A$37,1,0)</f>
        <v>#N/A</v>
      </c>
      <c r="G153" s="7" t="e">
        <f>VLOOKUP(A153,'TODAS LAS P'!A:A,1,0)</f>
        <v>#N/A</v>
      </c>
      <c r="H153" s="7" t="e">
        <f>VLOOKUP(A153,PAGOS!A187:$A$1553,1,0)</f>
        <v>#N/A</v>
      </c>
      <c r="I153" s="40"/>
      <c r="J153" s="40"/>
      <c r="K153" s="40"/>
      <c r="L153" s="40">
        <f t="shared" si="7"/>
        <v>169098</v>
      </c>
      <c r="M153" s="40"/>
      <c r="N153" s="40"/>
      <c r="O153" s="40"/>
      <c r="P153" s="40"/>
      <c r="Q153" s="7"/>
      <c r="R153" s="7"/>
      <c r="S153" s="7"/>
      <c r="T153" s="35">
        <f t="shared" si="8"/>
        <v>0</v>
      </c>
      <c r="U153" s="7"/>
    </row>
    <row r="154" spans="1:21" x14ac:dyDescent="0.25">
      <c r="A154" s="7" t="s">
        <v>3345</v>
      </c>
      <c r="B154" s="8">
        <v>43804.519317129627</v>
      </c>
      <c r="C154" s="8">
        <v>44045</v>
      </c>
      <c r="D154" s="9">
        <v>54400</v>
      </c>
      <c r="E154" s="7" t="e">
        <f>VLOOKUP(A154,DEVOLUCIONES!A$1:A$231,1,0)</f>
        <v>#N/A</v>
      </c>
      <c r="F154" s="7" t="e">
        <f>VLOOKUP(A154,'GLOSAS X CONCILIAR'!$A$1:$A$37,1,0)</f>
        <v>#N/A</v>
      </c>
      <c r="G154" s="7" t="e">
        <f>VLOOKUP(A154,'TODAS LAS P'!A:A,1,0)</f>
        <v>#N/A</v>
      </c>
      <c r="H154" s="7" t="e">
        <f>VLOOKUP(A154,PAGOS!A188:$A$1553,1,0)</f>
        <v>#N/A</v>
      </c>
      <c r="I154" s="40"/>
      <c r="J154" s="40"/>
      <c r="K154" s="40"/>
      <c r="L154" s="40">
        <f t="shared" si="7"/>
        <v>54400</v>
      </c>
      <c r="M154" s="40"/>
      <c r="N154" s="40"/>
      <c r="O154" s="40"/>
      <c r="P154" s="40"/>
      <c r="Q154" s="7"/>
      <c r="R154" s="7"/>
      <c r="S154" s="7"/>
      <c r="T154" s="35">
        <f t="shared" si="8"/>
        <v>0</v>
      </c>
      <c r="U154" s="7"/>
    </row>
    <row r="155" spans="1:21" x14ac:dyDescent="0.25">
      <c r="A155" s="7" t="s">
        <v>3346</v>
      </c>
      <c r="B155" s="8">
        <v>43804.793437499997</v>
      </c>
      <c r="C155" s="8">
        <v>44045</v>
      </c>
      <c r="D155" s="9">
        <v>105098</v>
      </c>
      <c r="E155" s="7" t="e">
        <f>VLOOKUP(A155,DEVOLUCIONES!A$1:A$231,1,0)</f>
        <v>#N/A</v>
      </c>
      <c r="F155" s="7" t="e">
        <f>VLOOKUP(A155,'GLOSAS X CONCILIAR'!$A$1:$A$37,1,0)</f>
        <v>#N/A</v>
      </c>
      <c r="G155" s="7" t="e">
        <f>VLOOKUP(A155,'TODAS LAS P'!A:A,1,0)</f>
        <v>#N/A</v>
      </c>
      <c r="H155" s="7" t="e">
        <f>VLOOKUP(A155,PAGOS!A189:$A$1553,1,0)</f>
        <v>#N/A</v>
      </c>
      <c r="I155" s="40"/>
      <c r="J155" s="40"/>
      <c r="K155" s="40"/>
      <c r="L155" s="40">
        <f t="shared" si="7"/>
        <v>105098</v>
      </c>
      <c r="M155" s="40"/>
      <c r="N155" s="40"/>
      <c r="O155" s="40"/>
      <c r="P155" s="40"/>
      <c r="Q155" s="7"/>
      <c r="R155" s="7"/>
      <c r="S155" s="7"/>
      <c r="T155" s="35">
        <f t="shared" si="8"/>
        <v>0</v>
      </c>
      <c r="U155" s="7"/>
    </row>
    <row r="156" spans="1:21" x14ac:dyDescent="0.25">
      <c r="A156" s="7" t="s">
        <v>3347</v>
      </c>
      <c r="B156" s="8">
        <v>43807.956296296295</v>
      </c>
      <c r="C156" s="8">
        <v>44045</v>
      </c>
      <c r="D156" s="9">
        <v>167800</v>
      </c>
      <c r="E156" s="7" t="e">
        <f>VLOOKUP(A156,DEVOLUCIONES!A$1:A$231,1,0)</f>
        <v>#N/A</v>
      </c>
      <c r="F156" s="7" t="e">
        <f>VLOOKUP(A156,'GLOSAS X CONCILIAR'!$A$1:$A$37,1,0)</f>
        <v>#N/A</v>
      </c>
      <c r="G156" s="7" t="e">
        <f>VLOOKUP(A156,'TODAS LAS P'!A:A,1,0)</f>
        <v>#N/A</v>
      </c>
      <c r="H156" s="7" t="e">
        <f>VLOOKUP(A156,PAGOS!A190:$A$1553,1,0)</f>
        <v>#N/A</v>
      </c>
      <c r="I156" s="40"/>
      <c r="J156" s="40"/>
      <c r="K156" s="40"/>
      <c r="L156" s="40">
        <f t="shared" si="7"/>
        <v>167800</v>
      </c>
      <c r="M156" s="40"/>
      <c r="N156" s="40"/>
      <c r="O156" s="40"/>
      <c r="P156" s="40"/>
      <c r="Q156" s="7"/>
      <c r="R156" s="7"/>
      <c r="S156" s="7"/>
      <c r="T156" s="35">
        <f t="shared" si="8"/>
        <v>0</v>
      </c>
      <c r="U156" s="7"/>
    </row>
    <row r="157" spans="1:21" x14ac:dyDescent="0.25">
      <c r="A157" s="7" t="s">
        <v>3348</v>
      </c>
      <c r="B157" s="8">
        <v>43808.547974537039</v>
      </c>
      <c r="C157" s="8">
        <v>44045</v>
      </c>
      <c r="D157" s="9">
        <v>101308</v>
      </c>
      <c r="E157" s="7" t="e">
        <f>VLOOKUP(A157,DEVOLUCIONES!A$1:A$231,1,0)</f>
        <v>#N/A</v>
      </c>
      <c r="F157" s="7" t="e">
        <f>VLOOKUP(A157,'GLOSAS X CONCILIAR'!$A$1:$A$37,1,0)</f>
        <v>#N/A</v>
      </c>
      <c r="G157" s="7" t="e">
        <f>VLOOKUP(A157,'TODAS LAS P'!A:A,1,0)</f>
        <v>#N/A</v>
      </c>
      <c r="H157" s="7" t="e">
        <f>VLOOKUP(A157,PAGOS!A191:$A$1553,1,0)</f>
        <v>#N/A</v>
      </c>
      <c r="I157" s="40"/>
      <c r="J157" s="40"/>
      <c r="K157" s="40"/>
      <c r="L157" s="40">
        <f t="shared" si="7"/>
        <v>101308</v>
      </c>
      <c r="M157" s="40"/>
      <c r="N157" s="40"/>
      <c r="O157" s="40"/>
      <c r="P157" s="40"/>
      <c r="Q157" s="7"/>
      <c r="R157" s="7"/>
      <c r="S157" s="7"/>
      <c r="T157" s="35">
        <f t="shared" si="8"/>
        <v>0</v>
      </c>
      <c r="U157" s="7"/>
    </row>
    <row r="158" spans="1:21" x14ac:dyDescent="0.25">
      <c r="A158" s="7" t="s">
        <v>3349</v>
      </c>
      <c r="B158" s="8">
        <v>43809.442511574074</v>
      </c>
      <c r="C158" s="8">
        <v>44045</v>
      </c>
      <c r="D158" s="9">
        <v>284416</v>
      </c>
      <c r="E158" s="7" t="e">
        <f>VLOOKUP(A158,DEVOLUCIONES!A$1:A$231,1,0)</f>
        <v>#N/A</v>
      </c>
      <c r="F158" s="7" t="e">
        <f>VLOOKUP(A158,'GLOSAS X CONCILIAR'!$A$1:$A$37,1,0)</f>
        <v>#N/A</v>
      </c>
      <c r="G158" s="7" t="e">
        <f>VLOOKUP(A158,'TODAS LAS P'!A:A,1,0)</f>
        <v>#N/A</v>
      </c>
      <c r="H158" s="7" t="e">
        <f>VLOOKUP(A158,PAGOS!A192:$A$1553,1,0)</f>
        <v>#N/A</v>
      </c>
      <c r="I158" s="40"/>
      <c r="J158" s="40"/>
      <c r="K158" s="40"/>
      <c r="L158" s="40">
        <f t="shared" si="7"/>
        <v>284416</v>
      </c>
      <c r="M158" s="40"/>
      <c r="N158" s="40"/>
      <c r="O158" s="40"/>
      <c r="P158" s="40"/>
      <c r="Q158" s="7"/>
      <c r="R158" s="7"/>
      <c r="S158" s="7"/>
      <c r="T158" s="35">
        <f t="shared" si="8"/>
        <v>0</v>
      </c>
      <c r="U158" s="7"/>
    </row>
    <row r="159" spans="1:21" x14ac:dyDescent="0.25">
      <c r="A159" s="7" t="s">
        <v>3350</v>
      </c>
      <c r="B159" s="8">
        <v>43811.39435185185</v>
      </c>
      <c r="C159" s="8">
        <v>44045</v>
      </c>
      <c r="D159" s="9">
        <v>139348</v>
      </c>
      <c r="E159" s="7" t="e">
        <f>VLOOKUP(A159,DEVOLUCIONES!A$1:A$231,1,0)</f>
        <v>#N/A</v>
      </c>
      <c r="F159" s="7" t="e">
        <f>VLOOKUP(A159,'GLOSAS X CONCILIAR'!$A$1:$A$37,1,0)</f>
        <v>#N/A</v>
      </c>
      <c r="G159" s="7" t="e">
        <f>VLOOKUP(A159,'TODAS LAS P'!A:A,1,0)</f>
        <v>#N/A</v>
      </c>
      <c r="H159" s="7" t="e">
        <f>VLOOKUP(A159,PAGOS!A193:$A$1553,1,0)</f>
        <v>#N/A</v>
      </c>
      <c r="I159" s="40"/>
      <c r="J159" s="40"/>
      <c r="K159" s="40"/>
      <c r="L159" s="40">
        <f t="shared" si="7"/>
        <v>139348</v>
      </c>
      <c r="M159" s="40"/>
      <c r="N159" s="40"/>
      <c r="O159" s="40"/>
      <c r="P159" s="40"/>
      <c r="Q159" s="7"/>
      <c r="R159" s="7"/>
      <c r="S159" s="7"/>
      <c r="T159" s="35">
        <f t="shared" si="8"/>
        <v>0</v>
      </c>
      <c r="U159" s="7"/>
    </row>
    <row r="160" spans="1:21" x14ac:dyDescent="0.25">
      <c r="A160" s="7" t="s">
        <v>3351</v>
      </c>
      <c r="B160" s="8">
        <v>43811.678819444445</v>
      </c>
      <c r="C160" s="8">
        <v>44045</v>
      </c>
      <c r="D160" s="9">
        <v>280760</v>
      </c>
      <c r="E160" s="7" t="e">
        <f>VLOOKUP(A160,DEVOLUCIONES!A$1:A$231,1,0)</f>
        <v>#N/A</v>
      </c>
      <c r="F160" s="7" t="e">
        <f>VLOOKUP(A160,'GLOSAS X CONCILIAR'!$A$1:$A$37,1,0)</f>
        <v>#N/A</v>
      </c>
      <c r="G160" s="7" t="e">
        <f>VLOOKUP(A160,'TODAS LAS P'!A:A,1,0)</f>
        <v>#N/A</v>
      </c>
      <c r="H160" s="7" t="e">
        <f>VLOOKUP(A160,PAGOS!A194:$A$1553,1,0)</f>
        <v>#N/A</v>
      </c>
      <c r="I160" s="40"/>
      <c r="J160" s="40"/>
      <c r="K160" s="40"/>
      <c r="L160" s="40">
        <f t="shared" si="7"/>
        <v>280760</v>
      </c>
      <c r="M160" s="40"/>
      <c r="N160" s="40"/>
      <c r="O160" s="40"/>
      <c r="P160" s="40"/>
      <c r="Q160" s="7"/>
      <c r="R160" s="7"/>
      <c r="S160" s="7"/>
      <c r="T160" s="35">
        <f t="shared" si="8"/>
        <v>0</v>
      </c>
      <c r="U160" s="7"/>
    </row>
    <row r="161" spans="1:21" x14ac:dyDescent="0.25">
      <c r="A161" s="7" t="s">
        <v>3352</v>
      </c>
      <c r="B161" s="8">
        <v>43813.116307870368</v>
      </c>
      <c r="C161" s="8">
        <v>44045</v>
      </c>
      <c r="D161" s="9">
        <v>207343</v>
      </c>
      <c r="E161" s="7" t="e">
        <f>VLOOKUP(A161,DEVOLUCIONES!A$1:A$231,1,0)</f>
        <v>#N/A</v>
      </c>
      <c r="F161" s="7" t="e">
        <f>VLOOKUP(A161,'GLOSAS X CONCILIAR'!$A$1:$A$37,1,0)</f>
        <v>#N/A</v>
      </c>
      <c r="G161" s="7" t="e">
        <f>VLOOKUP(A161,'TODAS LAS P'!A:A,1,0)</f>
        <v>#N/A</v>
      </c>
      <c r="H161" s="7" t="e">
        <f>VLOOKUP(A161,PAGOS!A195:$A$1553,1,0)</f>
        <v>#N/A</v>
      </c>
      <c r="I161" s="40"/>
      <c r="J161" s="40"/>
      <c r="K161" s="40"/>
      <c r="L161" s="40">
        <f t="shared" si="7"/>
        <v>207343</v>
      </c>
      <c r="M161" s="40"/>
      <c r="N161" s="40"/>
      <c r="O161" s="40"/>
      <c r="P161" s="40"/>
      <c r="Q161" s="7"/>
      <c r="R161" s="7"/>
      <c r="S161" s="7"/>
      <c r="T161" s="35">
        <f t="shared" si="8"/>
        <v>0</v>
      </c>
      <c r="U161" s="7"/>
    </row>
    <row r="162" spans="1:21" x14ac:dyDescent="0.25">
      <c r="A162" s="7" t="s">
        <v>3353</v>
      </c>
      <c r="B162" s="8">
        <v>43813.638067129628</v>
      </c>
      <c r="C162" s="8">
        <v>44045</v>
      </c>
      <c r="D162" s="9">
        <v>54300</v>
      </c>
      <c r="E162" s="7" t="e">
        <f>VLOOKUP(A162,DEVOLUCIONES!A$1:A$231,1,0)</f>
        <v>#N/A</v>
      </c>
      <c r="F162" s="7" t="e">
        <f>VLOOKUP(A162,'GLOSAS X CONCILIAR'!$A$1:$A$37,1,0)</f>
        <v>#N/A</v>
      </c>
      <c r="G162" s="7" t="e">
        <f>VLOOKUP(A162,'TODAS LAS P'!A:A,1,0)</f>
        <v>#N/A</v>
      </c>
      <c r="H162" s="7" t="e">
        <f>VLOOKUP(A162,PAGOS!A196:$A$1553,1,0)</f>
        <v>#N/A</v>
      </c>
      <c r="I162" s="40"/>
      <c r="J162" s="40"/>
      <c r="K162" s="40"/>
      <c r="L162" s="40">
        <f t="shared" si="7"/>
        <v>54300</v>
      </c>
      <c r="M162" s="40"/>
      <c r="N162" s="40"/>
      <c r="O162" s="40"/>
      <c r="P162" s="40"/>
      <c r="Q162" s="7"/>
      <c r="R162" s="7"/>
      <c r="S162" s="7"/>
      <c r="T162" s="35">
        <f t="shared" si="8"/>
        <v>0</v>
      </c>
      <c r="U162" s="7"/>
    </row>
    <row r="163" spans="1:21" x14ac:dyDescent="0.25">
      <c r="A163" s="7" t="s">
        <v>3354</v>
      </c>
      <c r="B163" s="8">
        <v>43814.157361111109</v>
      </c>
      <c r="C163" s="8">
        <v>44045</v>
      </c>
      <c r="D163" s="9">
        <v>277681</v>
      </c>
      <c r="E163" s="7" t="e">
        <f>VLOOKUP(A163,DEVOLUCIONES!A$1:A$231,1,0)</f>
        <v>#N/A</v>
      </c>
      <c r="F163" s="7" t="e">
        <f>VLOOKUP(A163,'GLOSAS X CONCILIAR'!$A$1:$A$37,1,0)</f>
        <v>#N/A</v>
      </c>
      <c r="G163" s="7" t="e">
        <f>VLOOKUP(A163,'TODAS LAS P'!A:A,1,0)</f>
        <v>#N/A</v>
      </c>
      <c r="H163" s="7" t="e">
        <f>VLOOKUP(A163,PAGOS!A197:$A$1553,1,0)</f>
        <v>#N/A</v>
      </c>
      <c r="I163" s="40"/>
      <c r="J163" s="40"/>
      <c r="K163" s="40"/>
      <c r="L163" s="40">
        <f t="shared" si="7"/>
        <v>277681</v>
      </c>
      <c r="M163" s="40"/>
      <c r="N163" s="40"/>
      <c r="O163" s="40"/>
      <c r="P163" s="40"/>
      <c r="Q163" s="7"/>
      <c r="R163" s="7"/>
      <c r="S163" s="7"/>
      <c r="T163" s="35">
        <f t="shared" si="8"/>
        <v>0</v>
      </c>
      <c r="U163" s="7"/>
    </row>
    <row r="164" spans="1:21" x14ac:dyDescent="0.25">
      <c r="A164" s="7" t="s">
        <v>3355</v>
      </c>
      <c r="B164" s="8">
        <v>43815.355428240742</v>
      </c>
      <c r="C164" s="8">
        <v>44045</v>
      </c>
      <c r="D164" s="9">
        <v>300400</v>
      </c>
      <c r="E164" s="7" t="e">
        <f>VLOOKUP(A164,DEVOLUCIONES!A$1:A$231,1,0)</f>
        <v>#N/A</v>
      </c>
      <c r="F164" s="7" t="e">
        <f>VLOOKUP(A164,'GLOSAS X CONCILIAR'!$A$1:$A$37,1,0)</f>
        <v>#N/A</v>
      </c>
      <c r="G164" s="7" t="e">
        <f>VLOOKUP(A164,'TODAS LAS P'!A:A,1,0)</f>
        <v>#N/A</v>
      </c>
      <c r="H164" s="7" t="e">
        <f>VLOOKUP(A164,PAGOS!A198:$A$1553,1,0)</f>
        <v>#N/A</v>
      </c>
      <c r="I164" s="40"/>
      <c r="J164" s="40"/>
      <c r="K164" s="40"/>
      <c r="L164" s="40">
        <f t="shared" si="7"/>
        <v>300400</v>
      </c>
      <c r="M164" s="40"/>
      <c r="N164" s="40"/>
      <c r="O164" s="40"/>
      <c r="P164" s="40"/>
      <c r="Q164" s="7"/>
      <c r="R164" s="7"/>
      <c r="S164" s="7"/>
      <c r="T164" s="35">
        <f t="shared" si="8"/>
        <v>0</v>
      </c>
      <c r="U164" s="7"/>
    </row>
    <row r="165" spans="1:21" x14ac:dyDescent="0.25">
      <c r="A165" s="7" t="s">
        <v>3356</v>
      </c>
      <c r="B165" s="8">
        <v>43815.42869212963</v>
      </c>
      <c r="C165" s="8">
        <v>44045</v>
      </c>
      <c r="D165" s="9">
        <v>148850</v>
      </c>
      <c r="E165" s="7" t="e">
        <f>VLOOKUP(A165,DEVOLUCIONES!A$1:A$231,1,0)</f>
        <v>#N/A</v>
      </c>
      <c r="F165" s="7" t="e">
        <f>VLOOKUP(A165,'GLOSAS X CONCILIAR'!$A$1:$A$37,1,0)</f>
        <v>#N/A</v>
      </c>
      <c r="G165" s="7" t="e">
        <f>VLOOKUP(A165,'TODAS LAS P'!A:A,1,0)</f>
        <v>#N/A</v>
      </c>
      <c r="H165" s="7" t="e">
        <f>VLOOKUP(A165,PAGOS!A199:$A$1553,1,0)</f>
        <v>#N/A</v>
      </c>
      <c r="I165" s="40"/>
      <c r="J165" s="40"/>
      <c r="K165" s="40"/>
      <c r="L165" s="40">
        <f t="shared" si="7"/>
        <v>148850</v>
      </c>
      <c r="M165" s="40"/>
      <c r="N165" s="40"/>
      <c r="O165" s="40"/>
      <c r="P165" s="40"/>
      <c r="Q165" s="7"/>
      <c r="R165" s="7"/>
      <c r="S165" s="7"/>
      <c r="T165" s="35">
        <f t="shared" si="8"/>
        <v>0</v>
      </c>
      <c r="U165" s="7"/>
    </row>
    <row r="166" spans="1:21" x14ac:dyDescent="0.25">
      <c r="A166" s="7" t="s">
        <v>3357</v>
      </c>
      <c r="B166" s="8">
        <v>43815.438298611109</v>
      </c>
      <c r="C166" s="8">
        <v>44045</v>
      </c>
      <c r="D166" s="9">
        <v>54874</v>
      </c>
      <c r="E166" s="7" t="e">
        <f>VLOOKUP(A166,DEVOLUCIONES!A$1:A$231,1,0)</f>
        <v>#N/A</v>
      </c>
      <c r="F166" s="7" t="e">
        <f>VLOOKUP(A166,'GLOSAS X CONCILIAR'!$A$1:$A$37,1,0)</f>
        <v>#N/A</v>
      </c>
      <c r="G166" s="7" t="e">
        <f>VLOOKUP(A166,'TODAS LAS P'!A:A,1,0)</f>
        <v>#N/A</v>
      </c>
      <c r="H166" s="7" t="e">
        <f>VLOOKUP(A166,PAGOS!A200:$A$1553,1,0)</f>
        <v>#N/A</v>
      </c>
      <c r="I166" s="40"/>
      <c r="J166" s="40"/>
      <c r="K166" s="40"/>
      <c r="L166" s="40">
        <f t="shared" si="7"/>
        <v>54874</v>
      </c>
      <c r="M166" s="40"/>
      <c r="N166" s="40"/>
      <c r="O166" s="40"/>
      <c r="P166" s="40"/>
      <c r="Q166" s="7"/>
      <c r="R166" s="7"/>
      <c r="S166" s="7"/>
      <c r="T166" s="35">
        <f t="shared" si="8"/>
        <v>0</v>
      </c>
      <c r="U166" s="7"/>
    </row>
    <row r="167" spans="1:21" x14ac:dyDescent="0.25">
      <c r="A167" s="7" t="s">
        <v>3358</v>
      </c>
      <c r="B167" s="8">
        <v>43815.66369212963</v>
      </c>
      <c r="C167" s="8">
        <v>44045</v>
      </c>
      <c r="D167" s="9">
        <v>105098</v>
      </c>
      <c r="E167" s="7" t="e">
        <f>VLOOKUP(A167,DEVOLUCIONES!A$1:A$231,1,0)</f>
        <v>#N/A</v>
      </c>
      <c r="F167" s="7" t="e">
        <f>VLOOKUP(A167,'GLOSAS X CONCILIAR'!$A$1:$A$37,1,0)</f>
        <v>#N/A</v>
      </c>
      <c r="G167" s="7" t="e">
        <f>VLOOKUP(A167,'TODAS LAS P'!A:A,1,0)</f>
        <v>#N/A</v>
      </c>
      <c r="H167" s="7" t="e">
        <f>VLOOKUP(A167,PAGOS!A201:$A$1553,1,0)</f>
        <v>#N/A</v>
      </c>
      <c r="I167" s="40"/>
      <c r="J167" s="40"/>
      <c r="K167" s="40"/>
      <c r="L167" s="40">
        <f t="shared" si="7"/>
        <v>105098</v>
      </c>
      <c r="M167" s="40"/>
      <c r="N167" s="40"/>
      <c r="O167" s="40"/>
      <c r="P167" s="40"/>
      <c r="Q167" s="7"/>
      <c r="R167" s="7"/>
      <c r="S167" s="7"/>
      <c r="T167" s="35">
        <f t="shared" si="8"/>
        <v>0</v>
      </c>
      <c r="U167" s="7"/>
    </row>
    <row r="168" spans="1:21" x14ac:dyDescent="0.25">
      <c r="A168" s="7" t="s">
        <v>3359</v>
      </c>
      <c r="B168" s="8">
        <v>43816.461782407408</v>
      </c>
      <c r="C168" s="8">
        <v>44045</v>
      </c>
      <c r="D168" s="9">
        <v>6373996</v>
      </c>
      <c r="E168" s="7" t="e">
        <f>VLOOKUP(A168,DEVOLUCIONES!A$1:A$231,1,0)</f>
        <v>#N/A</v>
      </c>
      <c r="F168" s="7" t="e">
        <f>VLOOKUP(A168,'GLOSAS X CONCILIAR'!$A$1:$A$37,1,0)</f>
        <v>#N/A</v>
      </c>
      <c r="G168" s="7" t="e">
        <f>VLOOKUP(A168,'TODAS LAS P'!A:A,1,0)</f>
        <v>#N/A</v>
      </c>
      <c r="H168" s="7" t="e">
        <f>VLOOKUP(A168,PAGOS!A202:$A$1553,1,0)</f>
        <v>#N/A</v>
      </c>
      <c r="I168" s="40"/>
      <c r="J168" s="40"/>
      <c r="K168" s="40"/>
      <c r="L168" s="40">
        <f t="shared" si="7"/>
        <v>6373996</v>
      </c>
      <c r="M168" s="40"/>
      <c r="N168" s="40"/>
      <c r="O168" s="40"/>
      <c r="P168" s="40"/>
      <c r="Q168" s="7"/>
      <c r="R168" s="7"/>
      <c r="S168" s="7"/>
      <c r="T168" s="35">
        <f t="shared" si="8"/>
        <v>0</v>
      </c>
      <c r="U168" s="7"/>
    </row>
    <row r="169" spans="1:21" x14ac:dyDescent="0.25">
      <c r="A169" s="7" t="s">
        <v>3360</v>
      </c>
      <c r="B169" s="8">
        <v>43816.645092592589</v>
      </c>
      <c r="C169" s="8">
        <v>44045</v>
      </c>
      <c r="D169" s="9">
        <v>5795546</v>
      </c>
      <c r="E169" s="7" t="e">
        <f>VLOOKUP(A169,DEVOLUCIONES!A$1:A$231,1,0)</f>
        <v>#N/A</v>
      </c>
      <c r="F169" s="7" t="e">
        <f>VLOOKUP(A169,'GLOSAS X CONCILIAR'!$A$1:$A$37,1,0)</f>
        <v>#N/A</v>
      </c>
      <c r="G169" s="7" t="e">
        <f>VLOOKUP(A169,'TODAS LAS P'!A:A,1,0)</f>
        <v>#N/A</v>
      </c>
      <c r="H169" s="7" t="e">
        <f>VLOOKUP(A169,PAGOS!A203:$A$1553,1,0)</f>
        <v>#N/A</v>
      </c>
      <c r="I169" s="40"/>
      <c r="J169" s="40"/>
      <c r="K169" s="40"/>
      <c r="L169" s="40">
        <f t="shared" si="7"/>
        <v>5795546</v>
      </c>
      <c r="M169" s="40"/>
      <c r="N169" s="40"/>
      <c r="O169" s="40"/>
      <c r="P169" s="40"/>
      <c r="Q169" s="7"/>
      <c r="R169" s="7"/>
      <c r="S169" s="7"/>
      <c r="T169" s="35">
        <f t="shared" si="8"/>
        <v>0</v>
      </c>
      <c r="U169" s="7"/>
    </row>
    <row r="170" spans="1:21" x14ac:dyDescent="0.25">
      <c r="A170" s="7" t="s">
        <v>3361</v>
      </c>
      <c r="B170" s="8">
        <v>43825.425243055557</v>
      </c>
      <c r="C170" s="8">
        <v>44045</v>
      </c>
      <c r="D170" s="9">
        <v>441106</v>
      </c>
      <c r="E170" s="7" t="e">
        <f>VLOOKUP(A170,DEVOLUCIONES!A$1:A$231,1,0)</f>
        <v>#N/A</v>
      </c>
      <c r="F170" s="7" t="e">
        <f>VLOOKUP(A170,'GLOSAS X CONCILIAR'!$A$1:$A$37,1,0)</f>
        <v>#N/A</v>
      </c>
      <c r="G170" s="7" t="e">
        <f>VLOOKUP(A170,'TODAS LAS P'!A:A,1,0)</f>
        <v>#N/A</v>
      </c>
      <c r="H170" s="7" t="e">
        <f>VLOOKUP(A170,PAGOS!A204:$A$1553,1,0)</f>
        <v>#N/A</v>
      </c>
      <c r="I170" s="40"/>
      <c r="J170" s="40"/>
      <c r="K170" s="40"/>
      <c r="L170" s="40">
        <f t="shared" si="7"/>
        <v>441106</v>
      </c>
      <c r="M170" s="40"/>
      <c r="N170" s="40"/>
      <c r="O170" s="40"/>
      <c r="P170" s="40"/>
      <c r="Q170" s="7"/>
      <c r="R170" s="7"/>
      <c r="S170" s="7"/>
      <c r="T170" s="35">
        <f t="shared" si="8"/>
        <v>0</v>
      </c>
      <c r="U170" s="7"/>
    </row>
    <row r="171" spans="1:21" x14ac:dyDescent="0.25">
      <c r="A171" s="7" t="s">
        <v>3362</v>
      </c>
      <c r="B171" s="8">
        <v>43825.653993055559</v>
      </c>
      <c r="C171" s="8">
        <v>44045</v>
      </c>
      <c r="D171" s="9">
        <v>47800</v>
      </c>
      <c r="E171" s="7" t="e">
        <f>VLOOKUP(A171,DEVOLUCIONES!A$1:A$231,1,0)</f>
        <v>#N/A</v>
      </c>
      <c r="F171" s="7" t="e">
        <f>VLOOKUP(A171,'GLOSAS X CONCILIAR'!$A$1:$A$37,1,0)</f>
        <v>#N/A</v>
      </c>
      <c r="G171" s="7" t="e">
        <f>VLOOKUP(A171,'TODAS LAS P'!A:A,1,0)</f>
        <v>#N/A</v>
      </c>
      <c r="H171" s="7" t="e">
        <f>VLOOKUP(A171,PAGOS!A205:$A$1553,1,0)</f>
        <v>#N/A</v>
      </c>
      <c r="I171" s="40"/>
      <c r="J171" s="40"/>
      <c r="K171" s="40"/>
      <c r="L171" s="40">
        <f t="shared" si="7"/>
        <v>47800</v>
      </c>
      <c r="M171" s="40"/>
      <c r="N171" s="40"/>
      <c r="O171" s="40"/>
      <c r="P171" s="40"/>
      <c r="Q171" s="7"/>
      <c r="R171" s="7"/>
      <c r="S171" s="7"/>
      <c r="T171" s="35">
        <f t="shared" si="8"/>
        <v>0</v>
      </c>
      <c r="U171" s="7"/>
    </row>
    <row r="172" spans="1:21" x14ac:dyDescent="0.25">
      <c r="A172" s="7" t="s">
        <v>3363</v>
      </c>
      <c r="B172" s="8">
        <v>43826.160914351851</v>
      </c>
      <c r="C172" s="8">
        <v>44045</v>
      </c>
      <c r="D172" s="9">
        <v>82137</v>
      </c>
      <c r="E172" s="7" t="e">
        <f>VLOOKUP(A172,DEVOLUCIONES!A$1:A$231,1,0)</f>
        <v>#N/A</v>
      </c>
      <c r="F172" s="7" t="e">
        <f>VLOOKUP(A172,'GLOSAS X CONCILIAR'!$A$1:$A$37,1,0)</f>
        <v>#N/A</v>
      </c>
      <c r="G172" s="7" t="e">
        <f>VLOOKUP(A172,'TODAS LAS P'!A:A,1,0)</f>
        <v>#N/A</v>
      </c>
      <c r="H172" s="7" t="e">
        <f>VLOOKUP(A172,PAGOS!A206:$A$1553,1,0)</f>
        <v>#N/A</v>
      </c>
      <c r="I172" s="40"/>
      <c r="J172" s="40"/>
      <c r="K172" s="40"/>
      <c r="L172" s="40">
        <f t="shared" si="7"/>
        <v>82137</v>
      </c>
      <c r="M172" s="40"/>
      <c r="N172" s="40"/>
      <c r="O172" s="40"/>
      <c r="P172" s="40"/>
      <c r="Q172" s="7"/>
      <c r="R172" s="7"/>
      <c r="S172" s="7"/>
      <c r="T172" s="35">
        <f t="shared" si="8"/>
        <v>0</v>
      </c>
      <c r="U172" s="7"/>
    </row>
    <row r="173" spans="1:21" x14ac:dyDescent="0.25">
      <c r="A173" s="7" t="s">
        <v>2933</v>
      </c>
      <c r="B173" s="8">
        <v>43826.325636574074</v>
      </c>
      <c r="C173" s="8">
        <v>44045</v>
      </c>
      <c r="D173" s="9">
        <v>33100</v>
      </c>
      <c r="E173" s="7" t="e">
        <f>VLOOKUP(A173,DEVOLUCIONES!A$1:A$231,1,0)</f>
        <v>#N/A</v>
      </c>
      <c r="F173" s="7" t="e">
        <f>VLOOKUP(A173,'GLOSAS X CONCILIAR'!$A$1:$A$37,1,0)</f>
        <v>#N/A</v>
      </c>
      <c r="G173" s="7" t="e">
        <f>VLOOKUP(A173,'TODAS LAS P'!A:A,1,0)</f>
        <v>#N/A</v>
      </c>
      <c r="H173" s="7" t="e">
        <f>VLOOKUP(A173,PAGOS!A207:$A$1553,1,0)</f>
        <v>#N/A</v>
      </c>
      <c r="I173" s="40"/>
      <c r="J173" s="40"/>
      <c r="K173" s="40"/>
      <c r="L173" s="40">
        <f t="shared" ref="L173:L227" si="9">D173</f>
        <v>33100</v>
      </c>
      <c r="M173" s="40"/>
      <c r="N173" s="40"/>
      <c r="O173" s="40"/>
      <c r="P173" s="40"/>
      <c r="Q173" s="7"/>
      <c r="R173" s="7"/>
      <c r="S173" s="7"/>
      <c r="T173" s="35">
        <f t="shared" si="8"/>
        <v>0</v>
      </c>
      <c r="U173" s="7"/>
    </row>
    <row r="174" spans="1:21" x14ac:dyDescent="0.25">
      <c r="A174" s="7" t="s">
        <v>3364</v>
      </c>
      <c r="B174" s="8">
        <v>43826.862476851849</v>
      </c>
      <c r="C174" s="8">
        <v>44045</v>
      </c>
      <c r="D174" s="9">
        <v>95200</v>
      </c>
      <c r="E174" s="7" t="e">
        <f>VLOOKUP(A174,DEVOLUCIONES!A$1:A$231,1,0)</f>
        <v>#N/A</v>
      </c>
      <c r="F174" s="7" t="e">
        <f>VLOOKUP(A174,'GLOSAS X CONCILIAR'!$A$1:$A$37,1,0)</f>
        <v>#N/A</v>
      </c>
      <c r="G174" s="7" t="e">
        <f>VLOOKUP(A174,'TODAS LAS P'!A:A,1,0)</f>
        <v>#N/A</v>
      </c>
      <c r="H174" s="7" t="e">
        <f>VLOOKUP(A174,PAGOS!A208:$A$1553,1,0)</f>
        <v>#N/A</v>
      </c>
      <c r="I174" s="40"/>
      <c r="J174" s="40"/>
      <c r="K174" s="40"/>
      <c r="L174" s="40">
        <f t="shared" si="9"/>
        <v>95200</v>
      </c>
      <c r="M174" s="40"/>
      <c r="N174" s="40"/>
      <c r="O174" s="40"/>
      <c r="P174" s="40"/>
      <c r="Q174" s="7"/>
      <c r="R174" s="7"/>
      <c r="S174" s="7"/>
      <c r="T174" s="35">
        <f t="shared" si="8"/>
        <v>0</v>
      </c>
      <c r="U174" s="7"/>
    </row>
    <row r="175" spans="1:21" x14ac:dyDescent="0.25">
      <c r="A175" s="7" t="s">
        <v>3365</v>
      </c>
      <c r="B175" s="8">
        <v>43827.632060185184</v>
      </c>
      <c r="C175" s="8">
        <v>44045</v>
      </c>
      <c r="D175" s="9">
        <v>185103</v>
      </c>
      <c r="E175" s="7" t="e">
        <f>VLOOKUP(A175,DEVOLUCIONES!A$1:A$231,1,0)</f>
        <v>#N/A</v>
      </c>
      <c r="F175" s="7" t="e">
        <f>VLOOKUP(A175,'GLOSAS X CONCILIAR'!$A$1:$A$37,1,0)</f>
        <v>#N/A</v>
      </c>
      <c r="G175" s="7" t="e">
        <f>VLOOKUP(A175,'TODAS LAS P'!A:A,1,0)</f>
        <v>#N/A</v>
      </c>
      <c r="H175" s="7" t="e">
        <f>VLOOKUP(A175,PAGOS!A209:$A$1553,1,0)</f>
        <v>#N/A</v>
      </c>
      <c r="I175" s="40"/>
      <c r="J175" s="40"/>
      <c r="K175" s="40"/>
      <c r="L175" s="40">
        <f t="shared" si="9"/>
        <v>185103</v>
      </c>
      <c r="M175" s="40"/>
      <c r="N175" s="40"/>
      <c r="O175" s="40"/>
      <c r="P175" s="40"/>
      <c r="Q175" s="7"/>
      <c r="R175" s="7"/>
      <c r="S175" s="7"/>
      <c r="T175" s="35">
        <f t="shared" si="8"/>
        <v>0</v>
      </c>
      <c r="U175" s="7"/>
    </row>
    <row r="176" spans="1:21" x14ac:dyDescent="0.25">
      <c r="A176" s="7" t="s">
        <v>3366</v>
      </c>
      <c r="B176" s="8">
        <v>43828.161377314813</v>
      </c>
      <c r="C176" s="8">
        <v>44045</v>
      </c>
      <c r="D176" s="9">
        <v>64898</v>
      </c>
      <c r="E176" s="7" t="e">
        <f>VLOOKUP(A176,DEVOLUCIONES!A$1:A$231,1,0)</f>
        <v>#N/A</v>
      </c>
      <c r="F176" s="7" t="e">
        <f>VLOOKUP(A176,'GLOSAS X CONCILIAR'!$A$1:$A$37,1,0)</f>
        <v>#N/A</v>
      </c>
      <c r="G176" s="7" t="e">
        <f>VLOOKUP(A176,'TODAS LAS P'!A:A,1,0)</f>
        <v>#N/A</v>
      </c>
      <c r="H176" s="7" t="e">
        <f>VLOOKUP(A176,PAGOS!A210:$A$1553,1,0)</f>
        <v>#N/A</v>
      </c>
      <c r="I176" s="40"/>
      <c r="J176" s="40"/>
      <c r="K176" s="40"/>
      <c r="L176" s="40">
        <f t="shared" si="9"/>
        <v>64898</v>
      </c>
      <c r="M176" s="40"/>
      <c r="N176" s="40"/>
      <c r="O176" s="40"/>
      <c r="P176" s="40"/>
      <c r="Q176" s="7"/>
      <c r="R176" s="7"/>
      <c r="S176" s="7"/>
      <c r="T176" s="35">
        <f t="shared" si="8"/>
        <v>0</v>
      </c>
      <c r="U176" s="7"/>
    </row>
    <row r="177" spans="1:21" x14ac:dyDescent="0.25">
      <c r="A177" s="7" t="s">
        <v>3367</v>
      </c>
      <c r="B177" s="8">
        <v>43828.718645833331</v>
      </c>
      <c r="C177" s="8">
        <v>44045</v>
      </c>
      <c r="D177" s="9">
        <v>3195119</v>
      </c>
      <c r="E177" s="7" t="e">
        <f>VLOOKUP(A177,DEVOLUCIONES!A$1:A$231,1,0)</f>
        <v>#N/A</v>
      </c>
      <c r="F177" s="7" t="e">
        <f>VLOOKUP(A177,'GLOSAS X CONCILIAR'!$A$1:$A$37,1,0)</f>
        <v>#N/A</v>
      </c>
      <c r="G177" s="7" t="e">
        <f>VLOOKUP(A177,'TODAS LAS P'!A:A,1,0)</f>
        <v>#N/A</v>
      </c>
      <c r="H177" s="7" t="e">
        <f>VLOOKUP(A177,PAGOS!A211:$A$1553,1,0)</f>
        <v>#N/A</v>
      </c>
      <c r="I177" s="40"/>
      <c r="J177" s="40"/>
      <c r="K177" s="40"/>
      <c r="L177" s="40">
        <f t="shared" si="9"/>
        <v>3195119</v>
      </c>
      <c r="M177" s="40"/>
      <c r="N177" s="40"/>
      <c r="O177" s="40"/>
      <c r="P177" s="40"/>
      <c r="Q177" s="7"/>
      <c r="R177" s="7"/>
      <c r="S177" s="7"/>
      <c r="T177" s="35">
        <f t="shared" si="8"/>
        <v>0</v>
      </c>
      <c r="U177" s="7"/>
    </row>
    <row r="178" spans="1:21" x14ac:dyDescent="0.25">
      <c r="A178" s="7" t="s">
        <v>3368</v>
      </c>
      <c r="B178" s="8">
        <v>43829.748599537037</v>
      </c>
      <c r="C178" s="8">
        <v>44045</v>
      </c>
      <c r="D178" s="9">
        <v>347897</v>
      </c>
      <c r="E178" s="7" t="e">
        <f>VLOOKUP(A178,DEVOLUCIONES!A$1:A$231,1,0)</f>
        <v>#N/A</v>
      </c>
      <c r="F178" s="7" t="e">
        <f>VLOOKUP(A178,'GLOSAS X CONCILIAR'!$A$1:$A$37,1,0)</f>
        <v>#N/A</v>
      </c>
      <c r="G178" s="7" t="e">
        <f>VLOOKUP(A178,'TODAS LAS P'!A:A,1,0)</f>
        <v>#N/A</v>
      </c>
      <c r="H178" s="7" t="e">
        <f>VLOOKUP(A178,PAGOS!A212:$A$1553,1,0)</f>
        <v>#N/A</v>
      </c>
      <c r="I178" s="40"/>
      <c r="J178" s="40"/>
      <c r="K178" s="40"/>
      <c r="L178" s="40">
        <f t="shared" si="9"/>
        <v>347897</v>
      </c>
      <c r="M178" s="40"/>
      <c r="N178" s="40"/>
      <c r="O178" s="40"/>
      <c r="P178" s="40"/>
      <c r="Q178" s="7"/>
      <c r="R178" s="7"/>
      <c r="S178" s="7"/>
      <c r="T178" s="35">
        <f t="shared" si="8"/>
        <v>0</v>
      </c>
      <c r="U178" s="7"/>
    </row>
    <row r="179" spans="1:21" x14ac:dyDescent="0.25">
      <c r="A179" s="7" t="s">
        <v>3369</v>
      </c>
      <c r="B179" s="8">
        <v>43829.783009259256</v>
      </c>
      <c r="C179" s="8">
        <v>44045</v>
      </c>
      <c r="D179" s="9">
        <v>1557993</v>
      </c>
      <c r="E179" s="7" t="e">
        <f>VLOOKUP(A179,DEVOLUCIONES!A$1:A$231,1,0)</f>
        <v>#N/A</v>
      </c>
      <c r="F179" s="7" t="e">
        <f>VLOOKUP(A179,'GLOSAS X CONCILIAR'!$A$1:$A$37,1,0)</f>
        <v>#N/A</v>
      </c>
      <c r="G179" s="7" t="e">
        <f>VLOOKUP(A179,'TODAS LAS P'!A:A,1,0)</f>
        <v>#N/A</v>
      </c>
      <c r="H179" s="7" t="e">
        <f>VLOOKUP(A179,PAGOS!A213:$A$1553,1,0)</f>
        <v>#N/A</v>
      </c>
      <c r="I179" s="40"/>
      <c r="J179" s="40"/>
      <c r="K179" s="40"/>
      <c r="L179" s="40">
        <f t="shared" si="9"/>
        <v>1557993</v>
      </c>
      <c r="M179" s="40"/>
      <c r="N179" s="40"/>
      <c r="O179" s="40"/>
      <c r="P179" s="40"/>
      <c r="Q179" s="7"/>
      <c r="R179" s="7"/>
      <c r="S179" s="7"/>
      <c r="T179" s="35">
        <f t="shared" si="8"/>
        <v>0</v>
      </c>
      <c r="U179" s="7"/>
    </row>
    <row r="180" spans="1:21" x14ac:dyDescent="0.25">
      <c r="A180" s="7" t="s">
        <v>3370</v>
      </c>
      <c r="B180" s="8">
        <v>43835.321412037039</v>
      </c>
      <c r="C180" s="8">
        <v>43910</v>
      </c>
      <c r="D180" s="9">
        <v>1592841</v>
      </c>
      <c r="E180" s="7" t="e">
        <f>VLOOKUP(A180,DEVOLUCIONES!A$1:A$231,1,0)</f>
        <v>#N/A</v>
      </c>
      <c r="F180" s="7" t="e">
        <f>VLOOKUP(A180,'GLOSAS X CONCILIAR'!$A$1:$A$37,1,0)</f>
        <v>#N/A</v>
      </c>
      <c r="G180" s="7" t="e">
        <f>VLOOKUP(A180,'TODAS LAS P'!A:A,1,0)</f>
        <v>#N/A</v>
      </c>
      <c r="H180" s="7" t="e">
        <f>VLOOKUP(A180,PAGOS!A214:$A$1553,1,0)</f>
        <v>#N/A</v>
      </c>
      <c r="I180" s="40"/>
      <c r="J180" s="40"/>
      <c r="K180" s="40"/>
      <c r="L180" s="40">
        <f t="shared" si="9"/>
        <v>1592841</v>
      </c>
      <c r="M180" s="40"/>
      <c r="N180" s="40"/>
      <c r="O180" s="40"/>
      <c r="P180" s="40"/>
      <c r="Q180" s="7"/>
      <c r="R180" s="7"/>
      <c r="S180" s="7"/>
      <c r="T180" s="35">
        <f t="shared" si="8"/>
        <v>0</v>
      </c>
      <c r="U180" s="7"/>
    </row>
    <row r="181" spans="1:21" x14ac:dyDescent="0.25">
      <c r="A181" s="7" t="s">
        <v>3371</v>
      </c>
      <c r="B181" s="8">
        <v>43835.703067129631</v>
      </c>
      <c r="C181" s="8">
        <v>43910</v>
      </c>
      <c r="D181" s="9">
        <v>2236469</v>
      </c>
      <c r="E181" s="7" t="e">
        <f>VLOOKUP(A181,DEVOLUCIONES!A$1:A$231,1,0)</f>
        <v>#N/A</v>
      </c>
      <c r="F181" s="7" t="e">
        <f>VLOOKUP(A181,'GLOSAS X CONCILIAR'!$A$1:$A$37,1,0)</f>
        <v>#N/A</v>
      </c>
      <c r="G181" s="7" t="e">
        <f>VLOOKUP(A181,'TODAS LAS P'!A:A,1,0)</f>
        <v>#N/A</v>
      </c>
      <c r="H181" s="7" t="e">
        <f>VLOOKUP(A181,PAGOS!A215:$A$1553,1,0)</f>
        <v>#N/A</v>
      </c>
      <c r="I181" s="40"/>
      <c r="J181" s="40"/>
      <c r="K181" s="40"/>
      <c r="L181" s="40">
        <f t="shared" si="9"/>
        <v>2236469</v>
      </c>
      <c r="M181" s="40"/>
      <c r="N181" s="40"/>
      <c r="O181" s="40"/>
      <c r="P181" s="40"/>
      <c r="Q181" s="7"/>
      <c r="R181" s="7"/>
      <c r="S181" s="7"/>
      <c r="T181" s="35">
        <f t="shared" si="8"/>
        <v>0</v>
      </c>
      <c r="U181" s="7"/>
    </row>
    <row r="182" spans="1:21" x14ac:dyDescent="0.25">
      <c r="A182" s="7" t="s">
        <v>3372</v>
      </c>
      <c r="B182" s="8">
        <v>43837.009398148148</v>
      </c>
      <c r="C182" s="8">
        <v>43910</v>
      </c>
      <c r="D182" s="9">
        <v>1418243</v>
      </c>
      <c r="E182" s="7" t="e">
        <f>VLOOKUP(A182,DEVOLUCIONES!A$1:A$231,1,0)</f>
        <v>#N/A</v>
      </c>
      <c r="F182" s="7" t="e">
        <f>VLOOKUP(A182,'GLOSAS X CONCILIAR'!$A$1:$A$37,1,0)</f>
        <v>#N/A</v>
      </c>
      <c r="G182" s="7" t="e">
        <f>VLOOKUP(A182,'TODAS LAS P'!A:A,1,0)</f>
        <v>#N/A</v>
      </c>
      <c r="H182" s="7" t="e">
        <f>VLOOKUP(A182,PAGOS!A216:$A$1553,1,0)</f>
        <v>#N/A</v>
      </c>
      <c r="I182" s="40"/>
      <c r="J182" s="40"/>
      <c r="K182" s="40"/>
      <c r="L182" s="40">
        <f t="shared" si="9"/>
        <v>1418243</v>
      </c>
      <c r="M182" s="40"/>
      <c r="N182" s="40"/>
      <c r="O182" s="40"/>
      <c r="P182" s="40"/>
      <c r="Q182" s="7"/>
      <c r="R182" s="7"/>
      <c r="S182" s="7"/>
      <c r="T182" s="35">
        <f t="shared" si="8"/>
        <v>0</v>
      </c>
      <c r="U182" s="7"/>
    </row>
    <row r="183" spans="1:21" x14ac:dyDescent="0.25">
      <c r="A183" s="7" t="s">
        <v>3373</v>
      </c>
      <c r="B183" s="8">
        <v>43837.038136574076</v>
      </c>
      <c r="C183" s="8">
        <v>43910</v>
      </c>
      <c r="D183" s="9">
        <v>72732</v>
      </c>
      <c r="E183" s="7" t="e">
        <f>VLOOKUP(A183,DEVOLUCIONES!A$1:A$231,1,0)</f>
        <v>#N/A</v>
      </c>
      <c r="F183" s="7" t="e">
        <f>VLOOKUP(A183,'GLOSAS X CONCILIAR'!$A$1:$A$37,1,0)</f>
        <v>#N/A</v>
      </c>
      <c r="G183" s="7" t="e">
        <f>VLOOKUP(A183,'TODAS LAS P'!A:A,1,0)</f>
        <v>#N/A</v>
      </c>
      <c r="H183" s="7" t="e">
        <f>VLOOKUP(A183,PAGOS!A217:$A$1553,1,0)</f>
        <v>#N/A</v>
      </c>
      <c r="I183" s="40"/>
      <c r="J183" s="40"/>
      <c r="K183" s="40"/>
      <c r="L183" s="40">
        <f t="shared" si="9"/>
        <v>72732</v>
      </c>
      <c r="M183" s="40"/>
      <c r="N183" s="40"/>
      <c r="O183" s="40"/>
      <c r="P183" s="40"/>
      <c r="Q183" s="7"/>
      <c r="R183" s="7"/>
      <c r="S183" s="7"/>
      <c r="T183" s="35">
        <f t="shared" si="8"/>
        <v>0</v>
      </c>
      <c r="U183" s="7"/>
    </row>
    <row r="184" spans="1:21" x14ac:dyDescent="0.25">
      <c r="A184" s="7" t="s">
        <v>3374</v>
      </c>
      <c r="B184" s="8">
        <v>43837.510844907411</v>
      </c>
      <c r="C184" s="8">
        <v>43910</v>
      </c>
      <c r="D184" s="9">
        <v>57600</v>
      </c>
      <c r="E184" s="7" t="e">
        <f>VLOOKUP(A184,DEVOLUCIONES!A$1:A$231,1,0)</f>
        <v>#N/A</v>
      </c>
      <c r="F184" s="7" t="e">
        <f>VLOOKUP(A184,'GLOSAS X CONCILIAR'!$A$1:$A$37,1,0)</f>
        <v>#N/A</v>
      </c>
      <c r="G184" s="7" t="e">
        <f>VLOOKUP(A184,'TODAS LAS P'!A:A,1,0)</f>
        <v>#N/A</v>
      </c>
      <c r="H184" s="7" t="e">
        <f>VLOOKUP(A184,PAGOS!A218:$A$1553,1,0)</f>
        <v>#N/A</v>
      </c>
      <c r="I184" s="40"/>
      <c r="J184" s="40"/>
      <c r="K184" s="40"/>
      <c r="L184" s="40">
        <f t="shared" si="9"/>
        <v>57600</v>
      </c>
      <c r="M184" s="40"/>
      <c r="N184" s="40"/>
      <c r="O184" s="40"/>
      <c r="P184" s="40"/>
      <c r="Q184" s="7"/>
      <c r="R184" s="7"/>
      <c r="S184" s="7"/>
      <c r="T184" s="35">
        <f t="shared" si="8"/>
        <v>0</v>
      </c>
      <c r="U184" s="7"/>
    </row>
    <row r="185" spans="1:21" x14ac:dyDescent="0.25">
      <c r="A185" s="7" t="s">
        <v>2934</v>
      </c>
      <c r="B185" s="8">
        <v>43837.654467592591</v>
      </c>
      <c r="C185" s="8">
        <v>43910</v>
      </c>
      <c r="D185" s="9">
        <v>35100</v>
      </c>
      <c r="E185" s="7" t="e">
        <f>VLOOKUP(A185,DEVOLUCIONES!A$1:A$231,1,0)</f>
        <v>#N/A</v>
      </c>
      <c r="F185" s="7" t="e">
        <f>VLOOKUP(A185,'GLOSAS X CONCILIAR'!$A$1:$A$37,1,0)</f>
        <v>#N/A</v>
      </c>
      <c r="G185" s="7" t="e">
        <f>VLOOKUP(A185,'TODAS LAS P'!A:A,1,0)</f>
        <v>#N/A</v>
      </c>
      <c r="H185" s="7" t="e">
        <f>VLOOKUP(A185,PAGOS!A219:$A$1553,1,0)</f>
        <v>#N/A</v>
      </c>
      <c r="I185" s="40"/>
      <c r="J185" s="40"/>
      <c r="K185" s="40"/>
      <c r="L185" s="40">
        <f t="shared" si="9"/>
        <v>35100</v>
      </c>
      <c r="M185" s="40"/>
      <c r="N185" s="40"/>
      <c r="O185" s="40"/>
      <c r="P185" s="40"/>
      <c r="Q185" s="7"/>
      <c r="R185" s="7"/>
      <c r="S185" s="7"/>
      <c r="T185" s="35">
        <f t="shared" si="8"/>
        <v>0</v>
      </c>
      <c r="U185" s="7"/>
    </row>
    <row r="186" spans="1:21" x14ac:dyDescent="0.25">
      <c r="A186" s="7" t="s">
        <v>2935</v>
      </c>
      <c r="B186" s="8">
        <v>43839.484918981485</v>
      </c>
      <c r="C186" s="8">
        <v>43910</v>
      </c>
      <c r="D186" s="9">
        <v>20600</v>
      </c>
      <c r="E186" s="7" t="e">
        <f>VLOOKUP(A186,DEVOLUCIONES!A$1:A$231,1,0)</f>
        <v>#N/A</v>
      </c>
      <c r="F186" s="7" t="e">
        <f>VLOOKUP(A186,'GLOSAS X CONCILIAR'!$A$1:$A$37,1,0)</f>
        <v>#N/A</v>
      </c>
      <c r="G186" s="7" t="e">
        <f>VLOOKUP(A186,'TODAS LAS P'!A:A,1,0)</f>
        <v>#N/A</v>
      </c>
      <c r="H186" s="7" t="e">
        <f>VLOOKUP(A186,PAGOS!A220:$A$1553,1,0)</f>
        <v>#N/A</v>
      </c>
      <c r="I186" s="40"/>
      <c r="J186" s="40"/>
      <c r="K186" s="40"/>
      <c r="L186" s="40">
        <f t="shared" si="9"/>
        <v>20600</v>
      </c>
      <c r="M186" s="40"/>
      <c r="N186" s="40"/>
      <c r="O186" s="40"/>
      <c r="P186" s="40"/>
      <c r="Q186" s="7"/>
      <c r="R186" s="7"/>
      <c r="S186" s="7"/>
      <c r="T186" s="35">
        <f t="shared" si="8"/>
        <v>0</v>
      </c>
      <c r="U186" s="7"/>
    </row>
    <row r="187" spans="1:21" x14ac:dyDescent="0.25">
      <c r="A187" s="7" t="s">
        <v>3375</v>
      </c>
      <c r="B187" s="8">
        <v>43839.504363425927</v>
      </c>
      <c r="C187" s="8">
        <v>43910</v>
      </c>
      <c r="D187" s="9">
        <v>920928</v>
      </c>
      <c r="E187" s="7" t="e">
        <f>VLOOKUP(A187,DEVOLUCIONES!A$1:A$231,1,0)</f>
        <v>#N/A</v>
      </c>
      <c r="F187" s="7" t="e">
        <f>VLOOKUP(A187,'GLOSAS X CONCILIAR'!$A$1:$A$37,1,0)</f>
        <v>#N/A</v>
      </c>
      <c r="G187" s="7" t="e">
        <f>VLOOKUP(A187,'TODAS LAS P'!A:A,1,0)</f>
        <v>#N/A</v>
      </c>
      <c r="H187" s="7" t="e">
        <f>VLOOKUP(A187,PAGOS!A221:$A$1553,1,0)</f>
        <v>#N/A</v>
      </c>
      <c r="I187" s="40"/>
      <c r="J187" s="40"/>
      <c r="K187" s="40"/>
      <c r="L187" s="40">
        <f t="shared" si="9"/>
        <v>920928</v>
      </c>
      <c r="M187" s="40"/>
      <c r="N187" s="40"/>
      <c r="O187" s="40"/>
      <c r="P187" s="40"/>
      <c r="Q187" s="7"/>
      <c r="R187" s="7"/>
      <c r="S187" s="7"/>
      <c r="T187" s="35">
        <f t="shared" si="8"/>
        <v>0</v>
      </c>
      <c r="U187" s="7"/>
    </row>
    <row r="188" spans="1:21" x14ac:dyDescent="0.25">
      <c r="A188" s="7" t="s">
        <v>3376</v>
      </c>
      <c r="B188" s="8">
        <v>43839.649988425925</v>
      </c>
      <c r="C188" s="8">
        <v>43910</v>
      </c>
      <c r="D188" s="9">
        <v>1680126</v>
      </c>
      <c r="E188" s="7" t="e">
        <f>VLOOKUP(A188,DEVOLUCIONES!A$1:A$231,1,0)</f>
        <v>#N/A</v>
      </c>
      <c r="F188" s="7" t="e">
        <f>VLOOKUP(A188,'GLOSAS X CONCILIAR'!$A$1:$A$37,1,0)</f>
        <v>#N/A</v>
      </c>
      <c r="G188" s="7" t="e">
        <f>VLOOKUP(A188,'TODAS LAS P'!A:A,1,0)</f>
        <v>#N/A</v>
      </c>
      <c r="H188" s="7" t="e">
        <f>VLOOKUP(A188,PAGOS!A222:$A$1553,1,0)</f>
        <v>#N/A</v>
      </c>
      <c r="I188" s="40"/>
      <c r="J188" s="40"/>
      <c r="K188" s="40"/>
      <c r="L188" s="40">
        <f t="shared" si="9"/>
        <v>1680126</v>
      </c>
      <c r="M188" s="40"/>
      <c r="N188" s="40"/>
      <c r="O188" s="40"/>
      <c r="P188" s="40"/>
      <c r="Q188" s="7"/>
      <c r="R188" s="7"/>
      <c r="S188" s="7"/>
      <c r="T188" s="35">
        <f t="shared" si="8"/>
        <v>0</v>
      </c>
      <c r="U188" s="7"/>
    </row>
    <row r="189" spans="1:21" x14ac:dyDescent="0.25">
      <c r="A189" s="7" t="s">
        <v>3377</v>
      </c>
      <c r="B189" s="8">
        <v>43839.695034722223</v>
      </c>
      <c r="C189" s="8">
        <v>43910</v>
      </c>
      <c r="D189" s="9">
        <v>3338055</v>
      </c>
      <c r="E189" s="7" t="e">
        <f>VLOOKUP(A189,DEVOLUCIONES!A$1:A$231,1,0)</f>
        <v>#N/A</v>
      </c>
      <c r="F189" s="7" t="e">
        <f>VLOOKUP(A189,'GLOSAS X CONCILIAR'!$A$1:$A$37,1,0)</f>
        <v>#N/A</v>
      </c>
      <c r="G189" s="7" t="e">
        <f>VLOOKUP(A189,'TODAS LAS P'!A:A,1,0)</f>
        <v>#N/A</v>
      </c>
      <c r="H189" s="7" t="e">
        <f>VLOOKUP(A189,PAGOS!A223:$A$1553,1,0)</f>
        <v>#N/A</v>
      </c>
      <c r="I189" s="40"/>
      <c r="J189" s="40"/>
      <c r="K189" s="40"/>
      <c r="L189" s="40">
        <f t="shared" si="9"/>
        <v>3338055</v>
      </c>
      <c r="M189" s="40"/>
      <c r="N189" s="40"/>
      <c r="O189" s="40"/>
      <c r="P189" s="40"/>
      <c r="Q189" s="7"/>
      <c r="R189" s="7"/>
      <c r="S189" s="7"/>
      <c r="T189" s="35">
        <f t="shared" si="8"/>
        <v>0</v>
      </c>
      <c r="U189" s="7"/>
    </row>
    <row r="190" spans="1:21" x14ac:dyDescent="0.25">
      <c r="A190" s="7" t="s">
        <v>3378</v>
      </c>
      <c r="B190" s="8">
        <v>43841.728333333333</v>
      </c>
      <c r="C190" s="8">
        <v>43910</v>
      </c>
      <c r="D190" s="9">
        <v>58382</v>
      </c>
      <c r="E190" s="7" t="e">
        <f>VLOOKUP(A190,DEVOLUCIONES!A$1:A$231,1,0)</f>
        <v>#N/A</v>
      </c>
      <c r="F190" s="7" t="e">
        <f>VLOOKUP(A190,'GLOSAS X CONCILIAR'!$A$1:$A$37,1,0)</f>
        <v>#N/A</v>
      </c>
      <c r="G190" s="7" t="e">
        <f>VLOOKUP(A190,'TODAS LAS P'!A:A,1,0)</f>
        <v>#N/A</v>
      </c>
      <c r="H190" s="7" t="e">
        <f>VLOOKUP(A190,PAGOS!A224:$A$1553,1,0)</f>
        <v>#N/A</v>
      </c>
      <c r="I190" s="40"/>
      <c r="J190" s="40"/>
      <c r="K190" s="40"/>
      <c r="L190" s="40">
        <f t="shared" si="9"/>
        <v>58382</v>
      </c>
      <c r="M190" s="40"/>
      <c r="N190" s="40"/>
      <c r="O190" s="40"/>
      <c r="P190" s="40"/>
      <c r="Q190" s="7"/>
      <c r="R190" s="7"/>
      <c r="S190" s="7"/>
      <c r="T190" s="35">
        <f t="shared" si="8"/>
        <v>0</v>
      </c>
      <c r="U190" s="7"/>
    </row>
    <row r="191" spans="1:21" x14ac:dyDescent="0.25">
      <c r="A191" s="7" t="s">
        <v>3379</v>
      </c>
      <c r="B191" s="8">
        <v>43842.158182870371</v>
      </c>
      <c r="C191" s="8">
        <v>43910</v>
      </c>
      <c r="D191" s="9">
        <v>81900</v>
      </c>
      <c r="E191" s="7" t="e">
        <f>VLOOKUP(A191,DEVOLUCIONES!A$1:A$231,1,0)</f>
        <v>#N/A</v>
      </c>
      <c r="F191" s="7" t="e">
        <f>VLOOKUP(A191,'GLOSAS X CONCILIAR'!$A$1:$A$37,1,0)</f>
        <v>#N/A</v>
      </c>
      <c r="G191" s="7" t="e">
        <f>VLOOKUP(A191,'TODAS LAS P'!A:A,1,0)</f>
        <v>#N/A</v>
      </c>
      <c r="H191" s="7" t="e">
        <f>VLOOKUP(A191,PAGOS!A225:$A$1553,1,0)</f>
        <v>#N/A</v>
      </c>
      <c r="I191" s="40"/>
      <c r="J191" s="40"/>
      <c r="K191" s="40"/>
      <c r="L191" s="40">
        <f t="shared" si="9"/>
        <v>81900</v>
      </c>
      <c r="M191" s="40"/>
      <c r="N191" s="40"/>
      <c r="O191" s="40"/>
      <c r="P191" s="40"/>
      <c r="Q191" s="7"/>
      <c r="R191" s="7"/>
      <c r="S191" s="7"/>
      <c r="T191" s="35">
        <f t="shared" si="8"/>
        <v>0</v>
      </c>
      <c r="U191" s="7"/>
    </row>
    <row r="192" spans="1:21" x14ac:dyDescent="0.25">
      <c r="A192" s="7" t="s">
        <v>3380</v>
      </c>
      <c r="B192" s="8">
        <v>43842.655590277776</v>
      </c>
      <c r="C192" s="8">
        <v>43910</v>
      </c>
      <c r="D192" s="9">
        <v>173065</v>
      </c>
      <c r="E192" s="7" t="e">
        <f>VLOOKUP(A192,DEVOLUCIONES!A$1:A$231,1,0)</f>
        <v>#N/A</v>
      </c>
      <c r="F192" s="7" t="e">
        <f>VLOOKUP(A192,'GLOSAS X CONCILIAR'!$A$1:$A$37,1,0)</f>
        <v>#N/A</v>
      </c>
      <c r="G192" s="7" t="e">
        <f>VLOOKUP(A192,'TODAS LAS P'!A:A,1,0)</f>
        <v>#N/A</v>
      </c>
      <c r="H192" s="7" t="e">
        <f>VLOOKUP(A192,PAGOS!A226:$A$1553,1,0)</f>
        <v>#N/A</v>
      </c>
      <c r="I192" s="40"/>
      <c r="J192" s="40"/>
      <c r="K192" s="40"/>
      <c r="L192" s="40">
        <f t="shared" si="9"/>
        <v>173065</v>
      </c>
      <c r="M192" s="40"/>
      <c r="N192" s="40"/>
      <c r="O192" s="40"/>
      <c r="P192" s="40"/>
      <c r="Q192" s="7"/>
      <c r="R192" s="7"/>
      <c r="S192" s="7"/>
      <c r="T192" s="35">
        <f t="shared" si="8"/>
        <v>0</v>
      </c>
      <c r="U192" s="7"/>
    </row>
    <row r="193" spans="1:21" x14ac:dyDescent="0.25">
      <c r="A193" s="7" t="s">
        <v>3381</v>
      </c>
      <c r="B193" s="8">
        <v>43844.474710648145</v>
      </c>
      <c r="C193" s="8">
        <v>43910</v>
      </c>
      <c r="D193" s="9">
        <v>25500</v>
      </c>
      <c r="E193" s="7" t="e">
        <f>VLOOKUP(A193,DEVOLUCIONES!A$1:A$231,1,0)</f>
        <v>#N/A</v>
      </c>
      <c r="F193" s="7" t="e">
        <f>VLOOKUP(A193,'GLOSAS X CONCILIAR'!$A$1:$A$37,1,0)</f>
        <v>#N/A</v>
      </c>
      <c r="G193" s="7" t="e">
        <f>VLOOKUP(A193,'TODAS LAS P'!A:A,1,0)</f>
        <v>#N/A</v>
      </c>
      <c r="H193" s="7" t="e">
        <f>VLOOKUP(A193,PAGOS!A227:$A$1553,1,0)</f>
        <v>#N/A</v>
      </c>
      <c r="I193" s="40"/>
      <c r="J193" s="40"/>
      <c r="K193" s="40"/>
      <c r="L193" s="40">
        <f t="shared" si="9"/>
        <v>25500</v>
      </c>
      <c r="M193" s="40"/>
      <c r="N193" s="40"/>
      <c r="O193" s="40"/>
      <c r="P193" s="40"/>
      <c r="Q193" s="7"/>
      <c r="R193" s="7"/>
      <c r="S193" s="7"/>
      <c r="T193" s="35">
        <f t="shared" si="8"/>
        <v>0</v>
      </c>
      <c r="U193" s="7"/>
    </row>
    <row r="194" spans="1:21" x14ac:dyDescent="0.25">
      <c r="A194" s="7" t="s">
        <v>3382</v>
      </c>
      <c r="B194" s="8">
        <v>43845.29886574074</v>
      </c>
      <c r="C194" s="8">
        <v>43910</v>
      </c>
      <c r="D194" s="9">
        <v>10800</v>
      </c>
      <c r="E194" s="7" t="e">
        <f>VLOOKUP(A194,DEVOLUCIONES!A$1:A$231,1,0)</f>
        <v>#N/A</v>
      </c>
      <c r="F194" s="7" t="e">
        <f>VLOOKUP(A194,'GLOSAS X CONCILIAR'!$A$1:$A$37,1,0)</f>
        <v>#N/A</v>
      </c>
      <c r="G194" s="7" t="e">
        <f>VLOOKUP(A194,'TODAS LAS P'!A:A,1,0)</f>
        <v>#N/A</v>
      </c>
      <c r="H194" s="7" t="e">
        <f>VLOOKUP(A194,PAGOS!A228:$A$1553,1,0)</f>
        <v>#N/A</v>
      </c>
      <c r="I194" s="40"/>
      <c r="J194" s="40"/>
      <c r="K194" s="40"/>
      <c r="L194" s="40">
        <f t="shared" si="9"/>
        <v>10800</v>
      </c>
      <c r="M194" s="40"/>
      <c r="N194" s="40"/>
      <c r="O194" s="40"/>
      <c r="P194" s="40"/>
      <c r="Q194" s="7"/>
      <c r="R194" s="7"/>
      <c r="S194" s="7"/>
      <c r="T194" s="35">
        <f t="shared" si="8"/>
        <v>0</v>
      </c>
      <c r="U194" s="7"/>
    </row>
    <row r="195" spans="1:21" x14ac:dyDescent="0.25">
      <c r="A195" s="7" t="s">
        <v>3383</v>
      </c>
      <c r="B195" s="8">
        <v>43845.300393518519</v>
      </c>
      <c r="C195" s="8">
        <v>43910</v>
      </c>
      <c r="D195" s="9">
        <v>212900</v>
      </c>
      <c r="E195" s="7" t="e">
        <f>VLOOKUP(A195,DEVOLUCIONES!A$1:A$231,1,0)</f>
        <v>#N/A</v>
      </c>
      <c r="F195" s="7" t="e">
        <f>VLOOKUP(A195,'GLOSAS X CONCILIAR'!$A$1:$A$37,1,0)</f>
        <v>#N/A</v>
      </c>
      <c r="G195" s="7" t="e">
        <f>VLOOKUP(A195,'TODAS LAS P'!A:A,1,0)</f>
        <v>#N/A</v>
      </c>
      <c r="H195" s="7" t="e">
        <f>VLOOKUP(A195,PAGOS!A229:$A$1553,1,0)</f>
        <v>#N/A</v>
      </c>
      <c r="I195" s="40"/>
      <c r="J195" s="40"/>
      <c r="K195" s="40"/>
      <c r="L195" s="40">
        <f t="shared" si="9"/>
        <v>212900</v>
      </c>
      <c r="M195" s="40"/>
      <c r="N195" s="40"/>
      <c r="O195" s="40"/>
      <c r="P195" s="40"/>
      <c r="Q195" s="7"/>
      <c r="R195" s="7"/>
      <c r="S195" s="7"/>
      <c r="T195" s="35">
        <f t="shared" ref="T195:T258" si="10">D195-SUM(I195:Q195)</f>
        <v>0</v>
      </c>
      <c r="U195" s="7"/>
    </row>
    <row r="196" spans="1:21" x14ac:dyDescent="0.25">
      <c r="A196" s="7" t="s">
        <v>3384</v>
      </c>
      <c r="B196" s="8">
        <v>43845.314120370371</v>
      </c>
      <c r="C196" s="8">
        <v>43910</v>
      </c>
      <c r="D196" s="9">
        <v>2952455</v>
      </c>
      <c r="E196" s="7" t="e">
        <f>VLOOKUP(A196,DEVOLUCIONES!A$1:A$231,1,0)</f>
        <v>#N/A</v>
      </c>
      <c r="F196" s="7" t="e">
        <f>VLOOKUP(A196,'GLOSAS X CONCILIAR'!$A$1:$A$37,1,0)</f>
        <v>#N/A</v>
      </c>
      <c r="G196" s="7" t="e">
        <f>VLOOKUP(A196,'TODAS LAS P'!A:A,1,0)</f>
        <v>#N/A</v>
      </c>
      <c r="H196" s="7" t="e">
        <f>VLOOKUP(A196,PAGOS!A230:$A$1553,1,0)</f>
        <v>#N/A</v>
      </c>
      <c r="I196" s="40"/>
      <c r="J196" s="40"/>
      <c r="K196" s="40"/>
      <c r="L196" s="40">
        <f t="shared" si="9"/>
        <v>2952455</v>
      </c>
      <c r="M196" s="40"/>
      <c r="N196" s="40"/>
      <c r="O196" s="40"/>
      <c r="P196" s="40"/>
      <c r="Q196" s="7"/>
      <c r="R196" s="7"/>
      <c r="S196" s="7"/>
      <c r="T196" s="35">
        <f t="shared" si="10"/>
        <v>0</v>
      </c>
      <c r="U196" s="7"/>
    </row>
    <row r="197" spans="1:21" x14ac:dyDescent="0.25">
      <c r="A197" s="7" t="s">
        <v>3385</v>
      </c>
      <c r="B197" s="8">
        <v>43845.565057870372</v>
      </c>
      <c r="C197" s="8">
        <v>43910</v>
      </c>
      <c r="D197" s="9">
        <v>50700</v>
      </c>
      <c r="E197" s="7" t="e">
        <f>VLOOKUP(A197,DEVOLUCIONES!A$1:A$231,1,0)</f>
        <v>#N/A</v>
      </c>
      <c r="F197" s="7" t="e">
        <f>VLOOKUP(A197,'GLOSAS X CONCILIAR'!$A$1:$A$37,1,0)</f>
        <v>#N/A</v>
      </c>
      <c r="G197" s="7" t="e">
        <f>VLOOKUP(A197,'TODAS LAS P'!A:A,1,0)</f>
        <v>#N/A</v>
      </c>
      <c r="H197" s="7" t="e">
        <f>VLOOKUP(A197,PAGOS!A231:$A$1553,1,0)</f>
        <v>#N/A</v>
      </c>
      <c r="I197" s="40"/>
      <c r="J197" s="40"/>
      <c r="K197" s="40"/>
      <c r="L197" s="40">
        <f t="shared" si="9"/>
        <v>50700</v>
      </c>
      <c r="M197" s="40"/>
      <c r="N197" s="40"/>
      <c r="O197" s="40"/>
      <c r="P197" s="40"/>
      <c r="Q197" s="7"/>
      <c r="R197" s="7"/>
      <c r="S197" s="7"/>
      <c r="T197" s="35">
        <f t="shared" si="10"/>
        <v>0</v>
      </c>
      <c r="U197" s="7"/>
    </row>
    <row r="198" spans="1:21" x14ac:dyDescent="0.25">
      <c r="A198" s="7" t="s">
        <v>3386</v>
      </c>
      <c r="B198" s="8">
        <v>43845.640081018515</v>
      </c>
      <c r="C198" s="8">
        <v>43910</v>
      </c>
      <c r="D198" s="9">
        <v>108514</v>
      </c>
      <c r="E198" s="7" t="e">
        <f>VLOOKUP(A198,DEVOLUCIONES!A$1:A$231,1,0)</f>
        <v>#N/A</v>
      </c>
      <c r="F198" s="7" t="e">
        <f>VLOOKUP(A198,'GLOSAS X CONCILIAR'!$A$1:$A$37,1,0)</f>
        <v>#N/A</v>
      </c>
      <c r="G198" s="7" t="e">
        <f>VLOOKUP(A198,'TODAS LAS P'!A:A,1,0)</f>
        <v>#N/A</v>
      </c>
      <c r="H198" s="7" t="e">
        <f>VLOOKUP(A198,PAGOS!A232:$A$1553,1,0)</f>
        <v>#N/A</v>
      </c>
      <c r="I198" s="40"/>
      <c r="J198" s="40"/>
      <c r="K198" s="40"/>
      <c r="L198" s="40">
        <f t="shared" si="9"/>
        <v>108514</v>
      </c>
      <c r="M198" s="40"/>
      <c r="N198" s="40"/>
      <c r="O198" s="40"/>
      <c r="P198" s="40"/>
      <c r="Q198" s="7"/>
      <c r="R198" s="7"/>
      <c r="S198" s="7"/>
      <c r="T198" s="35">
        <f t="shared" si="10"/>
        <v>0</v>
      </c>
      <c r="U198" s="7"/>
    </row>
    <row r="199" spans="1:21" x14ac:dyDescent="0.25">
      <c r="A199" s="7" t="s">
        <v>3387</v>
      </c>
      <c r="B199" s="8">
        <v>43845.692847222221</v>
      </c>
      <c r="C199" s="8">
        <v>43910</v>
      </c>
      <c r="D199" s="9">
        <v>618008</v>
      </c>
      <c r="E199" s="7" t="e">
        <f>VLOOKUP(A199,DEVOLUCIONES!A$1:A$231,1,0)</f>
        <v>#N/A</v>
      </c>
      <c r="F199" s="7" t="e">
        <f>VLOOKUP(A199,'GLOSAS X CONCILIAR'!$A$1:$A$37,1,0)</f>
        <v>#N/A</v>
      </c>
      <c r="G199" s="7" t="e">
        <f>VLOOKUP(A199,'TODAS LAS P'!A:A,1,0)</f>
        <v>#N/A</v>
      </c>
      <c r="H199" s="7" t="e">
        <f>VLOOKUP(A199,PAGOS!A233:$A$1553,1,0)</f>
        <v>#N/A</v>
      </c>
      <c r="I199" s="40"/>
      <c r="J199" s="40"/>
      <c r="K199" s="40"/>
      <c r="L199" s="40">
        <f t="shared" si="9"/>
        <v>618008</v>
      </c>
      <c r="M199" s="40"/>
      <c r="N199" s="40"/>
      <c r="O199" s="40"/>
      <c r="P199" s="40"/>
      <c r="Q199" s="7"/>
      <c r="R199" s="7"/>
      <c r="S199" s="7"/>
      <c r="T199" s="35">
        <f t="shared" si="10"/>
        <v>0</v>
      </c>
      <c r="U199" s="7"/>
    </row>
    <row r="200" spans="1:21" x14ac:dyDescent="0.25">
      <c r="A200" s="7" t="s">
        <v>3388</v>
      </c>
      <c r="B200" s="8">
        <v>43846.769768518519</v>
      </c>
      <c r="C200" s="8">
        <v>43910</v>
      </c>
      <c r="D200" s="9">
        <v>215000</v>
      </c>
      <c r="E200" s="7" t="e">
        <f>VLOOKUP(A200,DEVOLUCIONES!A$1:A$231,1,0)</f>
        <v>#N/A</v>
      </c>
      <c r="F200" s="7" t="e">
        <f>VLOOKUP(A200,'GLOSAS X CONCILIAR'!$A$1:$A$37,1,0)</f>
        <v>#N/A</v>
      </c>
      <c r="G200" s="7" t="e">
        <f>VLOOKUP(A200,'TODAS LAS P'!A:A,1,0)</f>
        <v>#N/A</v>
      </c>
      <c r="H200" s="7" t="e">
        <f>VLOOKUP(A200,PAGOS!A234:$A$1553,1,0)</f>
        <v>#N/A</v>
      </c>
      <c r="I200" s="40"/>
      <c r="J200" s="40"/>
      <c r="K200" s="40"/>
      <c r="L200" s="40">
        <f t="shared" si="9"/>
        <v>215000</v>
      </c>
      <c r="M200" s="40"/>
      <c r="N200" s="40"/>
      <c r="O200" s="40"/>
      <c r="P200" s="40"/>
      <c r="Q200" s="7"/>
      <c r="R200" s="7"/>
      <c r="S200" s="7"/>
      <c r="T200" s="35">
        <f t="shared" si="10"/>
        <v>0</v>
      </c>
      <c r="U200" s="7"/>
    </row>
    <row r="201" spans="1:21" x14ac:dyDescent="0.25">
      <c r="A201" s="7" t="s">
        <v>3389</v>
      </c>
      <c r="B201" s="8">
        <v>43847.348587962966</v>
      </c>
      <c r="C201" s="8">
        <v>43910</v>
      </c>
      <c r="D201" s="9">
        <v>58573</v>
      </c>
      <c r="E201" s="7" t="e">
        <f>VLOOKUP(A201,DEVOLUCIONES!A$1:A$231,1,0)</f>
        <v>#N/A</v>
      </c>
      <c r="F201" s="7" t="e">
        <f>VLOOKUP(A201,'GLOSAS X CONCILIAR'!$A$1:$A$37,1,0)</f>
        <v>#N/A</v>
      </c>
      <c r="G201" s="7" t="e">
        <f>VLOOKUP(A201,'TODAS LAS P'!A:A,1,0)</f>
        <v>#N/A</v>
      </c>
      <c r="H201" s="7" t="e">
        <f>VLOOKUP(A201,PAGOS!A235:$A$1553,1,0)</f>
        <v>#N/A</v>
      </c>
      <c r="I201" s="40"/>
      <c r="J201" s="40"/>
      <c r="K201" s="40"/>
      <c r="L201" s="40">
        <f t="shared" si="9"/>
        <v>58573</v>
      </c>
      <c r="M201" s="40"/>
      <c r="N201" s="40"/>
      <c r="O201" s="40"/>
      <c r="P201" s="40"/>
      <c r="Q201" s="7"/>
      <c r="R201" s="7"/>
      <c r="S201" s="7"/>
      <c r="T201" s="35">
        <f t="shared" si="10"/>
        <v>0</v>
      </c>
      <c r="U201" s="7"/>
    </row>
    <row r="202" spans="1:21" x14ac:dyDescent="0.25">
      <c r="A202" s="7" t="s">
        <v>3390</v>
      </c>
      <c r="B202" s="8">
        <v>43847.51829861111</v>
      </c>
      <c r="C202" s="8">
        <v>43910</v>
      </c>
      <c r="D202" s="9">
        <v>100900</v>
      </c>
      <c r="E202" s="7" t="e">
        <f>VLOOKUP(A202,DEVOLUCIONES!A$1:A$231,1,0)</f>
        <v>#N/A</v>
      </c>
      <c r="F202" s="7" t="e">
        <f>VLOOKUP(A202,'GLOSAS X CONCILIAR'!$A$1:$A$37,1,0)</f>
        <v>#N/A</v>
      </c>
      <c r="G202" s="7" t="e">
        <f>VLOOKUP(A202,'TODAS LAS P'!A:A,1,0)</f>
        <v>#N/A</v>
      </c>
      <c r="H202" s="7" t="e">
        <f>VLOOKUP(A202,PAGOS!A236:$A$1553,1,0)</f>
        <v>#N/A</v>
      </c>
      <c r="I202" s="40"/>
      <c r="J202" s="40"/>
      <c r="K202" s="40"/>
      <c r="L202" s="40">
        <f t="shared" si="9"/>
        <v>100900</v>
      </c>
      <c r="M202" s="40"/>
      <c r="N202" s="40"/>
      <c r="O202" s="40"/>
      <c r="P202" s="40"/>
      <c r="Q202" s="7"/>
      <c r="R202" s="7"/>
      <c r="S202" s="7"/>
      <c r="T202" s="35">
        <f t="shared" si="10"/>
        <v>0</v>
      </c>
      <c r="U202" s="7"/>
    </row>
    <row r="203" spans="1:21" x14ac:dyDescent="0.25">
      <c r="A203" s="7" t="s">
        <v>3391</v>
      </c>
      <c r="B203" s="8">
        <v>43848.77784722222</v>
      </c>
      <c r="C203" s="8">
        <v>43910</v>
      </c>
      <c r="D203" s="9">
        <v>57600</v>
      </c>
      <c r="E203" s="7" t="e">
        <f>VLOOKUP(A203,DEVOLUCIONES!A$1:A$231,1,0)</f>
        <v>#N/A</v>
      </c>
      <c r="F203" s="7" t="e">
        <f>VLOOKUP(A203,'GLOSAS X CONCILIAR'!$A$1:$A$37,1,0)</f>
        <v>#N/A</v>
      </c>
      <c r="G203" s="7" t="e">
        <f>VLOOKUP(A203,'TODAS LAS P'!A:A,1,0)</f>
        <v>#N/A</v>
      </c>
      <c r="H203" s="7" t="e">
        <f>VLOOKUP(A203,PAGOS!A237:$A$1553,1,0)</f>
        <v>#N/A</v>
      </c>
      <c r="I203" s="40"/>
      <c r="J203" s="40"/>
      <c r="K203" s="40"/>
      <c r="L203" s="40">
        <f t="shared" si="9"/>
        <v>57600</v>
      </c>
      <c r="M203" s="40"/>
      <c r="N203" s="40"/>
      <c r="O203" s="40"/>
      <c r="P203" s="40"/>
      <c r="Q203" s="7"/>
      <c r="R203" s="7"/>
      <c r="S203" s="7"/>
      <c r="T203" s="35">
        <f t="shared" si="10"/>
        <v>0</v>
      </c>
      <c r="U203" s="7"/>
    </row>
    <row r="204" spans="1:21" x14ac:dyDescent="0.25">
      <c r="A204" s="7" t="s">
        <v>3392</v>
      </c>
      <c r="B204" s="8">
        <v>43848.909803240742</v>
      </c>
      <c r="C204" s="8">
        <v>43910</v>
      </c>
      <c r="D204" s="9">
        <v>60514</v>
      </c>
      <c r="E204" s="7" t="e">
        <f>VLOOKUP(A204,DEVOLUCIONES!A$1:A$231,1,0)</f>
        <v>#N/A</v>
      </c>
      <c r="F204" s="7" t="e">
        <f>VLOOKUP(A204,'GLOSAS X CONCILIAR'!$A$1:$A$37,1,0)</f>
        <v>#N/A</v>
      </c>
      <c r="G204" s="7" t="e">
        <f>VLOOKUP(A204,'TODAS LAS P'!A:A,1,0)</f>
        <v>#N/A</v>
      </c>
      <c r="H204" s="7" t="e">
        <f>VLOOKUP(A204,PAGOS!A238:$A$1553,1,0)</f>
        <v>#N/A</v>
      </c>
      <c r="I204" s="40"/>
      <c r="J204" s="40"/>
      <c r="K204" s="40"/>
      <c r="L204" s="40">
        <f t="shared" si="9"/>
        <v>60514</v>
      </c>
      <c r="M204" s="40"/>
      <c r="N204" s="40"/>
      <c r="O204" s="40"/>
      <c r="P204" s="40"/>
      <c r="Q204" s="7"/>
      <c r="R204" s="7"/>
      <c r="S204" s="7"/>
      <c r="T204" s="35">
        <f t="shared" si="10"/>
        <v>0</v>
      </c>
      <c r="U204" s="7"/>
    </row>
    <row r="205" spans="1:21" x14ac:dyDescent="0.25">
      <c r="A205" s="7" t="s">
        <v>3393</v>
      </c>
      <c r="B205" s="8">
        <v>43849.073206018518</v>
      </c>
      <c r="C205" s="8">
        <v>43910</v>
      </c>
      <c r="D205" s="9">
        <v>194353</v>
      </c>
      <c r="E205" s="7" t="e">
        <f>VLOOKUP(A205,DEVOLUCIONES!A$1:A$231,1,0)</f>
        <v>#N/A</v>
      </c>
      <c r="F205" s="7" t="e">
        <f>VLOOKUP(A205,'GLOSAS X CONCILIAR'!$A$1:$A$37,1,0)</f>
        <v>#N/A</v>
      </c>
      <c r="G205" s="7" t="e">
        <f>VLOOKUP(A205,'TODAS LAS P'!A:A,1,0)</f>
        <v>#N/A</v>
      </c>
      <c r="H205" s="7" t="e">
        <f>VLOOKUP(A205,PAGOS!A239:$A$1553,1,0)</f>
        <v>#N/A</v>
      </c>
      <c r="I205" s="40"/>
      <c r="J205" s="40"/>
      <c r="K205" s="40"/>
      <c r="L205" s="40">
        <f t="shared" si="9"/>
        <v>194353</v>
      </c>
      <c r="M205" s="40"/>
      <c r="N205" s="40"/>
      <c r="O205" s="40"/>
      <c r="P205" s="40"/>
      <c r="Q205" s="7"/>
      <c r="R205" s="7"/>
      <c r="S205" s="7"/>
      <c r="T205" s="35">
        <f t="shared" si="10"/>
        <v>0</v>
      </c>
      <c r="U205" s="7"/>
    </row>
    <row r="206" spans="1:21" x14ac:dyDescent="0.25">
      <c r="A206" s="7" t="s">
        <v>2936</v>
      </c>
      <c r="B206" s="8">
        <v>43850.676412037035</v>
      </c>
      <c r="C206" s="8">
        <v>43910</v>
      </c>
      <c r="D206" s="9">
        <v>35100</v>
      </c>
      <c r="E206" s="7" t="e">
        <f>VLOOKUP(A206,DEVOLUCIONES!A$1:A$231,1,0)</f>
        <v>#N/A</v>
      </c>
      <c r="F206" s="7" t="e">
        <f>VLOOKUP(A206,'GLOSAS X CONCILIAR'!$A$1:$A$37,1,0)</f>
        <v>#N/A</v>
      </c>
      <c r="G206" s="7" t="e">
        <f>VLOOKUP(A206,'TODAS LAS P'!A:A,1,0)</f>
        <v>#N/A</v>
      </c>
      <c r="H206" s="7" t="e">
        <f>VLOOKUP(A206,PAGOS!A240:$A$1553,1,0)</f>
        <v>#N/A</v>
      </c>
      <c r="I206" s="40"/>
      <c r="J206" s="40"/>
      <c r="K206" s="40"/>
      <c r="L206" s="40">
        <f t="shared" si="9"/>
        <v>35100</v>
      </c>
      <c r="M206" s="40"/>
      <c r="N206" s="40"/>
      <c r="O206" s="40"/>
      <c r="P206" s="40"/>
      <c r="Q206" s="7"/>
      <c r="R206" s="7"/>
      <c r="S206" s="7"/>
      <c r="T206" s="35">
        <f t="shared" si="10"/>
        <v>0</v>
      </c>
      <c r="U206" s="7"/>
    </row>
    <row r="207" spans="1:21" x14ac:dyDescent="0.25">
      <c r="A207" s="7" t="s">
        <v>3394</v>
      </c>
      <c r="B207" s="8">
        <v>43851.271944444445</v>
      </c>
      <c r="C207" s="8">
        <v>43910</v>
      </c>
      <c r="D207" s="9">
        <v>602500</v>
      </c>
      <c r="E207" s="7" t="e">
        <f>VLOOKUP(A207,DEVOLUCIONES!A$1:A$231,1,0)</f>
        <v>#N/A</v>
      </c>
      <c r="F207" s="7" t="e">
        <f>VLOOKUP(A207,'GLOSAS X CONCILIAR'!$A$1:$A$37,1,0)</f>
        <v>#N/A</v>
      </c>
      <c r="G207" s="7" t="e">
        <f>VLOOKUP(A207,'TODAS LAS P'!A:A,1,0)</f>
        <v>#N/A</v>
      </c>
      <c r="H207" s="7" t="e">
        <f>VLOOKUP(A207,PAGOS!A241:$A$1553,1,0)</f>
        <v>#N/A</v>
      </c>
      <c r="I207" s="40"/>
      <c r="J207" s="40"/>
      <c r="K207" s="40"/>
      <c r="L207" s="40">
        <f t="shared" si="9"/>
        <v>602500</v>
      </c>
      <c r="M207" s="40"/>
      <c r="N207" s="40"/>
      <c r="O207" s="40"/>
      <c r="P207" s="40"/>
      <c r="Q207" s="7"/>
      <c r="R207" s="7"/>
      <c r="S207" s="7"/>
      <c r="T207" s="35">
        <f t="shared" si="10"/>
        <v>0</v>
      </c>
      <c r="U207" s="7"/>
    </row>
    <row r="208" spans="1:21" x14ac:dyDescent="0.25">
      <c r="A208" s="7" t="s">
        <v>3395</v>
      </c>
      <c r="B208" s="8">
        <v>43852.440208333333</v>
      </c>
      <c r="C208" s="8">
        <v>43910</v>
      </c>
      <c r="D208" s="9">
        <v>130999</v>
      </c>
      <c r="E208" s="7" t="e">
        <f>VLOOKUP(A208,DEVOLUCIONES!A$1:A$231,1,0)</f>
        <v>#N/A</v>
      </c>
      <c r="F208" s="7" t="e">
        <f>VLOOKUP(A208,'GLOSAS X CONCILIAR'!$A$1:$A$37,1,0)</f>
        <v>#N/A</v>
      </c>
      <c r="G208" s="7" t="e">
        <f>VLOOKUP(A208,'TODAS LAS P'!A:A,1,0)</f>
        <v>#N/A</v>
      </c>
      <c r="H208" s="7" t="e">
        <f>VLOOKUP(A208,PAGOS!A242:$A$1553,1,0)</f>
        <v>#N/A</v>
      </c>
      <c r="I208" s="40"/>
      <c r="J208" s="40"/>
      <c r="K208" s="40"/>
      <c r="L208" s="40">
        <f t="shared" si="9"/>
        <v>130999</v>
      </c>
      <c r="M208" s="40"/>
      <c r="N208" s="40"/>
      <c r="O208" s="40"/>
      <c r="P208" s="40"/>
      <c r="Q208" s="7"/>
      <c r="R208" s="7"/>
      <c r="S208" s="7"/>
      <c r="T208" s="35">
        <f t="shared" si="10"/>
        <v>0</v>
      </c>
      <c r="U208" s="7"/>
    </row>
    <row r="209" spans="1:21" x14ac:dyDescent="0.25">
      <c r="A209" s="7" t="s">
        <v>3396</v>
      </c>
      <c r="B209" s="8">
        <v>43852.452847222223</v>
      </c>
      <c r="C209" s="8">
        <v>43910</v>
      </c>
      <c r="D209" s="9">
        <v>58085</v>
      </c>
      <c r="E209" s="7" t="e">
        <f>VLOOKUP(A209,DEVOLUCIONES!A$1:A$231,1,0)</f>
        <v>#N/A</v>
      </c>
      <c r="F209" s="7" t="e">
        <f>VLOOKUP(A209,'GLOSAS X CONCILIAR'!$A$1:$A$37,1,0)</f>
        <v>#N/A</v>
      </c>
      <c r="G209" s="7" t="e">
        <f>VLOOKUP(A209,'TODAS LAS P'!A:A,1,0)</f>
        <v>#N/A</v>
      </c>
      <c r="H209" s="7" t="e">
        <f>VLOOKUP(A209,PAGOS!A243:$A$1553,1,0)</f>
        <v>#N/A</v>
      </c>
      <c r="I209" s="40"/>
      <c r="J209" s="40"/>
      <c r="K209" s="40"/>
      <c r="L209" s="40">
        <f t="shared" si="9"/>
        <v>58085</v>
      </c>
      <c r="M209" s="40"/>
      <c r="N209" s="40"/>
      <c r="O209" s="40"/>
      <c r="P209" s="40"/>
      <c r="Q209" s="7"/>
      <c r="R209" s="7"/>
      <c r="S209" s="7"/>
      <c r="T209" s="35">
        <f t="shared" si="10"/>
        <v>0</v>
      </c>
      <c r="U209" s="7"/>
    </row>
    <row r="210" spans="1:21" x14ac:dyDescent="0.25">
      <c r="A210" s="7" t="s">
        <v>3397</v>
      </c>
      <c r="B210" s="8">
        <v>43852.711076388892</v>
      </c>
      <c r="C210" s="8">
        <v>43910</v>
      </c>
      <c r="D210" s="9">
        <v>1593882</v>
      </c>
      <c r="E210" s="7" t="e">
        <f>VLOOKUP(A210,DEVOLUCIONES!A$1:A$231,1,0)</f>
        <v>#N/A</v>
      </c>
      <c r="F210" s="7" t="e">
        <f>VLOOKUP(A210,'GLOSAS X CONCILIAR'!$A$1:$A$37,1,0)</f>
        <v>#N/A</v>
      </c>
      <c r="G210" s="7" t="e">
        <f>VLOOKUP(A210,'TODAS LAS P'!A:A,1,0)</f>
        <v>#N/A</v>
      </c>
      <c r="H210" s="7" t="e">
        <f>VLOOKUP(A210,PAGOS!A244:$A$1553,1,0)</f>
        <v>#N/A</v>
      </c>
      <c r="I210" s="40"/>
      <c r="J210" s="40"/>
      <c r="K210" s="40"/>
      <c r="L210" s="40">
        <f t="shared" si="9"/>
        <v>1593882</v>
      </c>
      <c r="M210" s="40"/>
      <c r="N210" s="40"/>
      <c r="O210" s="40"/>
      <c r="P210" s="40"/>
      <c r="Q210" s="7"/>
      <c r="R210" s="7"/>
      <c r="S210" s="7"/>
      <c r="T210" s="35">
        <f t="shared" si="10"/>
        <v>0</v>
      </c>
      <c r="U210" s="7"/>
    </row>
    <row r="211" spans="1:21" x14ac:dyDescent="0.25">
      <c r="A211" s="7" t="s">
        <v>3398</v>
      </c>
      <c r="B211" s="8">
        <v>43853.891458333332</v>
      </c>
      <c r="C211" s="8">
        <v>43910</v>
      </c>
      <c r="D211" s="9">
        <v>58964</v>
      </c>
      <c r="E211" s="7" t="e">
        <f>VLOOKUP(A211,DEVOLUCIONES!A$1:A$231,1,0)</f>
        <v>#N/A</v>
      </c>
      <c r="F211" s="7" t="e">
        <f>VLOOKUP(A211,'GLOSAS X CONCILIAR'!$A$1:$A$37,1,0)</f>
        <v>#N/A</v>
      </c>
      <c r="G211" s="7" t="e">
        <f>VLOOKUP(A211,'TODAS LAS P'!A:A,1,0)</f>
        <v>#N/A</v>
      </c>
      <c r="H211" s="7" t="e">
        <f>VLOOKUP(A211,PAGOS!A245:$A$1553,1,0)</f>
        <v>#N/A</v>
      </c>
      <c r="I211" s="40"/>
      <c r="J211" s="40"/>
      <c r="K211" s="40"/>
      <c r="L211" s="40">
        <f t="shared" si="9"/>
        <v>58964</v>
      </c>
      <c r="M211" s="40"/>
      <c r="N211" s="40"/>
      <c r="O211" s="40"/>
      <c r="P211" s="40"/>
      <c r="Q211" s="7"/>
      <c r="R211" s="7"/>
      <c r="S211" s="7"/>
      <c r="T211" s="35">
        <f t="shared" si="10"/>
        <v>0</v>
      </c>
      <c r="U211" s="7"/>
    </row>
    <row r="212" spans="1:21" x14ac:dyDescent="0.25">
      <c r="A212" s="7" t="s">
        <v>3399</v>
      </c>
      <c r="B212" s="8">
        <v>43853.897303240738</v>
      </c>
      <c r="C212" s="8">
        <v>43910</v>
      </c>
      <c r="D212" s="9">
        <v>242998</v>
      </c>
      <c r="E212" s="7" t="e">
        <f>VLOOKUP(A212,DEVOLUCIONES!A$1:A$231,1,0)</f>
        <v>#N/A</v>
      </c>
      <c r="F212" s="7" t="e">
        <f>VLOOKUP(A212,'GLOSAS X CONCILIAR'!$A$1:$A$37,1,0)</f>
        <v>#N/A</v>
      </c>
      <c r="G212" s="7" t="e">
        <f>VLOOKUP(A212,'TODAS LAS P'!A:A,1,0)</f>
        <v>#N/A</v>
      </c>
      <c r="H212" s="7" t="e">
        <f>VLOOKUP(A212,PAGOS!A246:$A$1553,1,0)</f>
        <v>#N/A</v>
      </c>
      <c r="I212" s="40"/>
      <c r="J212" s="40"/>
      <c r="K212" s="40"/>
      <c r="L212" s="40">
        <f t="shared" si="9"/>
        <v>242998</v>
      </c>
      <c r="M212" s="40"/>
      <c r="N212" s="40"/>
      <c r="O212" s="40"/>
      <c r="P212" s="40"/>
      <c r="Q212" s="7"/>
      <c r="R212" s="7"/>
      <c r="S212" s="7"/>
      <c r="T212" s="35">
        <f t="shared" si="10"/>
        <v>0</v>
      </c>
      <c r="U212" s="7"/>
    </row>
    <row r="213" spans="1:21" x14ac:dyDescent="0.25">
      <c r="A213" s="7" t="s">
        <v>3400</v>
      </c>
      <c r="B213" s="8">
        <v>43854.554803240739</v>
      </c>
      <c r="C213" s="8">
        <v>43910</v>
      </c>
      <c r="D213" s="9">
        <v>100900</v>
      </c>
      <c r="E213" s="7" t="e">
        <f>VLOOKUP(A213,DEVOLUCIONES!A$1:A$231,1,0)</f>
        <v>#N/A</v>
      </c>
      <c r="F213" s="7" t="e">
        <f>VLOOKUP(A213,'GLOSAS X CONCILIAR'!$A$1:$A$37,1,0)</f>
        <v>#N/A</v>
      </c>
      <c r="G213" s="7" t="e">
        <f>VLOOKUP(A213,'TODAS LAS P'!A:A,1,0)</f>
        <v>#N/A</v>
      </c>
      <c r="H213" s="7" t="e">
        <f>VLOOKUP(A213,PAGOS!A247:$A$1553,1,0)</f>
        <v>#N/A</v>
      </c>
      <c r="I213" s="40"/>
      <c r="J213" s="40"/>
      <c r="K213" s="40"/>
      <c r="L213" s="40">
        <f t="shared" si="9"/>
        <v>100900</v>
      </c>
      <c r="M213" s="40"/>
      <c r="N213" s="40"/>
      <c r="O213" s="40"/>
      <c r="P213" s="40"/>
      <c r="Q213" s="7"/>
      <c r="R213" s="7"/>
      <c r="S213" s="7"/>
      <c r="T213" s="35">
        <f t="shared" si="10"/>
        <v>0</v>
      </c>
      <c r="U213" s="7"/>
    </row>
    <row r="214" spans="1:21" x14ac:dyDescent="0.25">
      <c r="A214" s="7" t="s">
        <v>3401</v>
      </c>
      <c r="B214" s="8">
        <v>43856.677719907406</v>
      </c>
      <c r="C214" s="8">
        <v>43910</v>
      </c>
      <c r="D214" s="9">
        <v>187500</v>
      </c>
      <c r="E214" s="7" t="e">
        <f>VLOOKUP(A214,DEVOLUCIONES!A$1:A$231,1,0)</f>
        <v>#N/A</v>
      </c>
      <c r="F214" s="7" t="e">
        <f>VLOOKUP(A214,'GLOSAS X CONCILIAR'!$A$1:$A$37,1,0)</f>
        <v>#N/A</v>
      </c>
      <c r="G214" s="7" t="e">
        <f>VLOOKUP(A214,'TODAS LAS P'!A:A,1,0)</f>
        <v>#N/A</v>
      </c>
      <c r="H214" s="7" t="e">
        <f>VLOOKUP(A214,PAGOS!A248:$A$1553,1,0)</f>
        <v>#N/A</v>
      </c>
      <c r="I214" s="40"/>
      <c r="J214" s="40"/>
      <c r="K214" s="40"/>
      <c r="L214" s="40">
        <f t="shared" si="9"/>
        <v>187500</v>
      </c>
      <c r="M214" s="40"/>
      <c r="N214" s="40"/>
      <c r="O214" s="40"/>
      <c r="P214" s="40"/>
      <c r="Q214" s="7"/>
      <c r="R214" s="7"/>
      <c r="S214" s="7"/>
      <c r="T214" s="35">
        <f t="shared" si="10"/>
        <v>0</v>
      </c>
      <c r="U214" s="7"/>
    </row>
    <row r="215" spans="1:21" x14ac:dyDescent="0.25">
      <c r="A215" s="7" t="s">
        <v>2937</v>
      </c>
      <c r="B215" s="8">
        <v>43857.295717592591</v>
      </c>
      <c r="C215" s="8">
        <v>43910</v>
      </c>
      <c r="D215" s="9">
        <v>35100</v>
      </c>
      <c r="E215" s="7" t="e">
        <f>VLOOKUP(A215,DEVOLUCIONES!A$1:A$231,1,0)</f>
        <v>#N/A</v>
      </c>
      <c r="F215" s="7" t="e">
        <f>VLOOKUP(A215,'GLOSAS X CONCILIAR'!$A$1:$A$37,1,0)</f>
        <v>#N/A</v>
      </c>
      <c r="G215" s="7" t="e">
        <f>VLOOKUP(A215,'TODAS LAS P'!A:A,1,0)</f>
        <v>#N/A</v>
      </c>
      <c r="H215" s="7" t="e">
        <f>VLOOKUP(A215,PAGOS!A249:$A$1553,1,0)</f>
        <v>#N/A</v>
      </c>
      <c r="I215" s="40"/>
      <c r="J215" s="40"/>
      <c r="K215" s="40"/>
      <c r="L215" s="40">
        <f t="shared" si="9"/>
        <v>35100</v>
      </c>
      <c r="M215" s="40"/>
      <c r="N215" s="40"/>
      <c r="O215" s="40"/>
      <c r="P215" s="40"/>
      <c r="Q215" s="7"/>
      <c r="R215" s="7"/>
      <c r="S215" s="7"/>
      <c r="T215" s="35">
        <f t="shared" si="10"/>
        <v>0</v>
      </c>
      <c r="U215" s="7"/>
    </row>
    <row r="216" spans="1:21" x14ac:dyDescent="0.25">
      <c r="A216" s="7" t="s">
        <v>2938</v>
      </c>
      <c r="B216" s="8">
        <v>43857.616944444446</v>
      </c>
      <c r="C216" s="8">
        <v>43910</v>
      </c>
      <c r="D216" s="9">
        <v>35100</v>
      </c>
      <c r="E216" s="7" t="e">
        <f>VLOOKUP(A216,DEVOLUCIONES!A$1:A$231,1,0)</f>
        <v>#N/A</v>
      </c>
      <c r="F216" s="7" t="e">
        <f>VLOOKUP(A216,'GLOSAS X CONCILIAR'!$A$1:$A$37,1,0)</f>
        <v>#N/A</v>
      </c>
      <c r="G216" s="7" t="e">
        <f>VLOOKUP(A216,'TODAS LAS P'!A:A,1,0)</f>
        <v>#N/A</v>
      </c>
      <c r="H216" s="7" t="e">
        <f>VLOOKUP(A216,PAGOS!A250:$A$1553,1,0)</f>
        <v>#N/A</v>
      </c>
      <c r="I216" s="40"/>
      <c r="J216" s="40"/>
      <c r="K216" s="40"/>
      <c r="L216" s="40">
        <f t="shared" si="9"/>
        <v>35100</v>
      </c>
      <c r="M216" s="40"/>
      <c r="N216" s="40"/>
      <c r="O216" s="40"/>
      <c r="P216" s="40"/>
      <c r="Q216" s="7"/>
      <c r="R216" s="7"/>
      <c r="S216" s="7"/>
      <c r="T216" s="35">
        <f t="shared" si="10"/>
        <v>0</v>
      </c>
      <c r="U216" s="7"/>
    </row>
    <row r="217" spans="1:21" x14ac:dyDescent="0.25">
      <c r="A217" s="7" t="s">
        <v>2939</v>
      </c>
      <c r="B217" s="8">
        <v>43857.619606481479</v>
      </c>
      <c r="C217" s="8">
        <v>43910</v>
      </c>
      <c r="D217" s="9">
        <v>35100</v>
      </c>
      <c r="E217" s="7" t="e">
        <f>VLOOKUP(A217,DEVOLUCIONES!A$1:A$231,1,0)</f>
        <v>#N/A</v>
      </c>
      <c r="F217" s="7" t="e">
        <f>VLOOKUP(A217,'GLOSAS X CONCILIAR'!$A$1:$A$37,1,0)</f>
        <v>#N/A</v>
      </c>
      <c r="G217" s="7" t="e">
        <f>VLOOKUP(A217,'TODAS LAS P'!A:A,1,0)</f>
        <v>#N/A</v>
      </c>
      <c r="H217" s="7" t="e">
        <f>VLOOKUP(A217,PAGOS!A251:$A$1553,1,0)</f>
        <v>#N/A</v>
      </c>
      <c r="I217" s="40"/>
      <c r="J217" s="40"/>
      <c r="K217" s="40"/>
      <c r="L217" s="40">
        <f t="shared" si="9"/>
        <v>35100</v>
      </c>
      <c r="M217" s="40"/>
      <c r="N217" s="40"/>
      <c r="O217" s="40"/>
      <c r="P217" s="40"/>
      <c r="Q217" s="7"/>
      <c r="R217" s="7"/>
      <c r="S217" s="7"/>
      <c r="T217" s="35">
        <f t="shared" si="10"/>
        <v>0</v>
      </c>
      <c r="U217" s="7"/>
    </row>
    <row r="218" spans="1:21" x14ac:dyDescent="0.25">
      <c r="A218" s="7" t="s">
        <v>2940</v>
      </c>
      <c r="B218" s="8">
        <v>43857.623993055553</v>
      </c>
      <c r="C218" s="8">
        <v>43910</v>
      </c>
      <c r="D218" s="9">
        <v>35100</v>
      </c>
      <c r="E218" s="7" t="e">
        <f>VLOOKUP(A218,DEVOLUCIONES!A$1:A$231,1,0)</f>
        <v>#N/A</v>
      </c>
      <c r="F218" s="7" t="e">
        <f>VLOOKUP(A218,'GLOSAS X CONCILIAR'!$A$1:$A$37,1,0)</f>
        <v>#N/A</v>
      </c>
      <c r="G218" s="7" t="e">
        <f>VLOOKUP(A218,'TODAS LAS P'!A:A,1,0)</f>
        <v>#N/A</v>
      </c>
      <c r="H218" s="7" t="e">
        <f>VLOOKUP(A218,PAGOS!A252:$A$1553,1,0)</f>
        <v>#N/A</v>
      </c>
      <c r="I218" s="40"/>
      <c r="J218" s="40"/>
      <c r="K218" s="40"/>
      <c r="L218" s="40">
        <f t="shared" si="9"/>
        <v>35100</v>
      </c>
      <c r="M218" s="40"/>
      <c r="N218" s="40"/>
      <c r="O218" s="40"/>
      <c r="P218" s="40"/>
      <c r="Q218" s="7"/>
      <c r="R218" s="7"/>
      <c r="S218" s="7"/>
      <c r="T218" s="35">
        <f t="shared" si="10"/>
        <v>0</v>
      </c>
      <c r="U218" s="7"/>
    </row>
    <row r="219" spans="1:21" x14ac:dyDescent="0.25">
      <c r="A219" s="7" t="s">
        <v>3402</v>
      </c>
      <c r="B219" s="8">
        <v>43857.701331018521</v>
      </c>
      <c r="C219" s="8">
        <v>43910</v>
      </c>
      <c r="D219" s="9">
        <v>1894773</v>
      </c>
      <c r="E219" s="7" t="e">
        <f>VLOOKUP(A219,DEVOLUCIONES!A$1:A$231,1,0)</f>
        <v>#N/A</v>
      </c>
      <c r="F219" s="7" t="e">
        <f>VLOOKUP(A219,'GLOSAS X CONCILIAR'!$A$1:$A$37,1,0)</f>
        <v>#N/A</v>
      </c>
      <c r="G219" s="7" t="e">
        <f>VLOOKUP(A219,'TODAS LAS P'!A:A,1,0)</f>
        <v>#N/A</v>
      </c>
      <c r="H219" s="7" t="e">
        <f>VLOOKUP(A219,PAGOS!A253:$A$1553,1,0)</f>
        <v>#N/A</v>
      </c>
      <c r="I219" s="40"/>
      <c r="J219" s="40"/>
      <c r="K219" s="40"/>
      <c r="L219" s="40">
        <f t="shared" si="9"/>
        <v>1894773</v>
      </c>
      <c r="M219" s="40"/>
      <c r="N219" s="40"/>
      <c r="O219" s="40"/>
      <c r="P219" s="40"/>
      <c r="Q219" s="7"/>
      <c r="R219" s="7"/>
      <c r="S219" s="7"/>
      <c r="T219" s="35">
        <f t="shared" si="10"/>
        <v>0</v>
      </c>
      <c r="U219" s="7"/>
    </row>
    <row r="220" spans="1:21" x14ac:dyDescent="0.25">
      <c r="A220" s="7" t="s">
        <v>3403</v>
      </c>
      <c r="B220" s="8">
        <v>43859.52447916667</v>
      </c>
      <c r="C220" s="8">
        <v>43910</v>
      </c>
      <c r="D220" s="9">
        <v>112890</v>
      </c>
      <c r="E220" s="7" t="e">
        <f>VLOOKUP(A220,DEVOLUCIONES!A$1:A$231,1,0)</f>
        <v>#N/A</v>
      </c>
      <c r="F220" s="7" t="e">
        <f>VLOOKUP(A220,'GLOSAS X CONCILIAR'!$A$1:$A$37,1,0)</f>
        <v>#N/A</v>
      </c>
      <c r="G220" s="7" t="e">
        <f>VLOOKUP(A220,'TODAS LAS P'!A:A,1,0)</f>
        <v>#N/A</v>
      </c>
      <c r="H220" s="7" t="e">
        <f>VLOOKUP(A220,PAGOS!A254:$A$1553,1,0)</f>
        <v>#N/A</v>
      </c>
      <c r="I220" s="40"/>
      <c r="J220" s="40"/>
      <c r="K220" s="40"/>
      <c r="L220" s="40">
        <f t="shared" si="9"/>
        <v>112890</v>
      </c>
      <c r="M220" s="40"/>
      <c r="N220" s="40"/>
      <c r="O220" s="40"/>
      <c r="P220" s="40"/>
      <c r="Q220" s="7"/>
      <c r="R220" s="7"/>
      <c r="S220" s="7"/>
      <c r="T220" s="35">
        <f t="shared" si="10"/>
        <v>0</v>
      </c>
      <c r="U220" s="7"/>
    </row>
    <row r="221" spans="1:21" x14ac:dyDescent="0.25">
      <c r="A221" s="7" t="s">
        <v>3404</v>
      </c>
      <c r="B221" s="8">
        <v>43860.67895833333</v>
      </c>
      <c r="C221" s="8">
        <v>43910</v>
      </c>
      <c r="D221" s="9">
        <v>115552</v>
      </c>
      <c r="E221" s="7" t="e">
        <f>VLOOKUP(A221,DEVOLUCIONES!A$1:A$231,1,0)</f>
        <v>#N/A</v>
      </c>
      <c r="F221" s="7" t="e">
        <f>VLOOKUP(A221,'GLOSAS X CONCILIAR'!$A$1:$A$37,1,0)</f>
        <v>#N/A</v>
      </c>
      <c r="G221" s="7" t="e">
        <f>VLOOKUP(A221,'TODAS LAS P'!A:A,1,0)</f>
        <v>#N/A</v>
      </c>
      <c r="H221" s="7" t="e">
        <f>VLOOKUP(A221,PAGOS!A255:$A$1553,1,0)</f>
        <v>#N/A</v>
      </c>
      <c r="I221" s="40"/>
      <c r="J221" s="40"/>
      <c r="K221" s="40"/>
      <c r="L221" s="40">
        <f t="shared" si="9"/>
        <v>115552</v>
      </c>
      <c r="M221" s="40"/>
      <c r="N221" s="40"/>
      <c r="O221" s="40"/>
      <c r="P221" s="40"/>
      <c r="Q221" s="7"/>
      <c r="R221" s="7"/>
      <c r="S221" s="7"/>
      <c r="T221" s="35">
        <f t="shared" si="10"/>
        <v>0</v>
      </c>
      <c r="U221" s="7"/>
    </row>
    <row r="222" spans="1:21" x14ac:dyDescent="0.25">
      <c r="A222" s="7" t="s">
        <v>3405</v>
      </c>
      <c r="B222" s="8">
        <v>43860.699120370373</v>
      </c>
      <c r="C222" s="8">
        <v>43910</v>
      </c>
      <c r="D222" s="9">
        <v>253573</v>
      </c>
      <c r="E222" s="7" t="e">
        <f>VLOOKUP(A222,DEVOLUCIONES!A$1:A$231,1,0)</f>
        <v>#N/A</v>
      </c>
      <c r="F222" s="7" t="e">
        <f>VLOOKUP(A222,'GLOSAS X CONCILIAR'!$A$1:$A$37,1,0)</f>
        <v>#N/A</v>
      </c>
      <c r="G222" s="7" t="e">
        <f>VLOOKUP(A222,'TODAS LAS P'!A:A,1,0)</f>
        <v>#N/A</v>
      </c>
      <c r="H222" s="7" t="e">
        <f>VLOOKUP(A222,PAGOS!A256:$A$1553,1,0)</f>
        <v>#N/A</v>
      </c>
      <c r="I222" s="40"/>
      <c r="J222" s="40"/>
      <c r="K222" s="40"/>
      <c r="L222" s="40">
        <f t="shared" si="9"/>
        <v>253573</v>
      </c>
      <c r="M222" s="40"/>
      <c r="N222" s="40"/>
      <c r="O222" s="40"/>
      <c r="P222" s="40"/>
      <c r="Q222" s="7"/>
      <c r="R222" s="7"/>
      <c r="S222" s="7"/>
      <c r="T222" s="35">
        <f t="shared" si="10"/>
        <v>0</v>
      </c>
      <c r="U222" s="7"/>
    </row>
    <row r="223" spans="1:21" x14ac:dyDescent="0.25">
      <c r="A223" s="7" t="s">
        <v>3406</v>
      </c>
      <c r="B223" s="8">
        <v>43860.870972222219</v>
      </c>
      <c r="C223" s="8">
        <v>43910</v>
      </c>
      <c r="D223" s="9">
        <v>86250</v>
      </c>
      <c r="E223" s="7" t="e">
        <f>VLOOKUP(A223,DEVOLUCIONES!A$1:A$231,1,0)</f>
        <v>#N/A</v>
      </c>
      <c r="F223" s="7" t="e">
        <f>VLOOKUP(A223,'GLOSAS X CONCILIAR'!$A$1:$A$37,1,0)</f>
        <v>#N/A</v>
      </c>
      <c r="G223" s="7" t="e">
        <f>VLOOKUP(A223,'TODAS LAS P'!A:A,1,0)</f>
        <v>#N/A</v>
      </c>
      <c r="H223" s="7" t="e">
        <f>VLOOKUP(A223,PAGOS!A257:$A$1553,1,0)</f>
        <v>#N/A</v>
      </c>
      <c r="I223" s="40"/>
      <c r="J223" s="40"/>
      <c r="K223" s="40"/>
      <c r="L223" s="40">
        <f t="shared" si="9"/>
        <v>86250</v>
      </c>
      <c r="M223" s="40"/>
      <c r="N223" s="40"/>
      <c r="O223" s="40"/>
      <c r="P223" s="40"/>
      <c r="Q223" s="7"/>
      <c r="R223" s="7"/>
      <c r="S223" s="7"/>
      <c r="T223" s="35">
        <f t="shared" si="10"/>
        <v>0</v>
      </c>
      <c r="U223" s="7"/>
    </row>
    <row r="224" spans="1:21" x14ac:dyDescent="0.25">
      <c r="A224" s="7" t="s">
        <v>3407</v>
      </c>
      <c r="B224" s="8">
        <v>43861.309907407405</v>
      </c>
      <c r="C224" s="8">
        <v>43910</v>
      </c>
      <c r="D224" s="9">
        <v>138800</v>
      </c>
      <c r="E224" s="7" t="e">
        <f>VLOOKUP(A224,DEVOLUCIONES!A$1:A$231,1,0)</f>
        <v>#N/A</v>
      </c>
      <c r="F224" s="7" t="e">
        <f>VLOOKUP(A224,'GLOSAS X CONCILIAR'!$A$1:$A$37,1,0)</f>
        <v>#N/A</v>
      </c>
      <c r="G224" s="7" t="e">
        <f>VLOOKUP(A224,'TODAS LAS P'!A:A,1,0)</f>
        <v>#N/A</v>
      </c>
      <c r="H224" s="7" t="e">
        <f>VLOOKUP(A224,PAGOS!A258:$A$1553,1,0)</f>
        <v>#N/A</v>
      </c>
      <c r="I224" s="40"/>
      <c r="J224" s="40"/>
      <c r="K224" s="40"/>
      <c r="L224" s="40">
        <f t="shared" si="9"/>
        <v>138800</v>
      </c>
      <c r="M224" s="40"/>
      <c r="N224" s="40"/>
      <c r="O224" s="40"/>
      <c r="P224" s="40"/>
      <c r="Q224" s="7"/>
      <c r="R224" s="7"/>
      <c r="S224" s="7"/>
      <c r="T224" s="35">
        <f t="shared" si="10"/>
        <v>0</v>
      </c>
      <c r="U224" s="7"/>
    </row>
    <row r="225" spans="1:21" x14ac:dyDescent="0.25">
      <c r="A225" s="7" t="s">
        <v>3408</v>
      </c>
      <c r="B225" s="8">
        <v>43861.469907407409</v>
      </c>
      <c r="C225" s="8">
        <v>43910</v>
      </c>
      <c r="D225" s="9">
        <v>228147</v>
      </c>
      <c r="E225" s="7" t="e">
        <f>VLOOKUP(A225,DEVOLUCIONES!A$1:A$231,1,0)</f>
        <v>#N/A</v>
      </c>
      <c r="F225" s="7" t="e">
        <f>VLOOKUP(A225,'GLOSAS X CONCILIAR'!$A$1:$A$37,1,0)</f>
        <v>#N/A</v>
      </c>
      <c r="G225" s="7" t="e">
        <f>VLOOKUP(A225,'TODAS LAS P'!A:A,1,0)</f>
        <v>#N/A</v>
      </c>
      <c r="H225" s="7" t="e">
        <f>VLOOKUP(A225,PAGOS!A259:$A$1553,1,0)</f>
        <v>#N/A</v>
      </c>
      <c r="I225" s="40"/>
      <c r="J225" s="40"/>
      <c r="K225" s="40"/>
      <c r="L225" s="40">
        <f t="shared" si="9"/>
        <v>228147</v>
      </c>
      <c r="M225" s="40"/>
      <c r="N225" s="40"/>
      <c r="O225" s="40"/>
      <c r="P225" s="40"/>
      <c r="Q225" s="7"/>
      <c r="R225" s="7"/>
      <c r="S225" s="7"/>
      <c r="T225" s="35">
        <f t="shared" si="10"/>
        <v>0</v>
      </c>
      <c r="U225" s="7"/>
    </row>
    <row r="226" spans="1:21" x14ac:dyDescent="0.25">
      <c r="A226" s="7" t="s">
        <v>3409</v>
      </c>
      <c r="B226" s="8">
        <v>43861.732708333337</v>
      </c>
      <c r="C226" s="8">
        <v>43910</v>
      </c>
      <c r="D226" s="9">
        <v>125556</v>
      </c>
      <c r="E226" s="7" t="e">
        <f>VLOOKUP(A226,DEVOLUCIONES!A$1:A$231,1,0)</f>
        <v>#N/A</v>
      </c>
      <c r="F226" s="7" t="e">
        <f>VLOOKUP(A226,'GLOSAS X CONCILIAR'!$A$1:$A$37,1,0)</f>
        <v>#N/A</v>
      </c>
      <c r="G226" s="7" t="e">
        <f>VLOOKUP(A226,'TODAS LAS P'!A:A,1,0)</f>
        <v>#N/A</v>
      </c>
      <c r="H226" s="7" t="e">
        <f>VLOOKUP(A226,PAGOS!A260:$A$1553,1,0)</f>
        <v>#N/A</v>
      </c>
      <c r="I226" s="40"/>
      <c r="J226" s="40"/>
      <c r="K226" s="40"/>
      <c r="L226" s="40">
        <f t="shared" si="9"/>
        <v>125556</v>
      </c>
      <c r="M226" s="40"/>
      <c r="N226" s="40"/>
      <c r="O226" s="40"/>
      <c r="P226" s="40"/>
      <c r="Q226" s="7"/>
      <c r="R226" s="7"/>
      <c r="S226" s="7"/>
      <c r="T226" s="35">
        <f t="shared" si="10"/>
        <v>0</v>
      </c>
      <c r="U226" s="7"/>
    </row>
    <row r="227" spans="1:21" x14ac:dyDescent="0.25">
      <c r="A227" s="7" t="s">
        <v>3410</v>
      </c>
      <c r="B227" s="8">
        <v>43861.750254629631</v>
      </c>
      <c r="C227" s="8">
        <v>43910</v>
      </c>
      <c r="D227" s="9">
        <v>189967</v>
      </c>
      <c r="E227" s="7" t="e">
        <f>VLOOKUP(A227,DEVOLUCIONES!A$1:A$231,1,0)</f>
        <v>#N/A</v>
      </c>
      <c r="F227" s="7" t="e">
        <f>VLOOKUP(A227,'GLOSAS X CONCILIAR'!$A$1:$A$37,1,0)</f>
        <v>#N/A</v>
      </c>
      <c r="G227" s="7" t="e">
        <f>VLOOKUP(A227,'TODAS LAS P'!A:A,1,0)</f>
        <v>#N/A</v>
      </c>
      <c r="H227" s="7" t="e">
        <f>VLOOKUP(A227,PAGOS!A261:$A$1553,1,0)</f>
        <v>#N/A</v>
      </c>
      <c r="I227" s="40"/>
      <c r="J227" s="40"/>
      <c r="K227" s="40"/>
      <c r="L227" s="40">
        <f t="shared" si="9"/>
        <v>189967</v>
      </c>
      <c r="M227" s="40"/>
      <c r="N227" s="40"/>
      <c r="O227" s="40"/>
      <c r="P227" s="40"/>
      <c r="Q227" s="7"/>
      <c r="R227" s="7"/>
      <c r="S227" s="7"/>
      <c r="T227" s="35">
        <f t="shared" si="10"/>
        <v>0</v>
      </c>
      <c r="U227" s="7"/>
    </row>
    <row r="228" spans="1:21" x14ac:dyDescent="0.25">
      <c r="A228" s="7" t="s">
        <v>3411</v>
      </c>
      <c r="B228" s="8">
        <v>43882.311412037037</v>
      </c>
      <c r="C228" s="8">
        <v>43941</v>
      </c>
      <c r="D228" s="9">
        <v>4000</v>
      </c>
      <c r="E228" s="7" t="e">
        <f>VLOOKUP(A228,DEVOLUCIONES!A$1:A$231,1,0)</f>
        <v>#N/A</v>
      </c>
      <c r="F228" s="7" t="e">
        <f>VLOOKUP(A228,'GLOSAS X CONCILIAR'!$A$1:$A$37,1,0)</f>
        <v>#N/A</v>
      </c>
      <c r="G228" s="7" t="str">
        <f>VLOOKUP(A228,'TODAS LAS P'!A:A,1,0)</f>
        <v>HSRF3935594</v>
      </c>
      <c r="H228" s="7" t="e">
        <f>VLOOKUP(A228,PAGOS!A262:$A$1553,1,0)</f>
        <v>#N/A</v>
      </c>
      <c r="I228" s="40"/>
      <c r="J228" s="40"/>
      <c r="K228" s="40"/>
      <c r="L228" s="40"/>
      <c r="M228" s="40"/>
      <c r="N228" s="40"/>
      <c r="O228" s="40">
        <v>47300</v>
      </c>
      <c r="P228" s="40"/>
      <c r="Q228" s="7"/>
      <c r="R228" s="7"/>
      <c r="S228" s="7"/>
      <c r="T228" s="35">
        <f t="shared" si="10"/>
        <v>-43300</v>
      </c>
      <c r="U228" s="7"/>
    </row>
    <row r="229" spans="1:21" x14ac:dyDescent="0.25">
      <c r="A229" s="7" t="s">
        <v>3412</v>
      </c>
      <c r="B229" s="8">
        <v>43898.497939814813</v>
      </c>
      <c r="C229" s="8">
        <v>43965</v>
      </c>
      <c r="D229" s="9">
        <v>119620</v>
      </c>
      <c r="E229" s="7" t="e">
        <f>VLOOKUP(A229,DEVOLUCIONES!A$1:A$231,1,0)</f>
        <v>#N/A</v>
      </c>
      <c r="F229" s="7" t="e">
        <f>VLOOKUP(A229,'GLOSAS X CONCILIAR'!$A$1:$A$37,1,0)</f>
        <v>#N/A</v>
      </c>
      <c r="G229" s="7" t="e">
        <f>VLOOKUP(A229,'TODAS LAS P'!A:A,1,0)</f>
        <v>#N/A</v>
      </c>
      <c r="H229" s="7" t="e">
        <f>VLOOKUP(A229,PAGOS!A263:$A$1553,1,0)</f>
        <v>#N/A</v>
      </c>
      <c r="I229" s="40"/>
      <c r="J229" s="40"/>
      <c r="K229" s="40"/>
      <c r="L229" s="40">
        <f t="shared" ref="L229:L233" si="11">D229</f>
        <v>119620</v>
      </c>
      <c r="M229" s="40"/>
      <c r="N229" s="40"/>
      <c r="O229" s="40"/>
      <c r="P229" s="40"/>
      <c r="Q229" s="7"/>
      <c r="R229" s="7"/>
      <c r="S229" s="7"/>
      <c r="T229" s="35">
        <f t="shared" si="10"/>
        <v>0</v>
      </c>
      <c r="U229" s="7"/>
    </row>
    <row r="230" spans="1:21" x14ac:dyDescent="0.25">
      <c r="A230" s="7" t="s">
        <v>3413</v>
      </c>
      <c r="B230" s="8">
        <v>43899.207928240743</v>
      </c>
      <c r="C230" s="8">
        <v>43965</v>
      </c>
      <c r="D230" s="9">
        <v>122008</v>
      </c>
      <c r="E230" s="7" t="e">
        <f>VLOOKUP(A230,DEVOLUCIONES!A$1:A$231,1,0)</f>
        <v>#N/A</v>
      </c>
      <c r="F230" s="7" t="e">
        <f>VLOOKUP(A230,'GLOSAS X CONCILIAR'!$A$1:$A$37,1,0)</f>
        <v>#N/A</v>
      </c>
      <c r="G230" s="7" t="e">
        <f>VLOOKUP(A230,'TODAS LAS P'!A:A,1,0)</f>
        <v>#N/A</v>
      </c>
      <c r="H230" s="7" t="e">
        <f>VLOOKUP(A230,PAGOS!A264:$A$1553,1,0)</f>
        <v>#N/A</v>
      </c>
      <c r="I230" s="40"/>
      <c r="J230" s="40"/>
      <c r="K230" s="40"/>
      <c r="L230" s="40">
        <f t="shared" si="11"/>
        <v>122008</v>
      </c>
      <c r="M230" s="40"/>
      <c r="N230" s="40"/>
      <c r="O230" s="40"/>
      <c r="P230" s="40"/>
      <c r="Q230" s="7"/>
      <c r="R230" s="7"/>
      <c r="S230" s="7"/>
      <c r="T230" s="35">
        <f t="shared" si="10"/>
        <v>0</v>
      </c>
      <c r="U230" s="7"/>
    </row>
    <row r="231" spans="1:21" x14ac:dyDescent="0.25">
      <c r="A231" s="7" t="s">
        <v>3414</v>
      </c>
      <c r="B231" s="8">
        <v>43899.590520833335</v>
      </c>
      <c r="C231" s="8">
        <v>43965</v>
      </c>
      <c r="D231" s="9">
        <v>58898</v>
      </c>
      <c r="E231" s="7" t="e">
        <f>VLOOKUP(A231,DEVOLUCIONES!A$1:A$231,1,0)</f>
        <v>#N/A</v>
      </c>
      <c r="F231" s="7" t="e">
        <f>VLOOKUP(A231,'GLOSAS X CONCILIAR'!$A$1:$A$37,1,0)</f>
        <v>#N/A</v>
      </c>
      <c r="G231" s="7" t="e">
        <f>VLOOKUP(A231,'TODAS LAS P'!A:A,1,0)</f>
        <v>#N/A</v>
      </c>
      <c r="H231" s="7" t="e">
        <f>VLOOKUP(A231,PAGOS!A265:$A$1553,1,0)</f>
        <v>#N/A</v>
      </c>
      <c r="I231" s="40"/>
      <c r="J231" s="40"/>
      <c r="K231" s="40"/>
      <c r="L231" s="40">
        <f t="shared" si="11"/>
        <v>58898</v>
      </c>
      <c r="M231" s="40"/>
      <c r="N231" s="40"/>
      <c r="O231" s="40"/>
      <c r="P231" s="40"/>
      <c r="Q231" s="7"/>
      <c r="R231" s="7"/>
      <c r="S231" s="7"/>
      <c r="T231" s="35">
        <f t="shared" si="10"/>
        <v>0</v>
      </c>
      <c r="U231" s="7"/>
    </row>
    <row r="232" spans="1:21" x14ac:dyDescent="0.25">
      <c r="A232" s="7" t="s">
        <v>3415</v>
      </c>
      <c r="B232" s="8">
        <v>43900.433993055558</v>
      </c>
      <c r="C232" s="8">
        <v>43965</v>
      </c>
      <c r="D232" s="9">
        <v>57600</v>
      </c>
      <c r="E232" s="7" t="e">
        <f>VLOOKUP(A232,DEVOLUCIONES!A$1:A$231,1,0)</f>
        <v>#N/A</v>
      </c>
      <c r="F232" s="7" t="e">
        <f>VLOOKUP(A232,'GLOSAS X CONCILIAR'!$A$1:$A$37,1,0)</f>
        <v>#N/A</v>
      </c>
      <c r="G232" s="7" t="e">
        <f>VLOOKUP(A232,'TODAS LAS P'!A:A,1,0)</f>
        <v>#N/A</v>
      </c>
      <c r="H232" s="7" t="e">
        <f>VLOOKUP(A232,PAGOS!A266:$A$1553,1,0)</f>
        <v>#N/A</v>
      </c>
      <c r="I232" s="40"/>
      <c r="J232" s="40"/>
      <c r="K232" s="40"/>
      <c r="L232" s="40">
        <f t="shared" si="11"/>
        <v>57600</v>
      </c>
      <c r="M232" s="40"/>
      <c r="N232" s="40"/>
      <c r="O232" s="40"/>
      <c r="P232" s="40"/>
      <c r="Q232" s="7"/>
      <c r="R232" s="7"/>
      <c r="S232" s="7"/>
      <c r="T232" s="35">
        <f t="shared" si="10"/>
        <v>0</v>
      </c>
      <c r="U232" s="7"/>
    </row>
    <row r="233" spans="1:21" x14ac:dyDescent="0.25">
      <c r="A233" s="7" t="s">
        <v>2941</v>
      </c>
      <c r="B233" s="8">
        <v>43901.495520833334</v>
      </c>
      <c r="C233" s="8">
        <v>43965</v>
      </c>
      <c r="D233" s="9">
        <v>35100</v>
      </c>
      <c r="E233" s="7" t="e">
        <f>VLOOKUP(A233,DEVOLUCIONES!A$1:A$231,1,0)</f>
        <v>#N/A</v>
      </c>
      <c r="F233" s="7" t="e">
        <f>VLOOKUP(A233,'GLOSAS X CONCILIAR'!$A$1:$A$37,1,0)</f>
        <v>#N/A</v>
      </c>
      <c r="G233" s="7" t="e">
        <f>VLOOKUP(A233,'TODAS LAS P'!A:A,1,0)</f>
        <v>#N/A</v>
      </c>
      <c r="H233" s="7" t="e">
        <f>VLOOKUP(A233,PAGOS!A267:$A$1553,1,0)</f>
        <v>#N/A</v>
      </c>
      <c r="I233" s="40"/>
      <c r="J233" s="40"/>
      <c r="K233" s="40"/>
      <c r="L233" s="40">
        <f t="shared" si="11"/>
        <v>35100</v>
      </c>
      <c r="M233" s="40"/>
      <c r="N233" s="40"/>
      <c r="O233" s="40"/>
      <c r="P233" s="40"/>
      <c r="Q233" s="7"/>
      <c r="R233" s="7"/>
      <c r="S233" s="7"/>
      <c r="T233" s="35">
        <f t="shared" si="10"/>
        <v>0</v>
      </c>
      <c r="U233" s="7"/>
    </row>
    <row r="234" spans="1:21" x14ac:dyDescent="0.25">
      <c r="A234" s="7" t="s">
        <v>3416</v>
      </c>
      <c r="B234" s="8">
        <v>43907.30300925926</v>
      </c>
      <c r="C234" s="8">
        <v>43965</v>
      </c>
      <c r="D234" s="9">
        <v>537500</v>
      </c>
      <c r="E234" s="7" t="str">
        <f>VLOOKUP(A234,DEVOLUCIONES!A$1:A$231,1,0)</f>
        <v>HSRF3950990</v>
      </c>
      <c r="F234" s="7" t="e">
        <f>VLOOKUP(A234,'GLOSAS X CONCILIAR'!$A$1:$A$37,1,0)</f>
        <v>#N/A</v>
      </c>
      <c r="G234" s="7" t="e">
        <f>VLOOKUP(A234,'TODAS LAS P'!A:A,1,0)</f>
        <v>#N/A</v>
      </c>
      <c r="H234" s="7" t="e">
        <f>VLOOKUP(A234,PAGOS!A268:$A$1553,1,0)</f>
        <v>#N/A</v>
      </c>
      <c r="I234" s="40"/>
      <c r="J234" s="40">
        <f>D234</f>
        <v>537500</v>
      </c>
      <c r="K234" s="40"/>
      <c r="L234" s="40"/>
      <c r="M234" s="40"/>
      <c r="N234" s="40"/>
      <c r="O234" s="40"/>
      <c r="P234" s="40"/>
      <c r="Q234" s="7" t="str">
        <f>VLOOKUP(A234,DEVOLUCIONES!A$1:B$231,2,0)</f>
        <v>DF-689301735961</v>
      </c>
      <c r="R234" s="7"/>
      <c r="S234" s="7" t="str">
        <f>VLOOKUP(A234,DEVOLUCIONES!A$1:H$231,8,0)</f>
        <v>Falta de competencia para el pago  Se genera devolcuion de la factura virtual ya que se evidencia que la paciente se enceuntra inactivo en coosalud por ta motivo no continua con e lr proceso de auditora virtual</v>
      </c>
      <c r="T234" s="35">
        <f t="shared" si="10"/>
        <v>0</v>
      </c>
      <c r="U234" s="7"/>
    </row>
    <row r="235" spans="1:21" x14ac:dyDescent="0.25">
      <c r="A235" s="7" t="s">
        <v>3417</v>
      </c>
      <c r="B235" s="8">
        <v>43908.69902777778</v>
      </c>
      <c r="C235" s="8">
        <v>43965</v>
      </c>
      <c r="D235" s="9">
        <v>58898</v>
      </c>
      <c r="E235" s="7" t="e">
        <f>VLOOKUP(A235,DEVOLUCIONES!A$1:A$231,1,0)</f>
        <v>#N/A</v>
      </c>
      <c r="F235" s="7" t="e">
        <f>VLOOKUP(A235,'GLOSAS X CONCILIAR'!$A$1:$A$37,1,0)</f>
        <v>#N/A</v>
      </c>
      <c r="G235" s="7" t="e">
        <f>VLOOKUP(A235,'TODAS LAS P'!A:A,1,0)</f>
        <v>#N/A</v>
      </c>
      <c r="H235" s="7" t="e">
        <f>VLOOKUP(A235,PAGOS!A269:$A$1553,1,0)</f>
        <v>#N/A</v>
      </c>
      <c r="I235" s="40"/>
      <c r="J235" s="40"/>
      <c r="K235" s="40"/>
      <c r="L235" s="40">
        <f t="shared" ref="L235:L236" si="12">D235</f>
        <v>58898</v>
      </c>
      <c r="M235" s="40"/>
      <c r="N235" s="40"/>
      <c r="O235" s="40"/>
      <c r="P235" s="40"/>
      <c r="Q235" s="7"/>
      <c r="R235" s="7"/>
      <c r="S235" s="7"/>
      <c r="T235" s="35">
        <f t="shared" si="10"/>
        <v>0</v>
      </c>
      <c r="U235" s="7"/>
    </row>
    <row r="236" spans="1:21" x14ac:dyDescent="0.25">
      <c r="A236" s="7" t="s">
        <v>3418</v>
      </c>
      <c r="B236" s="8">
        <v>43914.740578703706</v>
      </c>
      <c r="C236" s="8">
        <v>43965</v>
      </c>
      <c r="D236" s="9">
        <v>96400</v>
      </c>
      <c r="E236" s="7" t="e">
        <f>VLOOKUP(A236,DEVOLUCIONES!A$1:A$231,1,0)</f>
        <v>#N/A</v>
      </c>
      <c r="F236" s="7" t="e">
        <f>VLOOKUP(A236,'GLOSAS X CONCILIAR'!$A$1:$A$37,1,0)</f>
        <v>#N/A</v>
      </c>
      <c r="G236" s="7" t="e">
        <f>VLOOKUP(A236,'TODAS LAS P'!A:A,1,0)</f>
        <v>#N/A</v>
      </c>
      <c r="H236" s="7" t="e">
        <f>VLOOKUP(A236,PAGOS!A270:$A$1553,1,0)</f>
        <v>#N/A</v>
      </c>
      <c r="I236" s="40"/>
      <c r="J236" s="40"/>
      <c r="K236" s="40"/>
      <c r="L236" s="40">
        <f t="shared" si="12"/>
        <v>96400</v>
      </c>
      <c r="M236" s="40"/>
      <c r="N236" s="40"/>
      <c r="O236" s="40"/>
      <c r="P236" s="40"/>
      <c r="Q236" s="7"/>
      <c r="R236" s="7"/>
      <c r="S236" s="7"/>
      <c r="T236" s="35">
        <f t="shared" si="10"/>
        <v>0</v>
      </c>
      <c r="U236" s="7"/>
    </row>
    <row r="237" spans="1:21" x14ac:dyDescent="0.25">
      <c r="A237" s="7" t="s">
        <v>3419</v>
      </c>
      <c r="B237" s="8">
        <v>43915.205254629633</v>
      </c>
      <c r="C237" s="8">
        <v>43965</v>
      </c>
      <c r="D237" s="9">
        <v>209697</v>
      </c>
      <c r="E237" s="7" t="str">
        <f>VLOOKUP(A237,DEVOLUCIONES!A$1:A$231,1,0)</f>
        <v>HSRF3954062</v>
      </c>
      <c r="F237" s="7" t="e">
        <f>VLOOKUP(A237,'GLOSAS X CONCILIAR'!$A$1:$A$37,1,0)</f>
        <v>#N/A</v>
      </c>
      <c r="G237" s="7" t="e">
        <f>VLOOKUP(A237,'TODAS LAS P'!A:A,1,0)</f>
        <v>#N/A</v>
      </c>
      <c r="H237" s="7" t="e">
        <f>VLOOKUP(A237,PAGOS!A271:$A$1553,1,0)</f>
        <v>#N/A</v>
      </c>
      <c r="I237" s="40"/>
      <c r="J237" s="40">
        <f t="shared" ref="J237:J238" si="13">D237</f>
        <v>209697</v>
      </c>
      <c r="K237" s="40"/>
      <c r="L237" s="40"/>
      <c r="M237" s="40"/>
      <c r="N237" s="40"/>
      <c r="O237" s="40"/>
      <c r="P237" s="40"/>
      <c r="Q237" s="7" t="str">
        <f>VLOOKUP(A237,DEVOLUCIONES!A$1:B$231,2,0)</f>
        <v>DF-68221832451</v>
      </c>
      <c r="R237" s="7"/>
      <c r="S237" s="7" t="str">
        <f>VLOOKUP(A237,DEVOLUCIONES!A$1:H$231,8,0)</f>
        <v>SE REALIZA  DEVOLUCION DE LA FACTURA ERROR EN LOS CODIGOS CUPS REGISTRADOS EN LA FACTURA Y EN LOS RIPS  SEGUN NORMATIVIDAD VIGENTE RESOLUCIÓN 3495 DEL 2019 SIENDO ÉSTA DE OBLIGATORIO CUMPLIMIENTO A PARTIR  1 DE ENERO DEL 2020 Y SUS RESPECTIVA MODIFICACION RESOLUCION 537UNA VEZ CORREGIDO SE REALIZA AUDITORIA</v>
      </c>
      <c r="T237" s="35">
        <f t="shared" si="10"/>
        <v>0</v>
      </c>
      <c r="U237" s="7"/>
    </row>
    <row r="238" spans="1:21" x14ac:dyDescent="0.25">
      <c r="A238" s="7" t="s">
        <v>3420</v>
      </c>
      <c r="B238" s="8">
        <v>43915.524942129632</v>
      </c>
      <c r="C238" s="8">
        <v>43965</v>
      </c>
      <c r="D238" s="9">
        <v>57600</v>
      </c>
      <c r="E238" s="7" t="str">
        <f>VLOOKUP(A238,DEVOLUCIONES!A$1:A$231,1,0)</f>
        <v>HSRF3954230</v>
      </c>
      <c r="F238" s="7" t="e">
        <f>VLOOKUP(A238,'GLOSAS X CONCILIAR'!$A$1:$A$37,1,0)</f>
        <v>#N/A</v>
      </c>
      <c r="G238" s="7" t="e">
        <f>VLOOKUP(A238,'TODAS LAS P'!A:A,1,0)</f>
        <v>#N/A</v>
      </c>
      <c r="H238" s="7" t="e">
        <f>VLOOKUP(A238,PAGOS!A272:$A$1553,1,0)</f>
        <v>#N/A</v>
      </c>
      <c r="I238" s="40"/>
      <c r="J238" s="40">
        <f t="shared" si="13"/>
        <v>57600</v>
      </c>
      <c r="K238" s="40"/>
      <c r="L238" s="40"/>
      <c r="M238" s="40"/>
      <c r="N238" s="40"/>
      <c r="O238" s="40"/>
      <c r="P238" s="40"/>
      <c r="Q238" s="7" t="str">
        <f>VLOOKUP(A238,DEVOLUCIONES!A$1:B$231,2,0)</f>
        <v>DF-68221832452</v>
      </c>
      <c r="R238" s="7"/>
      <c r="S238" s="7" t="str">
        <f>VLOOKUP(A238,DEVOLUCIONES!A$1:H$231,8,0)</f>
        <v>SE REALIZA  DEVOLUCION DE LA FACTURA ERROR EN LOS CODIGOS CUPS REGISTRADOS EN LA FACTURA Y EN LOS RIPS  SEGUN NORMATIVIDAD VIGENTE RESOLUCIÓN 3495 DEL 2019 SIENDO ÉSTA DE OBLIGATORIO CUMPLIMIENTO A PARTIR  1 DE ENERO DEL 2020 Y SUS RESPECTIVA MODIFICACION RESOLUCION 537UNA VEZ CORREGIDO SE REALIZA AUDITORIA</v>
      </c>
      <c r="T238" s="35">
        <f t="shared" si="10"/>
        <v>0</v>
      </c>
      <c r="U238" s="7"/>
    </row>
    <row r="239" spans="1:21" x14ac:dyDescent="0.25">
      <c r="A239" s="7" t="s">
        <v>3421</v>
      </c>
      <c r="B239" s="8">
        <v>43916.746631944443</v>
      </c>
      <c r="C239" s="8">
        <v>43965</v>
      </c>
      <c r="D239" s="9">
        <v>367100</v>
      </c>
      <c r="E239" s="7" t="e">
        <f>VLOOKUP(A239,DEVOLUCIONES!A$1:A$231,1,0)</f>
        <v>#N/A</v>
      </c>
      <c r="F239" s="7" t="e">
        <f>VLOOKUP(A239,'GLOSAS X CONCILIAR'!$A$1:$A$37,1,0)</f>
        <v>#N/A</v>
      </c>
      <c r="G239" s="7" t="e">
        <f>VLOOKUP(A239,'TODAS LAS P'!A:A,1,0)</f>
        <v>#N/A</v>
      </c>
      <c r="H239" s="7" t="e">
        <f>VLOOKUP(A239,PAGOS!A273:$A$1553,1,0)</f>
        <v>#N/A</v>
      </c>
      <c r="I239" s="40"/>
      <c r="J239" s="40"/>
      <c r="K239" s="40"/>
      <c r="L239" s="40">
        <f t="shared" ref="L239:L240" si="14">D239</f>
        <v>367100</v>
      </c>
      <c r="M239" s="40"/>
      <c r="N239" s="40"/>
      <c r="O239" s="40"/>
      <c r="P239" s="40"/>
      <c r="Q239" s="7"/>
      <c r="R239" s="7"/>
      <c r="S239" s="7"/>
      <c r="T239" s="35">
        <f t="shared" si="10"/>
        <v>0</v>
      </c>
      <c r="U239" s="7"/>
    </row>
    <row r="240" spans="1:21" x14ac:dyDescent="0.25">
      <c r="A240" s="7" t="s">
        <v>3422</v>
      </c>
      <c r="B240" s="8">
        <v>43917.581365740742</v>
      </c>
      <c r="C240" s="8">
        <v>43965</v>
      </c>
      <c r="D240" s="9">
        <v>57600</v>
      </c>
      <c r="E240" s="7" t="e">
        <f>VLOOKUP(A240,DEVOLUCIONES!A$1:A$231,1,0)</f>
        <v>#N/A</v>
      </c>
      <c r="F240" s="7" t="e">
        <f>VLOOKUP(A240,'GLOSAS X CONCILIAR'!$A$1:$A$37,1,0)</f>
        <v>#N/A</v>
      </c>
      <c r="G240" s="7" t="e">
        <f>VLOOKUP(A240,'TODAS LAS P'!A:A,1,0)</f>
        <v>#N/A</v>
      </c>
      <c r="H240" s="7" t="e">
        <f>VLOOKUP(A240,PAGOS!A274:$A$1553,1,0)</f>
        <v>#N/A</v>
      </c>
      <c r="I240" s="40"/>
      <c r="J240" s="40"/>
      <c r="K240" s="40"/>
      <c r="L240" s="40">
        <f t="shared" si="14"/>
        <v>57600</v>
      </c>
      <c r="M240" s="40"/>
      <c r="N240" s="40"/>
      <c r="O240" s="40"/>
      <c r="P240" s="40"/>
      <c r="Q240" s="7"/>
      <c r="R240" s="7"/>
      <c r="S240" s="7"/>
      <c r="T240" s="35">
        <f t="shared" si="10"/>
        <v>0</v>
      </c>
      <c r="U240" s="7"/>
    </row>
    <row r="241" spans="1:21" x14ac:dyDescent="0.25">
      <c r="A241" s="7" t="s">
        <v>3423</v>
      </c>
      <c r="B241" s="8">
        <v>43919.486597222225</v>
      </c>
      <c r="C241" s="8">
        <v>43965</v>
      </c>
      <c r="D241" s="9">
        <v>175600</v>
      </c>
      <c r="E241" s="7" t="e">
        <f>VLOOKUP(A241,DEVOLUCIONES!A$1:A$231,1,0)</f>
        <v>#N/A</v>
      </c>
      <c r="F241" s="7" t="e">
        <f>VLOOKUP(A241,'GLOSAS X CONCILIAR'!$A$1:$A$37,1,0)</f>
        <v>#N/A</v>
      </c>
      <c r="G241" s="7" t="str">
        <f>VLOOKUP(A241,'TODAS LAS P'!A:A,1,0)</f>
        <v>HSRF3955318</v>
      </c>
      <c r="H241" s="7" t="e">
        <f>VLOOKUP(A241,PAGOS!A275:$A$1553,1,0)</f>
        <v>#N/A</v>
      </c>
      <c r="I241" s="40"/>
      <c r="J241" s="40"/>
      <c r="K241" s="40"/>
      <c r="L241" s="40"/>
      <c r="M241" s="40"/>
      <c r="N241" s="40"/>
      <c r="O241" s="40">
        <v>175600</v>
      </c>
      <c r="P241" s="40"/>
      <c r="Q241" s="7"/>
      <c r="R241" s="7"/>
      <c r="S241" s="7"/>
      <c r="T241" s="35">
        <f t="shared" si="10"/>
        <v>0</v>
      </c>
      <c r="U241" s="7"/>
    </row>
    <row r="242" spans="1:21" x14ac:dyDescent="0.25">
      <c r="A242" s="7" t="s">
        <v>3424</v>
      </c>
      <c r="B242" s="8">
        <v>43921.626145833332</v>
      </c>
      <c r="C242" s="8">
        <v>43965</v>
      </c>
      <c r="D242" s="9">
        <v>178371</v>
      </c>
      <c r="E242" s="7" t="e">
        <f>VLOOKUP(A242,DEVOLUCIONES!A$1:A$231,1,0)</f>
        <v>#N/A</v>
      </c>
      <c r="F242" s="7" t="e">
        <f>VLOOKUP(A242,'GLOSAS X CONCILIAR'!$A$1:$A$37,1,0)</f>
        <v>#N/A</v>
      </c>
      <c r="G242" s="7" t="e">
        <f>VLOOKUP(A242,'TODAS LAS P'!A:A,1,0)</f>
        <v>#N/A</v>
      </c>
      <c r="H242" s="7" t="e">
        <f>VLOOKUP(A242,PAGOS!A276:$A$1553,1,0)</f>
        <v>#N/A</v>
      </c>
      <c r="I242" s="40"/>
      <c r="J242" s="40"/>
      <c r="K242" s="40"/>
      <c r="L242" s="40">
        <f>D242</f>
        <v>178371</v>
      </c>
      <c r="M242" s="40"/>
      <c r="N242" s="40"/>
      <c r="O242" s="40"/>
      <c r="P242" s="40"/>
      <c r="Q242" s="7"/>
      <c r="R242" s="7"/>
      <c r="S242" s="7"/>
      <c r="T242" s="35">
        <f t="shared" si="10"/>
        <v>0</v>
      </c>
      <c r="U242" s="7"/>
    </row>
    <row r="243" spans="1:21" x14ac:dyDescent="0.25">
      <c r="A243" s="7" t="s">
        <v>3425</v>
      </c>
      <c r="B243" s="8">
        <v>43923.364432870374</v>
      </c>
      <c r="C243" s="8">
        <v>44045</v>
      </c>
      <c r="D243" s="9">
        <v>34200</v>
      </c>
      <c r="E243" s="7" t="e">
        <f>VLOOKUP(A243,DEVOLUCIONES!A$1:A$231,1,0)</f>
        <v>#N/A</v>
      </c>
      <c r="F243" s="7" t="e">
        <f>VLOOKUP(A243,'GLOSAS X CONCILIAR'!$A$1:$A$37,1,0)</f>
        <v>#N/A</v>
      </c>
      <c r="G243" s="7" t="str">
        <f>VLOOKUP(A243,'TODAS LAS P'!A:A,1,0)</f>
        <v>HSRF3956336</v>
      </c>
      <c r="H243" s="7" t="e">
        <f>VLOOKUP(A243,PAGOS!A277:$A$1553,1,0)</f>
        <v>#N/A</v>
      </c>
      <c r="I243" s="40"/>
      <c r="J243" s="40"/>
      <c r="K243" s="40"/>
      <c r="L243" s="40"/>
      <c r="M243" s="40"/>
      <c r="N243" s="40"/>
      <c r="O243" s="40">
        <v>11700</v>
      </c>
      <c r="P243" s="40"/>
      <c r="Q243" s="7"/>
      <c r="R243" s="7"/>
      <c r="S243" s="7"/>
      <c r="T243" s="35">
        <f t="shared" si="10"/>
        <v>22500</v>
      </c>
      <c r="U243" s="7"/>
    </row>
    <row r="244" spans="1:21" x14ac:dyDescent="0.25">
      <c r="A244" s="7" t="s">
        <v>3426</v>
      </c>
      <c r="B244" s="8">
        <v>43940.977696759262</v>
      </c>
      <c r="C244" s="8">
        <v>43965</v>
      </c>
      <c r="D244" s="9">
        <v>70000</v>
      </c>
      <c r="E244" s="7" t="str">
        <f>VLOOKUP(A244,DEVOLUCIONES!A$1:A$231,1,0)</f>
        <v>HSRF3958920</v>
      </c>
      <c r="F244" s="7" t="e">
        <f>VLOOKUP(A244,'GLOSAS X CONCILIAR'!$A$1:$A$37,1,0)</f>
        <v>#N/A</v>
      </c>
      <c r="G244" s="7" t="e">
        <f>VLOOKUP(A244,'TODAS LAS P'!A:A,1,0)</f>
        <v>#N/A</v>
      </c>
      <c r="H244" s="7" t="e">
        <f>VLOOKUP(A244,PAGOS!A278:$A$1553,1,0)</f>
        <v>#N/A</v>
      </c>
      <c r="I244" s="40"/>
      <c r="J244" s="40">
        <f t="shared" ref="J244:J245" si="15">D244</f>
        <v>70000</v>
      </c>
      <c r="K244" s="40"/>
      <c r="L244" s="40"/>
      <c r="M244" s="40"/>
      <c r="N244" s="40"/>
      <c r="O244" s="40"/>
      <c r="P244" s="40"/>
      <c r="Q244" s="7" t="str">
        <f>VLOOKUP(A244,DEVOLUCIONES!A$1:B$231,2,0)</f>
        <v>DF-059232331607</v>
      </c>
      <c r="R244" s="7"/>
      <c r="S244" s="7" t="str">
        <f>VLOOKUP(A244,DEVOLUCIONES!A$1:H$231,8,0)</f>
        <v>Factura no cumple requisitos legalessoportes Faltan soportes necesarios para radicación de facturas según lo establecido en la resolución 3047 y demás que apliquen  Se hace devolución de la cuenta ya que la IPS no adjunta  los códigos ID de la dispensación generados a través de la plataforma habilitada por el ministerio esto según carta enviada por la Viceministra de Protección Social Diana Isabel Cardenas Gamboa a las Entidades Promotoras de Salud donde indica que no se podrá exceder del 1 de marzo para la entrada en operación del modulo ProveedoresDispensadores En la plataforma de MIPRES se dispone para efecto del cumplimiento de lo anterior mencionado del Manual de Usuario Modulo de dispensadorProveedor Versión 11 de marzo del 2019Por favor tener en cuenta que al momento de subsanar se debe montar al portal el archivo comprimido de los respectivos soportes completos</v>
      </c>
      <c r="T244" s="35">
        <f t="shared" si="10"/>
        <v>0</v>
      </c>
      <c r="U244" s="7"/>
    </row>
    <row r="245" spans="1:21" x14ac:dyDescent="0.25">
      <c r="A245" s="7" t="s">
        <v>3427</v>
      </c>
      <c r="B245" s="8">
        <v>43983.552881944444</v>
      </c>
      <c r="C245" s="8">
        <v>44023</v>
      </c>
      <c r="D245" s="9">
        <v>7667976</v>
      </c>
      <c r="E245" s="7" t="str">
        <f>VLOOKUP(A245,DEVOLUCIONES!A$1:A$231,1,0)</f>
        <v>HSRF3968835</v>
      </c>
      <c r="F245" s="7" t="e">
        <f>VLOOKUP(A245,'GLOSAS X CONCILIAR'!$A$1:$A$37,1,0)</f>
        <v>#N/A</v>
      </c>
      <c r="G245" s="7" t="e">
        <f>VLOOKUP(A245,'TODAS LAS P'!A:A,1,0)</f>
        <v>#N/A</v>
      </c>
      <c r="H245" s="7" t="e">
        <f>VLOOKUP(A245,PAGOS!A279:$A$1553,1,0)</f>
        <v>#N/A</v>
      </c>
      <c r="I245" s="40"/>
      <c r="J245" s="40">
        <f t="shared" si="15"/>
        <v>7667976</v>
      </c>
      <c r="K245" s="40"/>
      <c r="L245" s="40"/>
      <c r="M245" s="40"/>
      <c r="N245" s="40"/>
      <c r="O245" s="40"/>
      <c r="P245" s="40"/>
      <c r="Q245" s="7" t="str">
        <f>VLOOKUP(A245,DEVOLUCIONES!A$1:B$231,2,0)</f>
        <v>DF-479279131089</v>
      </c>
      <c r="R245" s="7"/>
      <c r="S245" s="7" t="str">
        <f>VLOOKUP(A245,DEVOLUCIONES!A$1:H$231,8,0)</f>
        <v xml:space="preserve">Se hace devolución de factura según art 12 y 14 de la resolución 3047 (cód 49) factura no cumple requisitos legales  dado que no hay congruencia entre el paciente facturado y los soportes anexos a esta factura  ya que factura viene a nombre de ISAMAR LUCIA SILVA SARABIA y soporte anexos estan a nombre de HIJA DE SANDRA PATRICIA AROCA ESPEJO  ademas hasta la fecha no se encuentra contrato para servicios posteriores a la urgencia con esta ips no red </v>
      </c>
      <c r="T245" s="35">
        <f t="shared" si="10"/>
        <v>0</v>
      </c>
      <c r="U245" s="7"/>
    </row>
    <row r="246" spans="1:21" x14ac:dyDescent="0.25">
      <c r="A246" s="7" t="s">
        <v>3428</v>
      </c>
      <c r="B246" s="8">
        <v>43994.299513888887</v>
      </c>
      <c r="C246" s="8">
        <v>44023</v>
      </c>
      <c r="D246" s="9">
        <v>7400</v>
      </c>
      <c r="E246" s="7" t="e">
        <f>VLOOKUP(A246,DEVOLUCIONES!A$1:A$231,1,0)</f>
        <v>#N/A</v>
      </c>
      <c r="F246" s="7" t="e">
        <f>VLOOKUP(A246,'GLOSAS X CONCILIAR'!$A$1:$A$37,1,0)</f>
        <v>#N/A</v>
      </c>
      <c r="G246" s="7" t="str">
        <f>VLOOKUP(A246,'TODAS LAS P'!A:A,1,0)</f>
        <v>HSRF3972161</v>
      </c>
      <c r="H246" s="7" t="e">
        <f>VLOOKUP(A246,PAGOS!A280:$A$1553,1,0)</f>
        <v>#N/A</v>
      </c>
      <c r="I246" s="40"/>
      <c r="J246" s="40"/>
      <c r="K246" s="40"/>
      <c r="L246" s="40"/>
      <c r="M246" s="40"/>
      <c r="N246" s="40"/>
      <c r="O246" s="40">
        <v>7400</v>
      </c>
      <c r="P246" s="40"/>
      <c r="Q246" s="7"/>
      <c r="R246" s="7"/>
      <c r="S246" s="7"/>
      <c r="T246" s="35">
        <f t="shared" si="10"/>
        <v>0</v>
      </c>
      <c r="U246" s="7"/>
    </row>
    <row r="247" spans="1:21" x14ac:dyDescent="0.25">
      <c r="A247" s="7" t="s">
        <v>2711</v>
      </c>
      <c r="B247" s="8">
        <v>44013.319907407407</v>
      </c>
      <c r="C247" s="8">
        <v>44023</v>
      </c>
      <c r="D247" s="9">
        <v>90307</v>
      </c>
      <c r="E247" s="7" t="e">
        <f>VLOOKUP(A247,DEVOLUCIONES!A$1:A$231,1,0)</f>
        <v>#N/A</v>
      </c>
      <c r="F247" s="7" t="e">
        <f>VLOOKUP(A247,'GLOSAS X CONCILIAR'!$A$1:$A$37,1,0)</f>
        <v>#N/A</v>
      </c>
      <c r="G247" s="7" t="str">
        <f>VLOOKUP(A247,'TODAS LAS P'!A:A,1,0)</f>
        <v>HSRF3977481</v>
      </c>
      <c r="H247" s="7" t="str">
        <f>VLOOKUP(A247,PAGOS!A281:$A$1553,1,0)</f>
        <v>HSRF3977481</v>
      </c>
      <c r="I247" s="40"/>
      <c r="J247" s="40"/>
      <c r="K247" s="40"/>
      <c r="L247" s="40"/>
      <c r="M247" s="40"/>
      <c r="N247" s="40"/>
      <c r="O247" s="40">
        <v>759601</v>
      </c>
      <c r="P247" s="40"/>
      <c r="Q247" s="7"/>
      <c r="R247" s="7" t="str">
        <f>VLOOKUP(A247,Hoja2!A$1:H$1143,8,0)</f>
        <v>2000647827</v>
      </c>
      <c r="S247" s="7" t="s">
        <v>7913</v>
      </c>
      <c r="T247" s="35">
        <f t="shared" si="10"/>
        <v>-669294</v>
      </c>
      <c r="U247" s="7"/>
    </row>
    <row r="248" spans="1:21" x14ac:dyDescent="0.25">
      <c r="A248" s="7" t="s">
        <v>3429</v>
      </c>
      <c r="B248" s="8">
        <v>44028.429756944446</v>
      </c>
      <c r="C248" s="8">
        <v>44058</v>
      </c>
      <c r="D248" s="9">
        <v>83400</v>
      </c>
      <c r="E248" s="7" t="e">
        <f>VLOOKUP(A248,DEVOLUCIONES!A$1:A$231,1,0)</f>
        <v>#N/A</v>
      </c>
      <c r="F248" s="7" t="e">
        <f>VLOOKUP(A248,'GLOSAS X CONCILIAR'!$A$1:$A$37,1,0)</f>
        <v>#N/A</v>
      </c>
      <c r="G248" s="7" t="str">
        <f>VLOOKUP(A248,'TODAS LAS P'!A:A,1,0)</f>
        <v>HSRF3983089</v>
      </c>
      <c r="H248" s="7" t="e">
        <f>VLOOKUP(A248,PAGOS!A282:$A$1553,1,0)</f>
        <v>#N/A</v>
      </c>
      <c r="I248" s="40"/>
      <c r="J248" s="40"/>
      <c r="K248" s="40"/>
      <c r="L248" s="40"/>
      <c r="M248" s="40"/>
      <c r="N248" s="40"/>
      <c r="O248" s="40">
        <f>54400+29000</f>
        <v>83400</v>
      </c>
      <c r="P248" s="40"/>
      <c r="Q248" s="7"/>
      <c r="R248" s="7"/>
      <c r="S248" s="7"/>
      <c r="T248" s="35">
        <f t="shared" si="10"/>
        <v>0</v>
      </c>
      <c r="U248" s="7"/>
    </row>
    <row r="249" spans="1:21" x14ac:dyDescent="0.25">
      <c r="A249" s="7" t="s">
        <v>3430</v>
      </c>
      <c r="B249" s="8">
        <v>44043.718634259261</v>
      </c>
      <c r="C249" s="8">
        <v>44058</v>
      </c>
      <c r="D249" s="9">
        <v>160764</v>
      </c>
      <c r="E249" s="7" t="e">
        <f>VLOOKUP(A249,DEVOLUCIONES!A$1:A$231,1,0)</f>
        <v>#N/A</v>
      </c>
      <c r="F249" s="7" t="e">
        <f>VLOOKUP(A249,'GLOSAS X CONCILIAR'!$A$1:$A$37,1,0)</f>
        <v>#N/A</v>
      </c>
      <c r="G249" s="7" t="e">
        <f>VLOOKUP(A249,'TODAS LAS P'!A:A,1,0)</f>
        <v>#N/A</v>
      </c>
      <c r="H249" s="7" t="e">
        <f>VLOOKUP(A249,PAGOS!A283:$A$1553,1,0)</f>
        <v>#N/A</v>
      </c>
      <c r="I249" s="40"/>
      <c r="J249" s="40"/>
      <c r="K249" s="40"/>
      <c r="L249" s="40">
        <f t="shared" ref="L249:L312" si="16">D249</f>
        <v>160764</v>
      </c>
      <c r="M249" s="40"/>
      <c r="N249" s="40"/>
      <c r="O249" s="40"/>
      <c r="P249" s="40"/>
      <c r="Q249" s="7"/>
      <c r="R249" s="7"/>
      <c r="S249" s="7"/>
      <c r="T249" s="35">
        <f t="shared" si="10"/>
        <v>0</v>
      </c>
      <c r="U249" s="7"/>
    </row>
    <row r="250" spans="1:21" x14ac:dyDescent="0.25">
      <c r="A250" s="7" t="s">
        <v>2942</v>
      </c>
      <c r="B250" s="8">
        <v>44062.204513888886</v>
      </c>
      <c r="C250" s="8">
        <v>44082</v>
      </c>
      <c r="D250" s="9">
        <v>69600</v>
      </c>
      <c r="E250" s="7" t="e">
        <f>VLOOKUP(A250,DEVOLUCIONES!A$1:A$231,1,0)</f>
        <v>#N/A</v>
      </c>
      <c r="F250" s="7" t="e">
        <f>VLOOKUP(A250,'GLOSAS X CONCILIAR'!$A$1:$A$37,1,0)</f>
        <v>#N/A</v>
      </c>
      <c r="G250" s="7" t="e">
        <f>VLOOKUP(A250,'TODAS LAS P'!A:A,1,0)</f>
        <v>#N/A</v>
      </c>
      <c r="H250" s="7" t="e">
        <f>VLOOKUP(A250,PAGOS!A284:$A$1553,1,0)</f>
        <v>#N/A</v>
      </c>
      <c r="I250" s="40"/>
      <c r="J250" s="40"/>
      <c r="K250" s="40"/>
      <c r="L250" s="40">
        <f t="shared" si="16"/>
        <v>69600</v>
      </c>
      <c r="M250" s="40"/>
      <c r="N250" s="40"/>
      <c r="O250" s="40"/>
      <c r="P250" s="40"/>
      <c r="Q250" s="7"/>
      <c r="R250" s="7"/>
      <c r="S250" s="7"/>
      <c r="T250" s="35">
        <f t="shared" si="10"/>
        <v>0</v>
      </c>
      <c r="U250" s="7"/>
    </row>
    <row r="251" spans="1:21" x14ac:dyDescent="0.25">
      <c r="A251" s="7" t="s">
        <v>2943</v>
      </c>
      <c r="B251" s="8">
        <v>44063.496064814812</v>
      </c>
      <c r="C251" s="8">
        <v>44082</v>
      </c>
      <c r="D251" s="9">
        <v>1297453</v>
      </c>
      <c r="E251" s="7" t="e">
        <f>VLOOKUP(A251,DEVOLUCIONES!A$1:A$231,1,0)</f>
        <v>#N/A</v>
      </c>
      <c r="F251" s="7" t="e">
        <f>VLOOKUP(A251,'GLOSAS X CONCILIAR'!$A$1:$A$37,1,0)</f>
        <v>#N/A</v>
      </c>
      <c r="G251" s="7" t="e">
        <f>VLOOKUP(A251,'TODAS LAS P'!A:A,1,0)</f>
        <v>#N/A</v>
      </c>
      <c r="H251" s="7" t="e">
        <f>VLOOKUP(A251,PAGOS!A285:$A$1553,1,0)</f>
        <v>#N/A</v>
      </c>
      <c r="I251" s="40"/>
      <c r="J251" s="40"/>
      <c r="K251" s="40"/>
      <c r="L251" s="40">
        <f t="shared" si="16"/>
        <v>1297453</v>
      </c>
      <c r="M251" s="40"/>
      <c r="N251" s="40"/>
      <c r="O251" s="40"/>
      <c r="P251" s="40"/>
      <c r="Q251" s="7"/>
      <c r="R251" s="7"/>
      <c r="S251" s="7"/>
      <c r="T251" s="35">
        <f t="shared" si="10"/>
        <v>0</v>
      </c>
      <c r="U251" s="7"/>
    </row>
    <row r="252" spans="1:21" x14ac:dyDescent="0.25">
      <c r="A252" s="7" t="s">
        <v>2944</v>
      </c>
      <c r="B252" s="8">
        <v>44063.911365740743</v>
      </c>
      <c r="C252" s="8">
        <v>44082</v>
      </c>
      <c r="D252" s="9">
        <v>426474</v>
      </c>
      <c r="E252" s="7" t="e">
        <f>VLOOKUP(A252,DEVOLUCIONES!A$1:A$231,1,0)</f>
        <v>#N/A</v>
      </c>
      <c r="F252" s="7" t="e">
        <f>VLOOKUP(A252,'GLOSAS X CONCILIAR'!$A$1:$A$37,1,0)</f>
        <v>#N/A</v>
      </c>
      <c r="G252" s="7" t="e">
        <f>VLOOKUP(A252,'TODAS LAS P'!A:A,1,0)</f>
        <v>#N/A</v>
      </c>
      <c r="H252" s="7" t="e">
        <f>VLOOKUP(A252,PAGOS!A286:$A$1553,1,0)</f>
        <v>#N/A</v>
      </c>
      <c r="I252" s="40"/>
      <c r="J252" s="40"/>
      <c r="K252" s="40"/>
      <c r="L252" s="40">
        <f t="shared" si="16"/>
        <v>426474</v>
      </c>
      <c r="M252" s="40"/>
      <c r="N252" s="40"/>
      <c r="O252" s="40"/>
      <c r="P252" s="40"/>
      <c r="Q252" s="7"/>
      <c r="R252" s="7"/>
      <c r="S252" s="7"/>
      <c r="T252" s="35">
        <f t="shared" si="10"/>
        <v>0</v>
      </c>
      <c r="U252" s="7"/>
    </row>
    <row r="253" spans="1:21" x14ac:dyDescent="0.25">
      <c r="A253" s="7" t="s">
        <v>2945</v>
      </c>
      <c r="B253" s="8">
        <v>44065.746238425927</v>
      </c>
      <c r="C253" s="8">
        <v>44082</v>
      </c>
      <c r="D253" s="9">
        <v>18135655</v>
      </c>
      <c r="E253" s="7" t="e">
        <f>VLOOKUP(A253,DEVOLUCIONES!A$1:A$231,1,0)</f>
        <v>#N/A</v>
      </c>
      <c r="F253" s="7" t="e">
        <f>VLOOKUP(A253,'GLOSAS X CONCILIAR'!$A$1:$A$37,1,0)</f>
        <v>#N/A</v>
      </c>
      <c r="G253" s="7" t="e">
        <f>VLOOKUP(A253,'TODAS LAS P'!A:A,1,0)</f>
        <v>#N/A</v>
      </c>
      <c r="H253" s="7" t="e">
        <f>VLOOKUP(A253,PAGOS!A287:$A$1553,1,0)</f>
        <v>#N/A</v>
      </c>
      <c r="I253" s="40"/>
      <c r="J253" s="40"/>
      <c r="K253" s="40"/>
      <c r="L253" s="40">
        <f t="shared" si="16"/>
        <v>18135655</v>
      </c>
      <c r="M253" s="40"/>
      <c r="N253" s="40"/>
      <c r="O253" s="40"/>
      <c r="P253" s="40"/>
      <c r="Q253" s="7"/>
      <c r="R253" s="7"/>
      <c r="S253" s="7"/>
      <c r="T253" s="35">
        <f t="shared" si="10"/>
        <v>0</v>
      </c>
      <c r="U253" s="7"/>
    </row>
    <row r="254" spans="1:21" x14ac:dyDescent="0.25">
      <c r="A254" s="7" t="s">
        <v>2946</v>
      </c>
      <c r="B254" s="8">
        <v>44065.746238425927</v>
      </c>
      <c r="C254" s="8">
        <v>44082</v>
      </c>
      <c r="D254" s="9">
        <v>82635</v>
      </c>
      <c r="E254" s="7" t="e">
        <f>VLOOKUP(A254,DEVOLUCIONES!A$1:A$231,1,0)</f>
        <v>#N/A</v>
      </c>
      <c r="F254" s="7" t="e">
        <f>VLOOKUP(A254,'GLOSAS X CONCILIAR'!$A$1:$A$37,1,0)</f>
        <v>#N/A</v>
      </c>
      <c r="G254" s="7" t="e">
        <f>VLOOKUP(A254,'TODAS LAS P'!A:A,1,0)</f>
        <v>#N/A</v>
      </c>
      <c r="H254" s="7" t="e">
        <f>VLOOKUP(A254,PAGOS!A288:$A$1553,1,0)</f>
        <v>#N/A</v>
      </c>
      <c r="I254" s="40"/>
      <c r="J254" s="40"/>
      <c r="K254" s="40"/>
      <c r="L254" s="40">
        <f t="shared" si="16"/>
        <v>82635</v>
      </c>
      <c r="M254" s="40"/>
      <c r="N254" s="40"/>
      <c r="O254" s="40"/>
      <c r="P254" s="40"/>
      <c r="Q254" s="7"/>
      <c r="R254" s="7"/>
      <c r="S254" s="7"/>
      <c r="T254" s="35">
        <f t="shared" si="10"/>
        <v>0</v>
      </c>
      <c r="U254" s="7"/>
    </row>
    <row r="255" spans="1:21" x14ac:dyDescent="0.25">
      <c r="A255" s="7" t="s">
        <v>2947</v>
      </c>
      <c r="B255" s="8">
        <v>44066.31827546296</v>
      </c>
      <c r="C255" s="8">
        <v>44082</v>
      </c>
      <c r="D255" s="9">
        <v>259415</v>
      </c>
      <c r="E255" s="7" t="e">
        <f>VLOOKUP(A255,DEVOLUCIONES!A$1:A$231,1,0)</f>
        <v>#N/A</v>
      </c>
      <c r="F255" s="7" t="e">
        <f>VLOOKUP(A255,'GLOSAS X CONCILIAR'!$A$1:$A$37,1,0)</f>
        <v>#N/A</v>
      </c>
      <c r="G255" s="7" t="e">
        <f>VLOOKUP(A255,'TODAS LAS P'!A:A,1,0)</f>
        <v>#N/A</v>
      </c>
      <c r="H255" s="7" t="e">
        <f>VLOOKUP(A255,PAGOS!A289:$A$1553,1,0)</f>
        <v>#N/A</v>
      </c>
      <c r="I255" s="40"/>
      <c r="J255" s="40"/>
      <c r="K255" s="40"/>
      <c r="L255" s="40">
        <f t="shared" si="16"/>
        <v>259415</v>
      </c>
      <c r="M255" s="40"/>
      <c r="N255" s="40"/>
      <c r="O255" s="40"/>
      <c r="P255" s="40"/>
      <c r="Q255" s="7"/>
      <c r="R255" s="7"/>
      <c r="S255" s="7"/>
      <c r="T255" s="35">
        <f t="shared" si="10"/>
        <v>0</v>
      </c>
      <c r="U255" s="7"/>
    </row>
    <row r="256" spans="1:21" x14ac:dyDescent="0.25">
      <c r="A256" s="7" t="s">
        <v>2948</v>
      </c>
      <c r="B256" s="8">
        <v>44067.82949074074</v>
      </c>
      <c r="C256" s="8">
        <v>44082</v>
      </c>
      <c r="D256" s="9">
        <v>1314330</v>
      </c>
      <c r="E256" s="7" t="e">
        <f>VLOOKUP(A256,DEVOLUCIONES!A$1:A$231,1,0)</f>
        <v>#N/A</v>
      </c>
      <c r="F256" s="7" t="e">
        <f>VLOOKUP(A256,'GLOSAS X CONCILIAR'!$A$1:$A$37,1,0)</f>
        <v>#N/A</v>
      </c>
      <c r="G256" s="7" t="e">
        <f>VLOOKUP(A256,'TODAS LAS P'!A:A,1,0)</f>
        <v>#N/A</v>
      </c>
      <c r="H256" s="7" t="e">
        <f>VLOOKUP(A256,PAGOS!A290:$A$1553,1,0)</f>
        <v>#N/A</v>
      </c>
      <c r="I256" s="40"/>
      <c r="J256" s="40"/>
      <c r="K256" s="40"/>
      <c r="L256" s="40">
        <f t="shared" si="16"/>
        <v>1314330</v>
      </c>
      <c r="M256" s="40"/>
      <c r="N256" s="40"/>
      <c r="O256" s="40"/>
      <c r="P256" s="40"/>
      <c r="Q256" s="7"/>
      <c r="R256" s="7"/>
      <c r="S256" s="7"/>
      <c r="T256" s="35">
        <f t="shared" si="10"/>
        <v>0</v>
      </c>
      <c r="U256" s="7"/>
    </row>
    <row r="257" spans="1:21" x14ac:dyDescent="0.25">
      <c r="A257" s="7" t="s">
        <v>2949</v>
      </c>
      <c r="B257" s="8">
        <v>44076.372418981482</v>
      </c>
      <c r="C257" s="8">
        <v>44114</v>
      </c>
      <c r="D257" s="9">
        <v>746400</v>
      </c>
      <c r="E257" s="7" t="e">
        <f>VLOOKUP(A257,DEVOLUCIONES!A$1:A$231,1,0)</f>
        <v>#N/A</v>
      </c>
      <c r="F257" s="7" t="e">
        <f>VLOOKUP(A257,'GLOSAS X CONCILIAR'!$A$1:$A$37,1,0)</f>
        <v>#N/A</v>
      </c>
      <c r="G257" s="7" t="e">
        <f>VLOOKUP(A257,'TODAS LAS P'!A:A,1,0)</f>
        <v>#N/A</v>
      </c>
      <c r="H257" s="7" t="e">
        <f>VLOOKUP(A257,PAGOS!A291:$A$1553,1,0)</f>
        <v>#N/A</v>
      </c>
      <c r="I257" s="40"/>
      <c r="J257" s="40"/>
      <c r="K257" s="40"/>
      <c r="L257" s="40">
        <f t="shared" si="16"/>
        <v>746400</v>
      </c>
      <c r="M257" s="40"/>
      <c r="N257" s="40"/>
      <c r="O257" s="40"/>
      <c r="P257" s="40"/>
      <c r="Q257" s="7"/>
      <c r="R257" s="7"/>
      <c r="S257" s="7"/>
      <c r="T257" s="35">
        <f t="shared" si="10"/>
        <v>0</v>
      </c>
      <c r="U257" s="7"/>
    </row>
    <row r="258" spans="1:21" x14ac:dyDescent="0.25">
      <c r="A258" s="7" t="s">
        <v>2950</v>
      </c>
      <c r="B258" s="8">
        <v>44077.614675925928</v>
      </c>
      <c r="C258" s="8">
        <v>44082</v>
      </c>
      <c r="D258" s="9">
        <v>2253949</v>
      </c>
      <c r="E258" s="7" t="e">
        <f>VLOOKUP(A258,DEVOLUCIONES!A$1:A$231,1,0)</f>
        <v>#N/A</v>
      </c>
      <c r="F258" s="7" t="e">
        <f>VLOOKUP(A258,'GLOSAS X CONCILIAR'!$A$1:$A$37,1,0)</f>
        <v>#N/A</v>
      </c>
      <c r="G258" s="7" t="e">
        <f>VLOOKUP(A258,'TODAS LAS P'!A:A,1,0)</f>
        <v>#N/A</v>
      </c>
      <c r="H258" s="7" t="e">
        <f>VLOOKUP(A258,PAGOS!A292:$A$1553,1,0)</f>
        <v>#N/A</v>
      </c>
      <c r="I258" s="40"/>
      <c r="J258" s="40"/>
      <c r="K258" s="40"/>
      <c r="L258" s="40">
        <f t="shared" si="16"/>
        <v>2253949</v>
      </c>
      <c r="M258" s="40"/>
      <c r="N258" s="40"/>
      <c r="O258" s="40"/>
      <c r="P258" s="40"/>
      <c r="Q258" s="7"/>
      <c r="R258" s="7"/>
      <c r="S258" s="7"/>
      <c r="T258" s="35">
        <f t="shared" si="10"/>
        <v>0</v>
      </c>
      <c r="U258" s="7"/>
    </row>
    <row r="259" spans="1:21" x14ac:dyDescent="0.25">
      <c r="A259" s="7" t="s">
        <v>2951</v>
      </c>
      <c r="B259" s="8">
        <v>44084.494791666664</v>
      </c>
      <c r="C259" s="8">
        <v>44114</v>
      </c>
      <c r="D259" s="9">
        <v>3354891</v>
      </c>
      <c r="E259" s="7" t="e">
        <f>VLOOKUP(A259,DEVOLUCIONES!A$1:A$231,1,0)</f>
        <v>#N/A</v>
      </c>
      <c r="F259" s="7" t="e">
        <f>VLOOKUP(A259,'GLOSAS X CONCILIAR'!$A$1:$A$37,1,0)</f>
        <v>#N/A</v>
      </c>
      <c r="G259" s="7" t="e">
        <f>VLOOKUP(A259,'TODAS LAS P'!A:A,1,0)</f>
        <v>#N/A</v>
      </c>
      <c r="H259" s="7" t="e">
        <f>VLOOKUP(A259,PAGOS!A293:$A$1553,1,0)</f>
        <v>#N/A</v>
      </c>
      <c r="I259" s="40"/>
      <c r="J259" s="40"/>
      <c r="K259" s="40"/>
      <c r="L259" s="40">
        <f t="shared" si="16"/>
        <v>3354891</v>
      </c>
      <c r="M259" s="40"/>
      <c r="N259" s="40"/>
      <c r="O259" s="40"/>
      <c r="P259" s="40"/>
      <c r="Q259" s="7"/>
      <c r="R259" s="7"/>
      <c r="S259" s="7"/>
      <c r="T259" s="35">
        <f t="shared" ref="T259:T322" si="17">D259-SUM(I259:Q259)</f>
        <v>0</v>
      </c>
      <c r="U259" s="7"/>
    </row>
    <row r="260" spans="1:21" x14ac:dyDescent="0.25">
      <c r="A260" s="7" t="s">
        <v>2952</v>
      </c>
      <c r="B260" s="8">
        <v>44087.524826388886</v>
      </c>
      <c r="C260" s="8">
        <v>44114</v>
      </c>
      <c r="D260" s="9">
        <v>1268198</v>
      </c>
      <c r="E260" s="7" t="e">
        <f>VLOOKUP(A260,DEVOLUCIONES!A$1:A$231,1,0)</f>
        <v>#N/A</v>
      </c>
      <c r="F260" s="7" t="e">
        <f>VLOOKUP(A260,'GLOSAS X CONCILIAR'!$A$1:$A$37,1,0)</f>
        <v>#N/A</v>
      </c>
      <c r="G260" s="7" t="e">
        <f>VLOOKUP(A260,'TODAS LAS P'!A:A,1,0)</f>
        <v>#N/A</v>
      </c>
      <c r="H260" s="7" t="e">
        <f>VLOOKUP(A260,PAGOS!A294:$A$1553,1,0)</f>
        <v>#N/A</v>
      </c>
      <c r="I260" s="40"/>
      <c r="J260" s="40"/>
      <c r="K260" s="40"/>
      <c r="L260" s="40">
        <f t="shared" si="16"/>
        <v>1268198</v>
      </c>
      <c r="M260" s="40"/>
      <c r="N260" s="40"/>
      <c r="O260" s="40"/>
      <c r="P260" s="40"/>
      <c r="Q260" s="7"/>
      <c r="R260" s="7"/>
      <c r="S260" s="7"/>
      <c r="T260" s="35">
        <f t="shared" si="17"/>
        <v>0</v>
      </c>
      <c r="U260" s="7"/>
    </row>
    <row r="261" spans="1:21" x14ac:dyDescent="0.25">
      <c r="A261" s="7" t="s">
        <v>2953</v>
      </c>
      <c r="B261" s="8">
        <v>44091.720023148147</v>
      </c>
      <c r="C261" s="8">
        <v>44114</v>
      </c>
      <c r="D261" s="9">
        <v>162328</v>
      </c>
      <c r="E261" s="7" t="e">
        <f>VLOOKUP(A261,DEVOLUCIONES!A$1:A$231,1,0)</f>
        <v>#N/A</v>
      </c>
      <c r="F261" s="7" t="e">
        <f>VLOOKUP(A261,'GLOSAS X CONCILIAR'!$A$1:$A$37,1,0)</f>
        <v>#N/A</v>
      </c>
      <c r="G261" s="7" t="e">
        <f>VLOOKUP(A261,'TODAS LAS P'!A:A,1,0)</f>
        <v>#N/A</v>
      </c>
      <c r="H261" s="7" t="e">
        <f>VLOOKUP(A261,PAGOS!A295:$A$1553,1,0)</f>
        <v>#N/A</v>
      </c>
      <c r="I261" s="40"/>
      <c r="J261" s="40"/>
      <c r="K261" s="40"/>
      <c r="L261" s="40">
        <f t="shared" si="16"/>
        <v>162328</v>
      </c>
      <c r="M261" s="40"/>
      <c r="N261" s="40"/>
      <c r="O261" s="40"/>
      <c r="P261" s="40"/>
      <c r="Q261" s="7"/>
      <c r="R261" s="7"/>
      <c r="S261" s="7"/>
      <c r="T261" s="35">
        <f t="shared" si="17"/>
        <v>0</v>
      </c>
      <c r="U261" s="7"/>
    </row>
    <row r="262" spans="1:21" x14ac:dyDescent="0.25">
      <c r="A262" s="7" t="s">
        <v>2954</v>
      </c>
      <c r="B262" s="8">
        <v>44103.830613425926</v>
      </c>
      <c r="C262" s="8">
        <v>44114</v>
      </c>
      <c r="D262" s="9">
        <v>5317978</v>
      </c>
      <c r="E262" s="7" t="e">
        <f>VLOOKUP(A262,DEVOLUCIONES!A$1:A$231,1,0)</f>
        <v>#N/A</v>
      </c>
      <c r="F262" s="7" t="e">
        <f>VLOOKUP(A262,'GLOSAS X CONCILIAR'!$A$1:$A$37,1,0)</f>
        <v>#N/A</v>
      </c>
      <c r="G262" s="7" t="e">
        <f>VLOOKUP(A262,'TODAS LAS P'!A:A,1,0)</f>
        <v>#N/A</v>
      </c>
      <c r="H262" s="7" t="e">
        <f>VLOOKUP(A262,PAGOS!A296:$A$1553,1,0)</f>
        <v>#N/A</v>
      </c>
      <c r="I262" s="40"/>
      <c r="J262" s="40"/>
      <c r="K262" s="40"/>
      <c r="L262" s="40">
        <f t="shared" si="16"/>
        <v>5317978</v>
      </c>
      <c r="M262" s="40"/>
      <c r="N262" s="40"/>
      <c r="O262" s="40"/>
      <c r="P262" s="40"/>
      <c r="Q262" s="7"/>
      <c r="R262" s="7"/>
      <c r="S262" s="7"/>
      <c r="T262" s="35">
        <f t="shared" si="17"/>
        <v>0</v>
      </c>
      <c r="U262" s="7"/>
    </row>
    <row r="263" spans="1:21" x14ac:dyDescent="0.25">
      <c r="A263" s="7" t="s">
        <v>2955</v>
      </c>
      <c r="B263" s="8">
        <v>44107.76358796296</v>
      </c>
      <c r="C263" s="8">
        <v>44114</v>
      </c>
      <c r="D263" s="9">
        <v>18642486</v>
      </c>
      <c r="E263" s="7" t="e">
        <f>VLOOKUP(A263,DEVOLUCIONES!A$1:A$231,1,0)</f>
        <v>#N/A</v>
      </c>
      <c r="F263" s="7" t="e">
        <f>VLOOKUP(A263,'GLOSAS X CONCILIAR'!$A$1:$A$37,1,0)</f>
        <v>#N/A</v>
      </c>
      <c r="G263" s="7" t="e">
        <f>VLOOKUP(A263,'TODAS LAS P'!A:A,1,0)</f>
        <v>#N/A</v>
      </c>
      <c r="H263" s="7" t="e">
        <f>VLOOKUP(A263,PAGOS!A297:$A$1553,1,0)</f>
        <v>#N/A</v>
      </c>
      <c r="I263" s="40"/>
      <c r="J263" s="40"/>
      <c r="K263" s="40"/>
      <c r="L263" s="40">
        <f t="shared" si="16"/>
        <v>18642486</v>
      </c>
      <c r="M263" s="40"/>
      <c r="N263" s="40"/>
      <c r="O263" s="40"/>
      <c r="P263" s="40"/>
      <c r="Q263" s="7"/>
      <c r="R263" s="7"/>
      <c r="S263" s="7"/>
      <c r="T263" s="35">
        <f t="shared" si="17"/>
        <v>0</v>
      </c>
      <c r="U263" s="7"/>
    </row>
    <row r="264" spans="1:21" x14ac:dyDescent="0.25">
      <c r="A264" s="7" t="s">
        <v>2956</v>
      </c>
      <c r="B264" s="8">
        <v>44111.616608796299</v>
      </c>
      <c r="C264" s="8">
        <v>44172</v>
      </c>
      <c r="D264" s="9">
        <v>51900</v>
      </c>
      <c r="E264" s="7" t="e">
        <f>VLOOKUP(A264,DEVOLUCIONES!A$1:A$231,1,0)</f>
        <v>#N/A</v>
      </c>
      <c r="F264" s="7" t="e">
        <f>VLOOKUP(A264,'GLOSAS X CONCILIAR'!$A$1:$A$37,1,0)</f>
        <v>#N/A</v>
      </c>
      <c r="G264" s="7" t="e">
        <f>VLOOKUP(A264,'TODAS LAS P'!A:A,1,0)</f>
        <v>#N/A</v>
      </c>
      <c r="H264" s="7" t="e">
        <f>VLOOKUP(A264,PAGOS!A298:$A$1553,1,0)</f>
        <v>#N/A</v>
      </c>
      <c r="I264" s="40"/>
      <c r="J264" s="40"/>
      <c r="K264" s="40"/>
      <c r="L264" s="40">
        <f t="shared" si="16"/>
        <v>51900</v>
      </c>
      <c r="M264" s="40"/>
      <c r="N264" s="40"/>
      <c r="O264" s="40"/>
      <c r="P264" s="40"/>
      <c r="Q264" s="7"/>
      <c r="R264" s="7"/>
      <c r="S264" s="7"/>
      <c r="T264" s="35">
        <f t="shared" si="17"/>
        <v>0</v>
      </c>
      <c r="U264" s="7"/>
    </row>
    <row r="265" spans="1:21" x14ac:dyDescent="0.25">
      <c r="A265" s="7" t="s">
        <v>2957</v>
      </c>
      <c r="B265" s="8">
        <v>44113.697222222225</v>
      </c>
      <c r="C265" s="8">
        <v>44172</v>
      </c>
      <c r="D265" s="9">
        <v>1341676</v>
      </c>
      <c r="E265" s="7" t="e">
        <f>VLOOKUP(A265,DEVOLUCIONES!A$1:A$231,1,0)</f>
        <v>#N/A</v>
      </c>
      <c r="F265" s="7" t="e">
        <f>VLOOKUP(A265,'GLOSAS X CONCILIAR'!$A$1:$A$37,1,0)</f>
        <v>#N/A</v>
      </c>
      <c r="G265" s="7" t="e">
        <f>VLOOKUP(A265,'TODAS LAS P'!A:A,1,0)</f>
        <v>#N/A</v>
      </c>
      <c r="H265" s="7" t="e">
        <f>VLOOKUP(A265,PAGOS!A299:$A$1553,1,0)</f>
        <v>#N/A</v>
      </c>
      <c r="I265" s="40"/>
      <c r="J265" s="40"/>
      <c r="K265" s="40"/>
      <c r="L265" s="40">
        <f t="shared" si="16"/>
        <v>1341676</v>
      </c>
      <c r="M265" s="40"/>
      <c r="N265" s="40"/>
      <c r="O265" s="40"/>
      <c r="P265" s="40"/>
      <c r="Q265" s="7"/>
      <c r="R265" s="7"/>
      <c r="S265" s="7"/>
      <c r="T265" s="35">
        <f t="shared" si="17"/>
        <v>0</v>
      </c>
      <c r="U265" s="7"/>
    </row>
    <row r="266" spans="1:21" x14ac:dyDescent="0.25">
      <c r="A266" s="7" t="s">
        <v>2958</v>
      </c>
      <c r="B266" s="8">
        <v>44117.470578703702</v>
      </c>
      <c r="C266" s="8">
        <v>44172</v>
      </c>
      <c r="D266" s="9">
        <v>4519101</v>
      </c>
      <c r="E266" s="7" t="e">
        <f>VLOOKUP(A266,DEVOLUCIONES!A$1:A$231,1,0)</f>
        <v>#N/A</v>
      </c>
      <c r="F266" s="7" t="e">
        <f>VLOOKUP(A266,'GLOSAS X CONCILIAR'!$A$1:$A$37,1,0)</f>
        <v>#N/A</v>
      </c>
      <c r="G266" s="7" t="e">
        <f>VLOOKUP(A266,'TODAS LAS P'!A:A,1,0)</f>
        <v>#N/A</v>
      </c>
      <c r="H266" s="7" t="e">
        <f>VLOOKUP(A266,PAGOS!A300:$A$1553,1,0)</f>
        <v>#N/A</v>
      </c>
      <c r="I266" s="40"/>
      <c r="J266" s="40"/>
      <c r="K266" s="40"/>
      <c r="L266" s="40">
        <f t="shared" si="16"/>
        <v>4519101</v>
      </c>
      <c r="M266" s="40"/>
      <c r="N266" s="40"/>
      <c r="O266" s="40"/>
      <c r="P266" s="40"/>
      <c r="Q266" s="7"/>
      <c r="R266" s="7"/>
      <c r="S266" s="7"/>
      <c r="T266" s="35">
        <f t="shared" si="17"/>
        <v>0</v>
      </c>
      <c r="U266" s="7"/>
    </row>
    <row r="267" spans="1:21" x14ac:dyDescent="0.25">
      <c r="A267" s="7" t="s">
        <v>2959</v>
      </c>
      <c r="B267" s="8">
        <v>44118.305439814816</v>
      </c>
      <c r="C267" s="8">
        <v>44172</v>
      </c>
      <c r="D267" s="9">
        <v>146444</v>
      </c>
      <c r="E267" s="7" t="e">
        <f>VLOOKUP(A267,DEVOLUCIONES!A$1:A$231,1,0)</f>
        <v>#N/A</v>
      </c>
      <c r="F267" s="7" t="e">
        <f>VLOOKUP(A267,'GLOSAS X CONCILIAR'!$A$1:$A$37,1,0)</f>
        <v>#N/A</v>
      </c>
      <c r="G267" s="7" t="e">
        <f>VLOOKUP(A267,'TODAS LAS P'!A:A,1,0)</f>
        <v>#N/A</v>
      </c>
      <c r="H267" s="7" t="e">
        <f>VLOOKUP(A267,PAGOS!A301:$A$1553,1,0)</f>
        <v>#N/A</v>
      </c>
      <c r="I267" s="40"/>
      <c r="J267" s="40"/>
      <c r="K267" s="40"/>
      <c r="L267" s="40">
        <f t="shared" si="16"/>
        <v>146444</v>
      </c>
      <c r="M267" s="40"/>
      <c r="N267" s="40"/>
      <c r="O267" s="40"/>
      <c r="P267" s="40"/>
      <c r="Q267" s="7"/>
      <c r="R267" s="7"/>
      <c r="S267" s="7"/>
      <c r="T267" s="35">
        <f t="shared" si="17"/>
        <v>0</v>
      </c>
      <c r="U267" s="7"/>
    </row>
    <row r="268" spans="1:21" x14ac:dyDescent="0.25">
      <c r="A268" s="7" t="s">
        <v>2960</v>
      </c>
      <c r="B268" s="8">
        <v>44119.372430555559</v>
      </c>
      <c r="C268" s="8">
        <v>44172</v>
      </c>
      <c r="D268" s="9">
        <v>168762</v>
      </c>
      <c r="E268" s="7" t="e">
        <f>VLOOKUP(A268,DEVOLUCIONES!A$1:A$231,1,0)</f>
        <v>#N/A</v>
      </c>
      <c r="F268" s="7" t="e">
        <f>VLOOKUP(A268,'GLOSAS X CONCILIAR'!$A$1:$A$37,1,0)</f>
        <v>#N/A</v>
      </c>
      <c r="G268" s="7" t="e">
        <f>VLOOKUP(A268,'TODAS LAS P'!A:A,1,0)</f>
        <v>#N/A</v>
      </c>
      <c r="H268" s="7" t="e">
        <f>VLOOKUP(A268,PAGOS!A302:$A$1553,1,0)</f>
        <v>#N/A</v>
      </c>
      <c r="I268" s="40"/>
      <c r="J268" s="40"/>
      <c r="K268" s="40"/>
      <c r="L268" s="40">
        <f t="shared" si="16"/>
        <v>168762</v>
      </c>
      <c r="M268" s="40"/>
      <c r="N268" s="40"/>
      <c r="O268" s="40"/>
      <c r="P268" s="40"/>
      <c r="Q268" s="7"/>
      <c r="R268" s="7"/>
      <c r="S268" s="7"/>
      <c r="T268" s="35">
        <f t="shared" si="17"/>
        <v>0</v>
      </c>
      <c r="U268" s="7"/>
    </row>
    <row r="269" spans="1:21" x14ac:dyDescent="0.25">
      <c r="A269" s="7" t="s">
        <v>2961</v>
      </c>
      <c r="B269" s="8">
        <v>44120.284201388888</v>
      </c>
      <c r="C269" s="8">
        <v>44172</v>
      </c>
      <c r="D269" s="9">
        <v>142434</v>
      </c>
      <c r="E269" s="7" t="e">
        <f>VLOOKUP(A269,DEVOLUCIONES!A$1:A$231,1,0)</f>
        <v>#N/A</v>
      </c>
      <c r="F269" s="7" t="e">
        <f>VLOOKUP(A269,'GLOSAS X CONCILIAR'!$A$1:$A$37,1,0)</f>
        <v>#N/A</v>
      </c>
      <c r="G269" s="7" t="e">
        <f>VLOOKUP(A269,'TODAS LAS P'!A:A,1,0)</f>
        <v>#N/A</v>
      </c>
      <c r="H269" s="7" t="e">
        <f>VLOOKUP(A269,PAGOS!A303:$A$1553,1,0)</f>
        <v>#N/A</v>
      </c>
      <c r="I269" s="40"/>
      <c r="J269" s="40"/>
      <c r="K269" s="40"/>
      <c r="L269" s="40">
        <f t="shared" si="16"/>
        <v>142434</v>
      </c>
      <c r="M269" s="40"/>
      <c r="N269" s="40"/>
      <c r="O269" s="40"/>
      <c r="P269" s="40"/>
      <c r="Q269" s="7"/>
      <c r="R269" s="7"/>
      <c r="S269" s="7"/>
      <c r="T269" s="35">
        <f t="shared" si="17"/>
        <v>0</v>
      </c>
      <c r="U269" s="7"/>
    </row>
    <row r="270" spans="1:21" x14ac:dyDescent="0.25">
      <c r="A270" s="7" t="s">
        <v>2962</v>
      </c>
      <c r="B270" s="8">
        <v>44121.750462962962</v>
      </c>
      <c r="C270" s="8">
        <v>44172</v>
      </c>
      <c r="D270" s="9">
        <v>1295397</v>
      </c>
      <c r="E270" s="7" t="e">
        <f>VLOOKUP(A270,DEVOLUCIONES!A$1:A$231,1,0)</f>
        <v>#N/A</v>
      </c>
      <c r="F270" s="7" t="e">
        <f>VLOOKUP(A270,'GLOSAS X CONCILIAR'!$A$1:$A$37,1,0)</f>
        <v>#N/A</v>
      </c>
      <c r="G270" s="7" t="e">
        <f>VLOOKUP(A270,'TODAS LAS P'!A:A,1,0)</f>
        <v>#N/A</v>
      </c>
      <c r="H270" s="7" t="e">
        <f>VLOOKUP(A270,PAGOS!A304:$A$1553,1,0)</f>
        <v>#N/A</v>
      </c>
      <c r="I270" s="40"/>
      <c r="J270" s="40"/>
      <c r="K270" s="40"/>
      <c r="L270" s="40">
        <f t="shared" si="16"/>
        <v>1295397</v>
      </c>
      <c r="M270" s="40"/>
      <c r="N270" s="40"/>
      <c r="O270" s="40"/>
      <c r="P270" s="40"/>
      <c r="Q270" s="7"/>
      <c r="R270" s="7"/>
      <c r="S270" s="7"/>
      <c r="T270" s="35">
        <f t="shared" si="17"/>
        <v>0</v>
      </c>
      <c r="U270" s="7"/>
    </row>
    <row r="271" spans="1:21" x14ac:dyDescent="0.25">
      <c r="A271" s="7" t="s">
        <v>2963</v>
      </c>
      <c r="B271" s="8">
        <v>44122.732476851852</v>
      </c>
      <c r="C271" s="8">
        <v>44172</v>
      </c>
      <c r="D271" s="9">
        <v>2608089</v>
      </c>
      <c r="E271" s="7" t="e">
        <f>VLOOKUP(A271,DEVOLUCIONES!A$1:A$231,1,0)</f>
        <v>#N/A</v>
      </c>
      <c r="F271" s="7" t="e">
        <f>VLOOKUP(A271,'GLOSAS X CONCILIAR'!$A$1:$A$37,1,0)</f>
        <v>#N/A</v>
      </c>
      <c r="G271" s="7" t="e">
        <f>VLOOKUP(A271,'TODAS LAS P'!A:A,1,0)</f>
        <v>#N/A</v>
      </c>
      <c r="H271" s="7" t="e">
        <f>VLOOKUP(A271,PAGOS!A305:$A$1553,1,0)</f>
        <v>#N/A</v>
      </c>
      <c r="I271" s="40"/>
      <c r="J271" s="40"/>
      <c r="K271" s="40"/>
      <c r="L271" s="40">
        <f t="shared" si="16"/>
        <v>2608089</v>
      </c>
      <c r="M271" s="40"/>
      <c r="N271" s="40"/>
      <c r="O271" s="40"/>
      <c r="P271" s="40"/>
      <c r="Q271" s="7"/>
      <c r="R271" s="7"/>
      <c r="S271" s="7"/>
      <c r="T271" s="35">
        <f t="shared" si="17"/>
        <v>0</v>
      </c>
      <c r="U271" s="7"/>
    </row>
    <row r="272" spans="1:21" x14ac:dyDescent="0.25">
      <c r="A272" s="7" t="s">
        <v>2964</v>
      </c>
      <c r="B272" s="8">
        <v>44123.649328703701</v>
      </c>
      <c r="C272" s="8">
        <v>44172</v>
      </c>
      <c r="D272" s="9">
        <v>1318681</v>
      </c>
      <c r="E272" s="7" t="e">
        <f>VLOOKUP(A272,DEVOLUCIONES!A$1:A$231,1,0)</f>
        <v>#N/A</v>
      </c>
      <c r="F272" s="7" t="e">
        <f>VLOOKUP(A272,'GLOSAS X CONCILIAR'!$A$1:$A$37,1,0)</f>
        <v>#N/A</v>
      </c>
      <c r="G272" s="7" t="e">
        <f>VLOOKUP(A272,'TODAS LAS P'!A:A,1,0)</f>
        <v>#N/A</v>
      </c>
      <c r="H272" s="7" t="e">
        <f>VLOOKUP(A272,PAGOS!A306:$A$1553,1,0)</f>
        <v>#N/A</v>
      </c>
      <c r="I272" s="40"/>
      <c r="J272" s="40"/>
      <c r="K272" s="40"/>
      <c r="L272" s="40">
        <f t="shared" si="16"/>
        <v>1318681</v>
      </c>
      <c r="M272" s="40"/>
      <c r="N272" s="40"/>
      <c r="O272" s="40"/>
      <c r="P272" s="40"/>
      <c r="Q272" s="7"/>
      <c r="R272" s="7"/>
      <c r="S272" s="7"/>
      <c r="T272" s="35">
        <f t="shared" si="17"/>
        <v>0</v>
      </c>
      <c r="U272" s="7"/>
    </row>
    <row r="273" spans="1:21" x14ac:dyDescent="0.25">
      <c r="A273" s="7" t="s">
        <v>2965</v>
      </c>
      <c r="B273" s="8">
        <v>44123.693159722221</v>
      </c>
      <c r="C273" s="8">
        <v>44172</v>
      </c>
      <c r="D273" s="9">
        <v>225569</v>
      </c>
      <c r="E273" s="7" t="e">
        <f>VLOOKUP(A273,DEVOLUCIONES!A$1:A$231,1,0)</f>
        <v>#N/A</v>
      </c>
      <c r="F273" s="7" t="e">
        <f>VLOOKUP(A273,'GLOSAS X CONCILIAR'!$A$1:$A$37,1,0)</f>
        <v>#N/A</v>
      </c>
      <c r="G273" s="7" t="e">
        <f>VLOOKUP(A273,'TODAS LAS P'!A:A,1,0)</f>
        <v>#N/A</v>
      </c>
      <c r="H273" s="7" t="e">
        <f>VLOOKUP(A273,PAGOS!A307:$A$1553,1,0)</f>
        <v>#N/A</v>
      </c>
      <c r="I273" s="40"/>
      <c r="J273" s="40"/>
      <c r="K273" s="40"/>
      <c r="L273" s="40">
        <f t="shared" si="16"/>
        <v>225569</v>
      </c>
      <c r="M273" s="40"/>
      <c r="N273" s="40"/>
      <c r="O273" s="40"/>
      <c r="P273" s="40"/>
      <c r="Q273" s="7"/>
      <c r="R273" s="7"/>
      <c r="S273" s="7"/>
      <c r="T273" s="35">
        <f t="shared" si="17"/>
        <v>0</v>
      </c>
      <c r="U273" s="7"/>
    </row>
    <row r="274" spans="1:21" x14ac:dyDescent="0.25">
      <c r="A274" s="7" t="s">
        <v>2966</v>
      </c>
      <c r="B274" s="8">
        <v>44126.289571759262</v>
      </c>
      <c r="C274" s="8">
        <v>44172</v>
      </c>
      <c r="D274" s="9">
        <v>31700</v>
      </c>
      <c r="E274" s="7" t="e">
        <f>VLOOKUP(A274,DEVOLUCIONES!A$1:A$231,1,0)</f>
        <v>#N/A</v>
      </c>
      <c r="F274" s="7" t="e">
        <f>VLOOKUP(A274,'GLOSAS X CONCILIAR'!$A$1:$A$37,1,0)</f>
        <v>#N/A</v>
      </c>
      <c r="G274" s="7" t="e">
        <f>VLOOKUP(A274,'TODAS LAS P'!A:A,1,0)</f>
        <v>#N/A</v>
      </c>
      <c r="H274" s="7" t="e">
        <f>VLOOKUP(A274,PAGOS!A308:$A$1553,1,0)</f>
        <v>#N/A</v>
      </c>
      <c r="I274" s="40"/>
      <c r="J274" s="40"/>
      <c r="K274" s="40"/>
      <c r="L274" s="40">
        <f t="shared" si="16"/>
        <v>31700</v>
      </c>
      <c r="M274" s="40"/>
      <c r="N274" s="40"/>
      <c r="O274" s="40"/>
      <c r="P274" s="40"/>
      <c r="Q274" s="7"/>
      <c r="R274" s="7"/>
      <c r="S274" s="7"/>
      <c r="T274" s="35">
        <f t="shared" si="17"/>
        <v>0</v>
      </c>
      <c r="U274" s="7"/>
    </row>
    <row r="275" spans="1:21" x14ac:dyDescent="0.25">
      <c r="A275" s="7" t="s">
        <v>2967</v>
      </c>
      <c r="B275" s="8">
        <v>44127.628611111111</v>
      </c>
      <c r="C275" s="8">
        <v>44172</v>
      </c>
      <c r="D275" s="9">
        <v>19600</v>
      </c>
      <c r="E275" s="7" t="e">
        <f>VLOOKUP(A275,DEVOLUCIONES!A$1:A$231,1,0)</f>
        <v>#N/A</v>
      </c>
      <c r="F275" s="7" t="e">
        <f>VLOOKUP(A275,'GLOSAS X CONCILIAR'!$A$1:$A$37,1,0)</f>
        <v>#N/A</v>
      </c>
      <c r="G275" s="7" t="e">
        <f>VLOOKUP(A275,'TODAS LAS P'!A:A,1,0)</f>
        <v>#N/A</v>
      </c>
      <c r="H275" s="7" t="e">
        <f>VLOOKUP(A275,PAGOS!A309:$A$1553,1,0)</f>
        <v>#N/A</v>
      </c>
      <c r="I275" s="40"/>
      <c r="J275" s="40"/>
      <c r="K275" s="40"/>
      <c r="L275" s="40">
        <f t="shared" si="16"/>
        <v>19600</v>
      </c>
      <c r="M275" s="40"/>
      <c r="N275" s="40"/>
      <c r="O275" s="40"/>
      <c r="P275" s="40"/>
      <c r="Q275" s="7"/>
      <c r="R275" s="7"/>
      <c r="S275" s="7"/>
      <c r="T275" s="35">
        <f t="shared" si="17"/>
        <v>0</v>
      </c>
      <c r="U275" s="7"/>
    </row>
    <row r="276" spans="1:21" x14ac:dyDescent="0.25">
      <c r="A276" s="7" t="s">
        <v>2968</v>
      </c>
      <c r="B276" s="8">
        <v>44130.719490740739</v>
      </c>
      <c r="C276" s="8">
        <v>44172</v>
      </c>
      <c r="D276" s="9">
        <v>1282629</v>
      </c>
      <c r="E276" s="7" t="e">
        <f>VLOOKUP(A276,DEVOLUCIONES!A$1:A$231,1,0)</f>
        <v>#N/A</v>
      </c>
      <c r="F276" s="7" t="e">
        <f>VLOOKUP(A276,'GLOSAS X CONCILIAR'!$A$1:$A$37,1,0)</f>
        <v>#N/A</v>
      </c>
      <c r="G276" s="7" t="e">
        <f>VLOOKUP(A276,'TODAS LAS P'!A:A,1,0)</f>
        <v>#N/A</v>
      </c>
      <c r="H276" s="7" t="e">
        <f>VLOOKUP(A276,PAGOS!A310:$A$1553,1,0)</f>
        <v>#N/A</v>
      </c>
      <c r="I276" s="40"/>
      <c r="J276" s="40"/>
      <c r="K276" s="40"/>
      <c r="L276" s="40">
        <f t="shared" si="16"/>
        <v>1282629</v>
      </c>
      <c r="M276" s="40"/>
      <c r="N276" s="40"/>
      <c r="O276" s="40"/>
      <c r="P276" s="40"/>
      <c r="Q276" s="7"/>
      <c r="R276" s="7"/>
      <c r="S276" s="7"/>
      <c r="T276" s="35">
        <f t="shared" si="17"/>
        <v>0</v>
      </c>
      <c r="U276" s="7"/>
    </row>
    <row r="277" spans="1:21" x14ac:dyDescent="0.25">
      <c r="A277" s="7" t="s">
        <v>2969</v>
      </c>
      <c r="B277" s="8">
        <v>44140.332476851851</v>
      </c>
      <c r="C277" s="8">
        <v>44208</v>
      </c>
      <c r="D277" s="9">
        <v>630400</v>
      </c>
      <c r="E277" s="7" t="e">
        <f>VLOOKUP(A277,DEVOLUCIONES!A$1:A$231,1,0)</f>
        <v>#N/A</v>
      </c>
      <c r="F277" s="7" t="e">
        <f>VLOOKUP(A277,'GLOSAS X CONCILIAR'!$A$1:$A$37,1,0)</f>
        <v>#N/A</v>
      </c>
      <c r="G277" s="7" t="e">
        <f>VLOOKUP(A277,'TODAS LAS P'!A:A,1,0)</f>
        <v>#N/A</v>
      </c>
      <c r="H277" s="7" t="e">
        <f>VLOOKUP(A277,PAGOS!A311:$A$1553,1,0)</f>
        <v>#N/A</v>
      </c>
      <c r="I277" s="40"/>
      <c r="J277" s="40"/>
      <c r="K277" s="40"/>
      <c r="L277" s="40">
        <f t="shared" si="16"/>
        <v>630400</v>
      </c>
      <c r="M277" s="40"/>
      <c r="N277" s="40"/>
      <c r="O277" s="40"/>
      <c r="P277" s="40"/>
      <c r="Q277" s="7"/>
      <c r="R277" s="7"/>
      <c r="S277" s="7"/>
      <c r="T277" s="35">
        <f t="shared" si="17"/>
        <v>0</v>
      </c>
      <c r="U277" s="7"/>
    </row>
    <row r="278" spans="1:21" x14ac:dyDescent="0.25">
      <c r="A278" s="7" t="s">
        <v>2970</v>
      </c>
      <c r="B278" s="8">
        <v>44141.386620370373</v>
      </c>
      <c r="C278" s="8">
        <v>44172</v>
      </c>
      <c r="D278" s="9">
        <v>25096</v>
      </c>
      <c r="E278" s="7" t="e">
        <f>VLOOKUP(A278,DEVOLUCIONES!A$1:A$231,1,0)</f>
        <v>#N/A</v>
      </c>
      <c r="F278" s="7" t="e">
        <f>VLOOKUP(A278,'GLOSAS X CONCILIAR'!$A$1:$A$37,1,0)</f>
        <v>#N/A</v>
      </c>
      <c r="G278" s="7" t="e">
        <f>VLOOKUP(A278,'TODAS LAS P'!A:A,1,0)</f>
        <v>#N/A</v>
      </c>
      <c r="H278" s="7" t="e">
        <f>VLOOKUP(A278,PAGOS!A312:$A$1553,1,0)</f>
        <v>#N/A</v>
      </c>
      <c r="I278" s="40"/>
      <c r="J278" s="40"/>
      <c r="K278" s="40"/>
      <c r="L278" s="40">
        <f t="shared" si="16"/>
        <v>25096</v>
      </c>
      <c r="M278" s="40"/>
      <c r="N278" s="40"/>
      <c r="O278" s="40"/>
      <c r="P278" s="40"/>
      <c r="Q278" s="7"/>
      <c r="R278" s="7"/>
      <c r="S278" s="7"/>
      <c r="T278" s="35">
        <f t="shared" si="17"/>
        <v>0</v>
      </c>
      <c r="U278" s="7"/>
    </row>
    <row r="279" spans="1:21" x14ac:dyDescent="0.25">
      <c r="A279" s="7" t="s">
        <v>2971</v>
      </c>
      <c r="B279" s="8">
        <v>44141.596331018518</v>
      </c>
      <c r="C279" s="8">
        <v>44172</v>
      </c>
      <c r="D279" s="9">
        <v>6062342</v>
      </c>
      <c r="E279" s="7" t="e">
        <f>VLOOKUP(A279,DEVOLUCIONES!A$1:A$231,1,0)</f>
        <v>#N/A</v>
      </c>
      <c r="F279" s="7" t="e">
        <f>VLOOKUP(A279,'GLOSAS X CONCILIAR'!$A$1:$A$37,1,0)</f>
        <v>#N/A</v>
      </c>
      <c r="G279" s="7" t="e">
        <f>VLOOKUP(A279,'TODAS LAS P'!A:A,1,0)</f>
        <v>#N/A</v>
      </c>
      <c r="H279" s="7" t="e">
        <f>VLOOKUP(A279,PAGOS!A313:$A$1553,1,0)</f>
        <v>#N/A</v>
      </c>
      <c r="I279" s="40"/>
      <c r="J279" s="40"/>
      <c r="K279" s="40"/>
      <c r="L279" s="40">
        <f t="shared" si="16"/>
        <v>6062342</v>
      </c>
      <c r="M279" s="40"/>
      <c r="N279" s="40"/>
      <c r="O279" s="40"/>
      <c r="P279" s="40"/>
      <c r="Q279" s="7"/>
      <c r="R279" s="7"/>
      <c r="S279" s="7"/>
      <c r="T279" s="35">
        <f t="shared" si="17"/>
        <v>0</v>
      </c>
      <c r="U279" s="7"/>
    </row>
    <row r="280" spans="1:21" x14ac:dyDescent="0.25">
      <c r="A280" s="7" t="s">
        <v>2972</v>
      </c>
      <c r="B280" s="8">
        <v>44146.789861111109</v>
      </c>
      <c r="C280" s="8">
        <v>44208</v>
      </c>
      <c r="D280" s="9">
        <v>2001501</v>
      </c>
      <c r="E280" s="7" t="e">
        <f>VLOOKUP(A280,DEVOLUCIONES!A$1:A$231,1,0)</f>
        <v>#N/A</v>
      </c>
      <c r="F280" s="7" t="e">
        <f>VLOOKUP(A280,'GLOSAS X CONCILIAR'!$A$1:$A$37,1,0)</f>
        <v>#N/A</v>
      </c>
      <c r="G280" s="7" t="e">
        <f>VLOOKUP(A280,'TODAS LAS P'!A:A,1,0)</f>
        <v>#N/A</v>
      </c>
      <c r="H280" s="7" t="e">
        <f>VLOOKUP(A280,PAGOS!A314:$A$1553,1,0)</f>
        <v>#N/A</v>
      </c>
      <c r="I280" s="40"/>
      <c r="J280" s="40"/>
      <c r="K280" s="40"/>
      <c r="L280" s="40">
        <f t="shared" si="16"/>
        <v>2001501</v>
      </c>
      <c r="M280" s="40"/>
      <c r="N280" s="40"/>
      <c r="O280" s="40"/>
      <c r="P280" s="40"/>
      <c r="Q280" s="7"/>
      <c r="R280" s="7"/>
      <c r="S280" s="7"/>
      <c r="T280" s="35">
        <f t="shared" si="17"/>
        <v>0</v>
      </c>
      <c r="U280" s="7"/>
    </row>
    <row r="281" spans="1:21" x14ac:dyDescent="0.25">
      <c r="A281" s="7" t="s">
        <v>2973</v>
      </c>
      <c r="B281" s="8">
        <v>44151.571203703701</v>
      </c>
      <c r="C281" s="8">
        <v>44208</v>
      </c>
      <c r="D281" s="9">
        <v>99423</v>
      </c>
      <c r="E281" s="7" t="e">
        <f>VLOOKUP(A281,DEVOLUCIONES!A$1:A$231,1,0)</f>
        <v>#N/A</v>
      </c>
      <c r="F281" s="7" t="e">
        <f>VLOOKUP(A281,'GLOSAS X CONCILIAR'!$A$1:$A$37,1,0)</f>
        <v>#N/A</v>
      </c>
      <c r="G281" s="7" t="e">
        <f>VLOOKUP(A281,'TODAS LAS P'!A:A,1,0)</f>
        <v>#N/A</v>
      </c>
      <c r="H281" s="7" t="e">
        <f>VLOOKUP(A281,PAGOS!A315:$A$1553,1,0)</f>
        <v>#N/A</v>
      </c>
      <c r="I281" s="40"/>
      <c r="J281" s="40"/>
      <c r="K281" s="40"/>
      <c r="L281" s="40">
        <f t="shared" si="16"/>
        <v>99423</v>
      </c>
      <c r="M281" s="40"/>
      <c r="N281" s="40"/>
      <c r="O281" s="40"/>
      <c r="P281" s="40"/>
      <c r="Q281" s="7"/>
      <c r="R281" s="7"/>
      <c r="S281" s="7"/>
      <c r="T281" s="35">
        <f t="shared" si="17"/>
        <v>0</v>
      </c>
      <c r="U281" s="7"/>
    </row>
    <row r="282" spans="1:21" x14ac:dyDescent="0.25">
      <c r="A282" s="7" t="s">
        <v>2974</v>
      </c>
      <c r="B282" s="8">
        <v>44152.745243055557</v>
      </c>
      <c r="C282" s="8">
        <v>44208</v>
      </c>
      <c r="D282" s="9">
        <v>13505052</v>
      </c>
      <c r="E282" s="7" t="e">
        <f>VLOOKUP(A282,DEVOLUCIONES!A$1:A$231,1,0)</f>
        <v>#N/A</v>
      </c>
      <c r="F282" s="7" t="e">
        <f>VLOOKUP(A282,'GLOSAS X CONCILIAR'!$A$1:$A$37,1,0)</f>
        <v>#N/A</v>
      </c>
      <c r="G282" s="7" t="e">
        <f>VLOOKUP(A282,'TODAS LAS P'!A:A,1,0)</f>
        <v>#N/A</v>
      </c>
      <c r="H282" s="7" t="e">
        <f>VLOOKUP(A282,PAGOS!A316:$A$1553,1,0)</f>
        <v>#N/A</v>
      </c>
      <c r="I282" s="40"/>
      <c r="J282" s="40"/>
      <c r="K282" s="40"/>
      <c r="L282" s="40">
        <f t="shared" si="16"/>
        <v>13505052</v>
      </c>
      <c r="M282" s="40"/>
      <c r="N282" s="40"/>
      <c r="O282" s="40"/>
      <c r="P282" s="40"/>
      <c r="Q282" s="7"/>
      <c r="R282" s="7"/>
      <c r="S282" s="7"/>
      <c r="T282" s="35">
        <f t="shared" si="17"/>
        <v>0</v>
      </c>
      <c r="U282" s="7"/>
    </row>
    <row r="283" spans="1:21" x14ac:dyDescent="0.25">
      <c r="A283" s="7" t="s">
        <v>2975</v>
      </c>
      <c r="B283" s="8">
        <v>44152.745243055557</v>
      </c>
      <c r="C283" s="8">
        <v>44208</v>
      </c>
      <c r="D283" s="9">
        <v>168412</v>
      </c>
      <c r="E283" s="7" t="e">
        <f>VLOOKUP(A283,DEVOLUCIONES!A$1:A$231,1,0)</f>
        <v>#N/A</v>
      </c>
      <c r="F283" s="7" t="e">
        <f>VLOOKUP(A283,'GLOSAS X CONCILIAR'!$A$1:$A$37,1,0)</f>
        <v>#N/A</v>
      </c>
      <c r="G283" s="7" t="e">
        <f>VLOOKUP(A283,'TODAS LAS P'!A:A,1,0)</f>
        <v>#N/A</v>
      </c>
      <c r="H283" s="7" t="e">
        <f>VLOOKUP(A283,PAGOS!A317:$A$1553,1,0)</f>
        <v>#N/A</v>
      </c>
      <c r="I283" s="40"/>
      <c r="J283" s="40"/>
      <c r="K283" s="40"/>
      <c r="L283" s="40">
        <f t="shared" si="16"/>
        <v>168412</v>
      </c>
      <c r="M283" s="40"/>
      <c r="N283" s="40"/>
      <c r="O283" s="40"/>
      <c r="P283" s="40"/>
      <c r="Q283" s="7"/>
      <c r="R283" s="7"/>
      <c r="S283" s="7"/>
      <c r="T283" s="35">
        <f t="shared" si="17"/>
        <v>0</v>
      </c>
      <c r="U283" s="7"/>
    </row>
    <row r="284" spans="1:21" x14ac:dyDescent="0.25">
      <c r="A284" s="7" t="s">
        <v>2976</v>
      </c>
      <c r="B284" s="8">
        <v>44155.420023148145</v>
      </c>
      <c r="C284" s="8">
        <v>44208</v>
      </c>
      <c r="D284" s="9">
        <v>31600</v>
      </c>
      <c r="E284" s="7" t="e">
        <f>VLOOKUP(A284,DEVOLUCIONES!A$1:A$231,1,0)</f>
        <v>#N/A</v>
      </c>
      <c r="F284" s="7" t="e">
        <f>VLOOKUP(A284,'GLOSAS X CONCILIAR'!$A$1:$A$37,1,0)</f>
        <v>#N/A</v>
      </c>
      <c r="G284" s="7" t="e">
        <f>VLOOKUP(A284,'TODAS LAS P'!A:A,1,0)</f>
        <v>#N/A</v>
      </c>
      <c r="H284" s="7" t="e">
        <f>VLOOKUP(A284,PAGOS!A318:$A$1553,1,0)</f>
        <v>#N/A</v>
      </c>
      <c r="I284" s="40"/>
      <c r="J284" s="40"/>
      <c r="K284" s="40"/>
      <c r="L284" s="40">
        <f t="shared" si="16"/>
        <v>31600</v>
      </c>
      <c r="M284" s="40"/>
      <c r="N284" s="40"/>
      <c r="O284" s="40"/>
      <c r="P284" s="40"/>
      <c r="Q284" s="7"/>
      <c r="R284" s="7"/>
      <c r="S284" s="7"/>
      <c r="T284" s="35">
        <f t="shared" si="17"/>
        <v>0</v>
      </c>
      <c r="U284" s="7"/>
    </row>
    <row r="285" spans="1:21" x14ac:dyDescent="0.25">
      <c r="A285" s="7" t="s">
        <v>2977</v>
      </c>
      <c r="B285" s="8">
        <v>44161.748784722222</v>
      </c>
      <c r="C285" s="8">
        <v>44208</v>
      </c>
      <c r="D285" s="9">
        <v>38914675</v>
      </c>
      <c r="E285" s="7" t="e">
        <f>VLOOKUP(A285,DEVOLUCIONES!A$1:A$231,1,0)</f>
        <v>#N/A</v>
      </c>
      <c r="F285" s="7" t="e">
        <f>VLOOKUP(A285,'GLOSAS X CONCILIAR'!$A$1:$A$37,1,0)</f>
        <v>#N/A</v>
      </c>
      <c r="G285" s="7" t="e">
        <f>VLOOKUP(A285,'TODAS LAS P'!A:A,1,0)</f>
        <v>#N/A</v>
      </c>
      <c r="H285" s="7" t="e">
        <f>VLOOKUP(A285,PAGOS!A319:$A$1553,1,0)</f>
        <v>#N/A</v>
      </c>
      <c r="I285" s="40"/>
      <c r="J285" s="40"/>
      <c r="K285" s="40"/>
      <c r="L285" s="40">
        <f t="shared" si="16"/>
        <v>38914675</v>
      </c>
      <c r="M285" s="40"/>
      <c r="N285" s="40"/>
      <c r="O285" s="40"/>
      <c r="P285" s="40"/>
      <c r="Q285" s="7"/>
      <c r="R285" s="7"/>
      <c r="S285" s="7"/>
      <c r="T285" s="35">
        <f t="shared" si="17"/>
        <v>0</v>
      </c>
      <c r="U285" s="7"/>
    </row>
    <row r="286" spans="1:21" x14ac:dyDescent="0.25">
      <c r="A286" s="7" t="s">
        <v>2978</v>
      </c>
      <c r="B286" s="8">
        <v>44161.748784722222</v>
      </c>
      <c r="C286" s="8">
        <v>44208</v>
      </c>
      <c r="D286" s="9">
        <v>26983</v>
      </c>
      <c r="E286" s="7" t="e">
        <f>VLOOKUP(A286,DEVOLUCIONES!A$1:A$231,1,0)</f>
        <v>#N/A</v>
      </c>
      <c r="F286" s="7" t="e">
        <f>VLOOKUP(A286,'GLOSAS X CONCILIAR'!$A$1:$A$37,1,0)</f>
        <v>#N/A</v>
      </c>
      <c r="G286" s="7" t="e">
        <f>VLOOKUP(A286,'TODAS LAS P'!A:A,1,0)</f>
        <v>#N/A</v>
      </c>
      <c r="H286" s="7" t="e">
        <f>VLOOKUP(A286,PAGOS!A320:$A$1553,1,0)</f>
        <v>#N/A</v>
      </c>
      <c r="I286" s="40"/>
      <c r="J286" s="40"/>
      <c r="K286" s="40"/>
      <c r="L286" s="40">
        <f t="shared" si="16"/>
        <v>26983</v>
      </c>
      <c r="M286" s="40"/>
      <c r="N286" s="40"/>
      <c r="O286" s="40"/>
      <c r="P286" s="40"/>
      <c r="Q286" s="7"/>
      <c r="R286" s="7"/>
      <c r="S286" s="7"/>
      <c r="T286" s="35">
        <f t="shared" si="17"/>
        <v>0</v>
      </c>
      <c r="U286" s="7"/>
    </row>
    <row r="287" spans="1:21" x14ac:dyDescent="0.25">
      <c r="A287" s="7" t="s">
        <v>2979</v>
      </c>
      <c r="B287" s="8">
        <v>44161.755115740743</v>
      </c>
      <c r="C287" s="8">
        <v>44208</v>
      </c>
      <c r="D287" s="9">
        <v>99423</v>
      </c>
      <c r="E287" s="7" t="e">
        <f>VLOOKUP(A287,DEVOLUCIONES!A$1:A$231,1,0)</f>
        <v>#N/A</v>
      </c>
      <c r="F287" s="7" t="e">
        <f>VLOOKUP(A287,'GLOSAS X CONCILIAR'!$A$1:$A$37,1,0)</f>
        <v>#N/A</v>
      </c>
      <c r="G287" s="7" t="e">
        <f>VLOOKUP(A287,'TODAS LAS P'!A:A,1,0)</f>
        <v>#N/A</v>
      </c>
      <c r="H287" s="7" t="e">
        <f>VLOOKUP(A287,PAGOS!A321:$A$1553,1,0)</f>
        <v>#N/A</v>
      </c>
      <c r="I287" s="40"/>
      <c r="J287" s="40"/>
      <c r="K287" s="40"/>
      <c r="L287" s="40">
        <f t="shared" si="16"/>
        <v>99423</v>
      </c>
      <c r="M287" s="40"/>
      <c r="N287" s="40"/>
      <c r="O287" s="40"/>
      <c r="P287" s="40"/>
      <c r="Q287" s="7"/>
      <c r="R287" s="7"/>
      <c r="S287" s="7"/>
      <c r="T287" s="35">
        <f t="shared" si="17"/>
        <v>0</v>
      </c>
      <c r="U287" s="7"/>
    </row>
    <row r="288" spans="1:21" x14ac:dyDescent="0.25">
      <c r="A288" s="7" t="s">
        <v>2980</v>
      </c>
      <c r="B288" s="8">
        <v>44164.418587962966</v>
      </c>
      <c r="C288" s="8">
        <v>44208</v>
      </c>
      <c r="D288" s="9">
        <v>719947</v>
      </c>
      <c r="E288" s="7" t="e">
        <f>VLOOKUP(A288,DEVOLUCIONES!A$1:A$231,1,0)</f>
        <v>#N/A</v>
      </c>
      <c r="F288" s="7" t="e">
        <f>VLOOKUP(A288,'GLOSAS X CONCILIAR'!$A$1:$A$37,1,0)</f>
        <v>#N/A</v>
      </c>
      <c r="G288" s="7" t="e">
        <f>VLOOKUP(A288,'TODAS LAS P'!A:A,1,0)</f>
        <v>#N/A</v>
      </c>
      <c r="H288" s="7" t="e">
        <f>VLOOKUP(A288,PAGOS!A322:$A$1553,1,0)</f>
        <v>#N/A</v>
      </c>
      <c r="I288" s="40"/>
      <c r="J288" s="40"/>
      <c r="K288" s="40"/>
      <c r="L288" s="40">
        <f t="shared" si="16"/>
        <v>719947</v>
      </c>
      <c r="M288" s="40"/>
      <c r="N288" s="40"/>
      <c r="O288" s="40"/>
      <c r="P288" s="40"/>
      <c r="Q288" s="7"/>
      <c r="R288" s="7"/>
      <c r="S288" s="7"/>
      <c r="T288" s="35">
        <f t="shared" si="17"/>
        <v>0</v>
      </c>
      <c r="U288" s="7"/>
    </row>
    <row r="289" spans="1:21" x14ac:dyDescent="0.25">
      <c r="A289" s="7" t="s">
        <v>2981</v>
      </c>
      <c r="B289" s="8">
        <v>44166.791493055556</v>
      </c>
      <c r="C289" s="8">
        <v>44208</v>
      </c>
      <c r="D289" s="9">
        <v>2159313</v>
      </c>
      <c r="E289" s="7" t="e">
        <f>VLOOKUP(A289,DEVOLUCIONES!A$1:A$231,1,0)</f>
        <v>#N/A</v>
      </c>
      <c r="F289" s="7" t="e">
        <f>VLOOKUP(A289,'GLOSAS X CONCILIAR'!$A$1:$A$37,1,0)</f>
        <v>#N/A</v>
      </c>
      <c r="G289" s="7" t="e">
        <f>VLOOKUP(A289,'TODAS LAS P'!A:A,1,0)</f>
        <v>#N/A</v>
      </c>
      <c r="H289" s="7" t="e">
        <f>VLOOKUP(A289,PAGOS!A323:$A$1553,1,0)</f>
        <v>#N/A</v>
      </c>
      <c r="I289" s="40"/>
      <c r="J289" s="40"/>
      <c r="K289" s="40"/>
      <c r="L289" s="40">
        <f t="shared" si="16"/>
        <v>2159313</v>
      </c>
      <c r="M289" s="40"/>
      <c r="N289" s="40"/>
      <c r="O289" s="40"/>
      <c r="P289" s="40"/>
      <c r="Q289" s="7"/>
      <c r="R289" s="7"/>
      <c r="S289" s="7"/>
      <c r="T289" s="35">
        <f t="shared" si="17"/>
        <v>0</v>
      </c>
      <c r="U289" s="7"/>
    </row>
    <row r="290" spans="1:21" x14ac:dyDescent="0.25">
      <c r="A290" s="7" t="s">
        <v>2982</v>
      </c>
      <c r="B290" s="8">
        <v>44191.76761574074</v>
      </c>
      <c r="C290" s="8">
        <v>44208</v>
      </c>
      <c r="D290" s="9">
        <v>51900</v>
      </c>
      <c r="E290" s="7" t="e">
        <f>VLOOKUP(A290,DEVOLUCIONES!A$1:A$231,1,0)</f>
        <v>#N/A</v>
      </c>
      <c r="F290" s="7" t="e">
        <f>VLOOKUP(A290,'GLOSAS X CONCILIAR'!$A$1:$A$37,1,0)</f>
        <v>#N/A</v>
      </c>
      <c r="G290" s="7" t="e">
        <f>VLOOKUP(A290,'TODAS LAS P'!A:A,1,0)</f>
        <v>#N/A</v>
      </c>
      <c r="H290" s="7" t="e">
        <f>VLOOKUP(A290,PAGOS!A324:$A$1553,1,0)</f>
        <v>#N/A</v>
      </c>
      <c r="I290" s="40"/>
      <c r="J290" s="40"/>
      <c r="K290" s="40"/>
      <c r="L290" s="40">
        <f t="shared" si="16"/>
        <v>51900</v>
      </c>
      <c r="M290" s="40"/>
      <c r="N290" s="40"/>
      <c r="O290" s="40"/>
      <c r="P290" s="40"/>
      <c r="Q290" s="7"/>
      <c r="R290" s="7"/>
      <c r="S290" s="7"/>
      <c r="T290" s="35">
        <f t="shared" si="17"/>
        <v>0</v>
      </c>
      <c r="U290" s="7"/>
    </row>
    <row r="291" spans="1:21" x14ac:dyDescent="0.25">
      <c r="A291" s="7" t="s">
        <v>2983</v>
      </c>
      <c r="B291" s="8">
        <v>44205.173182870371</v>
      </c>
      <c r="C291" s="8">
        <v>44237</v>
      </c>
      <c r="D291" s="9">
        <v>17474</v>
      </c>
      <c r="E291" s="7" t="e">
        <f>VLOOKUP(A291,DEVOLUCIONES!A$1:A$231,1,0)</f>
        <v>#N/A</v>
      </c>
      <c r="F291" s="7" t="e">
        <f>VLOOKUP(A291,'GLOSAS X CONCILIAR'!$A$1:$A$37,1,0)</f>
        <v>#N/A</v>
      </c>
      <c r="G291" s="7" t="e">
        <f>VLOOKUP(A291,'TODAS LAS P'!A:A,1,0)</f>
        <v>#N/A</v>
      </c>
      <c r="H291" s="7" t="e">
        <f>VLOOKUP(A291,PAGOS!A325:$A$1553,1,0)</f>
        <v>#N/A</v>
      </c>
      <c r="I291" s="40"/>
      <c r="J291" s="40"/>
      <c r="K291" s="40"/>
      <c r="L291" s="40">
        <f t="shared" si="16"/>
        <v>17474</v>
      </c>
      <c r="M291" s="40"/>
      <c r="N291" s="40"/>
      <c r="O291" s="40"/>
      <c r="P291" s="40"/>
      <c r="Q291" s="7"/>
      <c r="R291" s="7"/>
      <c r="S291" s="7"/>
      <c r="T291" s="35">
        <f t="shared" si="17"/>
        <v>0</v>
      </c>
      <c r="U291" s="7"/>
    </row>
    <row r="292" spans="1:21" x14ac:dyDescent="0.25">
      <c r="A292" s="7" t="s">
        <v>2984</v>
      </c>
      <c r="B292" s="8">
        <v>44211.471006944441</v>
      </c>
      <c r="C292" s="8">
        <v>44236.708333333336</v>
      </c>
      <c r="D292" s="9">
        <v>99423</v>
      </c>
      <c r="E292" s="7" t="e">
        <f>VLOOKUP(A292,DEVOLUCIONES!A$1:A$231,1,0)</f>
        <v>#N/A</v>
      </c>
      <c r="F292" s="7" t="e">
        <f>VLOOKUP(A292,'GLOSAS X CONCILIAR'!$A$1:$A$37,1,0)</f>
        <v>#N/A</v>
      </c>
      <c r="G292" s="7" t="e">
        <f>VLOOKUP(A292,'TODAS LAS P'!A:A,1,0)</f>
        <v>#N/A</v>
      </c>
      <c r="H292" s="7" t="e">
        <f>VLOOKUP(A292,PAGOS!A326:$A$1553,1,0)</f>
        <v>#N/A</v>
      </c>
      <c r="I292" s="40"/>
      <c r="J292" s="40"/>
      <c r="K292" s="40"/>
      <c r="L292" s="40">
        <f t="shared" si="16"/>
        <v>99423</v>
      </c>
      <c r="M292" s="40"/>
      <c r="N292" s="40"/>
      <c r="O292" s="40"/>
      <c r="P292" s="40"/>
      <c r="Q292" s="7"/>
      <c r="R292" s="7"/>
      <c r="S292" s="7"/>
      <c r="T292" s="35">
        <f t="shared" si="17"/>
        <v>0</v>
      </c>
      <c r="U292" s="7"/>
    </row>
    <row r="293" spans="1:21" x14ac:dyDescent="0.25">
      <c r="A293" s="7" t="s">
        <v>2985</v>
      </c>
      <c r="B293" s="8">
        <v>44214.721192129633</v>
      </c>
      <c r="C293" s="8">
        <v>44252.638888888891</v>
      </c>
      <c r="D293" s="9">
        <v>2015441</v>
      </c>
      <c r="E293" s="7" t="e">
        <f>VLOOKUP(A293,DEVOLUCIONES!A$1:A$231,1,0)</f>
        <v>#N/A</v>
      </c>
      <c r="F293" s="7" t="e">
        <f>VLOOKUP(A293,'GLOSAS X CONCILIAR'!$A$1:$A$37,1,0)</f>
        <v>#N/A</v>
      </c>
      <c r="G293" s="7" t="e">
        <f>VLOOKUP(A293,'TODAS LAS P'!A:A,1,0)</f>
        <v>#N/A</v>
      </c>
      <c r="H293" s="7" t="e">
        <f>VLOOKUP(A293,PAGOS!A327:$A$1553,1,0)</f>
        <v>#N/A</v>
      </c>
      <c r="I293" s="40"/>
      <c r="J293" s="40"/>
      <c r="K293" s="40"/>
      <c r="L293" s="40">
        <f t="shared" si="16"/>
        <v>2015441</v>
      </c>
      <c r="M293" s="40"/>
      <c r="N293" s="40"/>
      <c r="O293" s="40"/>
      <c r="P293" s="40"/>
      <c r="Q293" s="7"/>
      <c r="R293" s="7"/>
      <c r="S293" s="7"/>
      <c r="T293" s="35">
        <f t="shared" si="17"/>
        <v>0</v>
      </c>
      <c r="U293" s="7"/>
    </row>
    <row r="294" spans="1:21" x14ac:dyDescent="0.25">
      <c r="A294" s="7" t="s">
        <v>2986</v>
      </c>
      <c r="B294" s="8">
        <v>44215.589328703703</v>
      </c>
      <c r="C294" s="8">
        <v>44252.638888888891</v>
      </c>
      <c r="D294" s="9">
        <v>3163461</v>
      </c>
      <c r="E294" s="7" t="e">
        <f>VLOOKUP(A294,DEVOLUCIONES!A$1:A$231,1,0)</f>
        <v>#N/A</v>
      </c>
      <c r="F294" s="7" t="e">
        <f>VLOOKUP(A294,'GLOSAS X CONCILIAR'!$A$1:$A$37,1,0)</f>
        <v>#N/A</v>
      </c>
      <c r="G294" s="7" t="e">
        <f>VLOOKUP(A294,'TODAS LAS P'!A:A,1,0)</f>
        <v>#N/A</v>
      </c>
      <c r="H294" s="7" t="e">
        <f>VLOOKUP(A294,PAGOS!A328:$A$1553,1,0)</f>
        <v>#N/A</v>
      </c>
      <c r="I294" s="40"/>
      <c r="J294" s="40"/>
      <c r="K294" s="40"/>
      <c r="L294" s="40">
        <f t="shared" si="16"/>
        <v>3163461</v>
      </c>
      <c r="M294" s="40"/>
      <c r="N294" s="40"/>
      <c r="O294" s="40"/>
      <c r="P294" s="40"/>
      <c r="Q294" s="7"/>
      <c r="R294" s="7"/>
      <c r="S294" s="7"/>
      <c r="T294" s="35">
        <f t="shared" si="17"/>
        <v>0</v>
      </c>
      <c r="U294" s="7"/>
    </row>
    <row r="295" spans="1:21" x14ac:dyDescent="0.25">
      <c r="A295" s="7" t="s">
        <v>2987</v>
      </c>
      <c r="B295" s="8">
        <v>44215.591365740744</v>
      </c>
      <c r="C295" s="8">
        <v>44236.708333333336</v>
      </c>
      <c r="D295" s="9">
        <v>99423</v>
      </c>
      <c r="E295" s="7" t="e">
        <f>VLOOKUP(A295,DEVOLUCIONES!A$1:A$231,1,0)</f>
        <v>#N/A</v>
      </c>
      <c r="F295" s="7" t="e">
        <f>VLOOKUP(A295,'GLOSAS X CONCILIAR'!$A$1:$A$37,1,0)</f>
        <v>#N/A</v>
      </c>
      <c r="G295" s="7" t="e">
        <f>VLOOKUP(A295,'TODAS LAS P'!A:A,1,0)</f>
        <v>#N/A</v>
      </c>
      <c r="H295" s="7" t="e">
        <f>VLOOKUP(A295,PAGOS!A329:$A$1553,1,0)</f>
        <v>#N/A</v>
      </c>
      <c r="I295" s="40"/>
      <c r="J295" s="40"/>
      <c r="K295" s="40"/>
      <c r="L295" s="40">
        <f t="shared" si="16"/>
        <v>99423</v>
      </c>
      <c r="M295" s="40"/>
      <c r="N295" s="40"/>
      <c r="O295" s="40"/>
      <c r="P295" s="40"/>
      <c r="Q295" s="7"/>
      <c r="R295" s="7"/>
      <c r="S295" s="7"/>
      <c r="T295" s="35">
        <f t="shared" si="17"/>
        <v>0</v>
      </c>
      <c r="U295" s="7"/>
    </row>
    <row r="296" spans="1:21" x14ac:dyDescent="0.25">
      <c r="A296" s="7" t="s">
        <v>2988</v>
      </c>
      <c r="B296" s="8">
        <v>44216.750752314816</v>
      </c>
      <c r="C296" s="8">
        <v>44252.638888888891</v>
      </c>
      <c r="D296" s="9">
        <v>1321634</v>
      </c>
      <c r="E296" s="7" t="e">
        <f>VLOOKUP(A296,DEVOLUCIONES!A$1:A$231,1,0)</f>
        <v>#N/A</v>
      </c>
      <c r="F296" s="7" t="e">
        <f>VLOOKUP(A296,'GLOSAS X CONCILIAR'!$A$1:$A$37,1,0)</f>
        <v>#N/A</v>
      </c>
      <c r="G296" s="7" t="e">
        <f>VLOOKUP(A296,'TODAS LAS P'!A:A,1,0)</f>
        <v>#N/A</v>
      </c>
      <c r="H296" s="7" t="e">
        <f>VLOOKUP(A296,PAGOS!A330:$A$1553,1,0)</f>
        <v>#N/A</v>
      </c>
      <c r="I296" s="40"/>
      <c r="J296" s="40"/>
      <c r="K296" s="40"/>
      <c r="L296" s="40">
        <f t="shared" si="16"/>
        <v>1321634</v>
      </c>
      <c r="M296" s="40"/>
      <c r="N296" s="40"/>
      <c r="O296" s="40"/>
      <c r="P296" s="40"/>
      <c r="Q296" s="7"/>
      <c r="R296" s="7"/>
      <c r="S296" s="7"/>
      <c r="T296" s="35">
        <f t="shared" si="17"/>
        <v>0</v>
      </c>
      <c r="U296" s="7"/>
    </row>
    <row r="297" spans="1:21" x14ac:dyDescent="0.25">
      <c r="A297" s="7" t="s">
        <v>2989</v>
      </c>
      <c r="B297" s="8">
        <v>44221.680474537039</v>
      </c>
      <c r="C297" s="8">
        <v>44252.638888888891</v>
      </c>
      <c r="D297" s="9">
        <v>102783</v>
      </c>
      <c r="E297" s="7" t="e">
        <f>VLOOKUP(A297,DEVOLUCIONES!A$1:A$231,1,0)</f>
        <v>#N/A</v>
      </c>
      <c r="F297" s="7" t="e">
        <f>VLOOKUP(A297,'GLOSAS X CONCILIAR'!$A$1:$A$37,1,0)</f>
        <v>#N/A</v>
      </c>
      <c r="G297" s="7" t="e">
        <f>VLOOKUP(A297,'TODAS LAS P'!A:A,1,0)</f>
        <v>#N/A</v>
      </c>
      <c r="H297" s="7" t="e">
        <f>VLOOKUP(A297,PAGOS!A331:$A$1553,1,0)</f>
        <v>#N/A</v>
      </c>
      <c r="I297" s="40"/>
      <c r="J297" s="40"/>
      <c r="K297" s="40"/>
      <c r="L297" s="40">
        <f t="shared" si="16"/>
        <v>102783</v>
      </c>
      <c r="M297" s="40"/>
      <c r="N297" s="40"/>
      <c r="O297" s="40"/>
      <c r="P297" s="40"/>
      <c r="Q297" s="7"/>
      <c r="R297" s="7"/>
      <c r="S297" s="7"/>
      <c r="T297" s="35">
        <f t="shared" si="17"/>
        <v>0</v>
      </c>
      <c r="U297" s="7"/>
    </row>
    <row r="298" spans="1:21" x14ac:dyDescent="0.25">
      <c r="A298" s="7" t="s">
        <v>2990</v>
      </c>
      <c r="B298" s="8">
        <v>44222.404097222221</v>
      </c>
      <c r="C298" s="8">
        <v>44252.638888888891</v>
      </c>
      <c r="D298" s="9">
        <v>1227871</v>
      </c>
      <c r="E298" s="7" t="e">
        <f>VLOOKUP(A298,DEVOLUCIONES!A$1:A$231,1,0)</f>
        <v>#N/A</v>
      </c>
      <c r="F298" s="7" t="e">
        <f>VLOOKUP(A298,'GLOSAS X CONCILIAR'!$A$1:$A$37,1,0)</f>
        <v>#N/A</v>
      </c>
      <c r="G298" s="7" t="e">
        <f>VLOOKUP(A298,'TODAS LAS P'!A:A,1,0)</f>
        <v>#N/A</v>
      </c>
      <c r="H298" s="7" t="e">
        <f>VLOOKUP(A298,PAGOS!A332:$A$1553,1,0)</f>
        <v>#N/A</v>
      </c>
      <c r="I298" s="40"/>
      <c r="J298" s="40"/>
      <c r="K298" s="40"/>
      <c r="L298" s="40">
        <f t="shared" si="16"/>
        <v>1227871</v>
      </c>
      <c r="M298" s="40"/>
      <c r="N298" s="40"/>
      <c r="O298" s="40"/>
      <c r="P298" s="40"/>
      <c r="Q298" s="7"/>
      <c r="R298" s="7"/>
      <c r="S298" s="7"/>
      <c r="T298" s="35">
        <f t="shared" si="17"/>
        <v>0</v>
      </c>
      <c r="U298" s="7"/>
    </row>
    <row r="299" spans="1:21" x14ac:dyDescent="0.25">
      <c r="A299" s="7" t="s">
        <v>2991</v>
      </c>
      <c r="B299" s="8">
        <v>44222.67224537037</v>
      </c>
      <c r="C299" s="8">
        <v>44252.638888888891</v>
      </c>
      <c r="D299" s="9">
        <v>23573</v>
      </c>
      <c r="E299" s="7" t="e">
        <f>VLOOKUP(A299,DEVOLUCIONES!A$1:A$231,1,0)</f>
        <v>#N/A</v>
      </c>
      <c r="F299" s="7" t="e">
        <f>VLOOKUP(A299,'GLOSAS X CONCILIAR'!$A$1:$A$37,1,0)</f>
        <v>#N/A</v>
      </c>
      <c r="G299" s="7" t="e">
        <f>VLOOKUP(A299,'TODAS LAS P'!A:A,1,0)</f>
        <v>#N/A</v>
      </c>
      <c r="H299" s="7" t="e">
        <f>VLOOKUP(A299,PAGOS!A333:$A$1553,1,0)</f>
        <v>#N/A</v>
      </c>
      <c r="I299" s="40"/>
      <c r="J299" s="40"/>
      <c r="K299" s="40"/>
      <c r="L299" s="40">
        <f t="shared" si="16"/>
        <v>23573</v>
      </c>
      <c r="M299" s="40"/>
      <c r="N299" s="40"/>
      <c r="O299" s="40"/>
      <c r="P299" s="40"/>
      <c r="Q299" s="7"/>
      <c r="R299" s="7"/>
      <c r="S299" s="7"/>
      <c r="T299" s="35">
        <f t="shared" si="17"/>
        <v>0</v>
      </c>
      <c r="U299" s="7"/>
    </row>
    <row r="300" spans="1:21" x14ac:dyDescent="0.25">
      <c r="A300" s="7" t="s">
        <v>2992</v>
      </c>
      <c r="B300" s="8">
        <v>44224.5547337963</v>
      </c>
      <c r="C300" s="8">
        <v>44252.638888888891</v>
      </c>
      <c r="D300" s="9">
        <v>76000</v>
      </c>
      <c r="E300" s="7" t="e">
        <f>VLOOKUP(A300,DEVOLUCIONES!A$1:A$231,1,0)</f>
        <v>#N/A</v>
      </c>
      <c r="F300" s="7" t="e">
        <f>VLOOKUP(A300,'GLOSAS X CONCILIAR'!$A$1:$A$37,1,0)</f>
        <v>#N/A</v>
      </c>
      <c r="G300" s="7" t="e">
        <f>VLOOKUP(A300,'TODAS LAS P'!A:A,1,0)</f>
        <v>#N/A</v>
      </c>
      <c r="H300" s="7" t="e">
        <f>VLOOKUP(A300,PAGOS!A334:$A$1553,1,0)</f>
        <v>#N/A</v>
      </c>
      <c r="I300" s="40"/>
      <c r="J300" s="40"/>
      <c r="K300" s="40"/>
      <c r="L300" s="40">
        <f t="shared" si="16"/>
        <v>76000</v>
      </c>
      <c r="M300" s="40"/>
      <c r="N300" s="40"/>
      <c r="O300" s="40"/>
      <c r="P300" s="40"/>
      <c r="Q300" s="7"/>
      <c r="R300" s="7"/>
      <c r="S300" s="7"/>
      <c r="T300" s="35">
        <f t="shared" si="17"/>
        <v>0</v>
      </c>
      <c r="U300" s="7"/>
    </row>
    <row r="301" spans="1:21" x14ac:dyDescent="0.25">
      <c r="A301" s="7" t="s">
        <v>2993</v>
      </c>
      <c r="B301" s="8">
        <v>44227.784363425926</v>
      </c>
      <c r="C301" s="8">
        <v>44236.708333333336</v>
      </c>
      <c r="D301" s="9">
        <v>99423</v>
      </c>
      <c r="E301" s="7" t="e">
        <f>VLOOKUP(A301,DEVOLUCIONES!A$1:A$231,1,0)</f>
        <v>#N/A</v>
      </c>
      <c r="F301" s="7" t="e">
        <f>VLOOKUP(A301,'GLOSAS X CONCILIAR'!$A$1:$A$37,1,0)</f>
        <v>#N/A</v>
      </c>
      <c r="G301" s="7" t="e">
        <f>VLOOKUP(A301,'TODAS LAS P'!A:A,1,0)</f>
        <v>#N/A</v>
      </c>
      <c r="H301" s="7" t="e">
        <f>VLOOKUP(A301,PAGOS!A335:$A$1553,1,0)</f>
        <v>#N/A</v>
      </c>
      <c r="I301" s="40"/>
      <c r="J301" s="40"/>
      <c r="K301" s="40"/>
      <c r="L301" s="40">
        <f t="shared" si="16"/>
        <v>99423</v>
      </c>
      <c r="M301" s="40"/>
      <c r="N301" s="40"/>
      <c r="O301" s="40"/>
      <c r="P301" s="40"/>
      <c r="Q301" s="7"/>
      <c r="R301" s="7"/>
      <c r="S301" s="7"/>
      <c r="T301" s="35">
        <f t="shared" si="17"/>
        <v>0</v>
      </c>
      <c r="U301" s="7"/>
    </row>
    <row r="302" spans="1:21" x14ac:dyDescent="0.25">
      <c r="A302" s="7" t="s">
        <v>2994</v>
      </c>
      <c r="B302" s="8">
        <v>44227.895138888889</v>
      </c>
      <c r="C302" s="8">
        <v>44237</v>
      </c>
      <c r="D302" s="9">
        <v>1089239</v>
      </c>
      <c r="E302" s="7" t="e">
        <f>VLOOKUP(A302,DEVOLUCIONES!A$1:A$231,1,0)</f>
        <v>#N/A</v>
      </c>
      <c r="F302" s="7" t="e">
        <f>VLOOKUP(A302,'GLOSAS X CONCILIAR'!$A$1:$A$37,1,0)</f>
        <v>#N/A</v>
      </c>
      <c r="G302" s="7" t="e">
        <f>VLOOKUP(A302,'TODAS LAS P'!A:A,1,0)</f>
        <v>#N/A</v>
      </c>
      <c r="H302" s="7" t="e">
        <f>VLOOKUP(A302,PAGOS!A336:$A$1553,1,0)</f>
        <v>#N/A</v>
      </c>
      <c r="I302" s="40"/>
      <c r="J302" s="40"/>
      <c r="K302" s="40"/>
      <c r="L302" s="40">
        <f t="shared" si="16"/>
        <v>1089239</v>
      </c>
      <c r="M302" s="40"/>
      <c r="N302" s="40"/>
      <c r="O302" s="40"/>
      <c r="P302" s="40"/>
      <c r="Q302" s="7"/>
      <c r="R302" s="7"/>
      <c r="S302" s="7"/>
      <c r="T302" s="35">
        <f t="shared" si="17"/>
        <v>0</v>
      </c>
      <c r="U302" s="7"/>
    </row>
    <row r="303" spans="1:21" x14ac:dyDescent="0.25">
      <c r="A303" s="7" t="s">
        <v>2995</v>
      </c>
      <c r="B303" s="8">
        <v>44228.9687037037</v>
      </c>
      <c r="C303" s="8">
        <v>44263</v>
      </c>
      <c r="D303" s="9">
        <v>760</v>
      </c>
      <c r="E303" s="7" t="e">
        <f>VLOOKUP(A303,DEVOLUCIONES!A$1:A$231,1,0)</f>
        <v>#N/A</v>
      </c>
      <c r="F303" s="7" t="e">
        <f>VLOOKUP(A303,'GLOSAS X CONCILIAR'!$A$1:$A$37,1,0)</f>
        <v>#N/A</v>
      </c>
      <c r="G303" s="7" t="e">
        <f>VLOOKUP(A303,'TODAS LAS P'!A:A,1,0)</f>
        <v>#N/A</v>
      </c>
      <c r="H303" s="7" t="e">
        <f>VLOOKUP(A303,PAGOS!A337:$A$1553,1,0)</f>
        <v>#N/A</v>
      </c>
      <c r="I303" s="40"/>
      <c r="J303" s="40"/>
      <c r="K303" s="40"/>
      <c r="L303" s="40">
        <f t="shared" si="16"/>
        <v>760</v>
      </c>
      <c r="M303" s="40"/>
      <c r="N303" s="40"/>
      <c r="O303" s="40"/>
      <c r="P303" s="40"/>
      <c r="Q303" s="7"/>
      <c r="R303" s="7"/>
      <c r="S303" s="7"/>
      <c r="T303" s="35">
        <f t="shared" si="17"/>
        <v>0</v>
      </c>
      <c r="U303" s="7"/>
    </row>
    <row r="304" spans="1:21" x14ac:dyDescent="0.25">
      <c r="A304" s="7" t="s">
        <v>2996</v>
      </c>
      <c r="B304" s="8">
        <v>44230.666284722225</v>
      </c>
      <c r="C304" s="8">
        <v>44263</v>
      </c>
      <c r="D304" s="9">
        <v>242166</v>
      </c>
      <c r="E304" s="7" t="e">
        <f>VLOOKUP(A304,DEVOLUCIONES!A$1:A$231,1,0)</f>
        <v>#N/A</v>
      </c>
      <c r="F304" s="7" t="e">
        <f>VLOOKUP(A304,'GLOSAS X CONCILIAR'!$A$1:$A$37,1,0)</f>
        <v>#N/A</v>
      </c>
      <c r="G304" s="7" t="e">
        <f>VLOOKUP(A304,'TODAS LAS P'!A:A,1,0)</f>
        <v>#N/A</v>
      </c>
      <c r="H304" s="7" t="e">
        <f>VLOOKUP(A304,PAGOS!A338:$A$1553,1,0)</f>
        <v>#N/A</v>
      </c>
      <c r="I304" s="40"/>
      <c r="J304" s="40"/>
      <c r="K304" s="40"/>
      <c r="L304" s="40">
        <f t="shared" si="16"/>
        <v>242166</v>
      </c>
      <c r="M304" s="40"/>
      <c r="N304" s="40"/>
      <c r="O304" s="40"/>
      <c r="P304" s="40"/>
      <c r="Q304" s="7"/>
      <c r="R304" s="7"/>
      <c r="S304" s="7"/>
      <c r="T304" s="35">
        <f t="shared" si="17"/>
        <v>0</v>
      </c>
      <c r="U304" s="7"/>
    </row>
    <row r="305" spans="1:21" x14ac:dyDescent="0.25">
      <c r="A305" s="7" t="s">
        <v>2997</v>
      </c>
      <c r="B305" s="8">
        <v>44232.650543981479</v>
      </c>
      <c r="C305" s="8">
        <v>44237</v>
      </c>
      <c r="D305" s="9">
        <v>732770</v>
      </c>
      <c r="E305" s="7" t="e">
        <f>VLOOKUP(A305,DEVOLUCIONES!A$1:A$231,1,0)</f>
        <v>#N/A</v>
      </c>
      <c r="F305" s="7" t="e">
        <f>VLOOKUP(A305,'GLOSAS X CONCILIAR'!$A$1:$A$37,1,0)</f>
        <v>#N/A</v>
      </c>
      <c r="G305" s="7" t="e">
        <f>VLOOKUP(A305,'TODAS LAS P'!A:A,1,0)</f>
        <v>#N/A</v>
      </c>
      <c r="H305" s="7" t="e">
        <f>VLOOKUP(A305,PAGOS!A339:$A$1553,1,0)</f>
        <v>#N/A</v>
      </c>
      <c r="I305" s="40"/>
      <c r="J305" s="40"/>
      <c r="K305" s="40"/>
      <c r="L305" s="40">
        <f t="shared" si="16"/>
        <v>732770</v>
      </c>
      <c r="M305" s="40"/>
      <c r="N305" s="40"/>
      <c r="O305" s="40"/>
      <c r="P305" s="40"/>
      <c r="Q305" s="7"/>
      <c r="R305" s="7"/>
      <c r="S305" s="7"/>
      <c r="T305" s="35">
        <f t="shared" si="17"/>
        <v>0</v>
      </c>
      <c r="U305" s="7"/>
    </row>
    <row r="306" spans="1:21" x14ac:dyDescent="0.25">
      <c r="A306" s="7" t="s">
        <v>2998</v>
      </c>
      <c r="B306" s="8">
        <v>44232.791608796295</v>
      </c>
      <c r="C306" s="8">
        <v>44252.638888888891</v>
      </c>
      <c r="D306" s="9">
        <v>1739189</v>
      </c>
      <c r="E306" s="7" t="e">
        <f>VLOOKUP(A306,DEVOLUCIONES!A$1:A$231,1,0)</f>
        <v>#N/A</v>
      </c>
      <c r="F306" s="7" t="e">
        <f>VLOOKUP(A306,'GLOSAS X CONCILIAR'!$A$1:$A$37,1,0)</f>
        <v>#N/A</v>
      </c>
      <c r="G306" s="7" t="e">
        <f>VLOOKUP(A306,'TODAS LAS P'!A:A,1,0)</f>
        <v>#N/A</v>
      </c>
      <c r="H306" s="7" t="e">
        <f>VLOOKUP(A306,PAGOS!A340:$A$1553,1,0)</f>
        <v>#N/A</v>
      </c>
      <c r="I306" s="40"/>
      <c r="J306" s="40"/>
      <c r="K306" s="40"/>
      <c r="L306" s="40">
        <f t="shared" si="16"/>
        <v>1739189</v>
      </c>
      <c r="M306" s="40"/>
      <c r="N306" s="40"/>
      <c r="O306" s="40"/>
      <c r="P306" s="40"/>
      <c r="Q306" s="7"/>
      <c r="R306" s="7"/>
      <c r="S306" s="7"/>
      <c r="T306" s="35">
        <f t="shared" si="17"/>
        <v>0</v>
      </c>
      <c r="U306" s="7"/>
    </row>
    <row r="307" spans="1:21" x14ac:dyDescent="0.25">
      <c r="A307" s="7" t="s">
        <v>2999</v>
      </c>
      <c r="B307" s="8">
        <v>44237.507349537038</v>
      </c>
      <c r="C307" s="8">
        <v>44263</v>
      </c>
      <c r="D307" s="9">
        <v>105500</v>
      </c>
      <c r="E307" s="7" t="e">
        <f>VLOOKUP(A307,DEVOLUCIONES!A$1:A$231,1,0)</f>
        <v>#N/A</v>
      </c>
      <c r="F307" s="7" t="e">
        <f>VLOOKUP(A307,'GLOSAS X CONCILIAR'!$A$1:$A$37,1,0)</f>
        <v>#N/A</v>
      </c>
      <c r="G307" s="7" t="e">
        <f>VLOOKUP(A307,'TODAS LAS P'!A:A,1,0)</f>
        <v>#N/A</v>
      </c>
      <c r="H307" s="7" t="e">
        <f>VLOOKUP(A307,PAGOS!A341:$A$1553,1,0)</f>
        <v>#N/A</v>
      </c>
      <c r="I307" s="40"/>
      <c r="J307" s="40"/>
      <c r="K307" s="40"/>
      <c r="L307" s="40">
        <f t="shared" si="16"/>
        <v>105500</v>
      </c>
      <c r="M307" s="40"/>
      <c r="N307" s="40"/>
      <c r="O307" s="40"/>
      <c r="P307" s="40"/>
      <c r="Q307" s="7"/>
      <c r="R307" s="7"/>
      <c r="S307" s="7"/>
      <c r="T307" s="35">
        <f t="shared" si="17"/>
        <v>0</v>
      </c>
      <c r="U307" s="7"/>
    </row>
    <row r="308" spans="1:21" x14ac:dyDescent="0.25">
      <c r="A308" s="7" t="s">
        <v>3000</v>
      </c>
      <c r="B308" s="8">
        <v>44237.557812500003</v>
      </c>
      <c r="C308" s="8">
        <v>44263</v>
      </c>
      <c r="D308" s="9">
        <v>2633</v>
      </c>
      <c r="E308" s="7" t="e">
        <f>VLOOKUP(A308,DEVOLUCIONES!A$1:A$231,1,0)</f>
        <v>#N/A</v>
      </c>
      <c r="F308" s="7" t="e">
        <f>VLOOKUP(A308,'GLOSAS X CONCILIAR'!$A$1:$A$37,1,0)</f>
        <v>#N/A</v>
      </c>
      <c r="G308" s="7" t="e">
        <f>VLOOKUP(A308,'TODAS LAS P'!A:A,1,0)</f>
        <v>#N/A</v>
      </c>
      <c r="H308" s="7" t="e">
        <f>VLOOKUP(A308,PAGOS!A342:$A$1553,1,0)</f>
        <v>#N/A</v>
      </c>
      <c r="I308" s="40"/>
      <c r="J308" s="40"/>
      <c r="K308" s="40"/>
      <c r="L308" s="40">
        <f t="shared" si="16"/>
        <v>2633</v>
      </c>
      <c r="M308" s="40"/>
      <c r="N308" s="40"/>
      <c r="O308" s="40"/>
      <c r="P308" s="40"/>
      <c r="Q308" s="7"/>
      <c r="R308" s="7"/>
      <c r="S308" s="7"/>
      <c r="T308" s="35">
        <f t="shared" si="17"/>
        <v>0</v>
      </c>
      <c r="U308" s="7"/>
    </row>
    <row r="309" spans="1:21" x14ac:dyDescent="0.25">
      <c r="A309" s="7" t="s">
        <v>3001</v>
      </c>
      <c r="B309" s="8">
        <v>44240.392939814818</v>
      </c>
      <c r="C309" s="8">
        <v>44261</v>
      </c>
      <c r="D309" s="9">
        <v>99423</v>
      </c>
      <c r="E309" s="7" t="e">
        <f>VLOOKUP(A309,DEVOLUCIONES!A$1:A$231,1,0)</f>
        <v>#N/A</v>
      </c>
      <c r="F309" s="7" t="e">
        <f>VLOOKUP(A309,'GLOSAS X CONCILIAR'!$A$1:$A$37,1,0)</f>
        <v>#N/A</v>
      </c>
      <c r="G309" s="7" t="e">
        <f>VLOOKUP(A309,'TODAS LAS P'!A:A,1,0)</f>
        <v>#N/A</v>
      </c>
      <c r="H309" s="7" t="e">
        <f>VLOOKUP(A309,PAGOS!A343:$A$1553,1,0)</f>
        <v>#N/A</v>
      </c>
      <c r="I309" s="40"/>
      <c r="J309" s="40"/>
      <c r="K309" s="40"/>
      <c r="L309" s="40">
        <f t="shared" si="16"/>
        <v>99423</v>
      </c>
      <c r="M309" s="40"/>
      <c r="N309" s="40"/>
      <c r="O309" s="40"/>
      <c r="P309" s="40"/>
      <c r="Q309" s="7"/>
      <c r="R309" s="7"/>
      <c r="S309" s="7"/>
      <c r="T309" s="35">
        <f t="shared" si="17"/>
        <v>0</v>
      </c>
      <c r="U309" s="7"/>
    </row>
    <row r="310" spans="1:21" x14ac:dyDescent="0.25">
      <c r="A310" s="7" t="s">
        <v>3002</v>
      </c>
      <c r="B310" s="8">
        <v>44242.037002314813</v>
      </c>
      <c r="C310" s="8">
        <v>44263</v>
      </c>
      <c r="D310" s="9">
        <v>80307</v>
      </c>
      <c r="E310" s="7" t="e">
        <f>VLOOKUP(A310,DEVOLUCIONES!A$1:A$231,1,0)</f>
        <v>#N/A</v>
      </c>
      <c r="F310" s="7" t="e">
        <f>VLOOKUP(A310,'GLOSAS X CONCILIAR'!$A$1:$A$37,1,0)</f>
        <v>#N/A</v>
      </c>
      <c r="G310" s="7" t="e">
        <f>VLOOKUP(A310,'TODAS LAS P'!A:A,1,0)</f>
        <v>#N/A</v>
      </c>
      <c r="H310" s="7" t="e">
        <f>VLOOKUP(A310,PAGOS!A344:$A$1553,1,0)</f>
        <v>#N/A</v>
      </c>
      <c r="I310" s="40"/>
      <c r="J310" s="40"/>
      <c r="K310" s="40"/>
      <c r="L310" s="40">
        <f t="shared" si="16"/>
        <v>80307</v>
      </c>
      <c r="M310" s="40"/>
      <c r="N310" s="40"/>
      <c r="O310" s="40"/>
      <c r="P310" s="40"/>
      <c r="Q310" s="7"/>
      <c r="R310" s="7"/>
      <c r="S310" s="7"/>
      <c r="T310" s="35">
        <f t="shared" si="17"/>
        <v>0</v>
      </c>
      <c r="U310" s="7"/>
    </row>
    <row r="311" spans="1:21" x14ac:dyDescent="0.25">
      <c r="A311" s="7" t="s">
        <v>3003</v>
      </c>
      <c r="B311" s="8">
        <v>44245.737199074072</v>
      </c>
      <c r="C311" s="8">
        <v>44263</v>
      </c>
      <c r="D311" s="9">
        <v>17215</v>
      </c>
      <c r="E311" s="7" t="e">
        <f>VLOOKUP(A311,DEVOLUCIONES!A$1:A$231,1,0)</f>
        <v>#N/A</v>
      </c>
      <c r="F311" s="7" t="e">
        <f>VLOOKUP(A311,'GLOSAS X CONCILIAR'!$A$1:$A$37,1,0)</f>
        <v>#N/A</v>
      </c>
      <c r="G311" s="7" t="e">
        <f>VLOOKUP(A311,'TODAS LAS P'!A:A,1,0)</f>
        <v>#N/A</v>
      </c>
      <c r="H311" s="7" t="e">
        <f>VLOOKUP(A311,PAGOS!A345:$A$1553,1,0)</f>
        <v>#N/A</v>
      </c>
      <c r="I311" s="40"/>
      <c r="J311" s="40"/>
      <c r="K311" s="40"/>
      <c r="L311" s="40">
        <f t="shared" si="16"/>
        <v>17215</v>
      </c>
      <c r="M311" s="40"/>
      <c r="N311" s="40"/>
      <c r="O311" s="40"/>
      <c r="P311" s="40"/>
      <c r="Q311" s="7"/>
      <c r="R311" s="7"/>
      <c r="S311" s="7"/>
      <c r="T311" s="35">
        <f t="shared" si="17"/>
        <v>0</v>
      </c>
      <c r="U311" s="7"/>
    </row>
    <row r="312" spans="1:21" x14ac:dyDescent="0.25">
      <c r="A312" s="7" t="s">
        <v>3004</v>
      </c>
      <c r="B312" s="8">
        <v>44246.34778935185</v>
      </c>
      <c r="C312" s="8">
        <v>44263</v>
      </c>
      <c r="D312" s="9">
        <v>13937648</v>
      </c>
      <c r="E312" s="7" t="e">
        <f>VLOOKUP(A312,DEVOLUCIONES!A$1:A$231,1,0)</f>
        <v>#N/A</v>
      </c>
      <c r="F312" s="7" t="e">
        <f>VLOOKUP(A312,'GLOSAS X CONCILIAR'!$A$1:$A$37,1,0)</f>
        <v>#N/A</v>
      </c>
      <c r="G312" s="7" t="e">
        <f>VLOOKUP(A312,'TODAS LAS P'!A:A,1,0)</f>
        <v>#N/A</v>
      </c>
      <c r="H312" s="7" t="e">
        <f>VLOOKUP(A312,PAGOS!A346:$A$1553,1,0)</f>
        <v>#N/A</v>
      </c>
      <c r="I312" s="40"/>
      <c r="J312" s="40"/>
      <c r="K312" s="40"/>
      <c r="L312" s="40">
        <f t="shared" si="16"/>
        <v>13937648</v>
      </c>
      <c r="M312" s="40"/>
      <c r="N312" s="40"/>
      <c r="O312" s="40"/>
      <c r="P312" s="40"/>
      <c r="Q312" s="7"/>
      <c r="R312" s="7"/>
      <c r="S312" s="7"/>
      <c r="T312" s="35">
        <f t="shared" si="17"/>
        <v>0</v>
      </c>
      <c r="U312" s="7"/>
    </row>
    <row r="313" spans="1:21" x14ac:dyDescent="0.25">
      <c r="A313" s="7" t="s">
        <v>3005</v>
      </c>
      <c r="B313" s="8">
        <v>44248.66747685185</v>
      </c>
      <c r="C313" s="8">
        <v>44263</v>
      </c>
      <c r="D313" s="9">
        <v>79896</v>
      </c>
      <c r="E313" s="7" t="e">
        <f>VLOOKUP(A313,DEVOLUCIONES!A$1:A$231,1,0)</f>
        <v>#N/A</v>
      </c>
      <c r="F313" s="7" t="e">
        <f>VLOOKUP(A313,'GLOSAS X CONCILIAR'!$A$1:$A$37,1,0)</f>
        <v>#N/A</v>
      </c>
      <c r="G313" s="7" t="e">
        <f>VLOOKUP(A313,'TODAS LAS P'!A:A,1,0)</f>
        <v>#N/A</v>
      </c>
      <c r="H313" s="7" t="e">
        <f>VLOOKUP(A313,PAGOS!A347:$A$1553,1,0)</f>
        <v>#N/A</v>
      </c>
      <c r="I313" s="40"/>
      <c r="J313" s="40"/>
      <c r="K313" s="40"/>
      <c r="L313" s="40">
        <f t="shared" ref="L313:L320" si="18">D313</f>
        <v>79896</v>
      </c>
      <c r="M313" s="40"/>
      <c r="N313" s="40"/>
      <c r="O313" s="40"/>
      <c r="P313" s="40"/>
      <c r="Q313" s="7"/>
      <c r="R313" s="7"/>
      <c r="S313" s="7"/>
      <c r="T313" s="35">
        <f t="shared" si="17"/>
        <v>0</v>
      </c>
      <c r="U313" s="7"/>
    </row>
    <row r="314" spans="1:21" x14ac:dyDescent="0.25">
      <c r="A314" s="7" t="s">
        <v>3006</v>
      </c>
      <c r="B314" s="8">
        <v>44250.331365740742</v>
      </c>
      <c r="C314" s="8">
        <v>44263</v>
      </c>
      <c r="D314" s="9">
        <v>894500</v>
      </c>
      <c r="E314" s="7" t="e">
        <f>VLOOKUP(A314,DEVOLUCIONES!A$1:A$231,1,0)</f>
        <v>#N/A</v>
      </c>
      <c r="F314" s="7" t="e">
        <f>VLOOKUP(A314,'GLOSAS X CONCILIAR'!$A$1:$A$37,1,0)</f>
        <v>#N/A</v>
      </c>
      <c r="G314" s="7" t="e">
        <f>VLOOKUP(A314,'TODAS LAS P'!A:A,1,0)</f>
        <v>#N/A</v>
      </c>
      <c r="H314" s="7" t="e">
        <f>VLOOKUP(A314,PAGOS!A348:$A$1553,1,0)</f>
        <v>#N/A</v>
      </c>
      <c r="I314" s="40"/>
      <c r="J314" s="40"/>
      <c r="K314" s="40"/>
      <c r="L314" s="40">
        <f t="shared" si="18"/>
        <v>894500</v>
      </c>
      <c r="M314" s="40"/>
      <c r="N314" s="40"/>
      <c r="O314" s="40"/>
      <c r="P314" s="40"/>
      <c r="Q314" s="7"/>
      <c r="R314" s="7"/>
      <c r="S314" s="7"/>
      <c r="T314" s="35">
        <f t="shared" si="17"/>
        <v>0</v>
      </c>
      <c r="U314" s="7"/>
    </row>
    <row r="315" spans="1:21" x14ac:dyDescent="0.25">
      <c r="A315" s="7" t="s">
        <v>3007</v>
      </c>
      <c r="B315" s="8">
        <v>44253.513969907406</v>
      </c>
      <c r="C315" s="8">
        <v>44263</v>
      </c>
      <c r="D315" s="9">
        <v>15561</v>
      </c>
      <c r="E315" s="7" t="e">
        <f>VLOOKUP(A315,DEVOLUCIONES!A$1:A$231,1,0)</f>
        <v>#N/A</v>
      </c>
      <c r="F315" s="7" t="e">
        <f>VLOOKUP(A315,'GLOSAS X CONCILIAR'!$A$1:$A$37,1,0)</f>
        <v>#N/A</v>
      </c>
      <c r="G315" s="7" t="e">
        <f>VLOOKUP(A315,'TODAS LAS P'!A:A,1,0)</f>
        <v>#N/A</v>
      </c>
      <c r="H315" s="7" t="e">
        <f>VLOOKUP(A315,PAGOS!A349:$A$1553,1,0)</f>
        <v>#N/A</v>
      </c>
      <c r="I315" s="40"/>
      <c r="J315" s="40"/>
      <c r="K315" s="40"/>
      <c r="L315" s="40">
        <f t="shared" si="18"/>
        <v>15561</v>
      </c>
      <c r="M315" s="40"/>
      <c r="N315" s="40"/>
      <c r="O315" s="40"/>
      <c r="P315" s="40"/>
      <c r="Q315" s="7"/>
      <c r="R315" s="7"/>
      <c r="S315" s="7"/>
      <c r="T315" s="35">
        <f t="shared" si="17"/>
        <v>0</v>
      </c>
      <c r="U315" s="7"/>
    </row>
    <row r="316" spans="1:21" x14ac:dyDescent="0.25">
      <c r="A316" s="7" t="s">
        <v>3008</v>
      </c>
      <c r="B316" s="8">
        <v>44253.966145833336</v>
      </c>
      <c r="C316" s="8">
        <v>44263</v>
      </c>
      <c r="D316" s="9">
        <v>794560</v>
      </c>
      <c r="E316" s="7" t="e">
        <f>VLOOKUP(A316,DEVOLUCIONES!A$1:A$231,1,0)</f>
        <v>#N/A</v>
      </c>
      <c r="F316" s="7" t="e">
        <f>VLOOKUP(A316,'GLOSAS X CONCILIAR'!$A$1:$A$37,1,0)</f>
        <v>#N/A</v>
      </c>
      <c r="G316" s="7" t="e">
        <f>VLOOKUP(A316,'TODAS LAS P'!A:A,1,0)</f>
        <v>#N/A</v>
      </c>
      <c r="H316" s="7" t="e">
        <f>VLOOKUP(A316,PAGOS!A350:$A$1553,1,0)</f>
        <v>#N/A</v>
      </c>
      <c r="I316" s="40"/>
      <c r="J316" s="40"/>
      <c r="K316" s="40"/>
      <c r="L316" s="40">
        <f t="shared" si="18"/>
        <v>794560</v>
      </c>
      <c r="M316" s="40"/>
      <c r="N316" s="40"/>
      <c r="O316" s="40"/>
      <c r="P316" s="40"/>
      <c r="Q316" s="7"/>
      <c r="R316" s="7"/>
      <c r="S316" s="7"/>
      <c r="T316" s="35">
        <f t="shared" si="17"/>
        <v>0</v>
      </c>
      <c r="U316" s="7"/>
    </row>
    <row r="317" spans="1:21" x14ac:dyDescent="0.25">
      <c r="A317" s="7" t="s">
        <v>3009</v>
      </c>
      <c r="B317" s="8">
        <v>44254.71292824074</v>
      </c>
      <c r="C317" s="8">
        <v>44263</v>
      </c>
      <c r="D317" s="9">
        <v>268624</v>
      </c>
      <c r="E317" s="7" t="e">
        <f>VLOOKUP(A317,DEVOLUCIONES!A$1:A$231,1,0)</f>
        <v>#N/A</v>
      </c>
      <c r="F317" s="7" t="e">
        <f>VLOOKUP(A317,'GLOSAS X CONCILIAR'!$A$1:$A$37,1,0)</f>
        <v>#N/A</v>
      </c>
      <c r="G317" s="7" t="e">
        <f>VLOOKUP(A317,'TODAS LAS P'!A:A,1,0)</f>
        <v>#N/A</v>
      </c>
      <c r="H317" s="7" t="e">
        <f>VLOOKUP(A317,PAGOS!A351:$A$1553,1,0)</f>
        <v>#N/A</v>
      </c>
      <c r="I317" s="40"/>
      <c r="J317" s="40"/>
      <c r="K317" s="40"/>
      <c r="L317" s="40">
        <f t="shared" si="18"/>
        <v>268624</v>
      </c>
      <c r="M317" s="40"/>
      <c r="N317" s="40"/>
      <c r="O317" s="40"/>
      <c r="P317" s="40"/>
      <c r="Q317" s="7"/>
      <c r="R317" s="7"/>
      <c r="S317" s="7"/>
      <c r="T317" s="35">
        <f t="shared" si="17"/>
        <v>0</v>
      </c>
      <c r="U317" s="7"/>
    </row>
    <row r="318" spans="1:21" x14ac:dyDescent="0.25">
      <c r="A318" s="7" t="s">
        <v>3010</v>
      </c>
      <c r="B318" s="8">
        <v>44255.770636574074</v>
      </c>
      <c r="C318" s="8">
        <v>44263</v>
      </c>
      <c r="D318" s="9">
        <v>1830898</v>
      </c>
      <c r="E318" s="7" t="e">
        <f>VLOOKUP(A318,DEVOLUCIONES!A$1:A$231,1,0)</f>
        <v>#N/A</v>
      </c>
      <c r="F318" s="7" t="e">
        <f>VLOOKUP(A318,'GLOSAS X CONCILIAR'!$A$1:$A$37,1,0)</f>
        <v>#N/A</v>
      </c>
      <c r="G318" s="7" t="e">
        <f>VLOOKUP(A318,'TODAS LAS P'!A:A,1,0)</f>
        <v>#N/A</v>
      </c>
      <c r="H318" s="7" t="e">
        <f>VLOOKUP(A318,PAGOS!A352:$A$1553,1,0)</f>
        <v>#N/A</v>
      </c>
      <c r="I318" s="40"/>
      <c r="J318" s="40"/>
      <c r="K318" s="40"/>
      <c r="L318" s="40">
        <f t="shared" si="18"/>
        <v>1830898</v>
      </c>
      <c r="M318" s="40"/>
      <c r="N318" s="40"/>
      <c r="O318" s="40"/>
      <c r="P318" s="40"/>
      <c r="Q318" s="7"/>
      <c r="R318" s="7"/>
      <c r="S318" s="7"/>
      <c r="T318" s="35">
        <f t="shared" si="17"/>
        <v>0</v>
      </c>
      <c r="U318" s="7"/>
    </row>
    <row r="319" spans="1:21" x14ac:dyDescent="0.25">
      <c r="A319" s="7" t="s">
        <v>3011</v>
      </c>
      <c r="B319" s="8">
        <v>44258.457986111112</v>
      </c>
      <c r="C319" s="8">
        <v>44263</v>
      </c>
      <c r="D319" s="9">
        <v>1015658</v>
      </c>
      <c r="E319" s="7" t="e">
        <f>VLOOKUP(A319,DEVOLUCIONES!A$1:A$231,1,0)</f>
        <v>#N/A</v>
      </c>
      <c r="F319" s="7" t="e">
        <f>VLOOKUP(A319,'GLOSAS X CONCILIAR'!$A$1:$A$37,1,0)</f>
        <v>#N/A</v>
      </c>
      <c r="G319" s="7" t="e">
        <f>VLOOKUP(A319,'TODAS LAS P'!A:A,1,0)</f>
        <v>#N/A</v>
      </c>
      <c r="H319" s="7" t="e">
        <f>VLOOKUP(A319,PAGOS!A353:$A$1553,1,0)</f>
        <v>#N/A</v>
      </c>
      <c r="I319" s="40"/>
      <c r="J319" s="40"/>
      <c r="K319" s="40"/>
      <c r="L319" s="40">
        <f t="shared" si="18"/>
        <v>1015658</v>
      </c>
      <c r="M319" s="40"/>
      <c r="N319" s="40"/>
      <c r="O319" s="40"/>
      <c r="P319" s="40"/>
      <c r="Q319" s="7"/>
      <c r="R319" s="7"/>
      <c r="S319" s="7"/>
      <c r="T319" s="35">
        <f t="shared" si="17"/>
        <v>0</v>
      </c>
      <c r="U319" s="7"/>
    </row>
    <row r="320" spans="1:21" x14ac:dyDescent="0.25">
      <c r="A320" s="7" t="s">
        <v>3012</v>
      </c>
      <c r="B320" s="8">
        <v>44263.564363425925</v>
      </c>
      <c r="C320" s="8">
        <v>44292</v>
      </c>
      <c r="D320" s="9">
        <v>32700</v>
      </c>
      <c r="E320" s="7" t="e">
        <f>VLOOKUP(A320,DEVOLUCIONES!A$1:A$231,1,0)</f>
        <v>#N/A</v>
      </c>
      <c r="F320" s="7" t="e">
        <f>VLOOKUP(A320,'GLOSAS X CONCILIAR'!$A$1:$A$37,1,0)</f>
        <v>#N/A</v>
      </c>
      <c r="G320" s="7" t="e">
        <f>VLOOKUP(A320,'TODAS LAS P'!A:A,1,0)</f>
        <v>#N/A</v>
      </c>
      <c r="H320" s="7" t="e">
        <f>VLOOKUP(A320,PAGOS!A354:$A$1553,1,0)</f>
        <v>#N/A</v>
      </c>
      <c r="I320" s="40"/>
      <c r="J320" s="40"/>
      <c r="K320" s="40"/>
      <c r="L320" s="40">
        <f t="shared" si="18"/>
        <v>32700</v>
      </c>
      <c r="M320" s="40"/>
      <c r="N320" s="40"/>
      <c r="O320" s="40"/>
      <c r="P320" s="40"/>
      <c r="Q320" s="7"/>
      <c r="R320" s="7"/>
      <c r="S320" s="7"/>
      <c r="T320" s="35">
        <f t="shared" si="17"/>
        <v>0</v>
      </c>
      <c r="U320" s="7"/>
    </row>
    <row r="321" spans="1:21" x14ac:dyDescent="0.25">
      <c r="A321" s="7" t="s">
        <v>3013</v>
      </c>
      <c r="B321" s="8">
        <v>44268.789571759262</v>
      </c>
      <c r="C321" s="8">
        <v>44292</v>
      </c>
      <c r="D321" s="9">
        <v>262506</v>
      </c>
      <c r="E321" s="7" t="str">
        <f>VLOOKUP(A321,DEVOLUCIONES!A$1:A$231,1,0)</f>
        <v>FEHF100302</v>
      </c>
      <c r="F321" s="7" t="e">
        <f>VLOOKUP(A321,'GLOSAS X CONCILIAR'!$A$1:$A$37,1,0)</f>
        <v>#N/A</v>
      </c>
      <c r="G321" s="7" t="e">
        <f>VLOOKUP(A321,'TODAS LAS P'!A:A,1,0)</f>
        <v>#N/A</v>
      </c>
      <c r="H321" s="7" t="e">
        <f>VLOOKUP(A321,PAGOS!A355:$A$1553,1,0)</f>
        <v>#N/A</v>
      </c>
      <c r="I321" s="40"/>
      <c r="J321" s="40">
        <f>D321</f>
        <v>262506</v>
      </c>
      <c r="K321" s="40"/>
      <c r="L321" s="40"/>
      <c r="M321" s="40"/>
      <c r="N321" s="40"/>
      <c r="O321" s="40"/>
      <c r="P321" s="40"/>
      <c r="Q321" s="7" t="str">
        <f>VLOOKUP(A321,DEVOLUCIONES!A$1:B$231,2,0)</f>
        <v>DF-085555569231679</v>
      </c>
      <c r="R321" s="7"/>
      <c r="S321" s="7" t="str">
        <f>VLOOKUP(A321,DEVOLUCIONES!A$1:H$231,8,0)</f>
        <v>Se hace devolución de la factura con todos sus anexos debido a que la atención de urgencia no se encuentra reportada en nuestros aplicativos cabe denotar que la resolución 3047 anexo técnico 1 y 2 establece que la ips debe reportar la atención en las 24 horas posteriores a la atención y al no evidenciarse dicho reporte me impide seguir con el proceso de auditoria ya que la factura no cumple con los lineamientos técnicos que se requieren para el pago de los servicios Lo invitamos subsanar y volver a radicar en los tiempos estipulados</v>
      </c>
      <c r="T321" s="35">
        <f t="shared" si="17"/>
        <v>0</v>
      </c>
      <c r="U321" s="7"/>
    </row>
    <row r="322" spans="1:21" x14ac:dyDescent="0.25">
      <c r="A322" s="7" t="s">
        <v>1748</v>
      </c>
      <c r="B322" s="8">
        <v>44269.819120370368</v>
      </c>
      <c r="C322" s="8">
        <v>44292</v>
      </c>
      <c r="D322" s="9">
        <v>947168</v>
      </c>
      <c r="E322" s="7" t="e">
        <f>VLOOKUP(A322,DEVOLUCIONES!A$1:A$231,1,0)</f>
        <v>#N/A</v>
      </c>
      <c r="F322" s="7" t="e">
        <f>VLOOKUP(A322,'GLOSAS X CONCILIAR'!$A$1:$A$37,1,0)</f>
        <v>#N/A</v>
      </c>
      <c r="G322" s="7" t="str">
        <f>VLOOKUP(A322,'TODAS LAS P'!A:A,1,0)</f>
        <v>FEHF100431</v>
      </c>
      <c r="H322" s="7" t="str">
        <f>VLOOKUP(A322,PAGOS!A356:$A$1553,1,0)</f>
        <v>FEHF100431</v>
      </c>
      <c r="I322" s="40"/>
      <c r="J322" s="40"/>
      <c r="K322" s="40"/>
      <c r="L322" s="40"/>
      <c r="M322" s="40"/>
      <c r="N322" s="40"/>
      <c r="O322" s="40">
        <v>947168</v>
      </c>
      <c r="P322" s="40"/>
      <c r="Q322" s="7"/>
      <c r="R322" s="7" t="str">
        <f>VLOOKUP(A322,Hoja2!A$1:H$1143,8,0)</f>
        <v>2000597814</v>
      </c>
      <c r="S322" s="7"/>
      <c r="T322" s="35">
        <f t="shared" si="17"/>
        <v>0</v>
      </c>
      <c r="U322" s="7"/>
    </row>
    <row r="323" spans="1:21" x14ac:dyDescent="0.25">
      <c r="A323" s="7" t="s">
        <v>3014</v>
      </c>
      <c r="B323" s="8">
        <v>44270.501388888886</v>
      </c>
      <c r="C323" s="8">
        <v>44292</v>
      </c>
      <c r="D323" s="9">
        <v>47200</v>
      </c>
      <c r="E323" s="7" t="e">
        <f>VLOOKUP(A323,DEVOLUCIONES!A$1:A$231,1,0)</f>
        <v>#N/A</v>
      </c>
      <c r="F323" s="7" t="e">
        <f>VLOOKUP(A323,'GLOSAS X CONCILIAR'!$A$1:$A$37,1,0)</f>
        <v>#N/A</v>
      </c>
      <c r="G323" s="7" t="str">
        <f>VLOOKUP(A323,'TODAS LAS P'!A:A,1,0)</f>
        <v>FEHF100880</v>
      </c>
      <c r="H323" s="7" t="e">
        <f>VLOOKUP(A323,PAGOS!A357:$A$1553,1,0)</f>
        <v>#N/A</v>
      </c>
      <c r="I323" s="40"/>
      <c r="J323" s="40"/>
      <c r="K323" s="40"/>
      <c r="L323" s="40"/>
      <c r="M323" s="40"/>
      <c r="N323" s="40"/>
      <c r="O323" s="40">
        <v>47200</v>
      </c>
      <c r="P323" s="40"/>
      <c r="Q323" s="7"/>
      <c r="R323" s="7"/>
      <c r="S323" s="7"/>
      <c r="T323" s="35">
        <f t="shared" ref="T323:T386" si="19">D323-SUM(I323:Q323)</f>
        <v>0</v>
      </c>
      <c r="U323" s="7"/>
    </row>
    <row r="324" spans="1:21" x14ac:dyDescent="0.25">
      <c r="A324" s="7" t="s">
        <v>3015</v>
      </c>
      <c r="B324" s="8">
        <v>44276.488495370373</v>
      </c>
      <c r="C324" s="8">
        <v>44292</v>
      </c>
      <c r="D324" s="9">
        <v>177632</v>
      </c>
      <c r="E324" s="7" t="e">
        <f>VLOOKUP(A324,DEVOLUCIONES!A$1:A$231,1,0)</f>
        <v>#N/A</v>
      </c>
      <c r="F324" s="7" t="e">
        <f>VLOOKUP(A324,'GLOSAS X CONCILIAR'!$A$1:$A$37,1,0)</f>
        <v>#N/A</v>
      </c>
      <c r="G324" s="7" t="str">
        <f>VLOOKUP(A324,'TODAS LAS P'!A:A,1,0)</f>
        <v>FEHF104089</v>
      </c>
      <c r="H324" s="7" t="e">
        <f>VLOOKUP(A324,PAGOS!A358:$A$1553,1,0)</f>
        <v>#N/A</v>
      </c>
      <c r="I324" s="40"/>
      <c r="J324" s="40"/>
      <c r="K324" s="40"/>
      <c r="L324" s="40"/>
      <c r="M324" s="40"/>
      <c r="N324" s="40"/>
      <c r="O324" s="40">
        <v>177632</v>
      </c>
      <c r="P324" s="40"/>
      <c r="Q324" s="7"/>
      <c r="R324" s="7"/>
      <c r="S324" s="7"/>
      <c r="T324" s="35">
        <f t="shared" si="19"/>
        <v>0</v>
      </c>
      <c r="U324" s="7"/>
    </row>
    <row r="325" spans="1:21" x14ac:dyDescent="0.25">
      <c r="A325" s="7" t="s">
        <v>1899</v>
      </c>
      <c r="B325" s="8">
        <v>44277.685254629629</v>
      </c>
      <c r="C325" s="8">
        <v>44292</v>
      </c>
      <c r="D325" s="9">
        <v>2109867</v>
      </c>
      <c r="E325" s="7" t="e">
        <f>VLOOKUP(A325,DEVOLUCIONES!A$1:A$231,1,0)</f>
        <v>#N/A</v>
      </c>
      <c r="F325" s="7" t="e">
        <f>VLOOKUP(A325,'GLOSAS X CONCILIAR'!$A$1:$A$37,1,0)</f>
        <v>#N/A</v>
      </c>
      <c r="G325" s="7" t="str">
        <f>VLOOKUP(A325,'TODAS LAS P'!A:A,1,0)</f>
        <v>FEHF104288</v>
      </c>
      <c r="H325" s="7" t="str">
        <f>VLOOKUP(A325,PAGOS!A359:$A$1553,1,0)</f>
        <v>FEHF104288</v>
      </c>
      <c r="I325" s="40"/>
      <c r="J325" s="40"/>
      <c r="K325" s="40"/>
      <c r="L325" s="40"/>
      <c r="M325" s="40"/>
      <c r="N325" s="40"/>
      <c r="O325" s="40">
        <v>2104173</v>
      </c>
      <c r="P325" s="40">
        <v>5694</v>
      </c>
      <c r="Q325" s="7"/>
      <c r="R325" s="7" t="str">
        <f>VLOOKUP(A325,Hoja2!A$1:H$1143,8,0)</f>
        <v>2000647793</v>
      </c>
      <c r="S325" s="7"/>
      <c r="T325" s="35">
        <f t="shared" si="19"/>
        <v>0</v>
      </c>
      <c r="U325" s="7"/>
    </row>
    <row r="326" spans="1:21" x14ac:dyDescent="0.25">
      <c r="A326" s="7" t="s">
        <v>2271</v>
      </c>
      <c r="B326" s="8">
        <v>44280.361817129633</v>
      </c>
      <c r="C326" s="8">
        <v>44292</v>
      </c>
      <c r="D326" s="9">
        <v>2498</v>
      </c>
      <c r="E326" s="7" t="e">
        <f>VLOOKUP(A326,DEVOLUCIONES!A$1:A$231,1,0)</f>
        <v>#N/A</v>
      </c>
      <c r="F326" s="7" t="e">
        <f>VLOOKUP(A326,'GLOSAS X CONCILIAR'!$A$1:$A$37,1,0)</f>
        <v>#N/A</v>
      </c>
      <c r="G326" s="7" t="str">
        <f>VLOOKUP(A326,'TODAS LAS P'!A:A,1,0)</f>
        <v>FEHF105921</v>
      </c>
      <c r="H326" s="7" t="str">
        <f>VLOOKUP(A326,PAGOS!A360:$A$1553,1,0)</f>
        <v>FEHF105921</v>
      </c>
      <c r="I326" s="40"/>
      <c r="J326" s="40"/>
      <c r="K326" s="40"/>
      <c r="L326" s="40"/>
      <c r="M326" s="40"/>
      <c r="N326" s="40"/>
      <c r="O326" s="40">
        <v>2498</v>
      </c>
      <c r="P326" s="40"/>
      <c r="Q326" s="7"/>
      <c r="R326" s="7" t="str">
        <f>VLOOKUP(A326,Hoja2!A$1:H$1143,8,0)</f>
        <v>2000552122</v>
      </c>
      <c r="S326" s="7"/>
      <c r="T326" s="35">
        <f t="shared" si="19"/>
        <v>0</v>
      </c>
      <c r="U326" s="7"/>
    </row>
    <row r="327" spans="1:21" x14ac:dyDescent="0.25">
      <c r="A327" s="7" t="s">
        <v>3016</v>
      </c>
      <c r="B327" s="8">
        <v>44283.078541666669</v>
      </c>
      <c r="C327" s="8">
        <v>44292</v>
      </c>
      <c r="D327" s="9">
        <v>54511</v>
      </c>
      <c r="E327" s="7" t="str">
        <f>VLOOKUP(A327,DEVOLUCIONES!A$1:A$231,1,0)</f>
        <v>FEHF107346</v>
      </c>
      <c r="F327" s="7" t="e">
        <f>VLOOKUP(A327,'GLOSAS X CONCILIAR'!$A$1:$A$37,1,0)</f>
        <v>#N/A</v>
      </c>
      <c r="G327" s="7" t="e">
        <f>VLOOKUP(A327,'TODAS LAS P'!A:A,1,0)</f>
        <v>#N/A</v>
      </c>
      <c r="H327" s="7" t="e">
        <f>VLOOKUP(A327,PAGOS!A361:$A$1553,1,0)</f>
        <v>#N/A</v>
      </c>
      <c r="I327" s="40"/>
      <c r="J327" s="40">
        <f>D327</f>
        <v>54511</v>
      </c>
      <c r="K327" s="40"/>
      <c r="L327" s="40"/>
      <c r="M327" s="40"/>
      <c r="N327" s="40"/>
      <c r="O327" s="40"/>
      <c r="P327" s="40"/>
      <c r="Q327" s="7" t="str">
        <f>VLOOKUP(A327,DEVOLUCIONES!A$1:B$231,2,0)</f>
        <v>DF-68765433293484</v>
      </c>
      <c r="R327" s="7"/>
      <c r="S327" s="7" t="str">
        <f>VLOOKUP(A327,DEVOLUCIONES!A$1:H$231,8,0)</f>
        <v>SE HACE DEVOLUCIÓN DE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QUE ESTEN VIGENTESTODA LA INFORMACION DEBE ESTAR CODIFICADA EN CUPS Y CUMS EN UNIDAD MINIMA DE DISPENSACION ACLARANDO Q EL CODIGO DEBE CORRESPONDER A LA DESCRIPCION EN CASO CONTRARIO ES OBJETO DE DEVOLUCION</v>
      </c>
      <c r="T327" s="35">
        <f t="shared" si="19"/>
        <v>0</v>
      </c>
      <c r="U327" s="7"/>
    </row>
    <row r="328" spans="1:21" x14ac:dyDescent="0.25">
      <c r="A328" s="7" t="s">
        <v>3017</v>
      </c>
      <c r="B328" s="8">
        <v>44285.324282407404</v>
      </c>
      <c r="C328" s="8">
        <v>44292</v>
      </c>
      <c r="D328" s="9">
        <v>22600</v>
      </c>
      <c r="E328" s="7" t="e">
        <f>VLOOKUP(A328,DEVOLUCIONES!A$1:A$231,1,0)</f>
        <v>#N/A</v>
      </c>
      <c r="F328" s="7" t="e">
        <f>VLOOKUP(A328,'GLOSAS X CONCILIAR'!$A$1:$A$37,1,0)</f>
        <v>#N/A</v>
      </c>
      <c r="G328" s="7" t="str">
        <f>VLOOKUP(A328,'TODAS LAS P'!A:A,1,0)</f>
        <v>FEHF108346</v>
      </c>
      <c r="H328" s="7" t="e">
        <f>VLOOKUP(A328,PAGOS!A362:$A$1553,1,0)</f>
        <v>#N/A</v>
      </c>
      <c r="I328" s="40"/>
      <c r="J328" s="40"/>
      <c r="K328" s="40"/>
      <c r="L328" s="40"/>
      <c r="M328" s="40"/>
      <c r="N328" s="40"/>
      <c r="O328" s="40">
        <v>22600</v>
      </c>
      <c r="P328" s="40"/>
      <c r="Q328" s="7"/>
      <c r="R328" s="7"/>
      <c r="S328" s="7"/>
      <c r="T328" s="35">
        <f t="shared" si="19"/>
        <v>0</v>
      </c>
      <c r="U328" s="7"/>
    </row>
    <row r="329" spans="1:21" x14ac:dyDescent="0.25">
      <c r="A329" s="7" t="s">
        <v>3018</v>
      </c>
      <c r="B329" s="8">
        <v>44285.354317129626</v>
      </c>
      <c r="C329" s="8">
        <v>44292</v>
      </c>
      <c r="D329" s="9">
        <v>44200</v>
      </c>
      <c r="E329" s="7" t="e">
        <f>VLOOKUP(A329,DEVOLUCIONES!A$1:A$231,1,0)</f>
        <v>#N/A</v>
      </c>
      <c r="F329" s="7" t="e">
        <f>VLOOKUP(A329,'GLOSAS X CONCILIAR'!$A$1:$A$37,1,0)</f>
        <v>#N/A</v>
      </c>
      <c r="G329" s="7" t="str">
        <f>VLOOKUP(A329,'TODAS LAS P'!A:A,1,0)</f>
        <v>FEHF108427</v>
      </c>
      <c r="H329" s="7" t="e">
        <f>VLOOKUP(A329,PAGOS!A363:$A$1553,1,0)</f>
        <v>#N/A</v>
      </c>
      <c r="I329" s="40"/>
      <c r="J329" s="40"/>
      <c r="K329" s="40"/>
      <c r="L329" s="40"/>
      <c r="M329" s="40"/>
      <c r="N329" s="40"/>
      <c r="O329" s="40">
        <v>44200</v>
      </c>
      <c r="P329" s="40"/>
      <c r="Q329" s="7"/>
      <c r="R329" s="7"/>
      <c r="S329" s="7"/>
      <c r="T329" s="35">
        <f t="shared" si="19"/>
        <v>0</v>
      </c>
      <c r="U329" s="7"/>
    </row>
    <row r="330" spans="1:21" x14ac:dyDescent="0.25">
      <c r="A330" s="7" t="s">
        <v>3019</v>
      </c>
      <c r="B330" s="8">
        <v>44286.921180555553</v>
      </c>
      <c r="C330" s="8">
        <v>44292</v>
      </c>
      <c r="D330" s="9">
        <v>153144</v>
      </c>
      <c r="E330" s="7" t="str">
        <f>VLOOKUP(A330,DEVOLUCIONES!A$1:A$231,1,0)</f>
        <v>FEHF109727</v>
      </c>
      <c r="F330" s="7" t="e">
        <f>VLOOKUP(A330,'GLOSAS X CONCILIAR'!$A$1:$A$37,1,0)</f>
        <v>#N/A</v>
      </c>
      <c r="G330" s="7" t="e">
        <f>VLOOKUP(A330,'TODAS LAS P'!A:A,1,0)</f>
        <v>#N/A</v>
      </c>
      <c r="H330" s="7" t="e">
        <f>VLOOKUP(A330,PAGOS!A364:$A$1553,1,0)</f>
        <v>#N/A</v>
      </c>
      <c r="I330" s="40"/>
      <c r="J330" s="40">
        <f>D330</f>
        <v>153144</v>
      </c>
      <c r="K330" s="40"/>
      <c r="L330" s="40"/>
      <c r="M330" s="40"/>
      <c r="N330" s="40"/>
      <c r="O330" s="40"/>
      <c r="P330" s="40"/>
      <c r="Q330" s="7" t="str">
        <f>VLOOKUP(A330,DEVOLUCIONES!A$1:B$231,2,0)</f>
        <v>DF-68765433293485</v>
      </c>
      <c r="R330" s="7"/>
      <c r="S330" s="7" t="str">
        <f>VLOOKUP(A330,DEVOLUCIONES!A$1:H$231,8,0)</f>
        <v>SE HACE DEVOLUCIÓN DE FACTURA SE REALIZA VALIDACIÓN DE LA INFORMACIÓN SUMINISTRADA Y SEGÚN REQUISITOS CONTEMPLADOS EN LA RESOLUCIÓN 3495 DEL 2019 EXPEDIDA POR EL MINISTERIO DE SALUD Y SEGURIDAD SOCIAL  EN SU ARTICULO 2 ARTICULO 2 PARÁGRAFO ÚNICO Y ARTICULO 5 AL IGUAL QUE LA RESOLUCIÓN 537 DEL 2020  SE PUEDE EVIDENCIAR QUE EN BASE EN LO ANTERIOR NO SE ESTÁN UTILIZANDO LOS CÓDIGOS CUPS RELACIONADOS EN EL ANEXO NUMERO 4 DE LA NORMA MENCIONADA CUPS LOS CUALES DEBEN SER REPORTADOS TANTO EN LOS RIPS COMO EN LA FACTURASEGUN CIRCULAR EMITIDA EL 01 DE SEPTIEMBRE POR FAVOR VALIDAR Y FACTURAR CON CODIGOS CUM QUE ESTEN VIGENTESTODA LA INFORMACION DEBE ESTAR CODIFICADA EN CUPS Y CUMS EN UNIDAD MINIMA DE DISPENSACION ACLARANDO Q EL CODIGO DEBE CORRESPONDER A LA DESCRIPCION EN CASO CONTRARIO ES OBJETO DE DEVOLUCION</v>
      </c>
      <c r="T330" s="35">
        <f t="shared" si="19"/>
        <v>0</v>
      </c>
      <c r="U330" s="7"/>
    </row>
    <row r="331" spans="1:21" x14ac:dyDescent="0.25">
      <c r="A331" s="7" t="s">
        <v>3020</v>
      </c>
      <c r="B331" s="8">
        <v>44291.314201388886</v>
      </c>
      <c r="C331" s="8">
        <v>44323</v>
      </c>
      <c r="D331" s="9">
        <v>22300</v>
      </c>
      <c r="E331" s="7" t="e">
        <f>VLOOKUP(A331,DEVOLUCIONES!A$1:A$231,1,0)</f>
        <v>#N/A</v>
      </c>
      <c r="F331" s="7" t="e">
        <f>VLOOKUP(A331,'GLOSAS X CONCILIAR'!$A$1:$A$37,1,0)</f>
        <v>#N/A</v>
      </c>
      <c r="G331" s="7" t="str">
        <f>VLOOKUP(A331,'TODAS LAS P'!A:A,1,0)</f>
        <v>FEHF110373</v>
      </c>
      <c r="H331" s="7" t="e">
        <f>VLOOKUP(A331,PAGOS!A365:$A$1553,1,0)</f>
        <v>#N/A</v>
      </c>
      <c r="I331" s="40"/>
      <c r="J331" s="40"/>
      <c r="K331" s="40"/>
      <c r="L331" s="40"/>
      <c r="M331" s="40"/>
      <c r="N331" s="40"/>
      <c r="O331" s="40">
        <v>22300</v>
      </c>
      <c r="P331" s="40"/>
      <c r="Q331" s="7"/>
      <c r="R331" s="7"/>
      <c r="S331" s="7"/>
      <c r="T331" s="35">
        <f t="shared" si="19"/>
        <v>0</v>
      </c>
      <c r="U331" s="7"/>
    </row>
    <row r="332" spans="1:21" x14ac:dyDescent="0.25">
      <c r="A332" s="7" t="s">
        <v>3021</v>
      </c>
      <c r="B332" s="8">
        <v>44291.317175925928</v>
      </c>
      <c r="C332" s="8">
        <v>44323</v>
      </c>
      <c r="D332" s="9">
        <v>22300</v>
      </c>
      <c r="E332" s="7" t="e">
        <f>VLOOKUP(A332,DEVOLUCIONES!A$1:A$231,1,0)</f>
        <v>#N/A</v>
      </c>
      <c r="F332" s="7" t="e">
        <f>VLOOKUP(A332,'GLOSAS X CONCILIAR'!$A$1:$A$37,1,0)</f>
        <v>#N/A</v>
      </c>
      <c r="G332" s="7" t="str">
        <f>VLOOKUP(A332,'TODAS LAS P'!A:A,1,0)</f>
        <v>FEHF110382</v>
      </c>
      <c r="H332" s="7" t="e">
        <f>VLOOKUP(A332,PAGOS!A366:$A$1553,1,0)</f>
        <v>#N/A</v>
      </c>
      <c r="I332" s="40"/>
      <c r="J332" s="40"/>
      <c r="K332" s="40"/>
      <c r="L332" s="40"/>
      <c r="M332" s="40"/>
      <c r="N332" s="40"/>
      <c r="O332" s="40">
        <v>22300</v>
      </c>
      <c r="P332" s="40"/>
      <c r="Q332" s="7"/>
      <c r="R332" s="7"/>
      <c r="S332" s="7"/>
      <c r="T332" s="35">
        <f t="shared" si="19"/>
        <v>0</v>
      </c>
      <c r="U332" s="7"/>
    </row>
    <row r="333" spans="1:21" x14ac:dyDescent="0.25">
      <c r="A333" s="7" t="s">
        <v>3022</v>
      </c>
      <c r="B333" s="8">
        <v>44292.361863425926</v>
      </c>
      <c r="C333" s="8">
        <v>44323</v>
      </c>
      <c r="D333" s="9">
        <v>43700</v>
      </c>
      <c r="E333" s="7" t="str">
        <f>VLOOKUP(A333,DEVOLUCIONES!A$1:A$231,1,0)</f>
        <v>FEHF111288</v>
      </c>
      <c r="F333" s="7" t="e">
        <f>VLOOKUP(A333,'GLOSAS X CONCILIAR'!$A$1:$A$37,1,0)</f>
        <v>#N/A</v>
      </c>
      <c r="G333" s="7" t="e">
        <f>VLOOKUP(A333,'TODAS LAS P'!A:A,1,0)</f>
        <v>#N/A</v>
      </c>
      <c r="H333" s="7" t="e">
        <f>VLOOKUP(A333,PAGOS!A367:$A$1553,1,0)</f>
        <v>#N/A</v>
      </c>
      <c r="I333" s="40"/>
      <c r="J333" s="40">
        <f>D333</f>
        <v>43700</v>
      </c>
      <c r="K333" s="40"/>
      <c r="L333" s="40"/>
      <c r="M333" s="40"/>
      <c r="N333" s="40"/>
      <c r="O333" s="40"/>
      <c r="P333" s="40"/>
      <c r="Q333" s="7" t="str">
        <f>VLOOKUP(A333,DEVOLUCIONES!A$1:B$231,2,0)</f>
        <v>DF-05222736277</v>
      </c>
      <c r="R333" s="7"/>
      <c r="S333" s="7" t="str">
        <f>VLOOKUP(A333,DEVOLUCIONES!A$1:H$231,8,0)</f>
        <v>Se hace devolucion de la cuenta debido  que la IPS cargo la atención  con un contrato de portabilidad y revisando  lo soportado es tan facturado no adjunta la portabiliad</v>
      </c>
      <c r="T333" s="35">
        <f t="shared" si="19"/>
        <v>0</v>
      </c>
      <c r="U333" s="7"/>
    </row>
    <row r="334" spans="1:21" x14ac:dyDescent="0.25">
      <c r="A334" s="7" t="s">
        <v>2038</v>
      </c>
      <c r="B334" s="8">
        <v>44292.64234953704</v>
      </c>
      <c r="C334" s="8">
        <v>44323</v>
      </c>
      <c r="D334" s="9">
        <v>53700</v>
      </c>
      <c r="E334" s="7" t="e">
        <f>VLOOKUP(A334,DEVOLUCIONES!A$1:A$231,1,0)</f>
        <v>#N/A</v>
      </c>
      <c r="F334" s="7" t="e">
        <f>VLOOKUP(A334,'GLOSAS X CONCILIAR'!$A$1:$A$37,1,0)</f>
        <v>#N/A</v>
      </c>
      <c r="G334" s="7" t="str">
        <f>VLOOKUP(A334,'TODAS LAS P'!A:A,1,0)</f>
        <v>FEHF111724</v>
      </c>
      <c r="H334" s="7" t="str">
        <f>VLOOKUP(A334,PAGOS!A368:$A$1553,1,0)</f>
        <v>FEHF111724</v>
      </c>
      <c r="I334" s="40"/>
      <c r="J334" s="40"/>
      <c r="K334" s="40"/>
      <c r="L334" s="40"/>
      <c r="M334" s="40"/>
      <c r="N334" s="40"/>
      <c r="O334" s="40">
        <v>53700</v>
      </c>
      <c r="P334" s="40"/>
      <c r="Q334" s="7"/>
      <c r="R334" s="7" t="str">
        <f>VLOOKUP(A334,Hoja2!A$1:H$1143,8,0)</f>
        <v>2000552116</v>
      </c>
      <c r="S334" s="7"/>
      <c r="T334" s="35">
        <f t="shared" si="19"/>
        <v>0</v>
      </c>
      <c r="U334" s="7"/>
    </row>
    <row r="335" spans="1:21" x14ac:dyDescent="0.25">
      <c r="A335" s="7" t="s">
        <v>3023</v>
      </c>
      <c r="B335" s="8">
        <v>44293.393217592595</v>
      </c>
      <c r="C335" s="8">
        <v>44323</v>
      </c>
      <c r="D335" s="9">
        <v>47200</v>
      </c>
      <c r="E335" s="7" t="e">
        <f>VLOOKUP(A335,DEVOLUCIONES!A$1:A$231,1,0)</f>
        <v>#N/A</v>
      </c>
      <c r="F335" s="7" t="e">
        <f>VLOOKUP(A335,'GLOSAS X CONCILIAR'!$A$1:$A$37,1,0)</f>
        <v>#N/A</v>
      </c>
      <c r="G335" s="7" t="str">
        <f>VLOOKUP(A335,'TODAS LAS P'!A:A,1,0)</f>
        <v>FEHF112093</v>
      </c>
      <c r="H335" s="7" t="e">
        <f>VLOOKUP(A335,PAGOS!A369:$A$1553,1,0)</f>
        <v>#N/A</v>
      </c>
      <c r="I335" s="40"/>
      <c r="J335" s="40"/>
      <c r="K335" s="40"/>
      <c r="L335" s="40"/>
      <c r="M335" s="40"/>
      <c r="N335" s="40"/>
      <c r="O335" s="40">
        <v>47200</v>
      </c>
      <c r="P335" s="40"/>
      <c r="Q335" s="7"/>
      <c r="R335" s="7"/>
      <c r="S335" s="7"/>
      <c r="T335" s="35">
        <f t="shared" si="19"/>
        <v>0</v>
      </c>
      <c r="U335" s="7"/>
    </row>
    <row r="336" spans="1:21" x14ac:dyDescent="0.25">
      <c r="A336" s="7" t="s">
        <v>3024</v>
      </c>
      <c r="B336" s="8">
        <v>44293.432812500003</v>
      </c>
      <c r="C336" s="8">
        <v>44323</v>
      </c>
      <c r="D336" s="9">
        <v>32700</v>
      </c>
      <c r="E336" s="7" t="e">
        <f>VLOOKUP(A336,DEVOLUCIONES!A$1:A$231,1,0)</f>
        <v>#N/A</v>
      </c>
      <c r="F336" s="7" t="e">
        <f>VLOOKUP(A336,'GLOSAS X CONCILIAR'!$A$1:$A$37,1,0)</f>
        <v>#N/A</v>
      </c>
      <c r="G336" s="7" t="str">
        <f>VLOOKUP(A336,'TODAS LAS P'!A:A,1,0)</f>
        <v>FEHF112151</v>
      </c>
      <c r="H336" s="7" t="e">
        <f>VLOOKUP(A336,PAGOS!A370:$A$1553,1,0)</f>
        <v>#N/A</v>
      </c>
      <c r="I336" s="40"/>
      <c r="J336" s="40"/>
      <c r="K336" s="40"/>
      <c r="L336" s="40"/>
      <c r="M336" s="40"/>
      <c r="N336" s="40"/>
      <c r="O336" s="40">
        <v>32700</v>
      </c>
      <c r="P336" s="40"/>
      <c r="Q336" s="7"/>
      <c r="R336" s="7"/>
      <c r="S336" s="7"/>
      <c r="T336" s="35">
        <f t="shared" si="19"/>
        <v>0</v>
      </c>
      <c r="U336" s="7"/>
    </row>
    <row r="337" spans="1:21" x14ac:dyDescent="0.25">
      <c r="A337" s="7" t="s">
        <v>3025</v>
      </c>
      <c r="B337" s="8">
        <v>44298.749305555553</v>
      </c>
      <c r="C337" s="8">
        <v>44323</v>
      </c>
      <c r="D337" s="9">
        <v>3115738</v>
      </c>
      <c r="E337" s="7" t="str">
        <f>VLOOKUP(A337,DEVOLUCIONES!A$1:A$231,1,0)</f>
        <v>FEHF114834</v>
      </c>
      <c r="F337" s="7" t="e">
        <f>VLOOKUP(A337,'GLOSAS X CONCILIAR'!$A$1:$A$37,1,0)</f>
        <v>#N/A</v>
      </c>
      <c r="G337" s="7" t="e">
        <f>VLOOKUP(A337,'TODAS LAS P'!A:A,1,0)</f>
        <v>#N/A</v>
      </c>
      <c r="H337" s="7" t="e">
        <f>VLOOKUP(A337,PAGOS!A371:$A$1553,1,0)</f>
        <v>#N/A</v>
      </c>
      <c r="I337" s="40"/>
      <c r="J337" s="40">
        <f t="shared" ref="J337:J338" si="20">D337</f>
        <v>3115738</v>
      </c>
      <c r="K337" s="40"/>
      <c r="L337" s="40"/>
      <c r="M337" s="40"/>
      <c r="N337" s="40"/>
      <c r="O337" s="40"/>
      <c r="P337" s="40"/>
      <c r="Q337" s="7" t="str">
        <f>VLOOKUP(A337,DEVOLUCIONES!A$1:B$231,2,0)</f>
        <v>DF-059273938957</v>
      </c>
      <c r="R337" s="7"/>
      <c r="S337" s="7" t="str">
        <f>VLOOKUP(A337,DEVOLUCIONES!A$1:H$231,8,0)</f>
        <v>Se hace devolución de la factura dado que Se debe tener en cuenta circular normativa Cumplimiento de lasobligaciones de confiabilidad seguridad y calidad de los datos sobre la prestación individual de servicios desalud del 11 de agosto de 2020 atendiendo los lineamientos consagrados en los artículos 9 y siguiente de laResolucion 3374 de 2000 en el numeral III ( todos los prestadores deben garantizar la coincidencia de loordenado lo aplicado  lo facturado y lo registrado en RIPS) y Numeral IV (toda la información debe estarcodificada en "CUPS" y "CUMS" en unidad minima de dispensación aclarando que el código debe corresponder ala descripción en caso contrario será objeto de devolución por lo cual se deberá cargar nuevamente lainformación en la plataforma los RIPS y surtir un nuevo proceso de radicación de factura)SE DEBE FACTURAR TANTO EN CODIGOS CUPS COMO EN CODIGOS CUMS</v>
      </c>
      <c r="T337" s="35">
        <f t="shared" si="19"/>
        <v>0</v>
      </c>
      <c r="U337" s="7"/>
    </row>
    <row r="338" spans="1:21" x14ac:dyDescent="0.25">
      <c r="A338" s="7" t="s">
        <v>3026</v>
      </c>
      <c r="B338" s="8">
        <v>44303.197708333333</v>
      </c>
      <c r="C338" s="8">
        <v>44323</v>
      </c>
      <c r="D338" s="9">
        <v>161741</v>
      </c>
      <c r="E338" s="7" t="str">
        <f>VLOOKUP(A338,DEVOLUCIONES!A$1:A$231,1,0)</f>
        <v>FEHF117758</v>
      </c>
      <c r="F338" s="7" t="e">
        <f>VLOOKUP(A338,'GLOSAS X CONCILIAR'!$A$1:$A$37,1,0)</f>
        <v>#N/A</v>
      </c>
      <c r="G338" s="7" t="e">
        <f>VLOOKUP(A338,'TODAS LAS P'!A:A,1,0)</f>
        <v>#N/A</v>
      </c>
      <c r="H338" s="7" t="e">
        <f>VLOOKUP(A338,PAGOS!A372:$A$1553,1,0)</f>
        <v>#N/A</v>
      </c>
      <c r="I338" s="40"/>
      <c r="J338" s="40">
        <f t="shared" si="20"/>
        <v>161741</v>
      </c>
      <c r="K338" s="40"/>
      <c r="L338" s="40"/>
      <c r="M338" s="40"/>
      <c r="N338" s="40"/>
      <c r="O338" s="40"/>
      <c r="P338" s="40"/>
      <c r="Q338" s="7" t="str">
        <f>VLOOKUP(A338,DEVOLUCIONES!A$1:B$231,2,0)</f>
        <v>DF-475555560634701</v>
      </c>
      <c r="R338" s="7"/>
      <c r="S338" s="7" t="str">
        <f>VLOOKUP(A338,DEVOLUCIONES!A$1:H$231,8,0)</f>
        <v>Se hace devolución de factura dado que la información reportada en los RIPS constituyen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queLos CUM se encuentren vigentes y correspondan al medicamento facturado199264783 HIOSCINA NBUTIL BROMURO/DIPIRONA SOLUCION INYECTABLE 00225 G/ML/5 ML (NO SE ENCUENTRA VIGENTE EN INVIMA) Una vez subsanado todos los inconvenientes La factura debe ser presentada nuevamente en el tiempo de radicación habitual y con nuevo RIPS para su proceso de auditoria y debido tramite contable  </v>
      </c>
      <c r="T338" s="35">
        <f t="shared" si="19"/>
        <v>0</v>
      </c>
      <c r="U338" s="7"/>
    </row>
    <row r="339" spans="1:21" x14ac:dyDescent="0.25">
      <c r="A339" s="7" t="s">
        <v>1702</v>
      </c>
      <c r="B339" s="8">
        <v>44304.609664351854</v>
      </c>
      <c r="C339" s="8">
        <v>44323</v>
      </c>
      <c r="D339" s="9">
        <v>453684</v>
      </c>
      <c r="E339" s="7" t="e">
        <f>VLOOKUP(A339,DEVOLUCIONES!A$1:A$231,1,0)</f>
        <v>#N/A</v>
      </c>
      <c r="F339" s="7" t="e">
        <f>VLOOKUP(A339,'GLOSAS X CONCILIAR'!$A$1:$A$37,1,0)</f>
        <v>#N/A</v>
      </c>
      <c r="G339" s="7" t="str">
        <f>VLOOKUP(A339,'TODAS LAS P'!A:A,1,0)</f>
        <v>FEHF118106</v>
      </c>
      <c r="H339" s="7" t="str">
        <f>VLOOKUP(A339,PAGOS!A373:$A$1553,1,0)</f>
        <v>FEHF118106</v>
      </c>
      <c r="I339" s="40"/>
      <c r="J339" s="40"/>
      <c r="K339" s="40"/>
      <c r="L339" s="40"/>
      <c r="M339" s="40"/>
      <c r="N339" s="40"/>
      <c r="O339" s="40">
        <v>674374</v>
      </c>
      <c r="P339" s="40"/>
      <c r="Q339" s="7"/>
      <c r="R339" s="7" t="str">
        <f>VLOOKUP(A339,Hoja2!A$1:H$1143,8,0)</f>
        <v>2000607764</v>
      </c>
      <c r="S339" s="7"/>
      <c r="T339" s="35">
        <f t="shared" si="19"/>
        <v>-220690</v>
      </c>
      <c r="U339" s="7"/>
    </row>
    <row r="340" spans="1:21" x14ac:dyDescent="0.25">
      <c r="A340" s="7" t="s">
        <v>3027</v>
      </c>
      <c r="B340" s="8">
        <v>44306.574861111112</v>
      </c>
      <c r="C340" s="8">
        <v>44323</v>
      </c>
      <c r="D340" s="9">
        <v>109000</v>
      </c>
      <c r="E340" s="7" t="e">
        <f>VLOOKUP(A340,DEVOLUCIONES!A$1:A$231,1,0)</f>
        <v>#N/A</v>
      </c>
      <c r="F340" s="7" t="e">
        <f>VLOOKUP(A340,'GLOSAS X CONCILIAR'!$A$1:$A$37,1,0)</f>
        <v>#N/A</v>
      </c>
      <c r="G340" s="7" t="str">
        <f>VLOOKUP(A340,'TODAS LAS P'!A:A,1,0)</f>
        <v>FEHF119453</v>
      </c>
      <c r="H340" s="7" t="e">
        <f>VLOOKUP(A340,PAGOS!A374:$A$1553,1,0)</f>
        <v>#N/A</v>
      </c>
      <c r="I340" s="40"/>
      <c r="J340" s="40"/>
      <c r="K340" s="40"/>
      <c r="L340" s="40"/>
      <c r="M340" s="40"/>
      <c r="N340" s="40"/>
      <c r="O340" s="40">
        <v>109000</v>
      </c>
      <c r="P340" s="40"/>
      <c r="Q340" s="7"/>
      <c r="R340" s="7"/>
      <c r="S340" s="7"/>
      <c r="T340" s="35">
        <f t="shared" si="19"/>
        <v>0</v>
      </c>
      <c r="U340" s="7"/>
    </row>
    <row r="341" spans="1:21" x14ac:dyDescent="0.25">
      <c r="A341" s="7" t="s">
        <v>1820</v>
      </c>
      <c r="B341" s="8">
        <v>44307.558923611112</v>
      </c>
      <c r="C341" s="8">
        <v>44323</v>
      </c>
      <c r="D341" s="9">
        <v>19502</v>
      </c>
      <c r="E341" s="7" t="e">
        <f>VLOOKUP(A341,DEVOLUCIONES!A$1:A$231,1,0)</f>
        <v>#N/A</v>
      </c>
      <c r="F341" s="7" t="e">
        <f>VLOOKUP(A341,'GLOSAS X CONCILIAR'!$A$1:$A$37,1,0)</f>
        <v>#N/A</v>
      </c>
      <c r="G341" s="7" t="str">
        <f>VLOOKUP(A341,'TODAS LAS P'!A:A,1,0)</f>
        <v>FEHF120166</v>
      </c>
      <c r="H341" s="7" t="str">
        <f>VLOOKUP(A341,PAGOS!A375:$A$1553,1,0)</f>
        <v>FEHF120166</v>
      </c>
      <c r="I341" s="40"/>
      <c r="J341" s="40"/>
      <c r="K341" s="40"/>
      <c r="L341" s="40"/>
      <c r="M341" s="40"/>
      <c r="N341" s="40"/>
      <c r="O341" s="40">
        <v>18098</v>
      </c>
      <c r="P341" s="40"/>
      <c r="Q341" s="7"/>
      <c r="R341" s="7" t="str">
        <f>VLOOKUP(A341,Hoja2!A$1:H$1143,8,0)</f>
        <v>2000607763</v>
      </c>
      <c r="S341" s="7"/>
      <c r="T341" s="35">
        <f t="shared" si="19"/>
        <v>1404</v>
      </c>
      <c r="U341" s="7"/>
    </row>
    <row r="342" spans="1:21" x14ac:dyDescent="0.25">
      <c r="A342" s="7" t="s">
        <v>1842</v>
      </c>
      <c r="B342" s="8">
        <v>44308.36645833333</v>
      </c>
      <c r="C342" s="8">
        <v>44323</v>
      </c>
      <c r="D342" s="9">
        <v>905975</v>
      </c>
      <c r="E342" s="7" t="e">
        <f>VLOOKUP(A342,DEVOLUCIONES!A$1:A$231,1,0)</f>
        <v>#N/A</v>
      </c>
      <c r="F342" s="7" t="e">
        <f>VLOOKUP(A342,'GLOSAS X CONCILIAR'!$A$1:$A$37,1,0)</f>
        <v>#N/A</v>
      </c>
      <c r="G342" s="7" t="str">
        <f>VLOOKUP(A342,'TODAS LAS P'!A:A,1,0)</f>
        <v>FEHF120566</v>
      </c>
      <c r="H342" s="7" t="str">
        <f>VLOOKUP(A342,PAGOS!A376:$A$1553,1,0)</f>
        <v>FEHF120566</v>
      </c>
      <c r="I342" s="40"/>
      <c r="J342" s="40"/>
      <c r="K342" s="40"/>
      <c r="L342" s="40"/>
      <c r="M342" s="40"/>
      <c r="N342" s="40"/>
      <c r="O342" s="40">
        <f>625148+107087</f>
        <v>732235</v>
      </c>
      <c r="P342" s="40"/>
      <c r="Q342" s="7"/>
      <c r="R342" s="7" t="str">
        <f>VLOOKUP(A342,Hoja2!A$1:H$1143,8,0)</f>
        <v>2000607762</v>
      </c>
      <c r="S342" s="7"/>
      <c r="T342" s="35">
        <f t="shared" si="19"/>
        <v>173740</v>
      </c>
      <c r="U342" s="7"/>
    </row>
    <row r="343" spans="1:21" x14ac:dyDescent="0.25">
      <c r="A343" s="7" t="s">
        <v>3028</v>
      </c>
      <c r="B343" s="8">
        <v>44308.609918981485</v>
      </c>
      <c r="C343" s="8">
        <v>44323</v>
      </c>
      <c r="D343" s="9">
        <v>32700</v>
      </c>
      <c r="E343" s="7" t="e">
        <f>VLOOKUP(A343,DEVOLUCIONES!A$1:A$231,1,0)</f>
        <v>#N/A</v>
      </c>
      <c r="F343" s="7" t="e">
        <f>VLOOKUP(A343,'GLOSAS X CONCILIAR'!$A$1:$A$37,1,0)</f>
        <v>#N/A</v>
      </c>
      <c r="G343" s="7" t="str">
        <f>VLOOKUP(A343,'TODAS LAS P'!A:A,1,0)</f>
        <v>FEHF120906</v>
      </c>
      <c r="H343" s="7" t="e">
        <f>VLOOKUP(A343,PAGOS!A377:$A$1553,1,0)</f>
        <v>#N/A</v>
      </c>
      <c r="I343" s="40"/>
      <c r="J343" s="40"/>
      <c r="K343" s="40"/>
      <c r="L343" s="40"/>
      <c r="M343" s="40"/>
      <c r="N343" s="40"/>
      <c r="O343" s="40">
        <v>32700</v>
      </c>
      <c r="P343" s="40"/>
      <c r="Q343" s="7"/>
      <c r="R343" s="7"/>
      <c r="S343" s="7"/>
      <c r="T343" s="35">
        <f t="shared" si="19"/>
        <v>0</v>
      </c>
      <c r="U343" s="7"/>
    </row>
    <row r="344" spans="1:21" x14ac:dyDescent="0.25">
      <c r="A344" s="7" t="s">
        <v>3029</v>
      </c>
      <c r="B344" s="8">
        <v>44308.639270833337</v>
      </c>
      <c r="C344" s="8">
        <v>44323</v>
      </c>
      <c r="D344" s="9">
        <v>115700</v>
      </c>
      <c r="E344" s="7" t="str">
        <f>VLOOKUP(A344,DEVOLUCIONES!A$1:A$231,1,0)</f>
        <v>FEHF120941</v>
      </c>
      <c r="F344" s="7" t="e">
        <f>VLOOKUP(A344,'GLOSAS X CONCILIAR'!$A$1:$A$37,1,0)</f>
        <v>#N/A</v>
      </c>
      <c r="G344" s="7" t="e">
        <f>VLOOKUP(A344,'TODAS LAS P'!A:A,1,0)</f>
        <v>#N/A</v>
      </c>
      <c r="H344" s="7" t="e">
        <f>VLOOKUP(A344,PAGOS!A378:$A$1553,1,0)</f>
        <v>#N/A</v>
      </c>
      <c r="I344" s="40"/>
      <c r="J344" s="40">
        <f>D344</f>
        <v>115700</v>
      </c>
      <c r="K344" s="40"/>
      <c r="L344" s="40"/>
      <c r="M344" s="40"/>
      <c r="N344" s="40"/>
      <c r="O344" s="40"/>
      <c r="P344" s="40"/>
      <c r="Q344" s="7" t="str">
        <f>VLOOKUP(A344,DEVOLUCIONES!A$1:B$231,2,0)</f>
        <v>DF-259261132087</v>
      </c>
      <c r="R344" s="7"/>
      <c r="S344" s="7" t="str">
        <f>VLOOKUP(A344,DEVOLUCIONES!A$1:H$231,8,0)</f>
        <v>Se hace devolución de la cuenta FEHF120941 correspondiente al paciente SANDRA MARLENY VIZCAINO MICAN con CC35528297 ya que se evidencia que presenta una atención idéntica del día 19/04/2021 atencion ya cancelada en la factura FEHF118511 con la misma fecha de atención y el mismo detalle de cargos  por ende seria un doble cobro</v>
      </c>
      <c r="T344" s="35">
        <f t="shared" si="19"/>
        <v>0</v>
      </c>
      <c r="U344" s="7"/>
    </row>
    <row r="345" spans="1:21" x14ac:dyDescent="0.25">
      <c r="A345" s="7" t="s">
        <v>3030</v>
      </c>
      <c r="B345" s="8">
        <v>44308.69253472222</v>
      </c>
      <c r="C345" s="8">
        <v>44323</v>
      </c>
      <c r="D345" s="9">
        <v>109000</v>
      </c>
      <c r="E345" s="7" t="e">
        <f>VLOOKUP(A345,DEVOLUCIONES!A$1:A$231,1,0)</f>
        <v>#N/A</v>
      </c>
      <c r="F345" s="7" t="e">
        <f>VLOOKUP(A345,'GLOSAS X CONCILIAR'!$A$1:$A$37,1,0)</f>
        <v>#N/A</v>
      </c>
      <c r="G345" s="7" t="str">
        <f>VLOOKUP(A345,'TODAS LAS P'!A:A,1,0)</f>
        <v>FEHF120993</v>
      </c>
      <c r="H345" s="7" t="e">
        <f>VLOOKUP(A345,PAGOS!A379:$A$1553,1,0)</f>
        <v>#N/A</v>
      </c>
      <c r="I345" s="40"/>
      <c r="J345" s="40"/>
      <c r="K345" s="40"/>
      <c r="L345" s="40"/>
      <c r="M345" s="40"/>
      <c r="N345" s="40"/>
      <c r="O345" s="40">
        <v>109000</v>
      </c>
      <c r="P345" s="40"/>
      <c r="Q345" s="7"/>
      <c r="R345" s="7"/>
      <c r="S345" s="7"/>
      <c r="T345" s="35">
        <f t="shared" si="19"/>
        <v>0</v>
      </c>
      <c r="U345" s="7"/>
    </row>
    <row r="346" spans="1:21" x14ac:dyDescent="0.25">
      <c r="A346" s="7" t="s">
        <v>3031</v>
      </c>
      <c r="B346" s="8">
        <v>44309.284270833334</v>
      </c>
      <c r="C346" s="8">
        <v>44323</v>
      </c>
      <c r="D346" s="9">
        <v>32700</v>
      </c>
      <c r="E346" s="7" t="e">
        <f>VLOOKUP(A346,DEVOLUCIONES!A$1:A$231,1,0)</f>
        <v>#N/A</v>
      </c>
      <c r="F346" s="7" t="e">
        <f>VLOOKUP(A346,'GLOSAS X CONCILIAR'!$A$1:$A$37,1,0)</f>
        <v>#N/A</v>
      </c>
      <c r="G346" s="7" t="str">
        <f>VLOOKUP(A346,'TODAS LAS P'!A:A,1,0)</f>
        <v>FEHF121114</v>
      </c>
      <c r="H346" s="7" t="e">
        <f>VLOOKUP(A346,PAGOS!A380:$A$1553,1,0)</f>
        <v>#N/A</v>
      </c>
      <c r="I346" s="40"/>
      <c r="J346" s="40"/>
      <c r="K346" s="40"/>
      <c r="L346" s="40"/>
      <c r="M346" s="40"/>
      <c r="N346" s="40"/>
      <c r="O346" s="40">
        <v>32700</v>
      </c>
      <c r="P346" s="40"/>
      <c r="Q346" s="7"/>
      <c r="R346" s="7"/>
      <c r="S346" s="7"/>
      <c r="T346" s="35">
        <f t="shared" si="19"/>
        <v>0</v>
      </c>
      <c r="U346" s="7"/>
    </row>
    <row r="347" spans="1:21" x14ac:dyDescent="0.25">
      <c r="A347" s="7" t="s">
        <v>3032</v>
      </c>
      <c r="B347" s="8">
        <v>44309.285057870373</v>
      </c>
      <c r="C347" s="8">
        <v>44323</v>
      </c>
      <c r="D347" s="9">
        <v>32700</v>
      </c>
      <c r="E347" s="7" t="e">
        <f>VLOOKUP(A347,DEVOLUCIONES!A$1:A$231,1,0)</f>
        <v>#N/A</v>
      </c>
      <c r="F347" s="7" t="e">
        <f>VLOOKUP(A347,'GLOSAS X CONCILIAR'!$A$1:$A$37,1,0)</f>
        <v>#N/A</v>
      </c>
      <c r="G347" s="7" t="str">
        <f>VLOOKUP(A347,'TODAS LAS P'!A:A,1,0)</f>
        <v>FEHF121116</v>
      </c>
      <c r="H347" s="7" t="e">
        <f>VLOOKUP(A347,PAGOS!A381:$A$1553,1,0)</f>
        <v>#N/A</v>
      </c>
      <c r="I347" s="40"/>
      <c r="J347" s="40"/>
      <c r="K347" s="40"/>
      <c r="L347" s="40"/>
      <c r="M347" s="40"/>
      <c r="N347" s="40"/>
      <c r="O347" s="40">
        <v>32700</v>
      </c>
      <c r="P347" s="40"/>
      <c r="Q347" s="7"/>
      <c r="R347" s="7"/>
      <c r="S347" s="7"/>
      <c r="T347" s="35">
        <f t="shared" si="19"/>
        <v>0</v>
      </c>
      <c r="U347" s="7"/>
    </row>
    <row r="348" spans="1:21" x14ac:dyDescent="0.25">
      <c r="A348" s="7" t="s">
        <v>3033</v>
      </c>
      <c r="B348" s="8">
        <v>44309.42627314815</v>
      </c>
      <c r="C348" s="8">
        <v>44323</v>
      </c>
      <c r="D348" s="9">
        <v>22300</v>
      </c>
      <c r="E348" s="7" t="e">
        <f>VLOOKUP(A348,DEVOLUCIONES!A$1:A$231,1,0)</f>
        <v>#N/A</v>
      </c>
      <c r="F348" s="7" t="e">
        <f>VLOOKUP(A348,'GLOSAS X CONCILIAR'!$A$1:$A$37,1,0)</f>
        <v>#N/A</v>
      </c>
      <c r="G348" s="7" t="str">
        <f>VLOOKUP(A348,'TODAS LAS P'!A:A,1,0)</f>
        <v>FEHF121429</v>
      </c>
      <c r="H348" s="7" t="e">
        <f>VLOOKUP(A348,PAGOS!A382:$A$1553,1,0)</f>
        <v>#N/A</v>
      </c>
      <c r="I348" s="40"/>
      <c r="J348" s="40"/>
      <c r="K348" s="40"/>
      <c r="L348" s="40"/>
      <c r="M348" s="40"/>
      <c r="N348" s="40"/>
      <c r="O348" s="40">
        <v>22300</v>
      </c>
      <c r="P348" s="40"/>
      <c r="Q348" s="7"/>
      <c r="R348" s="7"/>
      <c r="S348" s="7"/>
      <c r="T348" s="35">
        <f t="shared" si="19"/>
        <v>0</v>
      </c>
      <c r="U348" s="7"/>
    </row>
    <row r="349" spans="1:21" x14ac:dyDescent="0.25">
      <c r="A349" s="7" t="s">
        <v>134</v>
      </c>
      <c r="B349" s="8">
        <v>44314.295636574076</v>
      </c>
      <c r="C349" s="8">
        <v>44323</v>
      </c>
      <c r="D349" s="9">
        <v>636400</v>
      </c>
      <c r="E349" s="7" t="e">
        <f>VLOOKUP(A349,DEVOLUCIONES!A$1:A$231,1,0)</f>
        <v>#N/A</v>
      </c>
      <c r="F349" s="7" t="str">
        <f>VLOOKUP(A349,'GLOSAS X CONCILIAR'!$A$1:$A$37,1,0)</f>
        <v>FEHF123628</v>
      </c>
      <c r="G349" s="7" t="str">
        <f>VLOOKUP(A349,'TODAS LAS P'!A:A,1,0)</f>
        <v>FEHF123628</v>
      </c>
      <c r="H349" s="7" t="e">
        <f>VLOOKUP(A349,PAGOS!A383:$A$1553,1,0)</f>
        <v>#N/A</v>
      </c>
      <c r="I349" s="40"/>
      <c r="J349" s="40"/>
      <c r="K349" s="40"/>
      <c r="L349" s="40"/>
      <c r="M349" s="40"/>
      <c r="N349" s="40">
        <f>VLOOKUP(A349,'GLOSAS X CONCILIAR'!A$1:C$37,3,0)</f>
        <v>474800</v>
      </c>
      <c r="O349" s="40">
        <v>161600</v>
      </c>
      <c r="P349" s="40"/>
      <c r="Q349" s="7"/>
      <c r="R349" s="7"/>
      <c r="S349" s="7"/>
      <c r="T349" s="35">
        <f t="shared" si="19"/>
        <v>0</v>
      </c>
      <c r="U349" s="7"/>
    </row>
    <row r="350" spans="1:21" x14ac:dyDescent="0.25">
      <c r="A350" s="7" t="s">
        <v>3034</v>
      </c>
      <c r="B350" s="8">
        <v>44314.346712962964</v>
      </c>
      <c r="C350" s="8">
        <v>44323</v>
      </c>
      <c r="D350" s="9">
        <v>2168631</v>
      </c>
      <c r="E350" s="7" t="str">
        <f>VLOOKUP(A350,DEVOLUCIONES!A$1:A$231,1,0)</f>
        <v>FEHF123709</v>
      </c>
      <c r="F350" s="7" t="e">
        <f>VLOOKUP(A350,'GLOSAS X CONCILIAR'!$A$1:$A$37,1,0)</f>
        <v>#N/A</v>
      </c>
      <c r="G350" s="7" t="e">
        <f>VLOOKUP(A350,'TODAS LAS P'!A:A,1,0)</f>
        <v>#N/A</v>
      </c>
      <c r="H350" s="7" t="e">
        <f>VLOOKUP(A350,PAGOS!A384:$A$1553,1,0)</f>
        <v>#N/A</v>
      </c>
      <c r="I350" s="40"/>
      <c r="J350" s="40">
        <f>D350</f>
        <v>2168631</v>
      </c>
      <c r="K350" s="40"/>
      <c r="L350" s="40"/>
      <c r="M350" s="40"/>
      <c r="N350" s="40"/>
      <c r="O350" s="40"/>
      <c r="P350" s="40"/>
      <c r="Q350" s="7" t="str">
        <f>VLOOKUP(A350,DEVOLUCIONES!A$1:B$231,2,0)</f>
        <v>DF-255555564736896</v>
      </c>
      <c r="R350" s="7"/>
      <c r="S350" s="7" t="str">
        <f>VLOOKUP(A350,DEVOLUCIONES!A$1:H$231,8,0)</f>
        <v>Se realiza devolución total de la factura N FEHF123709 correspondiente a cobro por servicios posteriores a la urgencia debido que es necesario anexar autorización y/o aprobación por parte de la EPS Coosalud dado que al ser IPS no red y teniendo en cuenta la normatividad la IPS solo puede prestar servicio de urgencia vital una vez superado la urgencia se debe remitir el paciente a la red de prestadores de la EPS Coosalud o en efecto solicitar a Coosalud aprobación para continuar con la prestación de los servicios posteriores a la urgenciaAsí las cosas se solicita a la IPS tramitar aprobación ante la EPS para continuar con el respectivo procesoUna vez subsanado el motivo de la devolución se solicita a la IPS radicar las facturas en el portal de Aplistaff para continuar con el respectivo proceso</v>
      </c>
      <c r="T350" s="35">
        <f t="shared" si="19"/>
        <v>0</v>
      </c>
      <c r="U350" s="7"/>
    </row>
    <row r="351" spans="1:21" x14ac:dyDescent="0.25">
      <c r="A351" s="7" t="s">
        <v>130</v>
      </c>
      <c r="B351" s="8">
        <v>44314.715648148151</v>
      </c>
      <c r="C351" s="8">
        <v>44323</v>
      </c>
      <c r="D351" s="9">
        <v>49245</v>
      </c>
      <c r="E351" s="7" t="e">
        <f>VLOOKUP(A351,DEVOLUCIONES!A$1:A$231,1,0)</f>
        <v>#N/A</v>
      </c>
      <c r="F351" s="7" t="str">
        <f>VLOOKUP(A351,'GLOSAS X CONCILIAR'!$A$1:$A$37,1,0)</f>
        <v>FEHF124055</v>
      </c>
      <c r="G351" s="7" t="str">
        <f>VLOOKUP(A351,'TODAS LAS P'!A:A,1,0)</f>
        <v>FEHF124055</v>
      </c>
      <c r="H351" s="7" t="str">
        <f>VLOOKUP(A351,PAGOS!A385:$A$1553,1,0)</f>
        <v>FEHF124055</v>
      </c>
      <c r="I351" s="40"/>
      <c r="J351" s="40"/>
      <c r="K351" s="40"/>
      <c r="L351" s="40"/>
      <c r="M351" s="40"/>
      <c r="N351" s="40">
        <f>VLOOKUP(A351,'GLOSAS X CONCILIAR'!A$1:C$37,3,0)</f>
        <v>49245</v>
      </c>
      <c r="O351" s="40"/>
      <c r="P351" s="40"/>
      <c r="Q351" s="7"/>
      <c r="R351" s="7"/>
      <c r="S351" s="7"/>
      <c r="T351" s="35">
        <f t="shared" si="19"/>
        <v>0</v>
      </c>
      <c r="U351" s="7"/>
    </row>
    <row r="352" spans="1:21" x14ac:dyDescent="0.25">
      <c r="A352" s="7" t="s">
        <v>3035</v>
      </c>
      <c r="B352" s="8">
        <v>44315.426527777781</v>
      </c>
      <c r="C352" s="8">
        <v>44323</v>
      </c>
      <c r="D352" s="9">
        <v>61900</v>
      </c>
      <c r="E352" s="7" t="str">
        <f>VLOOKUP(A352,DEVOLUCIONES!A$1:A$231,1,0)</f>
        <v>FEHF124234</v>
      </c>
      <c r="F352" s="7" t="e">
        <f>VLOOKUP(A352,'GLOSAS X CONCILIAR'!$A$1:$A$37,1,0)</f>
        <v>#N/A</v>
      </c>
      <c r="G352" s="7" t="e">
        <f>VLOOKUP(A352,'TODAS LAS P'!A:A,1,0)</f>
        <v>#N/A</v>
      </c>
      <c r="H352" s="7" t="e">
        <f>VLOOKUP(A352,PAGOS!A386:$A$1553,1,0)</f>
        <v>#N/A</v>
      </c>
      <c r="I352" s="40"/>
      <c r="J352" s="40">
        <f t="shared" ref="J352:J353" si="21">D352</f>
        <v>61900</v>
      </c>
      <c r="K352" s="40"/>
      <c r="L352" s="40"/>
      <c r="M352" s="40"/>
      <c r="N352" s="40"/>
      <c r="O352" s="40"/>
      <c r="P352" s="40"/>
      <c r="Q352" s="7" t="str">
        <f>VLOOKUP(A352,DEVOLUCIONES!A$1:B$231,2,0)</f>
        <v>DF-259261132263</v>
      </c>
      <c r="R352" s="7"/>
      <c r="S352" s="7" t="str">
        <f>VLOOKUP(A352,DEVOLUCIONES!A$1:H$231,8,0)</f>
        <v xml:space="preserve">Se hace devolucion de la factura FEHF124234 dado que se evidencia que la Ips carga varias facturas  dentro la misma se solicita a la Ips realizar nuevamente el proceso donde se cargue la factura individual FEHF124234 para continuar con el proceso de auditoriaUna vez subsanado el motivo de devolución radicar la factura y los soportes nuevamente en el portal de Aplistaff para su respectivo proceso </v>
      </c>
      <c r="T352" s="35">
        <f t="shared" si="19"/>
        <v>0</v>
      </c>
      <c r="U352" s="7"/>
    </row>
    <row r="353" spans="1:21" x14ac:dyDescent="0.25">
      <c r="A353" s="7" t="s">
        <v>3036</v>
      </c>
      <c r="B353" s="8">
        <v>44315.428668981483</v>
      </c>
      <c r="C353" s="8">
        <v>44323</v>
      </c>
      <c r="D353" s="9">
        <v>30300</v>
      </c>
      <c r="E353" s="7" t="str">
        <f>VLOOKUP(A353,DEVOLUCIONES!A$1:A$231,1,0)</f>
        <v>FEHF124237</v>
      </c>
      <c r="F353" s="7" t="e">
        <f>VLOOKUP(A353,'GLOSAS X CONCILIAR'!$A$1:$A$37,1,0)</f>
        <v>#N/A</v>
      </c>
      <c r="G353" s="7" t="e">
        <f>VLOOKUP(A353,'TODAS LAS P'!A:A,1,0)</f>
        <v>#N/A</v>
      </c>
      <c r="H353" s="7" t="e">
        <f>VLOOKUP(A353,PAGOS!A387:$A$1553,1,0)</f>
        <v>#N/A</v>
      </c>
      <c r="I353" s="40"/>
      <c r="J353" s="40">
        <f t="shared" si="21"/>
        <v>30300</v>
      </c>
      <c r="K353" s="40"/>
      <c r="L353" s="40"/>
      <c r="M353" s="40"/>
      <c r="N353" s="40"/>
      <c r="O353" s="40"/>
      <c r="P353" s="40"/>
      <c r="Q353" s="7" t="str">
        <f>VLOOKUP(A353,DEVOLUCIONES!A$1:B$231,2,0)</f>
        <v>DF-259261132264</v>
      </c>
      <c r="R353" s="7"/>
      <c r="S353" s="7" t="str">
        <f>VLOOKUP(A353,DEVOLUCIONES!A$1:H$231,8,0)</f>
        <v xml:space="preserve">Se hace devolucion de la factura FEHF124237 dado que se evidencia que la Ips carga varias facturas dentro la misma se solicita a la Ips realizar nuevamente el proceso donde se cargue la factura individual FEHF124237 para continuar con el proceso de auditoriaUna vez subsanado el motivo de devolución radicar la factura y los soportes nuevamente en el portal de Aplistaff para su respectivo proceso </v>
      </c>
      <c r="T353" s="35">
        <f t="shared" si="19"/>
        <v>0</v>
      </c>
      <c r="U353" s="7"/>
    </row>
    <row r="354" spans="1:21" x14ac:dyDescent="0.25">
      <c r="A354" s="7" t="s">
        <v>142</v>
      </c>
      <c r="B354" s="8">
        <v>44319.97960648148</v>
      </c>
      <c r="C354" s="8">
        <v>44357</v>
      </c>
      <c r="D354" s="9">
        <v>252805</v>
      </c>
      <c r="E354" s="7" t="e">
        <f>VLOOKUP(A354,DEVOLUCIONES!A$1:A$231,1,0)</f>
        <v>#N/A</v>
      </c>
      <c r="F354" s="7" t="str">
        <f>VLOOKUP(A354,'GLOSAS X CONCILIAR'!$A$1:$A$37,1,0)</f>
        <v>FEHF125686</v>
      </c>
      <c r="G354" s="7" t="str">
        <f>VLOOKUP(A354,'TODAS LAS P'!A:A,1,0)</f>
        <v>FEHF125686</v>
      </c>
      <c r="H354" s="7" t="str">
        <f>VLOOKUP(A354,PAGOS!A388:$A$1553,1,0)</f>
        <v>FEHF125686</v>
      </c>
      <c r="I354" s="40"/>
      <c r="J354" s="40"/>
      <c r="K354" s="40"/>
      <c r="L354" s="40"/>
      <c r="M354" s="40"/>
      <c r="N354" s="40">
        <f>VLOOKUP(A354,'GLOSAS X CONCILIAR'!A$1:C$37,3,0)</f>
        <v>252805</v>
      </c>
      <c r="O354" s="40"/>
      <c r="P354" s="40"/>
      <c r="Q354" s="7"/>
      <c r="R354" s="7"/>
      <c r="S354" s="7"/>
      <c r="T354" s="35">
        <f t="shared" si="19"/>
        <v>0</v>
      </c>
      <c r="U354" s="7"/>
    </row>
    <row r="355" spans="1:21" x14ac:dyDescent="0.25">
      <c r="A355" s="7" t="s">
        <v>3037</v>
      </c>
      <c r="B355" s="8">
        <v>44325.535196759258</v>
      </c>
      <c r="C355" s="8">
        <v>44357</v>
      </c>
      <c r="D355" s="9">
        <v>80832</v>
      </c>
      <c r="E355" s="7" t="str">
        <f>VLOOKUP(A355,DEVOLUCIONES!A$1:A$231,1,0)</f>
        <v>FEHF128177</v>
      </c>
      <c r="F355" s="7" t="e">
        <f>VLOOKUP(A355,'GLOSAS X CONCILIAR'!$A$1:$A$37,1,0)</f>
        <v>#N/A</v>
      </c>
      <c r="G355" s="7" t="e">
        <f>VLOOKUP(A355,'TODAS LAS P'!A:A,1,0)</f>
        <v>#N/A</v>
      </c>
      <c r="H355" s="7" t="e">
        <f>VLOOKUP(A355,PAGOS!A389:$A$1553,1,0)</f>
        <v>#N/A</v>
      </c>
      <c r="I355" s="40"/>
      <c r="J355" s="40">
        <f>D355</f>
        <v>80832</v>
      </c>
      <c r="K355" s="40"/>
      <c r="L355" s="40"/>
      <c r="M355" s="40"/>
      <c r="N355" s="40"/>
      <c r="O355" s="40"/>
      <c r="P355" s="40"/>
      <c r="Q355" s="7" t="str">
        <f>VLOOKUP(A355,DEVOLUCIONES!A$1:B$231,2,0)</f>
        <v>DF-9493077315422</v>
      </c>
      <c r="R355" s="7"/>
      <c r="S355" s="7" t="str">
        <f>VLOOKUP(A355,DEVOLUCIONES!A$1:H$231,8,0)</f>
        <v>Se realiza devolución de la factura FEHF128177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355" s="35">
        <f t="shared" si="19"/>
        <v>0</v>
      </c>
      <c r="U355" s="7"/>
    </row>
    <row r="356" spans="1:21" x14ac:dyDescent="0.25">
      <c r="A356" s="7" t="s">
        <v>146</v>
      </c>
      <c r="B356" s="8">
        <v>44326.596180555556</v>
      </c>
      <c r="C356" s="8">
        <v>44357</v>
      </c>
      <c r="D356" s="9">
        <v>2143674</v>
      </c>
      <c r="E356" s="7" t="e">
        <f>VLOOKUP(A356,DEVOLUCIONES!A$1:A$231,1,0)</f>
        <v>#N/A</v>
      </c>
      <c r="F356" s="7" t="str">
        <f>VLOOKUP(A356,'GLOSAS X CONCILIAR'!$A$1:$A$37,1,0)</f>
        <v>FEHF128674</v>
      </c>
      <c r="G356" s="7" t="str">
        <f>VLOOKUP(A356,'TODAS LAS P'!A:A,1,0)</f>
        <v>FEHF128674</v>
      </c>
      <c r="H356" s="7" t="str">
        <f>VLOOKUP(A356,PAGOS!A390:$A$1553,1,0)</f>
        <v>FEHF128674</v>
      </c>
      <c r="I356" s="40"/>
      <c r="J356" s="40"/>
      <c r="K356" s="40"/>
      <c r="L356" s="40"/>
      <c r="M356" s="40"/>
      <c r="N356" s="40">
        <f>VLOOKUP(A356,'GLOSAS X CONCILIAR'!A$1:C$37,3,0)</f>
        <v>2143674</v>
      </c>
      <c r="O356" s="40"/>
      <c r="P356" s="40"/>
      <c r="Q356" s="7"/>
      <c r="R356" s="7"/>
      <c r="S356" s="7"/>
      <c r="T356" s="35">
        <f t="shared" si="19"/>
        <v>0</v>
      </c>
      <c r="U356" s="7"/>
    </row>
    <row r="357" spans="1:21" x14ac:dyDescent="0.25">
      <c r="A357" s="7" t="s">
        <v>3038</v>
      </c>
      <c r="B357" s="8">
        <v>44332.488437499997</v>
      </c>
      <c r="C357" s="8">
        <v>44357</v>
      </c>
      <c r="D357" s="9">
        <v>1732930</v>
      </c>
      <c r="E357" s="7" t="str">
        <f>VLOOKUP(A357,DEVOLUCIONES!A$1:A$231,1,0)</f>
        <v>FEHF131233</v>
      </c>
      <c r="F357" s="7" t="e">
        <f>VLOOKUP(A357,'GLOSAS X CONCILIAR'!$A$1:$A$37,1,0)</f>
        <v>#N/A</v>
      </c>
      <c r="G357" s="7" t="e">
        <f>VLOOKUP(A357,'TODAS LAS P'!A:A,1,0)</f>
        <v>#N/A</v>
      </c>
      <c r="H357" s="7" t="e">
        <f>VLOOKUP(A357,PAGOS!A391:$A$1553,1,0)</f>
        <v>#N/A</v>
      </c>
      <c r="I357" s="40"/>
      <c r="J357" s="40">
        <f t="shared" ref="J357:J358" si="22">D357</f>
        <v>1732930</v>
      </c>
      <c r="K357" s="40"/>
      <c r="L357" s="40"/>
      <c r="M357" s="40"/>
      <c r="N357" s="40"/>
      <c r="O357" s="40"/>
      <c r="P357" s="40"/>
      <c r="Q357" s="7" t="str">
        <f>VLOOKUP(A357,DEVOLUCIONES!A$1:B$231,2,0)</f>
        <v>DF-13475311997</v>
      </c>
      <c r="R357" s="7"/>
      <c r="S357" s="7" t="str">
        <f>VLOOKUP(A357,DEVOLUCIONES!A$1:H$231,8,0)</f>
        <v>Servicios posteriores a la atencion inicial de urgenciassin aprobacion en dynamicoos Negados segun caso 12051974</v>
      </c>
      <c r="T357" s="35">
        <f t="shared" si="19"/>
        <v>0</v>
      </c>
      <c r="U357" s="7"/>
    </row>
    <row r="358" spans="1:21" x14ac:dyDescent="0.25">
      <c r="A358" s="7" t="s">
        <v>3039</v>
      </c>
      <c r="B358" s="8">
        <v>44334.378460648149</v>
      </c>
      <c r="C358" s="8">
        <v>44357</v>
      </c>
      <c r="D358" s="9">
        <v>895100</v>
      </c>
      <c r="E358" s="7" t="str">
        <f>VLOOKUP(A358,DEVOLUCIONES!A$1:A$231,1,0)</f>
        <v>FEHF131715</v>
      </c>
      <c r="F358" s="7" t="e">
        <f>VLOOKUP(A358,'GLOSAS X CONCILIAR'!$A$1:$A$37,1,0)</f>
        <v>#N/A</v>
      </c>
      <c r="G358" s="7" t="e">
        <f>VLOOKUP(A358,'TODAS LAS P'!A:A,1,0)</f>
        <v>#N/A</v>
      </c>
      <c r="H358" s="7" t="e">
        <f>VLOOKUP(A358,PAGOS!A392:$A$1553,1,0)</f>
        <v>#N/A</v>
      </c>
      <c r="I358" s="40"/>
      <c r="J358" s="40">
        <f t="shared" si="22"/>
        <v>895100</v>
      </c>
      <c r="K358" s="40"/>
      <c r="L358" s="40"/>
      <c r="M358" s="40"/>
      <c r="N358" s="40"/>
      <c r="O358" s="40"/>
      <c r="P358" s="40"/>
      <c r="Q358" s="7" t="str">
        <f>VLOOKUP(A358,DEVOLUCIONES!A$1:B$231,2,0)</f>
        <v>DF-05765433843183</v>
      </c>
      <c r="R358" s="7"/>
      <c r="S358" s="7" t="str">
        <f>VLOOKUP(A358,DEVOLUCIONES!A$1:H$231,8,0)</f>
        <v>Se devuelve la factura JMS56818 donde se evidencia que solo enviaron la factura sin ningún soporte según la resolución 3047 de 2008 anexo 5 y 6 se debe anexar todo lo relacionado con el servicio prestado (Análisis de Exámenes de Laboratorio)</v>
      </c>
      <c r="T358" s="35">
        <f t="shared" si="19"/>
        <v>0</v>
      </c>
      <c r="U358" s="7"/>
    </row>
    <row r="359" spans="1:21" x14ac:dyDescent="0.25">
      <c r="A359" s="7" t="s">
        <v>3040</v>
      </c>
      <c r="B359" s="8">
        <v>44336.713969907411</v>
      </c>
      <c r="C359" s="8">
        <v>44357</v>
      </c>
      <c r="D359" s="9">
        <v>41800</v>
      </c>
      <c r="E359" s="7" t="e">
        <f>VLOOKUP(A359,DEVOLUCIONES!A$1:A$231,1,0)</f>
        <v>#N/A</v>
      </c>
      <c r="F359" s="7" t="e">
        <f>VLOOKUP(A359,'GLOSAS X CONCILIAR'!$A$1:$A$37,1,0)</f>
        <v>#N/A</v>
      </c>
      <c r="G359" s="7" t="e">
        <f>VLOOKUP(A359,'TODAS LAS P'!A:A,1,0)</f>
        <v>#N/A</v>
      </c>
      <c r="H359" s="7" t="e">
        <f>VLOOKUP(A359,PAGOS!A393:$A$1553,1,0)</f>
        <v>#N/A</v>
      </c>
      <c r="I359" s="40"/>
      <c r="J359" s="40"/>
      <c r="K359" s="40"/>
      <c r="L359" s="40">
        <f>D359</f>
        <v>41800</v>
      </c>
      <c r="M359" s="40"/>
      <c r="N359" s="40"/>
      <c r="O359" s="40"/>
      <c r="P359" s="40"/>
      <c r="Q359" s="7"/>
      <c r="R359" s="7"/>
      <c r="S359" s="7"/>
      <c r="T359" s="35">
        <f t="shared" si="19"/>
        <v>0</v>
      </c>
      <c r="U359" s="7"/>
    </row>
    <row r="360" spans="1:21" x14ac:dyDescent="0.25">
      <c r="A360" s="7" t="s">
        <v>3041</v>
      </c>
      <c r="B360" s="8">
        <v>44340.885393518518</v>
      </c>
      <c r="C360" s="8">
        <v>44357</v>
      </c>
      <c r="D360" s="9">
        <v>213315</v>
      </c>
      <c r="E360" s="7" t="str">
        <f>VLOOKUP(A360,DEVOLUCIONES!A$1:A$231,1,0)</f>
        <v>FEHF135511</v>
      </c>
      <c r="F360" s="7" t="e">
        <f>VLOOKUP(A360,'GLOSAS X CONCILIAR'!$A$1:$A$37,1,0)</f>
        <v>#N/A</v>
      </c>
      <c r="G360" s="7" t="e">
        <f>VLOOKUP(A360,'TODAS LAS P'!A:A,1,0)</f>
        <v>#N/A</v>
      </c>
      <c r="H360" s="7" t="e">
        <f>VLOOKUP(A360,PAGOS!A394:$A$1553,1,0)</f>
        <v>#N/A</v>
      </c>
      <c r="I360" s="40"/>
      <c r="J360" s="40">
        <f t="shared" ref="J360:J362" si="23">D360</f>
        <v>213315</v>
      </c>
      <c r="K360" s="40"/>
      <c r="L360" s="40"/>
      <c r="M360" s="40"/>
      <c r="N360" s="40"/>
      <c r="O360" s="40"/>
      <c r="P360" s="40"/>
      <c r="Q360" s="7" t="str">
        <f>VLOOKUP(A360,DEVOLUCIONES!A$1:B$231,2,0)</f>
        <v>DF-479267236839</v>
      </c>
      <c r="R360" s="7"/>
      <c r="S360" s="7" t="str">
        <f>VLOOKUP(A360,DEVOLUCIONES!A$1:H$231,8,0)</f>
        <v>Se hace devolución de factura dado que la información reportada en los RIPS constituyen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 1 Los CUM se encuentren no vigentes y correspondan al medicamento facturado 200676511 DICLOFENACO SODICO VIA IM SOLUCION INYECTABLE  75 MG/3 MLUna vez subsanado todos los inconvenientes La factura debe ser presentada nuevamente en el tiempo de radicación habitual y con nuevo RIPS para su proceso de auditoria y debido tramite contable</v>
      </c>
      <c r="T360" s="35">
        <f t="shared" si="19"/>
        <v>0</v>
      </c>
      <c r="U360" s="7"/>
    </row>
    <row r="361" spans="1:21" x14ac:dyDescent="0.25">
      <c r="A361" s="7" t="s">
        <v>3042</v>
      </c>
      <c r="B361" s="8">
        <v>44340.890300925923</v>
      </c>
      <c r="C361" s="8">
        <v>44357</v>
      </c>
      <c r="D361" s="9">
        <v>80832</v>
      </c>
      <c r="E361" s="7" t="str">
        <f>VLOOKUP(A361,DEVOLUCIONES!A$1:A$231,1,0)</f>
        <v>FEHF135512</v>
      </c>
      <c r="F361" s="7" t="e">
        <f>VLOOKUP(A361,'GLOSAS X CONCILIAR'!$A$1:$A$37,1,0)</f>
        <v>#N/A</v>
      </c>
      <c r="G361" s="7" t="e">
        <f>VLOOKUP(A361,'TODAS LAS P'!A:A,1,0)</f>
        <v>#N/A</v>
      </c>
      <c r="H361" s="7" t="e">
        <f>VLOOKUP(A361,PAGOS!A395:$A$1553,1,0)</f>
        <v>#N/A</v>
      </c>
      <c r="I361" s="40"/>
      <c r="J361" s="40">
        <f t="shared" si="23"/>
        <v>80832</v>
      </c>
      <c r="K361" s="40"/>
      <c r="L361" s="40"/>
      <c r="M361" s="40"/>
      <c r="N361" s="40"/>
      <c r="O361" s="40"/>
      <c r="P361" s="40"/>
      <c r="Q361" s="7" t="str">
        <f>VLOOKUP(A361,DEVOLUCIONES!A$1:B$231,2,0)</f>
        <v>DF-9493077315423</v>
      </c>
      <c r="R361" s="7"/>
      <c r="S361" s="7" t="str">
        <f>VLOOKUP(A361,DEVOLUCIONES!A$1:H$231,8,0)</f>
        <v>Se realiza devolución de la factura FEHF135512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361" s="35">
        <f t="shared" si="19"/>
        <v>0</v>
      </c>
      <c r="U361" s="7"/>
    </row>
    <row r="362" spans="1:21" x14ac:dyDescent="0.25">
      <c r="A362" s="7" t="s">
        <v>3043</v>
      </c>
      <c r="B362" s="8">
        <v>44342.789166666669</v>
      </c>
      <c r="C362" s="8">
        <v>44357</v>
      </c>
      <c r="D362" s="9">
        <v>80832</v>
      </c>
      <c r="E362" s="7" t="str">
        <f>VLOOKUP(A362,DEVOLUCIONES!A$1:A$231,1,0)</f>
        <v>FEHF137018</v>
      </c>
      <c r="F362" s="7" t="e">
        <f>VLOOKUP(A362,'GLOSAS X CONCILIAR'!$A$1:$A$37,1,0)</f>
        <v>#N/A</v>
      </c>
      <c r="G362" s="7" t="e">
        <f>VLOOKUP(A362,'TODAS LAS P'!A:A,1,0)</f>
        <v>#N/A</v>
      </c>
      <c r="H362" s="7" t="e">
        <f>VLOOKUP(A362,PAGOS!A396:$A$1553,1,0)</f>
        <v>#N/A</v>
      </c>
      <c r="I362" s="40"/>
      <c r="J362" s="40">
        <f t="shared" si="23"/>
        <v>80832</v>
      </c>
      <c r="K362" s="40"/>
      <c r="L362" s="40"/>
      <c r="M362" s="40"/>
      <c r="N362" s="40"/>
      <c r="O362" s="40"/>
      <c r="P362" s="40"/>
      <c r="Q362" s="7" t="str">
        <f>VLOOKUP(A362,DEVOLUCIONES!A$1:B$231,2,0)</f>
        <v>DF-9493077315421</v>
      </c>
      <c r="R362" s="7"/>
      <c r="S362" s="7" t="str">
        <f>VLOOKUP(A362,DEVOLUCIONES!A$1:H$231,8,0)</f>
        <v>Se realiza devolución de la factura FEHF137018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v>
      </c>
      <c r="T362" s="35">
        <f t="shared" si="19"/>
        <v>0</v>
      </c>
      <c r="U362" s="7"/>
    </row>
    <row r="363" spans="1:21" x14ac:dyDescent="0.25">
      <c r="A363" s="7" t="s">
        <v>138</v>
      </c>
      <c r="B363" s="8">
        <v>44344.375092592592</v>
      </c>
      <c r="C363" s="8">
        <v>44357</v>
      </c>
      <c r="D363" s="9">
        <v>152300</v>
      </c>
      <c r="E363" s="7" t="e">
        <f>VLOOKUP(A363,DEVOLUCIONES!A$1:A$231,1,0)</f>
        <v>#N/A</v>
      </c>
      <c r="F363" s="7" t="str">
        <f>VLOOKUP(A363,'GLOSAS X CONCILIAR'!$A$1:$A$37,1,0)</f>
        <v>FEHF137848</v>
      </c>
      <c r="G363" s="7" t="str">
        <f>VLOOKUP(A363,'TODAS LAS P'!A:A,1,0)</f>
        <v>FEHF137848</v>
      </c>
      <c r="H363" s="7" t="str">
        <f>VLOOKUP(A363,PAGOS!A397:$A$1553,1,0)</f>
        <v>FEHF137848</v>
      </c>
      <c r="I363" s="40"/>
      <c r="J363" s="40"/>
      <c r="K363" s="40"/>
      <c r="L363" s="40"/>
      <c r="M363" s="40"/>
      <c r="N363" s="40">
        <f>VLOOKUP(A363,'GLOSAS X CONCILIAR'!A$1:C$37,3,0)</f>
        <v>152300</v>
      </c>
      <c r="O363" s="40"/>
      <c r="P363" s="40"/>
      <c r="Q363" s="7"/>
      <c r="R363" s="7"/>
      <c r="S363" s="7"/>
      <c r="T363" s="35">
        <f t="shared" si="19"/>
        <v>0</v>
      </c>
      <c r="U363" s="7"/>
    </row>
    <row r="364" spans="1:21" x14ac:dyDescent="0.25">
      <c r="A364" s="7" t="s">
        <v>3044</v>
      </c>
      <c r="B364" s="8">
        <v>44347.592303240737</v>
      </c>
      <c r="C364" s="8">
        <v>44357</v>
      </c>
      <c r="D364" s="9">
        <v>195017</v>
      </c>
      <c r="E364" s="7" t="str">
        <f>VLOOKUP(A364,DEVOLUCIONES!A$1:A$231,1,0)</f>
        <v>FEHF138880</v>
      </c>
      <c r="F364" s="7" t="e">
        <f>VLOOKUP(A364,'GLOSAS X CONCILIAR'!$A$1:$A$37,1,0)</f>
        <v>#N/A</v>
      </c>
      <c r="G364" s="7" t="e">
        <f>VLOOKUP(A364,'TODAS LAS P'!A:A,1,0)</f>
        <v>#N/A</v>
      </c>
      <c r="H364" s="7" t="e">
        <f>VLOOKUP(A364,PAGOS!A398:$A$1553,1,0)</f>
        <v>#N/A</v>
      </c>
      <c r="I364" s="40"/>
      <c r="J364" s="40">
        <f>D364</f>
        <v>195017</v>
      </c>
      <c r="K364" s="40"/>
      <c r="L364" s="40"/>
      <c r="M364" s="40"/>
      <c r="N364" s="40"/>
      <c r="O364" s="40"/>
      <c r="P364" s="40"/>
      <c r="Q364" s="7" t="str">
        <f>VLOOKUP(A364,DEVOLUCIONES!A$1:B$231,2,0)</f>
        <v>DF-479267236840</v>
      </c>
      <c r="R364" s="7"/>
      <c r="S364" s="7" t="str">
        <f>VLOOKUP(A364,DEVOLUCIONES!A$1:H$231,8,0)</f>
        <v>Se hace devolución de factura dado que la información reportada en los RIPS constituyen una fuente de datos prioritaria para los procesos de dirección regulación y control del SGSSS Las IPS están obligadas a garantizar la confiabilidad seguridad y calidad de los datos sobre la prestación individual de servicios de salud la entrega oportuna a las Entidades Administradoras de Planes de Beneficios y la conformación de su propia base de datos sobre los servicios prestados de manera individualizada de acuerdo con lo establecido en el artículo 9 de la Resolución 3374 de 2000 Los archivos que se presentan en los RIPS tienen estructuras y datos específicos de acuerdo con la especificación dada en el Anexo Técnico No 1 de la Resolución 3374 de 2000 teniendo en cuenta lo anterior se solicita que 1 Los CUM se encuentren no vigentes y correspondan al medicamento facturado 200676511 DICLOFENACO SODICO VIA IM SOLUCION INYECTABLE  75 MG/3 MLUna vez subsanado todos los inconvenientes La factura debe ser presentada nuevamente en el tiempo de radicación habitual y con nuevo RIPS para su proceso de auditoria y debido tramite contable</v>
      </c>
      <c r="T364" s="35">
        <f t="shared" si="19"/>
        <v>0</v>
      </c>
      <c r="U364" s="7"/>
    </row>
    <row r="365" spans="1:21" x14ac:dyDescent="0.25">
      <c r="A365" s="7" t="s">
        <v>161</v>
      </c>
      <c r="B365" s="8">
        <v>44358.154189814813</v>
      </c>
      <c r="C365" s="8">
        <v>44389</v>
      </c>
      <c r="D365" s="9">
        <v>39163</v>
      </c>
      <c r="E365" s="7" t="e">
        <f>VLOOKUP(A365,DEVOLUCIONES!A$1:A$231,1,0)</f>
        <v>#N/A</v>
      </c>
      <c r="F365" s="7" t="str">
        <f>VLOOKUP(A365,'GLOSAS X CONCILIAR'!$A$1:$A$37,1,0)</f>
        <v>FEHF144237</v>
      </c>
      <c r="G365" s="7" t="str">
        <f>VLOOKUP(A365,'TODAS LAS P'!A:A,1,0)</f>
        <v>FEHF144237</v>
      </c>
      <c r="H365" s="7" t="str">
        <f>VLOOKUP(A365,PAGOS!A399:$A$1553,1,0)</f>
        <v>FEHF144237</v>
      </c>
      <c r="I365" s="40"/>
      <c r="J365" s="40"/>
      <c r="K365" s="40"/>
      <c r="L365" s="40"/>
      <c r="M365" s="40"/>
      <c r="N365" s="40">
        <f>VLOOKUP(A365,'GLOSAS X CONCILIAR'!A$1:C$37,3,0)</f>
        <v>39163</v>
      </c>
      <c r="O365" s="40"/>
      <c r="P365" s="40"/>
      <c r="Q365" s="7"/>
      <c r="R365" s="7"/>
      <c r="S365" s="7"/>
      <c r="T365" s="35">
        <f t="shared" si="19"/>
        <v>0</v>
      </c>
      <c r="U365" s="7"/>
    </row>
    <row r="366" spans="1:21" x14ac:dyDescent="0.25">
      <c r="A366" s="7" t="s">
        <v>150</v>
      </c>
      <c r="B366" s="8">
        <v>44358.437777777777</v>
      </c>
      <c r="C366" s="8">
        <v>44389</v>
      </c>
      <c r="D366" s="9">
        <v>168785</v>
      </c>
      <c r="E366" s="7" t="e">
        <f>VLOOKUP(A366,DEVOLUCIONES!A$1:A$231,1,0)</f>
        <v>#N/A</v>
      </c>
      <c r="F366" s="7" t="str">
        <f>VLOOKUP(A366,'GLOSAS X CONCILIAR'!$A$1:$A$37,1,0)</f>
        <v>FEHF144529</v>
      </c>
      <c r="G366" s="7" t="str">
        <f>VLOOKUP(A366,'TODAS LAS P'!A:A,1,0)</f>
        <v>FEHF144529</v>
      </c>
      <c r="H366" s="7" t="str">
        <f>VLOOKUP(A366,PAGOS!A400:$A$1553,1,0)</f>
        <v>FEHF144529</v>
      </c>
      <c r="I366" s="40"/>
      <c r="J366" s="40"/>
      <c r="K366" s="40"/>
      <c r="L366" s="40"/>
      <c r="M366" s="40"/>
      <c r="N366" s="40">
        <f>VLOOKUP(A366,'GLOSAS X CONCILIAR'!A$1:C$37,3,0)</f>
        <v>168785</v>
      </c>
      <c r="O366" s="40"/>
      <c r="P366" s="40"/>
      <c r="Q366" s="7"/>
      <c r="R366" s="7"/>
      <c r="S366" s="7"/>
      <c r="T366" s="35">
        <f t="shared" si="19"/>
        <v>0</v>
      </c>
      <c r="U366" s="7"/>
    </row>
    <row r="367" spans="1:21" x14ac:dyDescent="0.25">
      <c r="A367" s="7" t="s">
        <v>3045</v>
      </c>
      <c r="B367" s="8">
        <v>44358.668657407405</v>
      </c>
      <c r="C367" s="8">
        <v>44389</v>
      </c>
      <c r="D367" s="9">
        <v>80832</v>
      </c>
      <c r="E367" s="7" t="str">
        <f>VLOOKUP(A367,DEVOLUCIONES!A$1:A$231,1,0)</f>
        <v>FEHF144811</v>
      </c>
      <c r="F367" s="7" t="e">
        <f>VLOOKUP(A367,'GLOSAS X CONCILIAR'!$A$1:$A$37,1,0)</f>
        <v>#N/A</v>
      </c>
      <c r="G367" s="7" t="e">
        <f>VLOOKUP(A367,'TODAS LAS P'!A:A,1,0)</f>
        <v>#N/A</v>
      </c>
      <c r="H367" s="7" t="e">
        <f>VLOOKUP(A367,PAGOS!A401:$A$1553,1,0)</f>
        <v>#N/A</v>
      </c>
      <c r="I367" s="40"/>
      <c r="J367" s="40">
        <f>D367</f>
        <v>80832</v>
      </c>
      <c r="K367" s="40"/>
      <c r="L367" s="40"/>
      <c r="M367" s="40"/>
      <c r="N367" s="40"/>
      <c r="O367" s="40"/>
      <c r="P367" s="40"/>
      <c r="Q367" s="7" t="str">
        <f>VLOOKUP(A367,DEVOLUCIONES!A$1:B$231,2,0)</f>
        <v>DF-9493077315562</v>
      </c>
      <c r="R367" s="7"/>
      <c r="S367" s="7" t="str">
        <f>VLOOKUP(A367,DEVOLUCIONES!A$1:H$231,8,0)</f>
        <v>Se realiza devolución de la factura HEHFcorrespondiente a cobro SARS COV2 COVID 19 ANTIGENO dado que la IPS no anexan los requisitos exigidos por el ADRES se observa que no anexan el resultado ely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367" s="35">
        <f t="shared" si="19"/>
        <v>0</v>
      </c>
      <c r="U367" s="7"/>
    </row>
    <row r="368" spans="1:21" x14ac:dyDescent="0.25">
      <c r="A368" s="7" t="s">
        <v>2697</v>
      </c>
      <c r="B368" s="8">
        <v>44366.608460648145</v>
      </c>
      <c r="C368" s="8">
        <v>44389</v>
      </c>
      <c r="D368" s="9">
        <v>171172</v>
      </c>
      <c r="E368" s="7" t="e">
        <f>VLOOKUP(A368,DEVOLUCIONES!A$1:A$231,1,0)</f>
        <v>#N/A</v>
      </c>
      <c r="F368" s="7" t="e">
        <f>VLOOKUP(A368,'GLOSAS X CONCILIAR'!$A$1:$A$37,1,0)</f>
        <v>#N/A</v>
      </c>
      <c r="G368" s="7" t="str">
        <f>VLOOKUP(A368,'TODAS LAS P'!A:A,1,0)</f>
        <v>FEHF148452</v>
      </c>
      <c r="H368" s="7" t="str">
        <f>VLOOKUP(A368,PAGOS!A402:$A$1553,1,0)</f>
        <v>FEHF148452</v>
      </c>
      <c r="I368" s="40"/>
      <c r="J368" s="40"/>
      <c r="K368" s="40"/>
      <c r="L368" s="40"/>
      <c r="M368" s="40"/>
      <c r="N368" s="40"/>
      <c r="O368" s="40">
        <v>171172</v>
      </c>
      <c r="P368" s="40"/>
      <c r="Q368" s="7"/>
      <c r="R368" s="7" t="str">
        <f>VLOOKUP(A368,Hoja2!A$1:H$1143,8,0)</f>
        <v>2000647881</v>
      </c>
      <c r="S368" s="7"/>
      <c r="T368" s="35">
        <f t="shared" si="19"/>
        <v>0</v>
      </c>
      <c r="U368" s="7"/>
    </row>
    <row r="369" spans="1:21" x14ac:dyDescent="0.25">
      <c r="A369" s="7" t="s">
        <v>3046</v>
      </c>
      <c r="B369" s="8">
        <v>44370.251458333332</v>
      </c>
      <c r="C369" s="8">
        <v>44389</v>
      </c>
      <c r="D369" s="9">
        <v>155901</v>
      </c>
      <c r="E369" s="7" t="str">
        <f>VLOOKUP(A369,DEVOLUCIONES!A$1:A$231,1,0)</f>
        <v>FEHF150119</v>
      </c>
      <c r="F369" s="7" t="e">
        <f>VLOOKUP(A369,'GLOSAS X CONCILIAR'!$A$1:$A$37,1,0)</f>
        <v>#N/A</v>
      </c>
      <c r="G369" s="7" t="e">
        <f>VLOOKUP(A369,'TODAS LAS P'!A:A,1,0)</f>
        <v>#N/A</v>
      </c>
      <c r="H369" s="7" t="e">
        <f>VLOOKUP(A369,PAGOS!A403:$A$1553,1,0)</f>
        <v>#N/A</v>
      </c>
      <c r="I369" s="40"/>
      <c r="J369" s="40">
        <f>D369</f>
        <v>155901</v>
      </c>
      <c r="K369" s="40"/>
      <c r="L369" s="40"/>
      <c r="M369" s="40"/>
      <c r="N369" s="40"/>
      <c r="O369" s="40"/>
      <c r="P369" s="40"/>
      <c r="Q369" s="7" t="str">
        <f>VLOOKUP(A369,DEVOLUCIONES!A$1:B$231,2,0)</f>
        <v>DF-085555569232097</v>
      </c>
      <c r="R369" s="7"/>
      <c r="S369" s="7" t="str">
        <f>VLOOKUP(A369,DEVOLUCIONES!A$1:H$231,8,0)</f>
        <v xml:space="preserve">Se realiza devolucion de factura y todos sus anexos debido que una vez finalizado el proceso que auditoria se evidencia que no se encuentra reportado el servicio en la plataforma Dynamicoos es indispensable que el servicio se encuentre reportado para el pago de la factura Lo invitamos a subsanar y volver a radicar en los tiempos estipulados por la Eps </v>
      </c>
      <c r="T369" s="35">
        <f t="shared" si="19"/>
        <v>0</v>
      </c>
      <c r="U369" s="7"/>
    </row>
    <row r="370" spans="1:21" x14ac:dyDescent="0.25">
      <c r="A370" s="7" t="s">
        <v>153</v>
      </c>
      <c r="B370" s="8">
        <v>44372.549004629633</v>
      </c>
      <c r="C370" s="8">
        <v>44389</v>
      </c>
      <c r="D370" s="9">
        <v>68029</v>
      </c>
      <c r="E370" s="7" t="e">
        <f>VLOOKUP(A370,DEVOLUCIONES!A$1:A$231,1,0)</f>
        <v>#N/A</v>
      </c>
      <c r="F370" s="7" t="str">
        <f>VLOOKUP(A370,'GLOSAS X CONCILIAR'!$A$1:$A$37,1,0)</f>
        <v>FEHF152019</v>
      </c>
      <c r="G370" s="7" t="str">
        <f>VLOOKUP(A370,'TODAS LAS P'!A:A,1,0)</f>
        <v>FEHF152019</v>
      </c>
      <c r="H370" s="7" t="str">
        <f>VLOOKUP(A370,PAGOS!A404:$A$1553,1,0)</f>
        <v>FEHF152019</v>
      </c>
      <c r="I370" s="40"/>
      <c r="J370" s="40"/>
      <c r="K370" s="40"/>
      <c r="L370" s="40"/>
      <c r="M370" s="40"/>
      <c r="N370" s="40">
        <f>VLOOKUP(A370,'GLOSAS X CONCILIAR'!A$1:C$37,3,0)</f>
        <v>68029</v>
      </c>
      <c r="O370" s="40"/>
      <c r="P370" s="40"/>
      <c r="Q370" s="7"/>
      <c r="R370" s="7"/>
      <c r="S370" s="7"/>
      <c r="T370" s="35">
        <f t="shared" si="19"/>
        <v>0</v>
      </c>
      <c r="U370" s="7"/>
    </row>
    <row r="371" spans="1:21" x14ac:dyDescent="0.25">
      <c r="A371" s="7" t="s">
        <v>3047</v>
      </c>
      <c r="B371" s="8">
        <v>44373.674722222226</v>
      </c>
      <c r="C371" s="8">
        <v>44389</v>
      </c>
      <c r="D371" s="9">
        <v>80832</v>
      </c>
      <c r="E371" s="7" t="str">
        <f>VLOOKUP(A371,DEVOLUCIONES!A$1:A$231,1,0)</f>
        <v>FEHF152493</v>
      </c>
      <c r="F371" s="7" t="e">
        <f>VLOOKUP(A371,'GLOSAS X CONCILIAR'!$A$1:$A$37,1,0)</f>
        <v>#N/A</v>
      </c>
      <c r="G371" s="7" t="e">
        <f>VLOOKUP(A371,'TODAS LAS P'!A:A,1,0)</f>
        <v>#N/A</v>
      </c>
      <c r="H371" s="7" t="e">
        <f>VLOOKUP(A371,PAGOS!A405:$A$1553,1,0)</f>
        <v>#N/A</v>
      </c>
      <c r="I371" s="40"/>
      <c r="J371" s="40">
        <f t="shared" ref="J371:J372" si="24">D371</f>
        <v>80832</v>
      </c>
      <c r="K371" s="40"/>
      <c r="L371" s="40"/>
      <c r="M371" s="40"/>
      <c r="N371" s="40"/>
      <c r="O371" s="40"/>
      <c r="P371" s="40"/>
      <c r="Q371" s="7" t="str">
        <f>VLOOKUP(A371,DEVOLUCIONES!A$1:B$231,2,0)</f>
        <v>DF-9493077315563</v>
      </c>
      <c r="R371" s="7"/>
      <c r="S371" s="7" t="str">
        <f>VLOOKUP(A371,DEVOLUCIONES!A$1:H$231,8,0)</f>
        <v>Se realiza devolución de la factura FEHF 152493correspondiente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371" s="35">
        <f t="shared" si="19"/>
        <v>0</v>
      </c>
      <c r="U371" s="7"/>
    </row>
    <row r="372" spans="1:21" x14ac:dyDescent="0.25">
      <c r="A372" s="7" t="s">
        <v>3048</v>
      </c>
      <c r="B372" s="8">
        <v>44375.391099537039</v>
      </c>
      <c r="C372" s="8">
        <v>44389</v>
      </c>
      <c r="D372" s="9">
        <v>80832</v>
      </c>
      <c r="E372" s="7" t="str">
        <f>VLOOKUP(A372,DEVOLUCIONES!A$1:A$231,1,0)</f>
        <v>FEHF153020</v>
      </c>
      <c r="F372" s="7" t="e">
        <f>VLOOKUP(A372,'GLOSAS X CONCILIAR'!$A$1:$A$37,1,0)</f>
        <v>#N/A</v>
      </c>
      <c r="G372" s="7" t="e">
        <f>VLOOKUP(A372,'TODAS LAS P'!A:A,1,0)</f>
        <v>#N/A</v>
      </c>
      <c r="H372" s="7" t="e">
        <f>VLOOKUP(A372,PAGOS!A406:$A$1553,1,0)</f>
        <v>#N/A</v>
      </c>
      <c r="I372" s="40"/>
      <c r="J372" s="40">
        <f t="shared" si="24"/>
        <v>80832</v>
      </c>
      <c r="K372" s="40"/>
      <c r="L372" s="40"/>
      <c r="M372" s="40"/>
      <c r="N372" s="40"/>
      <c r="O372" s="40"/>
      <c r="P372" s="40"/>
      <c r="Q372" s="7" t="str">
        <f>VLOOKUP(A372,DEVOLUCIONES!A$1:B$231,2,0)</f>
        <v>DF-9493077315564</v>
      </c>
      <c r="R372" s="7"/>
      <c r="S372" s="7" t="str">
        <f>VLOOKUP(A372,DEVOLUCIONES!A$1:H$231,8,0)</f>
        <v>Se realiza devolución de la factura FEHF15320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372" s="35">
        <f t="shared" si="19"/>
        <v>0</v>
      </c>
      <c r="U372" s="7"/>
    </row>
    <row r="373" spans="1:21" x14ac:dyDescent="0.25">
      <c r="A373" s="7" t="s">
        <v>1715</v>
      </c>
      <c r="B373" s="8">
        <v>44379.401574074072</v>
      </c>
      <c r="C373" s="8">
        <v>44389</v>
      </c>
      <c r="D373" s="9">
        <v>88844</v>
      </c>
      <c r="E373" s="7" t="e">
        <f>VLOOKUP(A373,DEVOLUCIONES!A$1:A$231,1,0)</f>
        <v>#N/A</v>
      </c>
      <c r="F373" s="7" t="e">
        <f>VLOOKUP(A373,'GLOSAS X CONCILIAR'!$A$1:$A$37,1,0)</f>
        <v>#N/A</v>
      </c>
      <c r="G373" s="7" t="str">
        <f>VLOOKUP(A373,'TODAS LAS P'!A:A,1,0)</f>
        <v>FEHF155977</v>
      </c>
      <c r="H373" s="7" t="str">
        <f>VLOOKUP(A373,PAGOS!A407:$A$1553,1,0)</f>
        <v>FEHF155977</v>
      </c>
      <c r="I373" s="40"/>
      <c r="J373" s="40"/>
      <c r="K373" s="40"/>
      <c r="L373" s="40"/>
      <c r="M373" s="40"/>
      <c r="N373" s="40"/>
      <c r="O373" s="40">
        <v>88844</v>
      </c>
      <c r="P373" s="40"/>
      <c r="Q373" s="7"/>
      <c r="R373" s="7" t="str">
        <f>VLOOKUP(A373,Hoja2!A$1:H$1143,8,0)</f>
        <v>2000615316</v>
      </c>
      <c r="S373" s="7"/>
      <c r="T373" s="35">
        <f t="shared" si="19"/>
        <v>0</v>
      </c>
      <c r="U373" s="7"/>
    </row>
    <row r="374" spans="1:21" x14ac:dyDescent="0.25">
      <c r="A374" s="7" t="s">
        <v>3049</v>
      </c>
      <c r="B374" s="8">
        <v>44379.48060185185</v>
      </c>
      <c r="C374" s="8">
        <v>44389</v>
      </c>
      <c r="D374" s="9">
        <v>80832</v>
      </c>
      <c r="E374" s="7" t="str">
        <f>VLOOKUP(A374,DEVOLUCIONES!A$1:A$231,1,0)</f>
        <v>FEHF156144</v>
      </c>
      <c r="F374" s="7" t="e">
        <f>VLOOKUP(A374,'GLOSAS X CONCILIAR'!$A$1:$A$37,1,0)</f>
        <v>#N/A</v>
      </c>
      <c r="G374" s="7" t="e">
        <f>VLOOKUP(A374,'TODAS LAS P'!A:A,1,0)</f>
        <v>#N/A</v>
      </c>
      <c r="H374" s="7" t="e">
        <f>VLOOKUP(A374,PAGOS!A408:$A$1553,1,0)</f>
        <v>#N/A</v>
      </c>
      <c r="I374" s="40"/>
      <c r="J374" s="40">
        <f t="shared" ref="J374:J375" si="25">D374</f>
        <v>80832</v>
      </c>
      <c r="K374" s="40"/>
      <c r="L374" s="40"/>
      <c r="M374" s="40"/>
      <c r="N374" s="40"/>
      <c r="O374" s="40"/>
      <c r="P374" s="40"/>
      <c r="Q374" s="7" t="str">
        <f>VLOOKUP(A374,DEVOLUCIONES!A$1:B$231,2,0)</f>
        <v>DF-9493077315565</v>
      </c>
      <c r="R374" s="7"/>
      <c r="S374" s="7" t="str">
        <f>VLOOKUP(A374,DEVOLUCIONES!A$1:H$231,8,0)</f>
        <v>Se realiza devolución de la factura FEHF156144correspondiente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374" s="35">
        <f t="shared" si="19"/>
        <v>0</v>
      </c>
      <c r="U374" s="7"/>
    </row>
    <row r="375" spans="1:21" x14ac:dyDescent="0.25">
      <c r="A375" s="7" t="s">
        <v>3050</v>
      </c>
      <c r="B375" s="8">
        <v>44382.529780092591</v>
      </c>
      <c r="C375" s="8">
        <v>44415</v>
      </c>
      <c r="D375" s="9">
        <v>80832</v>
      </c>
      <c r="E375" s="7" t="str">
        <f>VLOOKUP(A375,DEVOLUCIONES!A$1:A$231,1,0)</f>
        <v>FEHF156914</v>
      </c>
      <c r="F375" s="7" t="e">
        <f>VLOOKUP(A375,'GLOSAS X CONCILIAR'!$A$1:$A$37,1,0)</f>
        <v>#N/A</v>
      </c>
      <c r="G375" s="7" t="e">
        <f>VLOOKUP(A375,'TODAS LAS P'!A:A,1,0)</f>
        <v>#N/A</v>
      </c>
      <c r="H375" s="7" t="e">
        <f>VLOOKUP(A375,PAGOS!A409:$A$1553,1,0)</f>
        <v>#N/A</v>
      </c>
      <c r="I375" s="40"/>
      <c r="J375" s="40">
        <f t="shared" si="25"/>
        <v>80832</v>
      </c>
      <c r="K375" s="40"/>
      <c r="L375" s="40"/>
      <c r="M375" s="40"/>
      <c r="N375" s="40"/>
      <c r="O375" s="40"/>
      <c r="P375" s="40"/>
      <c r="Q375" s="7" t="str">
        <f>VLOOKUP(A375,DEVOLUCIONES!A$1:B$231,2,0)</f>
        <v>DF-257654324538199</v>
      </c>
      <c r="R375" s="7"/>
      <c r="S375" s="7" t="str">
        <f>VLOOKUP(A375,DEVOLUCIONES!A$1:H$231,8,0)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v>
      </c>
      <c r="T375" s="35">
        <f t="shared" si="19"/>
        <v>0</v>
      </c>
      <c r="U375" s="7"/>
    </row>
    <row r="376" spans="1:21" x14ac:dyDescent="0.25">
      <c r="A376" s="7" t="s">
        <v>157</v>
      </c>
      <c r="B376" s="8">
        <v>44382.578182870369</v>
      </c>
      <c r="C376" s="8">
        <v>44389</v>
      </c>
      <c r="D376" s="9">
        <v>265074</v>
      </c>
      <c r="E376" s="7" t="e">
        <f>VLOOKUP(A376,DEVOLUCIONES!A$1:A$231,1,0)</f>
        <v>#N/A</v>
      </c>
      <c r="F376" s="7" t="str">
        <f>VLOOKUP(A376,'GLOSAS X CONCILIAR'!$A$1:$A$37,1,0)</f>
        <v>FEHF156931</v>
      </c>
      <c r="G376" s="7" t="str">
        <f>VLOOKUP(A376,'TODAS LAS P'!A:A,1,0)</f>
        <v>FEHF156931</v>
      </c>
      <c r="H376" s="7" t="str">
        <f>VLOOKUP(A376,PAGOS!A410:$A$1553,1,0)</f>
        <v>FEHF156931</v>
      </c>
      <c r="I376" s="40"/>
      <c r="J376" s="40"/>
      <c r="K376" s="40"/>
      <c r="L376" s="40"/>
      <c r="M376" s="40"/>
      <c r="N376" s="40">
        <f>VLOOKUP(A376,'GLOSAS X CONCILIAR'!A$1:C$37,3,0)</f>
        <v>265074</v>
      </c>
      <c r="O376" s="40"/>
      <c r="P376" s="40"/>
      <c r="Q376" s="7"/>
      <c r="R376" s="7"/>
      <c r="S376" s="7"/>
      <c r="T376" s="35">
        <f t="shared" si="19"/>
        <v>0</v>
      </c>
      <c r="U376" s="7"/>
    </row>
    <row r="377" spans="1:21" x14ac:dyDescent="0.25">
      <c r="A377" s="7" t="s">
        <v>169</v>
      </c>
      <c r="B377" s="8">
        <v>44382.62641203704</v>
      </c>
      <c r="C377" s="8">
        <v>44389</v>
      </c>
      <c r="D377" s="9">
        <v>2598099</v>
      </c>
      <c r="E377" s="7" t="e">
        <f>VLOOKUP(A377,DEVOLUCIONES!A$1:A$231,1,0)</f>
        <v>#N/A</v>
      </c>
      <c r="F377" s="7" t="str">
        <f>VLOOKUP(A377,'GLOSAS X CONCILIAR'!$A$1:$A$37,1,0)</f>
        <v>FEHF156948</v>
      </c>
      <c r="G377" s="7" t="str">
        <f>VLOOKUP(A377,'TODAS LAS P'!A:A,1,0)</f>
        <v>FEHF156948</v>
      </c>
      <c r="H377" s="7" t="str">
        <f>VLOOKUP(A377,PAGOS!A411:$A$1553,1,0)</f>
        <v>FEHF156948</v>
      </c>
      <c r="I377" s="40"/>
      <c r="J377" s="40"/>
      <c r="K377" s="40"/>
      <c r="L377" s="40"/>
      <c r="M377" s="40"/>
      <c r="N377" s="40">
        <f>VLOOKUP(A377,'GLOSAS X CONCILIAR'!A$1:C$37,3,0)</f>
        <v>49245</v>
      </c>
      <c r="O377" s="40">
        <v>2548854</v>
      </c>
      <c r="P377" s="40"/>
      <c r="Q377" s="7"/>
      <c r="R377" s="7" t="str">
        <f>VLOOKUP(A377,Hoja2!A$1:H$1143,8,0)</f>
        <v>2000645462</v>
      </c>
      <c r="S377" s="7"/>
      <c r="T377" s="35">
        <f t="shared" si="19"/>
        <v>0</v>
      </c>
      <c r="U377" s="7"/>
    </row>
    <row r="378" spans="1:21" x14ac:dyDescent="0.25">
      <c r="A378" s="7" t="s">
        <v>165</v>
      </c>
      <c r="B378" s="8">
        <v>44383.467048611114</v>
      </c>
      <c r="C378" s="8">
        <v>44389</v>
      </c>
      <c r="D378" s="9">
        <v>2499000</v>
      </c>
      <c r="E378" s="7" t="e">
        <f>VLOOKUP(A378,DEVOLUCIONES!A$1:A$231,1,0)</f>
        <v>#N/A</v>
      </c>
      <c r="F378" s="7" t="str">
        <f>VLOOKUP(A378,'GLOSAS X CONCILIAR'!$A$1:$A$37,1,0)</f>
        <v>FEHF157476</v>
      </c>
      <c r="G378" s="7" t="str">
        <f>VLOOKUP(A378,'TODAS LAS P'!A:A,1,0)</f>
        <v>FEHF157476</v>
      </c>
      <c r="H378" s="7" t="str">
        <f>VLOOKUP(A378,PAGOS!A412:$A$1553,1,0)</f>
        <v>FEHF157476</v>
      </c>
      <c r="I378" s="40"/>
      <c r="J378" s="40"/>
      <c r="K378" s="40"/>
      <c r="L378" s="40"/>
      <c r="M378" s="40"/>
      <c r="N378" s="40">
        <f>VLOOKUP(A378,'GLOSAS X CONCILIAR'!A$1:C$37,3,0)</f>
        <v>2499000</v>
      </c>
      <c r="O378" s="40"/>
      <c r="P378" s="40"/>
      <c r="Q378" s="7"/>
      <c r="R378" s="7"/>
      <c r="S378" s="7"/>
      <c r="T378" s="35">
        <f t="shared" si="19"/>
        <v>0</v>
      </c>
      <c r="U378" s="7"/>
    </row>
    <row r="379" spans="1:21" x14ac:dyDescent="0.25">
      <c r="A379" s="7" t="s">
        <v>2652</v>
      </c>
      <c r="B379" s="8">
        <v>44384.43886574074</v>
      </c>
      <c r="C379" s="8">
        <v>44415</v>
      </c>
      <c r="D379" s="9">
        <v>44700</v>
      </c>
      <c r="E379" s="7" t="e">
        <f>VLOOKUP(A379,DEVOLUCIONES!A$1:A$231,1,0)</f>
        <v>#N/A</v>
      </c>
      <c r="F379" s="7" t="e">
        <f>VLOOKUP(A379,'GLOSAS X CONCILIAR'!$A$1:$A$37,1,0)</f>
        <v>#N/A</v>
      </c>
      <c r="G379" s="7" t="str">
        <f>VLOOKUP(A379,'TODAS LAS P'!A:A,1,0)</f>
        <v>FEHF158195</v>
      </c>
      <c r="H379" s="7" t="str">
        <f>VLOOKUP(A379,PAGOS!A413:$A$1553,1,0)</f>
        <v>FEHF158195</v>
      </c>
      <c r="I379" s="40"/>
      <c r="J379" s="40"/>
      <c r="K379" s="40"/>
      <c r="L379" s="40"/>
      <c r="M379" s="40"/>
      <c r="N379" s="40"/>
      <c r="O379" s="40">
        <v>44700</v>
      </c>
      <c r="P379" s="40"/>
      <c r="Q379" s="7"/>
      <c r="R379" s="7" t="str">
        <f>VLOOKUP(A379,Hoja2!A$1:H$1143,8,0)</f>
        <v>2000647836</v>
      </c>
      <c r="S379" s="7"/>
      <c r="T379" s="35">
        <f t="shared" si="19"/>
        <v>0</v>
      </c>
      <c r="U379" s="7"/>
    </row>
    <row r="380" spans="1:21" x14ac:dyDescent="0.25">
      <c r="A380" s="7" t="s">
        <v>2840</v>
      </c>
      <c r="B380" s="8">
        <v>44385.30914351852</v>
      </c>
      <c r="C380" s="8">
        <v>44415</v>
      </c>
      <c r="D380" s="9">
        <v>29504</v>
      </c>
      <c r="E380" s="7" t="e">
        <f>VLOOKUP(A380,DEVOLUCIONES!A$1:A$231,1,0)</f>
        <v>#N/A</v>
      </c>
      <c r="F380" s="7" t="e">
        <f>VLOOKUP(A380,'GLOSAS X CONCILIAR'!$A$1:$A$37,1,0)</f>
        <v>#N/A</v>
      </c>
      <c r="G380" s="7" t="str">
        <f>VLOOKUP(A380,'TODAS LAS P'!A:A,1,0)</f>
        <v>FEHF158601</v>
      </c>
      <c r="H380" s="7" t="str">
        <f>VLOOKUP(A380,PAGOS!A414:$A$1553,1,0)</f>
        <v>FEHF158601</v>
      </c>
      <c r="I380" s="40"/>
      <c r="J380" s="40"/>
      <c r="K380" s="40"/>
      <c r="L380" s="40"/>
      <c r="M380" s="40"/>
      <c r="N380" s="40"/>
      <c r="O380" s="40">
        <v>29504</v>
      </c>
      <c r="P380" s="40"/>
      <c r="Q380" s="7"/>
      <c r="R380" s="7" t="str">
        <f>VLOOKUP(A380,Hoja2!A$1:H$1143,8,0)</f>
        <v>2000647899</v>
      </c>
      <c r="S380" s="7"/>
      <c r="T380" s="35">
        <f t="shared" si="19"/>
        <v>0</v>
      </c>
      <c r="U380" s="7"/>
    </row>
    <row r="381" spans="1:21" x14ac:dyDescent="0.25">
      <c r="A381" s="7" t="s">
        <v>3051</v>
      </c>
      <c r="B381" s="8">
        <v>44389.134108796294</v>
      </c>
      <c r="C381" s="8">
        <v>44415</v>
      </c>
      <c r="D381" s="9">
        <v>132251</v>
      </c>
      <c r="E381" s="7" t="e">
        <f>VLOOKUP(A381,DEVOLUCIONES!A$1:A$231,1,0)</f>
        <v>#N/A</v>
      </c>
      <c r="F381" s="7" t="e">
        <f>VLOOKUP(A381,'GLOSAS X CONCILIAR'!$A$1:$A$37,1,0)</f>
        <v>#N/A</v>
      </c>
      <c r="G381" s="7" t="str">
        <f>VLOOKUP(A381,'TODAS LAS P'!A:A,1,0)</f>
        <v>FEHF160136</v>
      </c>
      <c r="H381" s="7" t="e">
        <f>VLOOKUP(A381,PAGOS!A415:$A$1553,1,0)</f>
        <v>#N/A</v>
      </c>
      <c r="I381" s="40"/>
      <c r="J381" s="40"/>
      <c r="K381" s="40"/>
      <c r="L381" s="40"/>
      <c r="M381" s="40"/>
      <c r="N381" s="40"/>
      <c r="O381" s="40">
        <v>132251</v>
      </c>
      <c r="P381" s="40"/>
      <c r="Q381" s="7"/>
      <c r="R381" s="7"/>
      <c r="S381" s="7"/>
      <c r="T381" s="35">
        <f t="shared" si="19"/>
        <v>0</v>
      </c>
      <c r="U381" s="7"/>
    </row>
    <row r="382" spans="1:21" x14ac:dyDescent="0.25">
      <c r="A382" s="7" t="s">
        <v>2703</v>
      </c>
      <c r="B382" s="8">
        <v>44393.311701388891</v>
      </c>
      <c r="C382" s="8">
        <v>44415</v>
      </c>
      <c r="D382" s="9">
        <v>20461</v>
      </c>
      <c r="E382" s="7" t="e">
        <f>VLOOKUP(A382,DEVOLUCIONES!A$1:A$231,1,0)</f>
        <v>#N/A</v>
      </c>
      <c r="F382" s="7" t="e">
        <f>VLOOKUP(A382,'GLOSAS X CONCILIAR'!$A$1:$A$37,1,0)</f>
        <v>#N/A</v>
      </c>
      <c r="G382" s="7" t="str">
        <f>VLOOKUP(A382,'TODAS LAS P'!A:A,1,0)</f>
        <v>FEHF162924</v>
      </c>
      <c r="H382" s="7" t="str">
        <f>VLOOKUP(A382,PAGOS!A416:$A$1553,1,0)</f>
        <v>FEHF162924</v>
      </c>
      <c r="I382" s="40"/>
      <c r="J382" s="40"/>
      <c r="K382" s="40"/>
      <c r="L382" s="40"/>
      <c r="M382" s="40"/>
      <c r="N382" s="40"/>
      <c r="O382" s="40">
        <v>20461</v>
      </c>
      <c r="P382" s="40"/>
      <c r="Q382" s="7"/>
      <c r="R382" s="7" t="str">
        <f>VLOOKUP(A382,Hoja2!A$1:H$1143,8,0)</f>
        <v>2000647839</v>
      </c>
      <c r="S382" s="7"/>
      <c r="T382" s="35">
        <f t="shared" si="19"/>
        <v>0</v>
      </c>
      <c r="U382" s="7"/>
    </row>
    <row r="383" spans="1:21" x14ac:dyDescent="0.25">
      <c r="A383" s="7" t="s">
        <v>3052</v>
      </c>
      <c r="B383" s="8">
        <v>44394.062268518515</v>
      </c>
      <c r="C383" s="8">
        <v>44415</v>
      </c>
      <c r="D383" s="9">
        <v>272872</v>
      </c>
      <c r="E383" s="7" t="e">
        <f>VLOOKUP(A383,DEVOLUCIONES!A$1:A$231,1,0)</f>
        <v>#N/A</v>
      </c>
      <c r="F383" s="7" t="e">
        <f>VLOOKUP(A383,'GLOSAS X CONCILIAR'!$A$1:$A$37,1,0)</f>
        <v>#N/A</v>
      </c>
      <c r="G383" s="7" t="str">
        <f>VLOOKUP(A383,'TODAS LAS P'!A:A,1,0)</f>
        <v>FEHF163647</v>
      </c>
      <c r="H383" s="7" t="e">
        <f>VLOOKUP(A383,PAGOS!A417:$A$1553,1,0)</f>
        <v>#N/A</v>
      </c>
      <c r="I383" s="40"/>
      <c r="J383" s="40"/>
      <c r="K383" s="40"/>
      <c r="L383" s="40"/>
      <c r="M383" s="40"/>
      <c r="N383" s="40"/>
      <c r="O383" s="40">
        <v>272872</v>
      </c>
      <c r="P383" s="40"/>
      <c r="Q383" s="7"/>
      <c r="R383" s="7"/>
      <c r="S383" s="7"/>
      <c r="T383" s="35">
        <f t="shared" si="19"/>
        <v>0</v>
      </c>
      <c r="U383" s="7"/>
    </row>
    <row r="384" spans="1:21" x14ac:dyDescent="0.25">
      <c r="A384" s="7" t="s">
        <v>3053</v>
      </c>
      <c r="B384" s="8">
        <v>44395.562175925923</v>
      </c>
      <c r="C384" s="8">
        <v>44415</v>
      </c>
      <c r="D384" s="9">
        <v>853075</v>
      </c>
      <c r="E384" s="7" t="e">
        <f>VLOOKUP(A384,DEVOLUCIONES!A$1:A$231,1,0)</f>
        <v>#N/A</v>
      </c>
      <c r="F384" s="7" t="e">
        <f>VLOOKUP(A384,'GLOSAS X CONCILIAR'!$A$1:$A$37,1,0)</f>
        <v>#N/A</v>
      </c>
      <c r="G384" s="7" t="str">
        <f>VLOOKUP(A384,'TODAS LAS P'!A:A,1,0)</f>
        <v>FEHF163956</v>
      </c>
      <c r="H384" s="7" t="e">
        <f>VLOOKUP(A384,PAGOS!A418:$A$1553,1,0)</f>
        <v>#N/A</v>
      </c>
      <c r="I384" s="40"/>
      <c r="J384" s="40"/>
      <c r="K384" s="40"/>
      <c r="L384" s="40"/>
      <c r="M384" s="40"/>
      <c r="N384" s="40"/>
      <c r="O384" s="40">
        <v>853075</v>
      </c>
      <c r="P384" s="40"/>
      <c r="Q384" s="7"/>
      <c r="R384" s="7"/>
      <c r="S384" s="7"/>
      <c r="T384" s="35">
        <f t="shared" si="19"/>
        <v>0</v>
      </c>
      <c r="U384" s="7"/>
    </row>
    <row r="385" spans="1:21" x14ac:dyDescent="0.25">
      <c r="A385" s="7" t="s">
        <v>3054</v>
      </c>
      <c r="B385" s="8">
        <v>44397.431527777779</v>
      </c>
      <c r="C385" s="8">
        <v>44415</v>
      </c>
      <c r="D385" s="9">
        <v>101343</v>
      </c>
      <c r="E385" s="7" t="e">
        <f>VLOOKUP(A385,DEVOLUCIONES!A$1:A$231,1,0)</f>
        <v>#N/A</v>
      </c>
      <c r="F385" s="7" t="e">
        <f>VLOOKUP(A385,'GLOSAS X CONCILIAR'!$A$1:$A$37,1,0)</f>
        <v>#N/A</v>
      </c>
      <c r="G385" s="7" t="str">
        <f>VLOOKUP(A385,'TODAS LAS P'!A:A,1,0)</f>
        <v>FEHF164669</v>
      </c>
      <c r="H385" s="7" t="e">
        <f>VLOOKUP(A385,PAGOS!A419:$A$1553,1,0)</f>
        <v>#N/A</v>
      </c>
      <c r="I385" s="40"/>
      <c r="J385" s="40"/>
      <c r="K385" s="40"/>
      <c r="L385" s="40"/>
      <c r="M385" s="40"/>
      <c r="N385" s="40"/>
      <c r="O385" s="40">
        <v>101343</v>
      </c>
      <c r="P385" s="40"/>
      <c r="Q385" s="7"/>
      <c r="R385" s="7"/>
      <c r="S385" s="7"/>
      <c r="T385" s="35">
        <f t="shared" si="19"/>
        <v>0</v>
      </c>
      <c r="U385" s="7"/>
    </row>
    <row r="386" spans="1:21" x14ac:dyDescent="0.25">
      <c r="A386" s="7" t="s">
        <v>2543</v>
      </c>
      <c r="B386" s="8">
        <v>44399.334074074075</v>
      </c>
      <c r="C386" s="8">
        <v>44445</v>
      </c>
      <c r="D386" s="9">
        <v>14800</v>
      </c>
      <c r="E386" s="7" t="e">
        <f>VLOOKUP(A386,DEVOLUCIONES!A$1:A$231,1,0)</f>
        <v>#N/A</v>
      </c>
      <c r="F386" s="7" t="e">
        <f>VLOOKUP(A386,'GLOSAS X CONCILIAR'!$A$1:$A$37,1,0)</f>
        <v>#N/A</v>
      </c>
      <c r="G386" s="7" t="str">
        <f>VLOOKUP(A386,'TODAS LAS P'!A:A,1,0)</f>
        <v>FEHF165601</v>
      </c>
      <c r="H386" s="7" t="str">
        <f>VLOOKUP(A386,PAGOS!A420:$A$1553,1,0)</f>
        <v>FEHF165601</v>
      </c>
      <c r="I386" s="40"/>
      <c r="J386" s="40"/>
      <c r="K386" s="40"/>
      <c r="L386" s="40"/>
      <c r="M386" s="40"/>
      <c r="N386" s="40"/>
      <c r="O386" s="40">
        <v>156800</v>
      </c>
      <c r="P386" s="40"/>
      <c r="Q386" s="7"/>
      <c r="R386" s="7" t="str">
        <f>VLOOKUP(A386,Hoja2!A$1:H$1143,8,0)</f>
        <v>2000703367</v>
      </c>
      <c r="S386" s="7" t="s">
        <v>7913</v>
      </c>
      <c r="T386" s="35">
        <f t="shared" si="19"/>
        <v>-142000</v>
      </c>
      <c r="U386" s="7"/>
    </row>
    <row r="387" spans="1:21" x14ac:dyDescent="0.25">
      <c r="A387" s="7" t="s">
        <v>3055</v>
      </c>
      <c r="B387" s="8">
        <v>44400.395682870374</v>
      </c>
      <c r="C387" s="8">
        <v>44415</v>
      </c>
      <c r="D387" s="9">
        <v>1017601</v>
      </c>
      <c r="E387" s="7" t="e">
        <f>VLOOKUP(A387,DEVOLUCIONES!A$1:A$231,1,0)</f>
        <v>#N/A</v>
      </c>
      <c r="F387" s="7" t="e">
        <f>VLOOKUP(A387,'GLOSAS X CONCILIAR'!$A$1:$A$37,1,0)</f>
        <v>#N/A</v>
      </c>
      <c r="G387" s="7" t="e">
        <f>VLOOKUP(A387,'TODAS LAS P'!A:A,1,0)</f>
        <v>#N/A</v>
      </c>
      <c r="H387" s="7" t="e">
        <f>VLOOKUP(A387,PAGOS!A421:$A$1553,1,0)</f>
        <v>#N/A</v>
      </c>
      <c r="I387" s="40"/>
      <c r="J387" s="40"/>
      <c r="K387" s="40"/>
      <c r="L387" s="40">
        <f>D387</f>
        <v>1017601</v>
      </c>
      <c r="M387" s="40"/>
      <c r="N387" s="40"/>
      <c r="O387" s="40"/>
      <c r="P387" s="40"/>
      <c r="Q387" s="7"/>
      <c r="R387" s="7"/>
      <c r="S387" s="7"/>
      <c r="T387" s="35">
        <f t="shared" ref="T387:T450" si="26">D387-SUM(I387:Q387)</f>
        <v>0</v>
      </c>
      <c r="U387" s="7"/>
    </row>
    <row r="388" spans="1:21" x14ac:dyDescent="0.25">
      <c r="A388" s="7" t="s">
        <v>3056</v>
      </c>
      <c r="B388" s="8">
        <v>44400.677060185182</v>
      </c>
      <c r="C388" s="8">
        <v>44415</v>
      </c>
      <c r="D388" s="9">
        <v>1260691</v>
      </c>
      <c r="E388" s="7" t="str">
        <f>VLOOKUP(A388,DEVOLUCIONES!A$1:A$231,1,0)</f>
        <v>FEHF166935</v>
      </c>
      <c r="F388" s="7" t="e">
        <f>VLOOKUP(A388,'GLOSAS X CONCILIAR'!$A$1:$A$37,1,0)</f>
        <v>#N/A</v>
      </c>
      <c r="G388" s="7" t="e">
        <f>VLOOKUP(A388,'TODAS LAS P'!A:A,1,0)</f>
        <v>#N/A</v>
      </c>
      <c r="H388" s="7" t="e">
        <f>VLOOKUP(A388,PAGOS!A422:$A$1553,1,0)</f>
        <v>#N/A</v>
      </c>
      <c r="I388" s="40"/>
      <c r="J388" s="40">
        <f>D388</f>
        <v>1260691</v>
      </c>
      <c r="K388" s="40"/>
      <c r="L388" s="40"/>
      <c r="M388" s="40"/>
      <c r="N388" s="40"/>
      <c r="O388" s="40"/>
      <c r="P388" s="40"/>
      <c r="Q388" s="7" t="str">
        <f>VLOOKUP(A388,DEVOLUCIONES!A$1:B$231,2,0)</f>
        <v>DF-254573212</v>
      </c>
      <c r="R388" s="7"/>
      <c r="S388" s="7" t="str">
        <f>VLOOKUP(A388,DEVOLUCIONES!A$1:H$231,8,0)</f>
        <v>SE HACE DEVOLUCION DE LA CUENTA  SE VERIFICA BASE DE DATOS Y NO SE EVIDENCIA  AUTORIZACION DE SERVICIOS PRESTADOS EMITIDA POR AL EPS   NO SE EVIDENCIA TRAZABILIDAD DE SOLICTUID AUTORIZACION POR PARTE DE LA IPS</v>
      </c>
      <c r="T388" s="35">
        <f t="shared" si="26"/>
        <v>0</v>
      </c>
      <c r="U388" s="7"/>
    </row>
    <row r="389" spans="1:21" x14ac:dyDescent="0.25">
      <c r="A389" s="7" t="s">
        <v>3057</v>
      </c>
      <c r="B389" s="8">
        <v>44403.691076388888</v>
      </c>
      <c r="C389" s="8">
        <v>44415</v>
      </c>
      <c r="D389" s="9">
        <v>999264</v>
      </c>
      <c r="E389" s="7" t="e">
        <f>VLOOKUP(A389,DEVOLUCIONES!A$1:A$231,1,0)</f>
        <v>#N/A</v>
      </c>
      <c r="F389" s="7" t="e">
        <f>VLOOKUP(A389,'GLOSAS X CONCILIAR'!$A$1:$A$37,1,0)</f>
        <v>#N/A</v>
      </c>
      <c r="G389" s="7" t="str">
        <f>VLOOKUP(A389,'TODAS LAS P'!A:A,1,0)</f>
        <v>FEHF168001</v>
      </c>
      <c r="H389" s="7" t="e">
        <f>VLOOKUP(A389,PAGOS!A423:$A$1553,1,0)</f>
        <v>#N/A</v>
      </c>
      <c r="I389" s="40"/>
      <c r="J389" s="40"/>
      <c r="K389" s="40"/>
      <c r="L389" s="40"/>
      <c r="M389" s="40"/>
      <c r="N389" s="40"/>
      <c r="O389" s="40">
        <v>999264</v>
      </c>
      <c r="P389" s="40"/>
      <c r="Q389" s="7"/>
      <c r="R389" s="7"/>
      <c r="S389" s="7"/>
      <c r="T389" s="35">
        <f t="shared" si="26"/>
        <v>0</v>
      </c>
      <c r="U389" s="7"/>
    </row>
    <row r="390" spans="1:21" x14ac:dyDescent="0.25">
      <c r="A390" s="7" t="s">
        <v>2745</v>
      </c>
      <c r="B390" s="8">
        <v>44407.485694444447</v>
      </c>
      <c r="C390" s="8">
        <v>44415</v>
      </c>
      <c r="D390" s="9">
        <v>24460636</v>
      </c>
      <c r="E390" s="7" t="e">
        <f>VLOOKUP(A390,DEVOLUCIONES!A$1:A$231,1,0)</f>
        <v>#N/A</v>
      </c>
      <c r="F390" s="7" t="e">
        <f>VLOOKUP(A390,'GLOSAS X CONCILIAR'!$A$1:$A$37,1,0)</f>
        <v>#N/A</v>
      </c>
      <c r="G390" s="7" t="str">
        <f>VLOOKUP(A390,'TODAS LAS P'!A:A,1,0)</f>
        <v>FEHF170823</v>
      </c>
      <c r="H390" s="7" t="str">
        <f>VLOOKUP(A390,PAGOS!A424:$A$1553,1,0)</f>
        <v>FEHF170823</v>
      </c>
      <c r="I390" s="40"/>
      <c r="J390" s="40"/>
      <c r="K390" s="40"/>
      <c r="L390" s="40"/>
      <c r="M390" s="40"/>
      <c r="N390" s="40"/>
      <c r="O390" s="40">
        <v>24460636</v>
      </c>
      <c r="P390" s="40"/>
      <c r="Q390" s="7"/>
      <c r="R390" s="7" t="str">
        <f>VLOOKUP(A390,Hoja2!A$1:H$1143,8,0)</f>
        <v>2000647823</v>
      </c>
      <c r="S390" s="7"/>
      <c r="T390" s="35"/>
      <c r="U390" s="7"/>
    </row>
    <row r="391" spans="1:21" x14ac:dyDescent="0.25">
      <c r="A391" s="7" t="s">
        <v>3058</v>
      </c>
      <c r="B391" s="8">
        <v>44407.698101851849</v>
      </c>
      <c r="C391" s="8">
        <v>44415</v>
      </c>
      <c r="D391" s="9">
        <v>80832</v>
      </c>
      <c r="E391" s="7" t="str">
        <f>VLOOKUP(A391,DEVOLUCIONES!A$1:A$231,1,0)</f>
        <v>FEHF171161</v>
      </c>
      <c r="F391" s="7" t="e">
        <f>VLOOKUP(A391,'GLOSAS X CONCILIAR'!$A$1:$A$37,1,0)</f>
        <v>#N/A</v>
      </c>
      <c r="G391" s="7" t="e">
        <f>VLOOKUP(A391,'TODAS LAS P'!A:A,1,0)</f>
        <v>#N/A</v>
      </c>
      <c r="H391" s="7" t="e">
        <f>VLOOKUP(A391,PAGOS!A425:$A$1553,1,0)</f>
        <v>#N/A</v>
      </c>
      <c r="I391" s="40"/>
      <c r="J391" s="40">
        <f t="shared" ref="J391:J394" si="27">D391</f>
        <v>80832</v>
      </c>
      <c r="K391" s="40"/>
      <c r="L391" s="40"/>
      <c r="M391" s="40"/>
      <c r="N391" s="40"/>
      <c r="O391" s="40"/>
      <c r="P391" s="40"/>
      <c r="Q391" s="7" t="str">
        <f>VLOOKUP(A391,DEVOLUCIONES!A$1:B$231,2,0)</f>
        <v>DF-257654324538200</v>
      </c>
      <c r="R391" s="7"/>
      <c r="S391" s="7" t="str">
        <f>VLOOKUP(A391,DEVOLUCIONES!A$1:H$231,8,0)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ni el archivo en Excel según lo estipulado en la circular 049 expedida por el ADRES y resolución 1463 requisito necesario para continuar con el debido proceso </v>
      </c>
      <c r="T391" s="35">
        <f t="shared" si="26"/>
        <v>0</v>
      </c>
      <c r="U391" s="7"/>
    </row>
    <row r="392" spans="1:21" x14ac:dyDescent="0.25">
      <c r="A392" s="7" t="s">
        <v>3059</v>
      </c>
      <c r="B392" s="8">
        <v>44407.698935185188</v>
      </c>
      <c r="C392" s="8">
        <v>44415</v>
      </c>
      <c r="D392" s="9">
        <v>216994</v>
      </c>
      <c r="E392" s="7" t="str">
        <f>VLOOKUP(A392,DEVOLUCIONES!A$1:A$231,1,0)</f>
        <v>FEHF171163</v>
      </c>
      <c r="F392" s="7" t="e">
        <f>VLOOKUP(A392,'GLOSAS X CONCILIAR'!$A$1:$A$37,1,0)</f>
        <v>#N/A</v>
      </c>
      <c r="G392" s="7" t="e">
        <f>VLOOKUP(A392,'TODAS LAS P'!A:A,1,0)</f>
        <v>#N/A</v>
      </c>
      <c r="H392" s="7" t="e">
        <f>VLOOKUP(A392,PAGOS!A426:$A$1553,1,0)</f>
        <v>#N/A</v>
      </c>
      <c r="I392" s="40"/>
      <c r="J392" s="40">
        <f t="shared" si="27"/>
        <v>216994</v>
      </c>
      <c r="K392" s="40"/>
      <c r="L392" s="40"/>
      <c r="M392" s="40"/>
      <c r="N392" s="40"/>
      <c r="O392" s="40"/>
      <c r="P392" s="40"/>
      <c r="Q392" s="7" t="str">
        <f>VLOOKUP(A392,DEVOLUCIONES!A$1:B$231,2,0)</f>
        <v>DF-257654324538201</v>
      </c>
      <c r="R392" s="7"/>
      <c r="S392" s="7" t="str">
        <f>VLOOKUP(A392,DEVOLUCIONES!A$1:H$231,8,0)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ni el archivo en Excel según lo estipulado en la circular 049 expedida por el ADRES y resolución 1463 requisito necesario para continuar con el debido proceso </v>
      </c>
      <c r="T392" s="35">
        <f t="shared" si="26"/>
        <v>0</v>
      </c>
      <c r="U392" s="7"/>
    </row>
    <row r="393" spans="1:21" x14ac:dyDescent="0.25">
      <c r="A393" s="7" t="s">
        <v>3060</v>
      </c>
      <c r="B393" s="8">
        <v>44407.762858796297</v>
      </c>
      <c r="C393" s="8">
        <v>44415</v>
      </c>
      <c r="D393" s="9">
        <v>80832</v>
      </c>
      <c r="E393" s="7" t="str">
        <f>VLOOKUP(A393,DEVOLUCIONES!A$1:A$231,1,0)</f>
        <v>FEHF171227</v>
      </c>
      <c r="F393" s="7" t="e">
        <f>VLOOKUP(A393,'GLOSAS X CONCILIAR'!$A$1:$A$37,1,0)</f>
        <v>#N/A</v>
      </c>
      <c r="G393" s="7" t="e">
        <f>VLOOKUP(A393,'TODAS LAS P'!A:A,1,0)</f>
        <v>#N/A</v>
      </c>
      <c r="H393" s="7" t="e">
        <f>VLOOKUP(A393,PAGOS!A427:$A$1553,1,0)</f>
        <v>#N/A</v>
      </c>
      <c r="I393" s="40"/>
      <c r="J393" s="40">
        <f t="shared" si="27"/>
        <v>80832</v>
      </c>
      <c r="K393" s="40"/>
      <c r="L393" s="40"/>
      <c r="M393" s="40"/>
      <c r="N393" s="40"/>
      <c r="O393" s="40"/>
      <c r="P393" s="40"/>
      <c r="Q393" s="7" t="str">
        <f>VLOOKUP(A393,DEVOLUCIONES!A$1:B$231,2,0)</f>
        <v>DF-257654324538202</v>
      </c>
      <c r="R393" s="7"/>
      <c r="S393" s="7" t="str">
        <f>VLOOKUP(A393,DEVOLUCIONES!A$1:H$231,8,0)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v>
      </c>
      <c r="T393" s="35">
        <f t="shared" si="26"/>
        <v>0</v>
      </c>
      <c r="U393" s="7"/>
    </row>
    <row r="394" spans="1:21" x14ac:dyDescent="0.25">
      <c r="A394" s="7" t="s">
        <v>3061</v>
      </c>
      <c r="B394" s="8">
        <v>44408.673831018517</v>
      </c>
      <c r="C394" s="8">
        <v>44415</v>
      </c>
      <c r="D394" s="9">
        <v>13923359</v>
      </c>
      <c r="E394" s="7" t="str">
        <f>VLOOKUP(A394,DEVOLUCIONES!A$1:A$231,1,0)</f>
        <v>FEHF171620</v>
      </c>
      <c r="F394" s="7" t="e">
        <f>VLOOKUP(A394,'GLOSAS X CONCILIAR'!$A$1:$A$37,1,0)</f>
        <v>#N/A</v>
      </c>
      <c r="G394" s="7" t="e">
        <f>VLOOKUP(A394,'TODAS LAS P'!A:A,1,0)</f>
        <v>#N/A</v>
      </c>
      <c r="H394" s="7" t="e">
        <f>VLOOKUP(A394,PAGOS!A428:$A$1553,1,0)</f>
        <v>#N/A</v>
      </c>
      <c r="I394" s="40"/>
      <c r="J394" s="40">
        <f t="shared" si="27"/>
        <v>13923359</v>
      </c>
      <c r="K394" s="40"/>
      <c r="L394" s="40"/>
      <c r="M394" s="40"/>
      <c r="N394" s="40"/>
      <c r="O394" s="40"/>
      <c r="P394" s="40"/>
      <c r="Q394" s="7" t="str">
        <f>VLOOKUP(A394,DEVOLUCIONES!A$1:B$231,2,0)</f>
        <v>DF-255555564737995</v>
      </c>
      <c r="R394" s="7"/>
      <c r="S394" s="7" t="str">
        <f>VLOOKUP(A394,DEVOLUCIONES!A$1:H$231,8,0)</f>
        <v>Se hace devolución de la cuenta ya que esta no cumple según los requisitos exigido por la resolución 000042 Artículo 11 Requisitos de la factura electrónica de venta La factura electrónica de venta debe expedirse con el cumplimiento de lo dispuesto del artículo 617 del Estatuto Tributario adicionados en el presente artículo de acuerdo a lo dispuesto en el parágrafo 2 del artículo 6161 del mismo estatuto así 1 De conformidad con el literal a) del artículo 617 del Estatuto Tributario estar denominada expresamente como FACTURA ELECTRONICA DE VENTA esta factura viene como factura de venta por lo cual deben de realizar la correcciónUna vez subsanado el motivo de la devolución se solicita a la IPS radicar la factura en el portal de SAMI  para continuar con el proceso de auditoria</v>
      </c>
      <c r="T394" s="35">
        <f t="shared" si="26"/>
        <v>0</v>
      </c>
      <c r="U394" s="7"/>
    </row>
    <row r="395" spans="1:21" x14ac:dyDescent="0.25">
      <c r="A395" s="7" t="s">
        <v>173</v>
      </c>
      <c r="B395" s="8">
        <v>44410.001273148147</v>
      </c>
      <c r="C395" s="8">
        <v>44415</v>
      </c>
      <c r="D395" s="9">
        <v>11964308</v>
      </c>
      <c r="E395" s="7" t="e">
        <f>VLOOKUP(A395,DEVOLUCIONES!A$1:A$231,1,0)</f>
        <v>#N/A</v>
      </c>
      <c r="F395" s="7" t="str">
        <f>VLOOKUP(A395,'GLOSAS X CONCILIAR'!$A$1:$A$37,1,0)</f>
        <v>FEHF171854</v>
      </c>
      <c r="G395" s="7" t="str">
        <f>VLOOKUP(A395,'TODAS LAS P'!A:A,1,0)</f>
        <v>FEHF171854</v>
      </c>
      <c r="H395" s="7" t="str">
        <f>VLOOKUP(A395,PAGOS!A429:$A$1553,1,0)</f>
        <v>FEHF171854</v>
      </c>
      <c r="I395" s="40"/>
      <c r="J395" s="40"/>
      <c r="K395" s="40"/>
      <c r="L395" s="40"/>
      <c r="M395" s="40"/>
      <c r="N395" s="40">
        <f>VLOOKUP(A395,'GLOSAS X CONCILIAR'!A$1:C$37,3,0)</f>
        <v>4689</v>
      </c>
      <c r="O395" s="40">
        <v>11959619</v>
      </c>
      <c r="P395" s="40"/>
      <c r="Q395" s="7"/>
      <c r="R395" s="7" t="str">
        <f>VLOOKUP(A395,Hoja2!A$1:H$1143,8,0)</f>
        <v>2000647906</v>
      </c>
      <c r="S395" s="7"/>
      <c r="T395" s="35">
        <f t="shared" si="26"/>
        <v>0</v>
      </c>
      <c r="U395" s="7"/>
    </row>
    <row r="396" spans="1:21" x14ac:dyDescent="0.25">
      <c r="A396" s="7" t="s">
        <v>3062</v>
      </c>
      <c r="B396" s="8">
        <v>44413.359490740739</v>
      </c>
      <c r="C396" s="8">
        <v>44415</v>
      </c>
      <c r="D396" s="9">
        <v>12799888</v>
      </c>
      <c r="E396" s="7" t="str">
        <f>VLOOKUP(A396,DEVOLUCIONES!A$1:A$231,1,0)</f>
        <v>FEHF174364</v>
      </c>
      <c r="F396" s="7" t="e">
        <f>VLOOKUP(A396,'GLOSAS X CONCILIAR'!$A$1:$A$37,1,0)</f>
        <v>#N/A</v>
      </c>
      <c r="G396" s="7" t="e">
        <f>VLOOKUP(A396,'TODAS LAS P'!A:A,1,0)</f>
        <v>#N/A</v>
      </c>
      <c r="H396" s="7" t="e">
        <f>VLOOKUP(A396,PAGOS!A430:$A$1553,1,0)</f>
        <v>#N/A</v>
      </c>
      <c r="I396" s="40"/>
      <c r="J396" s="40">
        <f>D396</f>
        <v>12799888</v>
      </c>
      <c r="K396" s="40"/>
      <c r="L396" s="40"/>
      <c r="M396" s="40"/>
      <c r="N396" s="40"/>
      <c r="O396" s="40"/>
      <c r="P396" s="40"/>
      <c r="Q396" s="7" t="str">
        <f>VLOOKUP(A396,DEVOLUCIONES!A$1:B$231,2,0)</f>
        <v>DF-255555564737996</v>
      </c>
      <c r="R396" s="7"/>
      <c r="S396" s="7" t="str">
        <f>VLOOKUP(A396,DEVOLUCIONES!A$1:H$231,8,0)</f>
        <v>Se hace devolución de la cuenta ya que esta no cumple según los requisitos exigido por la resolución 000042 Artículo 11 Requisitos de la factura electrónica de venta La factura electrónica de venta debe expedirse con el cumplimiento de lo dispuesto del artículo 617 del Estatuto Tributario adicionados en el presente artículo de acuerdo a lo dispuesto en el parágrafo 2 del artículo 6161 del mismo estatuto así 1 De conformidad con el literal a) del artículo 617 del Estatuto Tributario estar denominada expresamente como FACTURA ELECTRONICA DE VENTA esta factura viene como factura de venta por lo cual deben de realizar la correcciónUna vez subsanado el motivo de la devolución se solicita a la IPS radicar la factura en el portal de SAMI  para continuar con el proceso de auditoria</v>
      </c>
      <c r="T396" s="35">
        <f t="shared" si="26"/>
        <v>0</v>
      </c>
      <c r="U396" s="7"/>
    </row>
    <row r="397" spans="1:21" x14ac:dyDescent="0.25">
      <c r="A397" s="7" t="s">
        <v>177</v>
      </c>
      <c r="B397" s="8">
        <v>44413.384305555555</v>
      </c>
      <c r="C397" s="8">
        <v>44415</v>
      </c>
      <c r="D397" s="9">
        <v>834564</v>
      </c>
      <c r="E397" s="7" t="e">
        <f>VLOOKUP(A397,DEVOLUCIONES!A$1:A$231,1,0)</f>
        <v>#N/A</v>
      </c>
      <c r="F397" s="7" t="str">
        <f>VLOOKUP(A397,'GLOSAS X CONCILIAR'!$A$1:$A$37,1,0)</f>
        <v>FEHF174420</v>
      </c>
      <c r="G397" s="7" t="str">
        <f>VLOOKUP(A397,'TODAS LAS P'!A:A,1,0)</f>
        <v>FEHF174420</v>
      </c>
      <c r="H397" s="7" t="str">
        <f>VLOOKUP(A397,PAGOS!A431:$A$1553,1,0)</f>
        <v>FEHF174420</v>
      </c>
      <c r="I397" s="40"/>
      <c r="J397" s="40"/>
      <c r="K397" s="40"/>
      <c r="L397" s="40"/>
      <c r="M397" s="40"/>
      <c r="N397" s="40">
        <f>VLOOKUP(A397,'GLOSAS X CONCILIAR'!A$1:C$37,3,0)</f>
        <v>834564</v>
      </c>
      <c r="O397" s="40"/>
      <c r="P397" s="40"/>
      <c r="Q397" s="7"/>
      <c r="R397" s="7"/>
      <c r="S397" s="7"/>
      <c r="T397" s="35">
        <f t="shared" si="26"/>
        <v>0</v>
      </c>
      <c r="U397" s="7"/>
    </row>
    <row r="398" spans="1:21" x14ac:dyDescent="0.25">
      <c r="A398" s="7" t="s">
        <v>2549</v>
      </c>
      <c r="B398" s="8">
        <v>44417.557199074072</v>
      </c>
      <c r="C398" s="8">
        <v>44445</v>
      </c>
      <c r="D398" s="9">
        <v>13350</v>
      </c>
      <c r="E398" s="7" t="e">
        <f>VLOOKUP(A398,DEVOLUCIONES!A$1:A$231,1,0)</f>
        <v>#N/A</v>
      </c>
      <c r="F398" s="7" t="e">
        <f>VLOOKUP(A398,'GLOSAS X CONCILIAR'!$A$1:$A$37,1,0)</f>
        <v>#N/A</v>
      </c>
      <c r="G398" s="7" t="str">
        <f>VLOOKUP(A398,'TODAS LAS P'!A:A,1,0)</f>
        <v>FEHF176415</v>
      </c>
      <c r="H398" s="7" t="str">
        <f>VLOOKUP(A398,PAGOS!A432:$A$1553,1,0)</f>
        <v>FEHF176415</v>
      </c>
      <c r="I398" s="40"/>
      <c r="J398" s="40"/>
      <c r="K398" s="40"/>
      <c r="L398" s="40"/>
      <c r="M398" s="40"/>
      <c r="N398" s="40"/>
      <c r="O398" s="40">
        <v>19350</v>
      </c>
      <c r="P398" s="40"/>
      <c r="Q398" s="7"/>
      <c r="R398" s="7" t="str">
        <f>VLOOKUP(A398,Hoja2!A$1:H$1143,8,0)</f>
        <v>2000703377</v>
      </c>
      <c r="S398" s="7" t="s">
        <v>7913</v>
      </c>
      <c r="T398" s="35">
        <f t="shared" si="26"/>
        <v>-6000</v>
      </c>
      <c r="U398" s="7"/>
    </row>
    <row r="399" spans="1:21" x14ac:dyDescent="0.25">
      <c r="A399" s="7" t="s">
        <v>3063</v>
      </c>
      <c r="B399" s="8">
        <v>44428.505474537036</v>
      </c>
      <c r="C399" s="8">
        <v>44446</v>
      </c>
      <c r="D399" s="9">
        <v>525100</v>
      </c>
      <c r="E399" s="7" t="str">
        <f>VLOOKUP(A399,DEVOLUCIONES!A$1:A$231,1,0)</f>
        <v>FEHF181704</v>
      </c>
      <c r="F399" s="7" t="e">
        <f>VLOOKUP(A399,'GLOSAS X CONCILIAR'!$A$1:$A$37,1,0)</f>
        <v>#N/A</v>
      </c>
      <c r="G399" s="7" t="e">
        <f>VLOOKUP(A399,'TODAS LAS P'!A:A,1,0)</f>
        <v>#N/A</v>
      </c>
      <c r="H399" s="7" t="e">
        <f>VLOOKUP(A399,PAGOS!A433:$A$1553,1,0)</f>
        <v>#N/A</v>
      </c>
      <c r="I399" s="40"/>
      <c r="J399" s="40">
        <f t="shared" ref="J399:J401" si="28">D399</f>
        <v>525100</v>
      </c>
      <c r="K399" s="40"/>
      <c r="L399" s="40"/>
      <c r="M399" s="40"/>
      <c r="N399" s="40"/>
      <c r="O399" s="40"/>
      <c r="P399" s="40"/>
      <c r="Q399" s="7" t="str">
        <f>VLOOKUP(A399,DEVOLUCIONES!A$1:B$231,2,0)</f>
        <v>DF-25765434403631</v>
      </c>
      <c r="R399" s="7"/>
      <c r="S399" s="7" t="str">
        <f>VLOOKUP(A399,DEVOLUCIONES!A$1:H$231,8,0)</f>
        <v xml:space="preserve">Se realiza devolución de la factura se realiza validación de la información suministrada en los soportes y esta como tal carece de notificación a los correos pertinentes y autorización vigente del servicio prestado no se evidencia reporte autorización por parte de la EPS por tal motivo no se puede continuar con el proceso de auditoria </v>
      </c>
      <c r="T399" s="35">
        <f t="shared" si="26"/>
        <v>0</v>
      </c>
      <c r="U399" s="7"/>
    </row>
    <row r="400" spans="1:21" x14ac:dyDescent="0.25">
      <c r="A400" s="7" t="s">
        <v>3064</v>
      </c>
      <c r="B400" s="8">
        <v>44433.737870370373</v>
      </c>
      <c r="C400" s="8">
        <v>44445</v>
      </c>
      <c r="D400" s="9">
        <v>80832</v>
      </c>
      <c r="E400" s="7" t="str">
        <f>VLOOKUP(A400,DEVOLUCIONES!A$1:A$231,1,0)</f>
        <v>FEHF184160</v>
      </c>
      <c r="F400" s="7" t="e">
        <f>VLOOKUP(A400,'GLOSAS X CONCILIAR'!$A$1:$A$37,1,0)</f>
        <v>#N/A</v>
      </c>
      <c r="G400" s="7" t="e">
        <f>VLOOKUP(A400,'TODAS LAS P'!A:A,1,0)</f>
        <v>#N/A</v>
      </c>
      <c r="H400" s="7" t="e">
        <f>VLOOKUP(A400,PAGOS!A434:$A$1553,1,0)</f>
        <v>#N/A</v>
      </c>
      <c r="I400" s="40"/>
      <c r="J400" s="40">
        <f t="shared" si="28"/>
        <v>80832</v>
      </c>
      <c r="K400" s="40"/>
      <c r="L400" s="40"/>
      <c r="M400" s="40"/>
      <c r="N400" s="40"/>
      <c r="O400" s="40"/>
      <c r="P400" s="40"/>
      <c r="Q400" s="7" t="str">
        <f>VLOOKUP(A400,DEVOLUCIONES!A$1:B$231,2,0)</f>
        <v>DF-9493077317004</v>
      </c>
      <c r="R400" s="7"/>
      <c r="S400" s="7" t="str">
        <f>VLOOKUP(A400,DEVOLUCIONES!A$1:H$231,8,0)</f>
        <v>e realiza devolución de la factura FEHF184160 correspondiente a cobro SARS COV2 COVID 19 ANTIGENO dado que la IPS no anexan los requisitos exigidos por el ADRES se observa que no anexan el resultado de la toma del laboratorio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400" s="35">
        <f t="shared" si="26"/>
        <v>0</v>
      </c>
      <c r="U400" s="7"/>
    </row>
    <row r="401" spans="1:21" x14ac:dyDescent="0.25">
      <c r="A401" s="7" t="s">
        <v>3065</v>
      </c>
      <c r="B401" s="8">
        <v>44440.384826388887</v>
      </c>
      <c r="C401" s="8">
        <v>44446</v>
      </c>
      <c r="D401" s="9">
        <v>468048</v>
      </c>
      <c r="E401" s="7" t="str">
        <f>VLOOKUP(A401,DEVOLUCIONES!A$1:A$231,1,0)</f>
        <v>FEHF187234</v>
      </c>
      <c r="F401" s="7" t="e">
        <f>VLOOKUP(A401,'GLOSAS X CONCILIAR'!$A$1:$A$37,1,0)</f>
        <v>#N/A</v>
      </c>
      <c r="G401" s="7" t="e">
        <f>VLOOKUP(A401,'TODAS LAS P'!A:A,1,0)</f>
        <v>#N/A</v>
      </c>
      <c r="H401" s="7" t="e">
        <f>VLOOKUP(A401,PAGOS!A435:$A$1553,1,0)</f>
        <v>#N/A</v>
      </c>
      <c r="I401" s="40"/>
      <c r="J401" s="40">
        <f t="shared" si="28"/>
        <v>468048</v>
      </c>
      <c r="K401" s="40"/>
      <c r="L401" s="40"/>
      <c r="M401" s="40"/>
      <c r="N401" s="40"/>
      <c r="O401" s="40"/>
      <c r="P401" s="40"/>
      <c r="Q401" s="7" t="str">
        <f>VLOOKUP(A401,DEVOLUCIONES!A$1:B$231,2,0)</f>
        <v>DF-25765434403632</v>
      </c>
      <c r="R401" s="7"/>
      <c r="S401" s="7" t="str">
        <f>VLOOKUP(A401,DEVOLUCIONES!A$1:H$231,8,0)</f>
        <v xml:space="preserve">Se realiza devolución de la factura se realiza validación de la información suministrada en los soportes y esta como tal carece de notificación a los correos pertinentes y autorización vigente del servicio prestado no se evidencia reporte autorización por parte de la EPS por tal motivo no se puede continuar con el proceso de auditoria </v>
      </c>
      <c r="T401" s="35">
        <f t="shared" si="26"/>
        <v>0</v>
      </c>
      <c r="U401" s="7"/>
    </row>
    <row r="402" spans="1:21" x14ac:dyDescent="0.25">
      <c r="A402" s="7" t="s">
        <v>188</v>
      </c>
      <c r="B402" s="8">
        <v>44442.449282407404</v>
      </c>
      <c r="C402" s="8">
        <v>44446</v>
      </c>
      <c r="D402" s="9">
        <v>8167396</v>
      </c>
      <c r="E402" s="7" t="e">
        <f>VLOOKUP(A402,DEVOLUCIONES!A$1:A$231,1,0)</f>
        <v>#N/A</v>
      </c>
      <c r="F402" s="7" t="str">
        <f>VLOOKUP(A402,'GLOSAS X CONCILIAR'!$A$1:$A$37,1,0)</f>
        <v>FEHF188494</v>
      </c>
      <c r="G402" s="7" t="str">
        <f>VLOOKUP(A402,'TODAS LAS P'!A:A,1,0)</f>
        <v>FEHF188494</v>
      </c>
      <c r="H402" s="7" t="str">
        <f>VLOOKUP(A402,PAGOS!A436:$A$1553,1,0)</f>
        <v>FEHF188494</v>
      </c>
      <c r="I402" s="40"/>
      <c r="J402" s="40"/>
      <c r="K402" s="40"/>
      <c r="L402" s="40"/>
      <c r="M402" s="40"/>
      <c r="N402" s="40">
        <f>VLOOKUP(A402,'GLOSAS X CONCILIAR'!A$1:C$37,3,0)</f>
        <v>8167396</v>
      </c>
      <c r="O402" s="40"/>
      <c r="P402" s="40"/>
      <c r="Q402" s="7"/>
      <c r="R402" s="7"/>
      <c r="S402" s="7"/>
      <c r="T402" s="35">
        <f t="shared" si="26"/>
        <v>0</v>
      </c>
      <c r="U402" s="7"/>
    </row>
    <row r="403" spans="1:21" x14ac:dyDescent="0.25">
      <c r="A403" s="7" t="s">
        <v>192</v>
      </c>
      <c r="B403" s="8">
        <v>44442.710810185185</v>
      </c>
      <c r="C403" s="8">
        <v>44446</v>
      </c>
      <c r="D403" s="9">
        <v>165200</v>
      </c>
      <c r="E403" s="7" t="e">
        <f>VLOOKUP(A403,DEVOLUCIONES!A$1:A$231,1,0)</f>
        <v>#N/A</v>
      </c>
      <c r="F403" s="7" t="str">
        <f>VLOOKUP(A403,'GLOSAS X CONCILIAR'!$A$1:$A$37,1,0)</f>
        <v>FEHF188720</v>
      </c>
      <c r="G403" s="7" t="str">
        <f>VLOOKUP(A403,'TODAS LAS P'!A:A,1,0)</f>
        <v>FEHF188720</v>
      </c>
      <c r="H403" s="7" t="str">
        <f>VLOOKUP(A403,PAGOS!A437:$A$1553,1,0)</f>
        <v>FEHF188720</v>
      </c>
      <c r="I403" s="40"/>
      <c r="J403" s="40"/>
      <c r="K403" s="40"/>
      <c r="L403" s="40"/>
      <c r="M403" s="40"/>
      <c r="N403" s="40">
        <f>VLOOKUP(A403,'GLOSAS X CONCILIAR'!A$1:C$37,3,0)</f>
        <v>165200</v>
      </c>
      <c r="O403" s="40"/>
      <c r="P403" s="40"/>
      <c r="Q403" s="7"/>
      <c r="R403" s="7"/>
      <c r="S403" s="7"/>
      <c r="T403" s="35">
        <f t="shared" si="26"/>
        <v>0</v>
      </c>
      <c r="U403" s="7"/>
    </row>
    <row r="404" spans="1:21" x14ac:dyDescent="0.25">
      <c r="A404" s="7" t="s">
        <v>67</v>
      </c>
      <c r="B404" s="8">
        <v>44449.206203703703</v>
      </c>
      <c r="C404" s="8">
        <v>44474</v>
      </c>
      <c r="D404" s="9">
        <v>743688</v>
      </c>
      <c r="E404" s="7" t="e">
        <f>VLOOKUP(A404,DEVOLUCIONES!A$1:A$231,1,0)</f>
        <v>#N/A</v>
      </c>
      <c r="F404" s="7" t="str">
        <f>VLOOKUP(A404,'GLOSAS X CONCILIAR'!$A$1:$A$37,1,0)</f>
        <v>FEHF191389</v>
      </c>
      <c r="G404" s="7" t="str">
        <f>VLOOKUP(A404,'TODAS LAS P'!A:A,1,0)</f>
        <v>FEHF191389</v>
      </c>
      <c r="H404" s="7" t="str">
        <f>VLOOKUP(A404,PAGOS!A438:$A$1553,1,0)</f>
        <v>FEHF191389</v>
      </c>
      <c r="I404" s="40"/>
      <c r="J404" s="40"/>
      <c r="K404" s="40"/>
      <c r="L404" s="40"/>
      <c r="M404" s="40"/>
      <c r="N404" s="40">
        <f>VLOOKUP(A404,'GLOSAS X CONCILIAR'!A$1:C$37,3,0)</f>
        <v>743688</v>
      </c>
      <c r="O404" s="40"/>
      <c r="P404" s="40"/>
      <c r="Q404" s="7"/>
      <c r="R404" s="7"/>
      <c r="S404" s="7"/>
      <c r="T404" s="35">
        <f t="shared" si="26"/>
        <v>0</v>
      </c>
      <c r="U404" s="7"/>
    </row>
    <row r="405" spans="1:21" x14ac:dyDescent="0.25">
      <c r="A405" s="7" t="s">
        <v>3066</v>
      </c>
      <c r="B405" s="8">
        <v>44449.658599537041</v>
      </c>
      <c r="C405" s="8">
        <v>44475</v>
      </c>
      <c r="D405" s="9">
        <v>80832</v>
      </c>
      <c r="E405" s="7" t="str">
        <f>VLOOKUP(A405,DEVOLUCIONES!A$1:A$231,1,0)</f>
        <v>FEHF191847</v>
      </c>
      <c r="F405" s="7" t="e">
        <f>VLOOKUP(A405,'GLOSAS X CONCILIAR'!$A$1:$A$37,1,0)</f>
        <v>#N/A</v>
      </c>
      <c r="G405" s="7" t="e">
        <f>VLOOKUP(A405,'TODAS LAS P'!A:A,1,0)</f>
        <v>#N/A</v>
      </c>
      <c r="H405" s="7" t="e">
        <f>VLOOKUP(A405,PAGOS!A439:$A$1553,1,0)</f>
        <v>#N/A</v>
      </c>
      <c r="I405" s="40"/>
      <c r="J405" s="40">
        <f>D405</f>
        <v>80832</v>
      </c>
      <c r="K405" s="40"/>
      <c r="L405" s="40"/>
      <c r="M405" s="40"/>
      <c r="N405" s="40"/>
      <c r="O405" s="40"/>
      <c r="P405" s="40"/>
      <c r="Q405" s="7" t="str">
        <f>VLOOKUP(A405,DEVOLUCIONES!A$1:B$231,2,0)</f>
        <v>DF-9493077317095</v>
      </c>
      <c r="R405" s="7"/>
      <c r="S405" s="7" t="str">
        <f>VLOOKUP(A405,DEVOLUCIONES!A$1:H$231,8,0)</f>
        <v>Se realiza devolución de la factura FEH191847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v>
      </c>
      <c r="T405" s="35">
        <f t="shared" si="26"/>
        <v>0</v>
      </c>
      <c r="U405" s="7"/>
    </row>
    <row r="406" spans="1:21" x14ac:dyDescent="0.25">
      <c r="A406" s="7" t="s">
        <v>56</v>
      </c>
      <c r="B406" s="8">
        <v>44456.75240740741</v>
      </c>
      <c r="C406" s="8">
        <v>44474</v>
      </c>
      <c r="D406" s="9">
        <v>5840396</v>
      </c>
      <c r="E406" s="7" t="e">
        <f>VLOOKUP(A406,DEVOLUCIONES!A$1:A$231,1,0)</f>
        <v>#N/A</v>
      </c>
      <c r="F406" s="7" t="str">
        <f>VLOOKUP(A406,'GLOSAS X CONCILIAR'!$A$1:$A$37,1,0)</f>
        <v>FEHF194813</v>
      </c>
      <c r="G406" s="7" t="str">
        <f>VLOOKUP(A406,'TODAS LAS P'!A:A,1,0)</f>
        <v>FEHF194813</v>
      </c>
      <c r="H406" s="7" t="str">
        <f>VLOOKUP(A406,PAGOS!A440:$A$1553,1,0)</f>
        <v>FEHF194813</v>
      </c>
      <c r="I406" s="40"/>
      <c r="J406" s="40"/>
      <c r="K406" s="40"/>
      <c r="L406" s="40"/>
      <c r="M406" s="40"/>
      <c r="N406" s="40">
        <f>VLOOKUP(A406,'GLOSAS X CONCILIAR'!A$1:C$37,3,0)</f>
        <v>5840396</v>
      </c>
      <c r="O406" s="40"/>
      <c r="P406" s="40"/>
      <c r="Q406" s="7"/>
      <c r="R406" s="7"/>
      <c r="S406" s="7"/>
      <c r="T406" s="35">
        <f t="shared" si="26"/>
        <v>0</v>
      </c>
      <c r="U406" s="7"/>
    </row>
    <row r="407" spans="1:21" x14ac:dyDescent="0.25">
      <c r="A407" s="7" t="s">
        <v>3067</v>
      </c>
      <c r="B407" s="8">
        <v>44459.623356481483</v>
      </c>
      <c r="C407" s="8">
        <v>44474</v>
      </c>
      <c r="D407" s="9">
        <v>106144</v>
      </c>
      <c r="E407" s="7" t="str">
        <f>VLOOKUP(A407,DEVOLUCIONES!A$1:A$231,1,0)</f>
        <v>FEHF195640</v>
      </c>
      <c r="F407" s="7" t="e">
        <f>VLOOKUP(A407,'GLOSAS X CONCILIAR'!$A$1:$A$37,1,0)</f>
        <v>#N/A</v>
      </c>
      <c r="G407" s="7" t="e">
        <f>VLOOKUP(A407,'TODAS LAS P'!A:A,1,0)</f>
        <v>#N/A</v>
      </c>
      <c r="H407" s="7" t="e">
        <f>VLOOKUP(A407,PAGOS!A441:$A$1553,1,0)</f>
        <v>#N/A</v>
      </c>
      <c r="I407" s="40"/>
      <c r="J407" s="40">
        <f>D407</f>
        <v>106144</v>
      </c>
      <c r="K407" s="40"/>
      <c r="L407" s="40"/>
      <c r="M407" s="40"/>
      <c r="N407" s="40"/>
      <c r="O407" s="40"/>
      <c r="P407" s="40"/>
      <c r="Q407" s="7" t="str">
        <f>VLOOKUP(A407,DEVOLUCIONES!A$1:B$231,2,0)</f>
        <v>DF-257654344031039</v>
      </c>
      <c r="R407" s="7"/>
      <c r="S407" s="7" t="str">
        <f>VLOOKUP(A407,DEVOLUCIONES!A$1:H$231,8,0)</f>
        <v>Se hace devolución de la factura se realiza validación de la información suministrada según requisitos para recobro al adres Dando cumplimiento a la resolución 1885 de 2018 resolución 41656 de 2019resolución 094 de 2020 y circular 001 y circular 002 de 2020 de 30 enero 2020 Circular 004 emitida por la EPS  para proceso de auditoría de facturas con tecnologías en salud no cubiertas en el plan de beneficios en salud (no pbs) Se evidencia que la factura presenta las siguientes inconsistencias                El cufe del ID facturación no corresponde al cufe de la factura física     En factura  mayor valor cobrado según nota técnica resolución 5942021       La factura y sus soportes físicos debe coincidir de acuerdo como aparece registrada en la WEB de MIPRES con sus respectivos datos ID nombre  medicamento CUM fechas de entrega Numero de entrega valores entrega soportes magnéticos cada ID identificado id direccionamiento entrega suministro facturación soportes legibles No subentrega estado entrega etc Cualquier inconsistencia es motivo de no reconocimiento ante la adres se recuerda a la ips la importancia de verificar nuevamente cada requisito antes de radicar una vez subsane estos inconvenientes para dar trámite nuevamente la radiaciónSE RECOMIENDA A LA IPS TENER EN CUENTA MOTIVO DEVOLUCIÓN UNA VEZ SOLUCIONADO LA INCONSISTENCIA RADICAR NUEVAMENTE</v>
      </c>
      <c r="T407" s="35">
        <f t="shared" si="26"/>
        <v>0</v>
      </c>
      <c r="U407" s="7"/>
    </row>
    <row r="408" spans="1:21" x14ac:dyDescent="0.25">
      <c r="A408" s="7" t="s">
        <v>63</v>
      </c>
      <c r="B408" s="8">
        <v>44467.808749999997</v>
      </c>
      <c r="C408" s="8">
        <v>44474</v>
      </c>
      <c r="D408" s="9">
        <v>22254313</v>
      </c>
      <c r="E408" s="7" t="e">
        <f>VLOOKUP(A408,DEVOLUCIONES!A$1:A$231,1,0)</f>
        <v>#N/A</v>
      </c>
      <c r="F408" s="7" t="str">
        <f>VLOOKUP(A408,'GLOSAS X CONCILIAR'!$A$1:$A$37,1,0)</f>
        <v>FEHF199402</v>
      </c>
      <c r="G408" s="7" t="str">
        <f>VLOOKUP(A408,'TODAS LAS P'!A:A,1,0)</f>
        <v>FEHF199402</v>
      </c>
      <c r="H408" s="7" t="e">
        <f>VLOOKUP(A408,PAGOS!A442:$A$1553,1,0)</f>
        <v>#N/A</v>
      </c>
      <c r="I408" s="40"/>
      <c r="J408" s="40"/>
      <c r="K408" s="40"/>
      <c r="L408" s="40"/>
      <c r="M408" s="40"/>
      <c r="N408" s="40">
        <f>VLOOKUP(A408,'GLOSAS X CONCILIAR'!A$1:C$37,3,0)</f>
        <v>22254313</v>
      </c>
      <c r="O408" s="40"/>
      <c r="P408" s="40"/>
      <c r="Q408" s="7"/>
      <c r="R408" s="7"/>
      <c r="S408" s="7"/>
      <c r="T408" s="35">
        <f t="shared" si="26"/>
        <v>0</v>
      </c>
      <c r="U408" s="7"/>
    </row>
    <row r="409" spans="1:21" x14ac:dyDescent="0.25">
      <c r="A409" s="7" t="s">
        <v>3068</v>
      </c>
      <c r="B409" s="8">
        <v>44482.652719907404</v>
      </c>
      <c r="C409" s="8">
        <v>44508</v>
      </c>
      <c r="D409" s="9">
        <v>2237115</v>
      </c>
      <c r="E409" s="7" t="str">
        <f>VLOOKUP(A409,DEVOLUCIONES!A$1:A$231,1,0)</f>
        <v>FEHF205712</v>
      </c>
      <c r="F409" s="7" t="e">
        <f>VLOOKUP(A409,'GLOSAS X CONCILIAR'!$A$1:$A$37,1,0)</f>
        <v>#N/A</v>
      </c>
      <c r="G409" s="7" t="e">
        <f>VLOOKUP(A409,'TODAS LAS P'!A:A,1,0)</f>
        <v>#N/A</v>
      </c>
      <c r="H409" s="7" t="e">
        <f>VLOOKUP(A409,PAGOS!A443:$A$1553,1,0)</f>
        <v>#N/A</v>
      </c>
      <c r="I409" s="40"/>
      <c r="J409" s="40">
        <f>D409</f>
        <v>2237115</v>
      </c>
      <c r="K409" s="40"/>
      <c r="L409" s="40"/>
      <c r="M409" s="40"/>
      <c r="N409" s="40"/>
      <c r="O409" s="40"/>
      <c r="P409" s="40"/>
      <c r="Q409" s="7" t="str">
        <f>VLOOKUP(A409,DEVOLUCIONES!A$1:B$231,2,0)</f>
        <v>DF-15765434553367</v>
      </c>
      <c r="R409" s="7"/>
      <c r="S409" s="7" t="str">
        <f>VLOOKUP(A409,DEVOLUCIONES!A$1:H$231,8,0)</f>
        <v>SE DEVUELVE FACTURA N FEHF205712 YA QUE NO HAY AUTORIZACION PARA LA  PRESTACION DEL SERVICIO</v>
      </c>
      <c r="T409" s="35">
        <f t="shared" si="26"/>
        <v>0</v>
      </c>
      <c r="U409" s="7"/>
    </row>
    <row r="410" spans="1:21" x14ac:dyDescent="0.25">
      <c r="A410" s="7" t="s">
        <v>89</v>
      </c>
      <c r="B410" s="8">
        <v>44488.730219907404</v>
      </c>
      <c r="C410" s="8">
        <v>44508</v>
      </c>
      <c r="D410" s="9">
        <v>458000</v>
      </c>
      <c r="E410" s="7" t="e">
        <f>VLOOKUP(A410,DEVOLUCIONES!A$1:A$231,1,0)</f>
        <v>#N/A</v>
      </c>
      <c r="F410" s="7" t="str">
        <f>VLOOKUP(A410,'GLOSAS X CONCILIAR'!$A$1:$A$37,1,0)</f>
        <v>FEHF207850</v>
      </c>
      <c r="G410" s="7" t="str">
        <f>VLOOKUP(A410,'TODAS LAS P'!A:A,1,0)</f>
        <v>FEHF207850</v>
      </c>
      <c r="H410" s="7" t="e">
        <f>VLOOKUP(A410,PAGOS!A444:$A$1553,1,0)</f>
        <v>#N/A</v>
      </c>
      <c r="I410" s="40"/>
      <c r="J410" s="40"/>
      <c r="K410" s="40"/>
      <c r="L410" s="40"/>
      <c r="M410" s="40"/>
      <c r="N410" s="40">
        <f>VLOOKUP(A410,'GLOSAS X CONCILIAR'!A$1:C$37,3,0)</f>
        <v>458000</v>
      </c>
      <c r="O410" s="40"/>
      <c r="P410" s="40"/>
      <c r="Q410" s="7"/>
      <c r="R410" s="7"/>
      <c r="S410" s="7"/>
      <c r="T410" s="35">
        <f t="shared" si="26"/>
        <v>0</v>
      </c>
      <c r="U410" s="7"/>
    </row>
    <row r="411" spans="1:21" x14ac:dyDescent="0.25">
      <c r="A411" s="7" t="s">
        <v>3069</v>
      </c>
      <c r="B411" s="8">
        <v>44489.616736111115</v>
      </c>
      <c r="C411" s="8">
        <v>44508</v>
      </c>
      <c r="D411" s="9">
        <v>80832</v>
      </c>
      <c r="E411" s="7" t="str">
        <f>VLOOKUP(A411,DEVOLUCIONES!A$1:A$231,1,0)</f>
        <v>FEHF208263</v>
      </c>
      <c r="F411" s="7" t="e">
        <f>VLOOKUP(A411,'GLOSAS X CONCILIAR'!$A$1:$A$37,1,0)</f>
        <v>#N/A</v>
      </c>
      <c r="G411" s="7" t="e">
        <f>VLOOKUP(A411,'TODAS LAS P'!A:A,1,0)</f>
        <v>#N/A</v>
      </c>
      <c r="H411" s="7" t="e">
        <f>VLOOKUP(A411,PAGOS!A445:$A$1553,1,0)</f>
        <v>#N/A</v>
      </c>
      <c r="I411" s="40"/>
      <c r="J411" s="40">
        <f t="shared" ref="J411:J413" si="29">D411</f>
        <v>80832</v>
      </c>
      <c r="K411" s="40"/>
      <c r="L411" s="40"/>
      <c r="M411" s="40"/>
      <c r="N411" s="40"/>
      <c r="O411" s="40"/>
      <c r="P411" s="40"/>
      <c r="Q411" s="7" t="str">
        <f>VLOOKUP(A411,DEVOLUCIONES!A$1:B$231,2,0)</f>
        <v>DF-257654324538203</v>
      </c>
      <c r="R411" s="7"/>
      <c r="S411" s="7" t="str">
        <f>VLOOKUP(A411,DEVOLUCIONES!A$1:H$231,8,0)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v>
      </c>
      <c r="T411" s="35">
        <f t="shared" si="26"/>
        <v>0</v>
      </c>
      <c r="U411" s="7"/>
    </row>
    <row r="412" spans="1:21" x14ac:dyDescent="0.25">
      <c r="A412" s="7" t="s">
        <v>3070</v>
      </c>
      <c r="B412" s="8">
        <v>44502.514097222222</v>
      </c>
      <c r="C412" s="8">
        <v>44536</v>
      </c>
      <c r="D412" s="9">
        <v>55132</v>
      </c>
      <c r="E412" s="7" t="str">
        <f>VLOOKUP(A412,DEVOLUCIONES!A$1:A$231,1,0)</f>
        <v>FEHF213514</v>
      </c>
      <c r="F412" s="7" t="e">
        <f>VLOOKUP(A412,'GLOSAS X CONCILIAR'!$A$1:$A$37,1,0)</f>
        <v>#N/A</v>
      </c>
      <c r="G412" s="7" t="e">
        <f>VLOOKUP(A412,'TODAS LAS P'!A:A,1,0)</f>
        <v>#N/A</v>
      </c>
      <c r="H412" s="7" t="e">
        <f>VLOOKUP(A412,PAGOS!A446:$A$1553,1,0)</f>
        <v>#N/A</v>
      </c>
      <c r="I412" s="40"/>
      <c r="J412" s="40">
        <f t="shared" si="29"/>
        <v>55132</v>
      </c>
      <c r="K412" s="40"/>
      <c r="L412" s="40"/>
      <c r="M412" s="40"/>
      <c r="N412" s="40"/>
      <c r="O412" s="40"/>
      <c r="P412" s="40"/>
      <c r="Q412" s="7" t="str">
        <f>VLOOKUP(A412,DEVOLUCIONES!A$1:B$231,2,0)</f>
        <v>DF-259261133129</v>
      </c>
      <c r="R412" s="7"/>
      <c r="S412" s="7" t="str">
        <f>VLOOKUP(A412,DEVOLUCIONES!A$1:H$231,8,0)</f>
        <v>Se hace devolución total de la factura FEHF213514 por $55132 se verifica en Dynamicoos y no se evidencia que la IPS haya gestionado su respectivo código para la atencion del dia 02/11/2021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v>
      </c>
      <c r="T412" s="35">
        <f t="shared" si="26"/>
        <v>0</v>
      </c>
      <c r="U412" s="7"/>
    </row>
    <row r="413" spans="1:21" x14ac:dyDescent="0.25">
      <c r="A413" s="7" t="s">
        <v>3071</v>
      </c>
      <c r="B413" s="8">
        <v>44504.626134259262</v>
      </c>
      <c r="C413" s="8">
        <v>44536</v>
      </c>
      <c r="D413" s="9">
        <v>55561</v>
      </c>
      <c r="E413" s="7" t="str">
        <f>VLOOKUP(A413,DEVOLUCIONES!A$1:A$231,1,0)</f>
        <v>FEHF214736</v>
      </c>
      <c r="F413" s="7" t="e">
        <f>VLOOKUP(A413,'GLOSAS X CONCILIAR'!$A$1:$A$37,1,0)</f>
        <v>#N/A</v>
      </c>
      <c r="G413" s="7" t="e">
        <f>VLOOKUP(A413,'TODAS LAS P'!A:A,1,0)</f>
        <v>#N/A</v>
      </c>
      <c r="H413" s="7" t="e">
        <f>VLOOKUP(A413,PAGOS!A447:$A$1553,1,0)</f>
        <v>#N/A</v>
      </c>
      <c r="I413" s="40"/>
      <c r="J413" s="40">
        <f t="shared" si="29"/>
        <v>55561</v>
      </c>
      <c r="K413" s="40"/>
      <c r="L413" s="40"/>
      <c r="M413" s="40"/>
      <c r="N413" s="40"/>
      <c r="O413" s="40"/>
      <c r="P413" s="40"/>
      <c r="Q413" s="7" t="str">
        <f>VLOOKUP(A413,DEVOLUCIONES!A$1:B$231,2,0)</f>
        <v>DF-259261133130</v>
      </c>
      <c r="R413" s="7"/>
      <c r="S413" s="7" t="str">
        <f>VLOOKUP(A413,DEVOLUCIONES!A$1:H$231,8,0)</f>
        <v>Se hace devolución total de la factura FEHF214736 por $55561 se verifica en Dynamicoos y no se evidencia que la IPS haya gestionado su respectivo código para la atencion del dia 08/11/2021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v>
      </c>
      <c r="T413" s="35">
        <f t="shared" si="26"/>
        <v>0</v>
      </c>
      <c r="U413" s="7"/>
    </row>
    <row r="414" spans="1:21" x14ac:dyDescent="0.25">
      <c r="A414" s="7" t="s">
        <v>1600</v>
      </c>
      <c r="B414" s="8">
        <v>44505.313796296294</v>
      </c>
      <c r="C414" s="8">
        <v>44539</v>
      </c>
      <c r="D414" s="9">
        <v>128300</v>
      </c>
      <c r="E414" s="7" t="e">
        <f>VLOOKUP(A414,DEVOLUCIONES!A$1:A$231,1,0)</f>
        <v>#N/A</v>
      </c>
      <c r="F414" s="7" t="e">
        <f>VLOOKUP(A414,'GLOSAS X CONCILIAR'!$A$1:$A$37,1,0)</f>
        <v>#N/A</v>
      </c>
      <c r="G414" s="7" t="str">
        <f>VLOOKUP(A414,'TODAS LAS P'!A:A,1,0)</f>
        <v>FEHF214964</v>
      </c>
      <c r="H414" s="7" t="str">
        <f>VLOOKUP(A414,PAGOS!A448:$A$1553,1,0)</f>
        <v>FEHF214964</v>
      </c>
      <c r="I414" s="40"/>
      <c r="J414" s="40"/>
      <c r="K414" s="40"/>
      <c r="L414" s="40"/>
      <c r="M414" s="40"/>
      <c r="N414" s="40"/>
      <c r="O414" s="40">
        <v>128300</v>
      </c>
      <c r="P414" s="40"/>
      <c r="Q414" s="7"/>
      <c r="R414" s="7" t="str">
        <f>VLOOKUP(A414,Hoja2!A$1:H$1143,8,0)</f>
        <v>2000797280</v>
      </c>
      <c r="S414" s="7"/>
      <c r="T414" s="35">
        <f t="shared" si="26"/>
        <v>0</v>
      </c>
      <c r="U414" s="7"/>
    </row>
    <row r="415" spans="1:21" x14ac:dyDescent="0.25">
      <c r="A415" s="7" t="s">
        <v>1390</v>
      </c>
      <c r="B415" s="8">
        <v>44507.681504629632</v>
      </c>
      <c r="C415" s="8">
        <v>44536</v>
      </c>
      <c r="D415" s="9">
        <v>191294</v>
      </c>
      <c r="E415" s="7" t="e">
        <f>VLOOKUP(A415,DEVOLUCIONES!A$1:A$231,1,0)</f>
        <v>#N/A</v>
      </c>
      <c r="F415" s="7" t="e">
        <f>VLOOKUP(A415,'GLOSAS X CONCILIAR'!$A$1:$A$37,1,0)</f>
        <v>#N/A</v>
      </c>
      <c r="G415" s="7" t="str">
        <f>VLOOKUP(A415,'TODAS LAS P'!A:A,1,0)</f>
        <v>FEHF215773</v>
      </c>
      <c r="H415" s="7" t="str">
        <f>VLOOKUP(A415,PAGOS!A449:$A$1553,1,0)</f>
        <v>FEHF215773</v>
      </c>
      <c r="I415" s="40"/>
      <c r="J415" s="40"/>
      <c r="K415" s="40"/>
      <c r="L415" s="40"/>
      <c r="M415" s="40"/>
      <c r="N415" s="40"/>
      <c r="O415" s="40">
        <v>191294</v>
      </c>
      <c r="P415" s="40"/>
      <c r="Q415" s="7"/>
      <c r="R415" s="7" t="str">
        <f>VLOOKUP(A415,Hoja2!A$1:H$1143,8,0)</f>
        <v>2000788130</v>
      </c>
      <c r="S415" s="7"/>
      <c r="T415" s="35">
        <f t="shared" si="26"/>
        <v>0</v>
      </c>
      <c r="U415" s="7"/>
    </row>
    <row r="416" spans="1:21" x14ac:dyDescent="0.25">
      <c r="A416" s="7" t="s">
        <v>1598</v>
      </c>
      <c r="B416" s="8">
        <v>44508.492962962962</v>
      </c>
      <c r="C416" s="8">
        <v>44539</v>
      </c>
      <c r="D416" s="9">
        <v>47200</v>
      </c>
      <c r="E416" s="7" t="e">
        <f>VLOOKUP(A416,DEVOLUCIONES!A$1:A$231,1,0)</f>
        <v>#N/A</v>
      </c>
      <c r="F416" s="7" t="e">
        <f>VLOOKUP(A416,'GLOSAS X CONCILIAR'!$A$1:$A$37,1,0)</f>
        <v>#N/A</v>
      </c>
      <c r="G416" s="7" t="str">
        <f>VLOOKUP(A416,'TODAS LAS P'!A:A,1,0)</f>
        <v>FEHF216109</v>
      </c>
      <c r="H416" s="7" t="str">
        <f>VLOOKUP(A416,PAGOS!A450:$A$1553,1,0)</f>
        <v>FEHF216109</v>
      </c>
      <c r="I416" s="40"/>
      <c r="J416" s="40"/>
      <c r="K416" s="40"/>
      <c r="L416" s="40"/>
      <c r="M416" s="40"/>
      <c r="N416" s="40"/>
      <c r="O416" s="40">
        <v>47200</v>
      </c>
      <c r="P416" s="40"/>
      <c r="Q416" s="7"/>
      <c r="R416" s="7" t="str">
        <f>VLOOKUP(A416,Hoja2!A$1:H$1143,8,0)</f>
        <v>2000797280</v>
      </c>
      <c r="S416" s="7"/>
      <c r="T416" s="35">
        <f t="shared" si="26"/>
        <v>0</v>
      </c>
      <c r="U416" s="7"/>
    </row>
    <row r="417" spans="1:21" x14ac:dyDescent="0.25">
      <c r="A417" s="7" t="s">
        <v>1388</v>
      </c>
      <c r="B417" s="8">
        <v>44509.405462962961</v>
      </c>
      <c r="C417" s="8">
        <v>44539</v>
      </c>
      <c r="D417" s="9">
        <v>22900</v>
      </c>
      <c r="E417" s="7" t="e">
        <f>VLOOKUP(A417,DEVOLUCIONES!A$1:A$231,1,0)</f>
        <v>#N/A</v>
      </c>
      <c r="F417" s="7" t="e">
        <f>VLOOKUP(A417,'GLOSAS X CONCILIAR'!$A$1:$A$37,1,0)</f>
        <v>#N/A</v>
      </c>
      <c r="G417" s="7" t="str">
        <f>VLOOKUP(A417,'TODAS LAS P'!A:A,1,0)</f>
        <v>FEHF216591</v>
      </c>
      <c r="H417" s="7" t="str">
        <f>VLOOKUP(A417,PAGOS!A451:$A$1553,1,0)</f>
        <v>FEHF216591</v>
      </c>
      <c r="I417" s="40"/>
      <c r="J417" s="40"/>
      <c r="K417" s="40"/>
      <c r="L417" s="40"/>
      <c r="M417" s="40"/>
      <c r="N417" s="40"/>
      <c r="O417" s="40">
        <v>22900</v>
      </c>
      <c r="P417" s="40"/>
      <c r="Q417" s="7"/>
      <c r="R417" s="7" t="str">
        <f>VLOOKUP(A417,Hoja2!A$1:H$1143,8,0)</f>
        <v>2000788130</v>
      </c>
      <c r="S417" s="7"/>
      <c r="T417" s="35">
        <f t="shared" si="26"/>
        <v>0</v>
      </c>
      <c r="U417" s="7"/>
    </row>
    <row r="418" spans="1:21" x14ac:dyDescent="0.25">
      <c r="A418" s="7" t="s">
        <v>1385</v>
      </c>
      <c r="B418" s="8">
        <v>44509.425868055558</v>
      </c>
      <c r="C418" s="8">
        <v>44539</v>
      </c>
      <c r="D418" s="9">
        <v>32700</v>
      </c>
      <c r="E418" s="7" t="e">
        <f>VLOOKUP(A418,DEVOLUCIONES!A$1:A$231,1,0)</f>
        <v>#N/A</v>
      </c>
      <c r="F418" s="7" t="e">
        <f>VLOOKUP(A418,'GLOSAS X CONCILIAR'!$A$1:$A$37,1,0)</f>
        <v>#N/A</v>
      </c>
      <c r="G418" s="7" t="str">
        <f>VLOOKUP(A418,'TODAS LAS P'!A:A,1,0)</f>
        <v>FEHF216633</v>
      </c>
      <c r="H418" s="7" t="str">
        <f>VLOOKUP(A418,PAGOS!A452:$A$1553,1,0)</f>
        <v>FEHF216633</v>
      </c>
      <c r="I418" s="40"/>
      <c r="J418" s="40"/>
      <c r="K418" s="40"/>
      <c r="L418" s="40"/>
      <c r="M418" s="40"/>
      <c r="N418" s="40"/>
      <c r="O418" s="40">
        <v>32700</v>
      </c>
      <c r="P418" s="40"/>
      <c r="Q418" s="7"/>
      <c r="R418" s="7" t="str">
        <f>VLOOKUP(A418,Hoja2!A$1:H$1143,8,0)</f>
        <v>2000788130</v>
      </c>
      <c r="S418" s="7"/>
      <c r="T418" s="35">
        <f t="shared" si="26"/>
        <v>0</v>
      </c>
      <c r="U418" s="7"/>
    </row>
    <row r="419" spans="1:21" x14ac:dyDescent="0.25">
      <c r="A419" s="7" t="s">
        <v>1596</v>
      </c>
      <c r="B419" s="8">
        <v>44511.347326388888</v>
      </c>
      <c r="C419" s="8">
        <v>44539</v>
      </c>
      <c r="D419" s="9">
        <v>23700</v>
      </c>
      <c r="E419" s="7" t="e">
        <f>VLOOKUP(A419,DEVOLUCIONES!A$1:A$231,1,0)</f>
        <v>#N/A</v>
      </c>
      <c r="F419" s="7" t="e">
        <f>VLOOKUP(A419,'GLOSAS X CONCILIAR'!$A$1:$A$37,1,0)</f>
        <v>#N/A</v>
      </c>
      <c r="G419" s="7" t="str">
        <f>VLOOKUP(A419,'TODAS LAS P'!A:A,1,0)</f>
        <v>FEHF217529</v>
      </c>
      <c r="H419" s="7" t="str">
        <f>VLOOKUP(A419,PAGOS!A453:$A$1553,1,0)</f>
        <v>FEHF217529</v>
      </c>
      <c r="I419" s="40"/>
      <c r="J419" s="40"/>
      <c r="K419" s="40"/>
      <c r="L419" s="40"/>
      <c r="M419" s="40"/>
      <c r="N419" s="40"/>
      <c r="O419" s="40">
        <v>23700</v>
      </c>
      <c r="P419" s="40"/>
      <c r="Q419" s="7"/>
      <c r="R419" s="7" t="str">
        <f>VLOOKUP(A419,Hoja2!A$1:H$1143,8,0)</f>
        <v>2000797280</v>
      </c>
      <c r="S419" s="7"/>
      <c r="T419" s="35">
        <f t="shared" si="26"/>
        <v>0</v>
      </c>
      <c r="U419" s="7"/>
    </row>
    <row r="420" spans="1:21" x14ac:dyDescent="0.25">
      <c r="A420" s="7" t="s">
        <v>1594</v>
      </c>
      <c r="B420" s="8">
        <v>44511.388506944444</v>
      </c>
      <c r="C420" s="8">
        <v>44539</v>
      </c>
      <c r="D420" s="9">
        <v>31600</v>
      </c>
      <c r="E420" s="7" t="e">
        <f>VLOOKUP(A420,DEVOLUCIONES!A$1:A$231,1,0)</f>
        <v>#N/A</v>
      </c>
      <c r="F420" s="7" t="e">
        <f>VLOOKUP(A420,'GLOSAS X CONCILIAR'!$A$1:$A$37,1,0)</f>
        <v>#N/A</v>
      </c>
      <c r="G420" s="7" t="str">
        <f>VLOOKUP(A420,'TODAS LAS P'!A:A,1,0)</f>
        <v>FEHF217592</v>
      </c>
      <c r="H420" s="7" t="str">
        <f>VLOOKUP(A420,PAGOS!A454:$A$1553,1,0)</f>
        <v>FEHF217592</v>
      </c>
      <c r="I420" s="40"/>
      <c r="J420" s="40"/>
      <c r="K420" s="40"/>
      <c r="L420" s="40"/>
      <c r="M420" s="40"/>
      <c r="N420" s="40"/>
      <c r="O420" s="40">
        <v>31600</v>
      </c>
      <c r="P420" s="40"/>
      <c r="Q420" s="7"/>
      <c r="R420" s="7" t="str">
        <f>VLOOKUP(A420,Hoja2!A$1:H$1143,8,0)</f>
        <v>2000797280</v>
      </c>
      <c r="S420" s="7"/>
      <c r="T420" s="35">
        <f t="shared" si="26"/>
        <v>0</v>
      </c>
      <c r="U420" s="7"/>
    </row>
    <row r="421" spans="1:21" x14ac:dyDescent="0.25">
      <c r="A421" s="7" t="s">
        <v>1592</v>
      </c>
      <c r="B421" s="8">
        <v>44511.468101851853</v>
      </c>
      <c r="C421" s="8">
        <v>44539</v>
      </c>
      <c r="D421" s="9">
        <v>22300</v>
      </c>
      <c r="E421" s="7" t="e">
        <f>VLOOKUP(A421,DEVOLUCIONES!A$1:A$231,1,0)</f>
        <v>#N/A</v>
      </c>
      <c r="F421" s="7" t="e">
        <f>VLOOKUP(A421,'GLOSAS X CONCILIAR'!$A$1:$A$37,1,0)</f>
        <v>#N/A</v>
      </c>
      <c r="G421" s="7" t="str">
        <f>VLOOKUP(A421,'TODAS LAS P'!A:A,1,0)</f>
        <v>FEHF217715</v>
      </c>
      <c r="H421" s="7" t="str">
        <f>VLOOKUP(A421,PAGOS!A455:$A$1553,1,0)</f>
        <v>FEHF217715</v>
      </c>
      <c r="I421" s="40"/>
      <c r="J421" s="40"/>
      <c r="K421" s="40"/>
      <c r="L421" s="40"/>
      <c r="M421" s="40"/>
      <c r="N421" s="40"/>
      <c r="O421" s="40">
        <v>22300</v>
      </c>
      <c r="P421" s="40"/>
      <c r="Q421" s="7"/>
      <c r="R421" s="7" t="str">
        <f>VLOOKUP(A421,Hoja2!A$1:H$1143,8,0)</f>
        <v>2000797280</v>
      </c>
      <c r="S421" s="7"/>
      <c r="T421" s="35">
        <f t="shared" si="26"/>
        <v>0</v>
      </c>
      <c r="U421" s="7"/>
    </row>
    <row r="422" spans="1:21" x14ac:dyDescent="0.25">
      <c r="A422" s="7" t="s">
        <v>1590</v>
      </c>
      <c r="B422" s="8">
        <v>44511.594085648147</v>
      </c>
      <c r="C422" s="8">
        <v>44539</v>
      </c>
      <c r="D422" s="9">
        <v>47200</v>
      </c>
      <c r="E422" s="7" t="e">
        <f>VLOOKUP(A422,DEVOLUCIONES!A$1:A$231,1,0)</f>
        <v>#N/A</v>
      </c>
      <c r="F422" s="7" t="e">
        <f>VLOOKUP(A422,'GLOSAS X CONCILIAR'!$A$1:$A$37,1,0)</f>
        <v>#N/A</v>
      </c>
      <c r="G422" s="7" t="str">
        <f>VLOOKUP(A422,'TODAS LAS P'!A:A,1,0)</f>
        <v>FEHF217837</v>
      </c>
      <c r="H422" s="7" t="str">
        <f>VLOOKUP(A422,PAGOS!A456:$A$1553,1,0)</f>
        <v>FEHF217837</v>
      </c>
      <c r="I422" s="40"/>
      <c r="J422" s="40"/>
      <c r="K422" s="40"/>
      <c r="L422" s="40"/>
      <c r="M422" s="40"/>
      <c r="N422" s="40"/>
      <c r="O422" s="40">
        <v>47200</v>
      </c>
      <c r="P422" s="40"/>
      <c r="Q422" s="7"/>
      <c r="R422" s="7" t="str">
        <f>VLOOKUP(A422,Hoja2!A$1:H$1143,8,0)</f>
        <v>2000797280</v>
      </c>
      <c r="S422" s="7"/>
      <c r="T422" s="35">
        <f t="shared" si="26"/>
        <v>0</v>
      </c>
      <c r="U422" s="7"/>
    </row>
    <row r="423" spans="1:21" x14ac:dyDescent="0.25">
      <c r="A423" s="7" t="s">
        <v>1611</v>
      </c>
      <c r="B423" s="8">
        <v>44512.043310185189</v>
      </c>
      <c r="C423" s="8">
        <v>44536</v>
      </c>
      <c r="D423" s="9">
        <v>71455</v>
      </c>
      <c r="E423" s="7" t="e">
        <f>VLOOKUP(A423,DEVOLUCIONES!A$1:A$231,1,0)</f>
        <v>#N/A</v>
      </c>
      <c r="F423" s="7" t="e">
        <f>VLOOKUP(A423,'GLOSAS X CONCILIAR'!$A$1:$A$37,1,0)</f>
        <v>#N/A</v>
      </c>
      <c r="G423" s="7" t="str">
        <f>VLOOKUP(A423,'TODAS LAS P'!A:A,1,0)</f>
        <v>FEHF218018</v>
      </c>
      <c r="H423" s="7" t="str">
        <f>VLOOKUP(A423,PAGOS!A457:$A$1553,1,0)</f>
        <v>FEHF218018</v>
      </c>
      <c r="I423" s="40"/>
      <c r="J423" s="40"/>
      <c r="K423" s="40"/>
      <c r="L423" s="40"/>
      <c r="M423" s="40"/>
      <c r="N423" s="40"/>
      <c r="O423" s="40">
        <v>71455</v>
      </c>
      <c r="P423" s="40"/>
      <c r="Q423" s="7"/>
      <c r="R423" s="7" t="str">
        <f>VLOOKUP(A423,Hoja2!A$1:H$1143,8,0)</f>
        <v>2000797280</v>
      </c>
      <c r="S423" s="7"/>
      <c r="T423" s="35">
        <f t="shared" si="26"/>
        <v>0</v>
      </c>
      <c r="U423" s="7"/>
    </row>
    <row r="424" spans="1:21" x14ac:dyDescent="0.25">
      <c r="A424" s="7" t="s">
        <v>97</v>
      </c>
      <c r="B424" s="8">
        <v>44512.682847222219</v>
      </c>
      <c r="C424" s="8">
        <v>44536</v>
      </c>
      <c r="D424" s="9">
        <v>3655498</v>
      </c>
      <c r="E424" s="7" t="e">
        <f>VLOOKUP(A424,DEVOLUCIONES!A$1:A$231,1,0)</f>
        <v>#N/A</v>
      </c>
      <c r="F424" s="7" t="str">
        <f>VLOOKUP(A424,'GLOSAS X CONCILIAR'!$A$1:$A$37,1,0)</f>
        <v>FEHF218492</v>
      </c>
      <c r="G424" s="7" t="str">
        <f>VLOOKUP(A424,'TODAS LAS P'!A:A,1,0)</f>
        <v>FEHF218492</v>
      </c>
      <c r="H424" s="7" t="e">
        <f>VLOOKUP(A424,PAGOS!A458:$A$1553,1,0)</f>
        <v>#N/A</v>
      </c>
      <c r="I424" s="40"/>
      <c r="J424" s="40"/>
      <c r="K424" s="40"/>
      <c r="L424" s="40"/>
      <c r="M424" s="40"/>
      <c r="N424" s="40">
        <f>VLOOKUP(A424,'GLOSAS X CONCILIAR'!A$1:C$37,3,0)</f>
        <v>3655498</v>
      </c>
      <c r="O424" s="40"/>
      <c r="P424" s="40"/>
      <c r="Q424" s="7"/>
      <c r="R424" s="7"/>
      <c r="S424" s="7"/>
      <c r="T424" s="35">
        <f t="shared" si="26"/>
        <v>0</v>
      </c>
      <c r="U424" s="7"/>
    </row>
    <row r="425" spans="1:21" x14ac:dyDescent="0.25">
      <c r="A425" s="7" t="s">
        <v>1328</v>
      </c>
      <c r="B425" s="8">
        <v>44513.261423611111</v>
      </c>
      <c r="C425" s="8">
        <v>44536</v>
      </c>
      <c r="D425" s="9">
        <v>65016</v>
      </c>
      <c r="E425" s="7" t="e">
        <f>VLOOKUP(A425,DEVOLUCIONES!A$1:A$231,1,0)</f>
        <v>#N/A</v>
      </c>
      <c r="F425" s="7" t="e">
        <f>VLOOKUP(A425,'GLOSAS X CONCILIAR'!$A$1:$A$37,1,0)</f>
        <v>#N/A</v>
      </c>
      <c r="G425" s="7" t="str">
        <f>VLOOKUP(A425,'TODAS LAS P'!A:A,1,0)</f>
        <v>FEHF218578</v>
      </c>
      <c r="H425" s="7" t="str">
        <f>VLOOKUP(A425,PAGOS!A459:$A$1553,1,0)</f>
        <v>FEHF218578</v>
      </c>
      <c r="I425" s="40"/>
      <c r="J425" s="40"/>
      <c r="K425" s="40"/>
      <c r="L425" s="40"/>
      <c r="M425" s="40"/>
      <c r="N425" s="40"/>
      <c r="O425" s="40">
        <v>65016</v>
      </c>
      <c r="P425" s="40"/>
      <c r="Q425" s="7"/>
      <c r="R425" s="7" t="str">
        <f>VLOOKUP(A425,Hoja2!A$1:H$1143,8,0)</f>
        <v>2000797280</v>
      </c>
      <c r="S425" s="7"/>
      <c r="T425" s="35">
        <f t="shared" si="26"/>
        <v>0</v>
      </c>
      <c r="U425" s="7"/>
    </row>
    <row r="426" spans="1:21" x14ac:dyDescent="0.25">
      <c r="A426" s="7" t="s">
        <v>3072</v>
      </c>
      <c r="B426" s="8">
        <v>44516.857245370367</v>
      </c>
      <c r="C426" s="8">
        <v>44536</v>
      </c>
      <c r="D426" s="9">
        <v>154203</v>
      </c>
      <c r="E426" s="7" t="str">
        <f>VLOOKUP(A426,DEVOLUCIONES!A$1:A$231,1,0)</f>
        <v>FEHF219642</v>
      </c>
      <c r="F426" s="7" t="e">
        <f>VLOOKUP(A426,'GLOSAS X CONCILIAR'!$A$1:$A$37,1,0)</f>
        <v>#N/A</v>
      </c>
      <c r="G426" s="7" t="e">
        <f>VLOOKUP(A426,'TODAS LAS P'!A:A,1,0)</f>
        <v>#N/A</v>
      </c>
      <c r="H426" s="7" t="e">
        <f>VLOOKUP(A426,PAGOS!A460:$A$1553,1,0)</f>
        <v>#N/A</v>
      </c>
      <c r="I426" s="40"/>
      <c r="J426" s="40">
        <f>D426</f>
        <v>154203</v>
      </c>
      <c r="K426" s="40"/>
      <c r="L426" s="40"/>
      <c r="M426" s="40"/>
      <c r="N426" s="40"/>
      <c r="O426" s="40"/>
      <c r="P426" s="40"/>
      <c r="Q426" s="7" t="str">
        <f>VLOOKUP(A426,DEVOLUCIONES!A$1:B$231,2,0)</f>
        <v>DF-259261133131</v>
      </c>
      <c r="R426" s="7"/>
      <c r="S426" s="7" t="str">
        <f>VLOOKUP(A426,DEVOLUCIONES!A$1:H$231,8,0)</f>
        <v>Se hace devolución total de la factura FEHF219642 por $154203 se verifica en Dynamicoos y no se evidencia que la IPS haya gestionado su respectivo código para la fecha de atencion del dia 16/11/2021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v>
      </c>
      <c r="T426" s="35">
        <f t="shared" si="26"/>
        <v>0</v>
      </c>
      <c r="U426" s="7"/>
    </row>
    <row r="427" spans="1:21" x14ac:dyDescent="0.25">
      <c r="A427" s="7" t="s">
        <v>1588</v>
      </c>
      <c r="B427" s="8">
        <v>44518.708981481483</v>
      </c>
      <c r="C427" s="8">
        <v>44539</v>
      </c>
      <c r="D427" s="9">
        <v>146600</v>
      </c>
      <c r="E427" s="7" t="e">
        <f>VLOOKUP(A427,DEVOLUCIONES!A$1:A$231,1,0)</f>
        <v>#N/A</v>
      </c>
      <c r="F427" s="7" t="e">
        <f>VLOOKUP(A427,'GLOSAS X CONCILIAR'!$A$1:$A$37,1,0)</f>
        <v>#N/A</v>
      </c>
      <c r="G427" s="7" t="str">
        <f>VLOOKUP(A427,'TODAS LAS P'!A:A,1,0)</f>
        <v>FEHF220664</v>
      </c>
      <c r="H427" s="7" t="str">
        <f>VLOOKUP(A427,PAGOS!A461:$A$1553,1,0)</f>
        <v>FEHF220664</v>
      </c>
      <c r="I427" s="40"/>
      <c r="J427" s="40"/>
      <c r="K427" s="40"/>
      <c r="L427" s="40"/>
      <c r="M427" s="40"/>
      <c r="N427" s="40"/>
      <c r="O427" s="40">
        <v>146600</v>
      </c>
      <c r="P427" s="40"/>
      <c r="Q427" s="7"/>
      <c r="R427" s="7" t="str">
        <f>VLOOKUP(A427,Hoja2!A$1:H$1143,8,0)</f>
        <v>2000797280</v>
      </c>
      <c r="S427" s="7"/>
      <c r="T427" s="35">
        <f t="shared" si="26"/>
        <v>0</v>
      </c>
      <c r="U427" s="7"/>
    </row>
    <row r="428" spans="1:21" x14ac:dyDescent="0.25">
      <c r="A428" s="7" t="s">
        <v>1586</v>
      </c>
      <c r="B428" s="8">
        <v>44519.304293981484</v>
      </c>
      <c r="C428" s="8">
        <v>44539</v>
      </c>
      <c r="D428" s="9">
        <v>45800</v>
      </c>
      <c r="E428" s="7" t="e">
        <f>VLOOKUP(A428,DEVOLUCIONES!A$1:A$231,1,0)</f>
        <v>#N/A</v>
      </c>
      <c r="F428" s="7" t="e">
        <f>VLOOKUP(A428,'GLOSAS X CONCILIAR'!$A$1:$A$37,1,0)</f>
        <v>#N/A</v>
      </c>
      <c r="G428" s="7" t="str">
        <f>VLOOKUP(A428,'TODAS LAS P'!A:A,1,0)</f>
        <v>FEHF220788</v>
      </c>
      <c r="H428" s="7" t="str">
        <f>VLOOKUP(A428,PAGOS!A462:$A$1553,1,0)</f>
        <v>FEHF220788</v>
      </c>
      <c r="I428" s="40"/>
      <c r="J428" s="40"/>
      <c r="K428" s="40"/>
      <c r="L428" s="40"/>
      <c r="M428" s="40"/>
      <c r="N428" s="40"/>
      <c r="O428" s="40">
        <v>45800</v>
      </c>
      <c r="P428" s="40"/>
      <c r="Q428" s="7"/>
      <c r="R428" s="7" t="str">
        <f>VLOOKUP(A428,Hoja2!A$1:H$1143,8,0)</f>
        <v>2000797280</v>
      </c>
      <c r="S428" s="7"/>
      <c r="T428" s="35">
        <f t="shared" si="26"/>
        <v>0</v>
      </c>
      <c r="U428" s="7"/>
    </row>
    <row r="429" spans="1:21" x14ac:dyDescent="0.25">
      <c r="A429" s="7" t="s">
        <v>1608</v>
      </c>
      <c r="B429" s="8">
        <v>44522.62363425926</v>
      </c>
      <c r="C429" s="8">
        <v>44536</v>
      </c>
      <c r="D429" s="9">
        <v>316180</v>
      </c>
      <c r="E429" s="7" t="e">
        <f>VLOOKUP(A429,DEVOLUCIONES!A$1:A$231,1,0)</f>
        <v>#N/A</v>
      </c>
      <c r="F429" s="7" t="e">
        <f>VLOOKUP(A429,'GLOSAS X CONCILIAR'!$A$1:$A$37,1,0)</f>
        <v>#N/A</v>
      </c>
      <c r="G429" s="7" t="str">
        <f>VLOOKUP(A429,'TODAS LAS P'!A:A,1,0)</f>
        <v>FEHF221856</v>
      </c>
      <c r="H429" s="7" t="str">
        <f>VLOOKUP(A429,PAGOS!A463:$A$1553,1,0)</f>
        <v>FEHF221856</v>
      </c>
      <c r="I429" s="40"/>
      <c r="J429" s="40"/>
      <c r="K429" s="40"/>
      <c r="L429" s="40"/>
      <c r="M429" s="40"/>
      <c r="N429" s="40"/>
      <c r="O429" s="40">
        <v>316180</v>
      </c>
      <c r="P429" s="40"/>
      <c r="Q429" s="7"/>
      <c r="R429" s="7" t="str">
        <f>VLOOKUP(A429,Hoja2!A$1:H$1143,8,0)</f>
        <v>2000797280</v>
      </c>
      <c r="S429" s="7"/>
      <c r="T429" s="35">
        <f t="shared" si="26"/>
        <v>0</v>
      </c>
      <c r="U429" s="7"/>
    </row>
    <row r="430" spans="1:21" x14ac:dyDescent="0.25">
      <c r="A430" s="7" t="s">
        <v>1605</v>
      </c>
      <c r="B430" s="8">
        <v>44522.918171296296</v>
      </c>
      <c r="C430" s="8">
        <v>44536</v>
      </c>
      <c r="D430" s="9">
        <v>422208</v>
      </c>
      <c r="E430" s="7" t="e">
        <f>VLOOKUP(A430,DEVOLUCIONES!A$1:A$231,1,0)</f>
        <v>#N/A</v>
      </c>
      <c r="F430" s="7" t="e">
        <f>VLOOKUP(A430,'GLOSAS X CONCILIAR'!$A$1:$A$37,1,0)</f>
        <v>#N/A</v>
      </c>
      <c r="G430" s="7" t="str">
        <f>VLOOKUP(A430,'TODAS LAS P'!A:A,1,0)</f>
        <v>FEHF221986</v>
      </c>
      <c r="H430" s="7" t="str">
        <f>VLOOKUP(A430,PAGOS!A464:$A$1553,1,0)</f>
        <v>FEHF221986</v>
      </c>
      <c r="I430" s="40"/>
      <c r="J430" s="40"/>
      <c r="K430" s="40"/>
      <c r="L430" s="40"/>
      <c r="M430" s="40"/>
      <c r="N430" s="40"/>
      <c r="O430" s="40">
        <v>422208</v>
      </c>
      <c r="P430" s="40"/>
      <c r="Q430" s="7"/>
      <c r="R430" s="7" t="str">
        <f>VLOOKUP(A430,Hoja2!A$1:H$1143,8,0)</f>
        <v>2000797280</v>
      </c>
      <c r="S430" s="7"/>
      <c r="T430" s="35">
        <f t="shared" si="26"/>
        <v>0</v>
      </c>
      <c r="U430" s="7"/>
    </row>
    <row r="431" spans="1:21" x14ac:dyDescent="0.25">
      <c r="A431" s="7" t="s">
        <v>3073</v>
      </c>
      <c r="B431" s="8">
        <v>44524.614525462966</v>
      </c>
      <c r="C431" s="8">
        <v>44536</v>
      </c>
      <c r="D431" s="9">
        <v>8606202</v>
      </c>
      <c r="E431" s="7" t="str">
        <f>VLOOKUP(A431,DEVOLUCIONES!A$1:A$231,1,0)</f>
        <v>FEHF222911</v>
      </c>
      <c r="F431" s="7" t="e">
        <f>VLOOKUP(A431,'GLOSAS X CONCILIAR'!$A$1:$A$37,1,0)</f>
        <v>#N/A</v>
      </c>
      <c r="G431" s="7" t="e">
        <f>VLOOKUP(A431,'TODAS LAS P'!A:A,1,0)</f>
        <v>#N/A</v>
      </c>
      <c r="H431" s="7" t="e">
        <f>VLOOKUP(A431,PAGOS!A465:$A$1553,1,0)</f>
        <v>#N/A</v>
      </c>
      <c r="I431" s="40"/>
      <c r="J431" s="40">
        <f>D431</f>
        <v>8606202</v>
      </c>
      <c r="K431" s="40"/>
      <c r="L431" s="40"/>
      <c r="M431" s="40"/>
      <c r="N431" s="40"/>
      <c r="O431" s="40"/>
      <c r="P431" s="40"/>
      <c r="Q431" s="7" t="str">
        <f>VLOOKUP(A431,DEVOLUCIONES!A$1:B$231,2,0)</f>
        <v>DF-2531631259</v>
      </c>
      <c r="R431" s="7"/>
      <c r="S431" s="7" t="str">
        <f>VLOOKUP(A431,DEVOLUCIONES!A$1:H$231,8,0)</f>
        <v>Se realiza devolución de la factura FEHF222911 correspondiente al usuario Hijo de dilma Yurley Arredondo Iscala dado que el usuario no se encuentra en la base de datos de la EPS se solicita validar para continuar el respectivo proceso</v>
      </c>
      <c r="T431" s="35">
        <f t="shared" si="26"/>
        <v>0</v>
      </c>
      <c r="U431" s="7"/>
    </row>
    <row r="432" spans="1:21" x14ac:dyDescent="0.25">
      <c r="A432" s="7" t="s">
        <v>1444</v>
      </c>
      <c r="B432" s="8">
        <v>44524.677627314813</v>
      </c>
      <c r="C432" s="8">
        <v>44536</v>
      </c>
      <c r="D432" s="9">
        <v>613373</v>
      </c>
      <c r="E432" s="7" t="e">
        <f>VLOOKUP(A432,DEVOLUCIONES!A$1:A$231,1,0)</f>
        <v>#N/A</v>
      </c>
      <c r="F432" s="7" t="e">
        <f>VLOOKUP(A432,'GLOSAS X CONCILIAR'!$A$1:$A$37,1,0)</f>
        <v>#N/A</v>
      </c>
      <c r="G432" s="7" t="str">
        <f>VLOOKUP(A432,'TODAS LAS P'!A:A,1,0)</f>
        <v>FEHF222962</v>
      </c>
      <c r="H432" s="7" t="str">
        <f>VLOOKUP(A432,PAGOS!A466:$A$1553,1,0)</f>
        <v>FEHF222962</v>
      </c>
      <c r="I432" s="40"/>
      <c r="J432" s="40"/>
      <c r="K432" s="40"/>
      <c r="L432" s="40"/>
      <c r="M432" s="40"/>
      <c r="N432" s="40"/>
      <c r="O432" s="40">
        <v>613373</v>
      </c>
      <c r="P432" s="40"/>
      <c r="Q432" s="7"/>
      <c r="R432" s="7" t="str">
        <f>VLOOKUP(A432,Hoja2!A$1:H$1143,8,0)</f>
        <v>2000788133</v>
      </c>
      <c r="S432" s="7"/>
      <c r="T432" s="35">
        <f t="shared" si="26"/>
        <v>0</v>
      </c>
      <c r="U432" s="7"/>
    </row>
    <row r="433" spans="1:21" x14ac:dyDescent="0.25">
      <c r="A433" s="7" t="s">
        <v>3074</v>
      </c>
      <c r="B433" s="8">
        <v>44526.198564814818</v>
      </c>
      <c r="C433" s="8">
        <v>44536</v>
      </c>
      <c r="D433" s="9">
        <v>103600</v>
      </c>
      <c r="E433" s="7" t="str">
        <f>VLOOKUP(A433,DEVOLUCIONES!A$1:A$231,1,0)</f>
        <v>FEHF223528</v>
      </c>
      <c r="F433" s="7" t="e">
        <f>VLOOKUP(A433,'GLOSAS X CONCILIAR'!$A$1:$A$37,1,0)</f>
        <v>#N/A</v>
      </c>
      <c r="G433" s="7" t="e">
        <f>VLOOKUP(A433,'TODAS LAS P'!A:A,1,0)</f>
        <v>#N/A</v>
      </c>
      <c r="H433" s="7" t="e">
        <f>VLOOKUP(A433,PAGOS!A467:$A$1553,1,0)</f>
        <v>#N/A</v>
      </c>
      <c r="I433" s="40"/>
      <c r="J433" s="40">
        <f>D433</f>
        <v>103600</v>
      </c>
      <c r="K433" s="40"/>
      <c r="L433" s="40"/>
      <c r="M433" s="40"/>
      <c r="N433" s="40"/>
      <c r="O433" s="40"/>
      <c r="P433" s="40"/>
      <c r="Q433" s="7" t="str">
        <f>VLOOKUP(A433,DEVOLUCIONES!A$1:B$231,2,0)</f>
        <v>DF-119261133132</v>
      </c>
      <c r="R433" s="7"/>
      <c r="S433" s="7" t="str">
        <f>VLOOKUP(A433,DEVOLUCIONES!A$1:H$231,8,0)</f>
        <v>Se hace devolución total de la factura FEHF223528 por $103600 se verifica en Dynamicoos y no se evidencia que la IPS haya gestionado su respectivo código para la fecha de atencion del dia 25/11/2021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v>
      </c>
      <c r="T433" s="35">
        <f t="shared" si="26"/>
        <v>0</v>
      </c>
      <c r="U433" s="7"/>
    </row>
    <row r="434" spans="1:21" x14ac:dyDescent="0.25">
      <c r="A434" s="7" t="s">
        <v>1584</v>
      </c>
      <c r="B434" s="8">
        <v>44526.318865740737</v>
      </c>
      <c r="C434" s="8">
        <v>44539</v>
      </c>
      <c r="D434" s="9">
        <v>39500</v>
      </c>
      <c r="E434" s="7" t="e">
        <f>VLOOKUP(A434,DEVOLUCIONES!A$1:A$231,1,0)</f>
        <v>#N/A</v>
      </c>
      <c r="F434" s="7" t="e">
        <f>VLOOKUP(A434,'GLOSAS X CONCILIAR'!$A$1:$A$37,1,0)</f>
        <v>#N/A</v>
      </c>
      <c r="G434" s="7" t="str">
        <f>VLOOKUP(A434,'TODAS LAS P'!A:A,1,0)</f>
        <v>FEHF223577</v>
      </c>
      <c r="H434" s="7" t="str">
        <f>VLOOKUP(A434,PAGOS!A468:$A$1553,1,0)</f>
        <v>FEHF223577</v>
      </c>
      <c r="I434" s="40"/>
      <c r="J434" s="40"/>
      <c r="K434" s="40"/>
      <c r="L434" s="40"/>
      <c r="M434" s="40"/>
      <c r="N434" s="40"/>
      <c r="O434" s="40">
        <v>39500</v>
      </c>
      <c r="P434" s="40"/>
      <c r="Q434" s="7"/>
      <c r="R434" s="7" t="str">
        <f>VLOOKUP(A434,Hoja2!A$1:H$1143,8,0)</f>
        <v>2000797280</v>
      </c>
      <c r="S434" s="7"/>
      <c r="T434" s="35">
        <f t="shared" si="26"/>
        <v>0</v>
      </c>
      <c r="U434" s="7"/>
    </row>
    <row r="435" spans="1:21" x14ac:dyDescent="0.25">
      <c r="A435" s="7" t="s">
        <v>1582</v>
      </c>
      <c r="B435" s="8">
        <v>44526.320648148147</v>
      </c>
      <c r="C435" s="8">
        <v>44539</v>
      </c>
      <c r="D435" s="9">
        <v>22900</v>
      </c>
      <c r="E435" s="7" t="e">
        <f>VLOOKUP(A435,DEVOLUCIONES!A$1:A$231,1,0)</f>
        <v>#N/A</v>
      </c>
      <c r="F435" s="7" t="e">
        <f>VLOOKUP(A435,'GLOSAS X CONCILIAR'!$A$1:$A$37,1,0)</f>
        <v>#N/A</v>
      </c>
      <c r="G435" s="7" t="str">
        <f>VLOOKUP(A435,'TODAS LAS P'!A:A,1,0)</f>
        <v>FEHF223582</v>
      </c>
      <c r="H435" s="7" t="str">
        <f>VLOOKUP(A435,PAGOS!A469:$A$1553,1,0)</f>
        <v>FEHF223582</v>
      </c>
      <c r="I435" s="40"/>
      <c r="J435" s="40"/>
      <c r="K435" s="40"/>
      <c r="L435" s="40"/>
      <c r="M435" s="40"/>
      <c r="N435" s="40"/>
      <c r="O435" s="40">
        <v>22900</v>
      </c>
      <c r="P435" s="40"/>
      <c r="Q435" s="7"/>
      <c r="R435" s="7" t="str">
        <f>VLOOKUP(A435,Hoja2!A$1:H$1143,8,0)</f>
        <v>2000797280</v>
      </c>
      <c r="S435" s="7"/>
      <c r="T435" s="35">
        <f t="shared" si="26"/>
        <v>0</v>
      </c>
      <c r="U435" s="7"/>
    </row>
    <row r="436" spans="1:21" x14ac:dyDescent="0.25">
      <c r="A436" s="7" t="s">
        <v>1580</v>
      </c>
      <c r="B436" s="8">
        <v>44526.416666666664</v>
      </c>
      <c r="C436" s="8">
        <v>44539</v>
      </c>
      <c r="D436" s="9">
        <v>32700</v>
      </c>
      <c r="E436" s="7" t="e">
        <f>VLOOKUP(A436,DEVOLUCIONES!A$1:A$231,1,0)</f>
        <v>#N/A</v>
      </c>
      <c r="F436" s="7" t="e">
        <f>VLOOKUP(A436,'GLOSAS X CONCILIAR'!$A$1:$A$37,1,0)</f>
        <v>#N/A</v>
      </c>
      <c r="G436" s="7" t="str">
        <f>VLOOKUP(A436,'TODAS LAS P'!A:A,1,0)</f>
        <v>FEHF223734</v>
      </c>
      <c r="H436" s="7" t="str">
        <f>VLOOKUP(A436,PAGOS!A470:$A$1553,1,0)</f>
        <v>FEHF223734</v>
      </c>
      <c r="I436" s="40"/>
      <c r="J436" s="40"/>
      <c r="K436" s="40"/>
      <c r="L436" s="40"/>
      <c r="M436" s="40"/>
      <c r="N436" s="40"/>
      <c r="O436" s="40">
        <v>32700</v>
      </c>
      <c r="P436" s="40"/>
      <c r="Q436" s="7"/>
      <c r="R436" s="7" t="str">
        <f>VLOOKUP(A436,Hoja2!A$1:H$1143,8,0)</f>
        <v>2000797280</v>
      </c>
      <c r="S436" s="7"/>
      <c r="T436" s="35">
        <f t="shared" si="26"/>
        <v>0</v>
      </c>
      <c r="U436" s="7"/>
    </row>
    <row r="437" spans="1:21" x14ac:dyDescent="0.25">
      <c r="A437" s="7" t="s">
        <v>3075</v>
      </c>
      <c r="B437" s="8">
        <v>44527.713750000003</v>
      </c>
      <c r="C437" s="8">
        <v>44536</v>
      </c>
      <c r="D437" s="9">
        <v>80832</v>
      </c>
      <c r="E437" s="7" t="str">
        <f>VLOOKUP(A437,DEVOLUCIONES!A$1:A$231,1,0)</f>
        <v>FEHF224184</v>
      </c>
      <c r="F437" s="7" t="e">
        <f>VLOOKUP(A437,'GLOSAS X CONCILIAR'!$A$1:$A$37,1,0)</f>
        <v>#N/A</v>
      </c>
      <c r="G437" s="7" t="e">
        <f>VLOOKUP(A437,'TODAS LAS P'!A:A,1,0)</f>
        <v>#N/A</v>
      </c>
      <c r="H437" s="7" t="e">
        <f>VLOOKUP(A437,PAGOS!A471:$A$1553,1,0)</f>
        <v>#N/A</v>
      </c>
      <c r="I437" s="40"/>
      <c r="J437" s="40">
        <f>D437</f>
        <v>80832</v>
      </c>
      <c r="K437" s="40"/>
      <c r="L437" s="40"/>
      <c r="M437" s="40"/>
      <c r="N437" s="40"/>
      <c r="O437" s="40"/>
      <c r="P437" s="40"/>
      <c r="Q437" s="7" t="str">
        <f>VLOOKUP(A437,DEVOLUCIONES!A$1:B$231,2,0)</f>
        <v>DF-257654324538594</v>
      </c>
      <c r="R437" s="7"/>
      <c r="S437" s="7" t="str">
        <f>VLOOKUP(A437,DEVOLUCIONES!A$1:H$231,8,0)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el cual debe estar en la factura tampoco adjuntan el pdf del resultado cargado en la plataforma SISMUESTRAS ni el archivo en Excel según lo estipulado en la circular 049 expedida por el ADRES y resolución 1463 requisito necesario para continuar con el debido proceso </v>
      </c>
      <c r="T437" s="35">
        <f t="shared" si="26"/>
        <v>0</v>
      </c>
      <c r="U437" s="7"/>
    </row>
    <row r="438" spans="1:21" x14ac:dyDescent="0.25">
      <c r="A438" s="7" t="s">
        <v>1426</v>
      </c>
      <c r="B438" s="8">
        <v>44529.607615740744</v>
      </c>
      <c r="C438" s="8">
        <v>44536</v>
      </c>
      <c r="D438" s="9">
        <v>29200</v>
      </c>
      <c r="E438" s="7" t="e">
        <f>VLOOKUP(A438,DEVOLUCIONES!A$1:A$231,1,0)</f>
        <v>#N/A</v>
      </c>
      <c r="F438" s="7" t="e">
        <f>VLOOKUP(A438,'GLOSAS X CONCILIAR'!$A$1:$A$37,1,0)</f>
        <v>#N/A</v>
      </c>
      <c r="G438" s="7" t="str">
        <f>VLOOKUP(A438,'TODAS LAS P'!A:A,1,0)</f>
        <v>FEHF224618</v>
      </c>
      <c r="H438" s="7" t="str">
        <f>VLOOKUP(A438,PAGOS!A472:$A$1553,1,0)</f>
        <v>FEHF224618</v>
      </c>
      <c r="I438" s="40"/>
      <c r="J438" s="40"/>
      <c r="K438" s="40"/>
      <c r="L438" s="40"/>
      <c r="M438" s="40"/>
      <c r="N438" s="40"/>
      <c r="O438" s="40">
        <v>29200</v>
      </c>
      <c r="P438" s="40"/>
      <c r="Q438" s="7"/>
      <c r="R438" s="7" t="str">
        <f>VLOOKUP(A438,Hoja2!A$1:H$1143,8,0)</f>
        <v>2000791620</v>
      </c>
      <c r="S438" s="7"/>
      <c r="T438" s="35">
        <f t="shared" si="26"/>
        <v>0</v>
      </c>
      <c r="U438" s="7"/>
    </row>
    <row r="439" spans="1:21" x14ac:dyDescent="0.25">
      <c r="A439" s="7" t="s">
        <v>93</v>
      </c>
      <c r="B439" s="8">
        <v>44530.617175925923</v>
      </c>
      <c r="C439" s="8">
        <v>44536</v>
      </c>
      <c r="D439" s="9">
        <v>143100</v>
      </c>
      <c r="E439" s="7" t="e">
        <f>VLOOKUP(A439,DEVOLUCIONES!A$1:A$231,1,0)</f>
        <v>#N/A</v>
      </c>
      <c r="F439" s="7" t="str">
        <f>VLOOKUP(A439,'GLOSAS X CONCILIAR'!$A$1:$A$37,1,0)</f>
        <v>FEHF225172</v>
      </c>
      <c r="G439" s="7" t="e">
        <f>VLOOKUP(A439,'TODAS LAS P'!A:A,1,0)</f>
        <v>#N/A</v>
      </c>
      <c r="H439" s="7" t="e">
        <f>VLOOKUP(A439,PAGOS!A473:$A$1553,1,0)</f>
        <v>#N/A</v>
      </c>
      <c r="I439" s="40"/>
      <c r="J439" s="40"/>
      <c r="K439" s="40"/>
      <c r="L439" s="40"/>
      <c r="M439" s="40"/>
      <c r="N439" s="40">
        <f>VLOOKUP(A439,'GLOSAS X CONCILIAR'!A$1:C$37,3,0)</f>
        <v>143100</v>
      </c>
      <c r="O439" s="40"/>
      <c r="P439" s="40"/>
      <c r="Q439" s="7"/>
      <c r="R439" s="7"/>
      <c r="S439" s="7"/>
      <c r="T439" s="35">
        <f t="shared" si="26"/>
        <v>0</v>
      </c>
      <c r="U439" s="7"/>
    </row>
    <row r="440" spans="1:21" x14ac:dyDescent="0.25">
      <c r="A440" s="7" t="s">
        <v>3076</v>
      </c>
      <c r="B440" s="8">
        <v>44530.858587962961</v>
      </c>
      <c r="C440" s="8">
        <v>44536</v>
      </c>
      <c r="D440" s="9">
        <v>80832</v>
      </c>
      <c r="E440" s="7" t="str">
        <f>VLOOKUP(A440,DEVOLUCIONES!A$1:A$231,1,0)</f>
        <v>FEHF225301</v>
      </c>
      <c r="F440" s="7" t="e">
        <f>VLOOKUP(A440,'GLOSAS X CONCILIAR'!$A$1:$A$37,1,0)</f>
        <v>#N/A</v>
      </c>
      <c r="G440" s="7" t="e">
        <f>VLOOKUP(A440,'TODAS LAS P'!A:A,1,0)</f>
        <v>#N/A</v>
      </c>
      <c r="H440" s="7" t="e">
        <f>VLOOKUP(A440,PAGOS!A474:$A$1553,1,0)</f>
        <v>#N/A</v>
      </c>
      <c r="I440" s="40"/>
      <c r="J440" s="40">
        <f>D440</f>
        <v>80832</v>
      </c>
      <c r="K440" s="40"/>
      <c r="L440" s="40"/>
      <c r="M440" s="40"/>
      <c r="N440" s="40"/>
      <c r="O440" s="40"/>
      <c r="P440" s="40"/>
      <c r="Q440" s="7" t="str">
        <f>VLOOKUP(A440,DEVOLUCIONES!A$1:B$231,2,0)</f>
        <v>DF-257654324538640</v>
      </c>
      <c r="R440" s="7"/>
      <c r="S440" s="7" t="str">
        <f>VLOOKUP(A440,DEVOLUCIONES!A$1:H$231,8,0)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tampoco adjuntan el pdf del resultado cargado en la plataforma SISMUESTRAS ni el archivo en Excel según lo estipulado en la circular 049 expedida por el ADRES y resolución 1463 requisito necesario para continuar con el debido proceso </v>
      </c>
      <c r="T440" s="35">
        <f t="shared" si="26"/>
        <v>0</v>
      </c>
      <c r="U440" s="7"/>
    </row>
    <row r="441" spans="1:21" x14ac:dyDescent="0.25">
      <c r="A441" s="7" t="s">
        <v>1278</v>
      </c>
      <c r="B441" s="8">
        <v>44531.355578703704</v>
      </c>
      <c r="C441" s="8">
        <v>44566</v>
      </c>
      <c r="D441" s="9">
        <v>23700</v>
      </c>
      <c r="E441" s="7" t="e">
        <f>VLOOKUP(A441,DEVOLUCIONES!A$1:A$231,1,0)</f>
        <v>#N/A</v>
      </c>
      <c r="F441" s="7" t="e">
        <f>VLOOKUP(A441,'GLOSAS X CONCILIAR'!$A$1:$A$37,1,0)</f>
        <v>#N/A</v>
      </c>
      <c r="G441" s="7" t="str">
        <f>VLOOKUP(A441,'TODAS LAS P'!A:A,1,0)</f>
        <v>FEHF225436</v>
      </c>
      <c r="H441" s="7" t="str">
        <f>VLOOKUP(A441,PAGOS!A475:$A$1553,1,0)</f>
        <v>FEHF225436</v>
      </c>
      <c r="I441" s="40"/>
      <c r="J441" s="40"/>
      <c r="K441" s="40"/>
      <c r="L441" s="40"/>
      <c r="M441" s="40"/>
      <c r="N441" s="40"/>
      <c r="O441" s="40">
        <v>23700</v>
      </c>
      <c r="P441" s="40"/>
      <c r="Q441" s="7"/>
      <c r="R441" s="7" t="str">
        <f>VLOOKUP(A441,Hoja2!A$1:H$1143,8,0)</f>
        <v>2000797280</v>
      </c>
      <c r="S441" s="7"/>
      <c r="T441" s="35">
        <f t="shared" si="26"/>
        <v>0</v>
      </c>
      <c r="U441" s="7"/>
    </row>
    <row r="442" spans="1:21" x14ac:dyDescent="0.25">
      <c r="A442" s="7" t="s">
        <v>1276</v>
      </c>
      <c r="B442" s="8">
        <v>44531.359849537039</v>
      </c>
      <c r="C442" s="8">
        <v>44566</v>
      </c>
      <c r="D442" s="9">
        <v>47200</v>
      </c>
      <c r="E442" s="7" t="e">
        <f>VLOOKUP(A442,DEVOLUCIONES!A$1:A$231,1,0)</f>
        <v>#N/A</v>
      </c>
      <c r="F442" s="7" t="e">
        <f>VLOOKUP(A442,'GLOSAS X CONCILIAR'!$A$1:$A$37,1,0)</f>
        <v>#N/A</v>
      </c>
      <c r="G442" s="7" t="str">
        <f>VLOOKUP(A442,'TODAS LAS P'!A:A,1,0)</f>
        <v>FEHF225445</v>
      </c>
      <c r="H442" s="7" t="str">
        <f>VLOOKUP(A442,PAGOS!A476:$A$1553,1,0)</f>
        <v>FEHF225445</v>
      </c>
      <c r="I442" s="40"/>
      <c r="J442" s="40"/>
      <c r="K442" s="40"/>
      <c r="L442" s="40"/>
      <c r="M442" s="40"/>
      <c r="N442" s="40"/>
      <c r="O442" s="40">
        <v>47200</v>
      </c>
      <c r="P442" s="40"/>
      <c r="Q442" s="7"/>
      <c r="R442" s="7" t="str">
        <f>VLOOKUP(A442,Hoja2!A$1:H$1143,8,0)</f>
        <v>2000797280</v>
      </c>
      <c r="S442" s="7"/>
      <c r="T442" s="35">
        <f t="shared" si="26"/>
        <v>0</v>
      </c>
      <c r="U442" s="7"/>
    </row>
    <row r="443" spans="1:21" x14ac:dyDescent="0.25">
      <c r="A443" s="7" t="s">
        <v>1274</v>
      </c>
      <c r="B443" s="8">
        <v>44531.453298611108</v>
      </c>
      <c r="C443" s="8">
        <v>44566</v>
      </c>
      <c r="D443" s="9">
        <v>31600</v>
      </c>
      <c r="E443" s="7" t="e">
        <f>VLOOKUP(A443,DEVOLUCIONES!A$1:A$231,1,0)</f>
        <v>#N/A</v>
      </c>
      <c r="F443" s="7" t="e">
        <f>VLOOKUP(A443,'GLOSAS X CONCILIAR'!$A$1:$A$37,1,0)</f>
        <v>#N/A</v>
      </c>
      <c r="G443" s="7" t="str">
        <f>VLOOKUP(A443,'TODAS LAS P'!A:A,1,0)</f>
        <v>FEHF225533</v>
      </c>
      <c r="H443" s="7" t="str">
        <f>VLOOKUP(A443,PAGOS!A477:$A$1553,1,0)</f>
        <v>FEHF225533</v>
      </c>
      <c r="I443" s="40"/>
      <c r="J443" s="40"/>
      <c r="K443" s="40"/>
      <c r="L443" s="40"/>
      <c r="M443" s="40"/>
      <c r="N443" s="40"/>
      <c r="O443" s="40">
        <v>31600</v>
      </c>
      <c r="P443" s="40"/>
      <c r="Q443" s="7"/>
      <c r="R443" s="7" t="str">
        <f>VLOOKUP(A443,Hoja2!A$1:H$1143,8,0)</f>
        <v>2000797280</v>
      </c>
      <c r="S443" s="7"/>
      <c r="T443" s="35">
        <f t="shared" si="26"/>
        <v>0</v>
      </c>
      <c r="U443" s="7"/>
    </row>
    <row r="444" spans="1:21" x14ac:dyDescent="0.25">
      <c r="A444" s="7" t="s">
        <v>1602</v>
      </c>
      <c r="B444" s="8">
        <v>44531.535104166665</v>
      </c>
      <c r="C444" s="8">
        <v>44536</v>
      </c>
      <c r="D444" s="9">
        <v>100678</v>
      </c>
      <c r="E444" s="7" t="e">
        <f>VLOOKUP(A444,DEVOLUCIONES!A$1:A$231,1,0)</f>
        <v>#N/A</v>
      </c>
      <c r="F444" s="7" t="e">
        <f>VLOOKUP(A444,'GLOSAS X CONCILIAR'!$A$1:$A$37,1,0)</f>
        <v>#N/A</v>
      </c>
      <c r="G444" s="7" t="str">
        <f>VLOOKUP(A444,'TODAS LAS P'!A:A,1,0)</f>
        <v>FEHF225594</v>
      </c>
      <c r="H444" s="7" t="str">
        <f>VLOOKUP(A444,PAGOS!A478:$A$1553,1,0)</f>
        <v>FEHF225594</v>
      </c>
      <c r="I444" s="40"/>
      <c r="J444" s="40"/>
      <c r="K444" s="40"/>
      <c r="L444" s="40"/>
      <c r="M444" s="40"/>
      <c r="N444" s="40"/>
      <c r="O444" s="40">
        <v>100678</v>
      </c>
      <c r="P444" s="40"/>
      <c r="Q444" s="7"/>
      <c r="R444" s="7" t="str">
        <f>VLOOKUP(A444,Hoja2!A$1:H$1143,8,0)</f>
        <v>2000797280</v>
      </c>
      <c r="S444" s="7"/>
      <c r="T444" s="35">
        <f t="shared" si="26"/>
        <v>0</v>
      </c>
      <c r="U444" s="7"/>
    </row>
    <row r="445" spans="1:21" x14ac:dyDescent="0.25">
      <c r="A445" s="7" t="s">
        <v>286</v>
      </c>
      <c r="B445" s="8">
        <v>44533.043611111112</v>
      </c>
      <c r="C445" s="8">
        <v>44566</v>
      </c>
      <c r="D445" s="9">
        <v>320864</v>
      </c>
      <c r="E445" s="7" t="e">
        <f>VLOOKUP(A445,DEVOLUCIONES!A$1:A$231,1,0)</f>
        <v>#N/A</v>
      </c>
      <c r="F445" s="7" t="e">
        <f>VLOOKUP(A445,'GLOSAS X CONCILIAR'!$A$1:$A$37,1,0)</f>
        <v>#N/A</v>
      </c>
      <c r="G445" s="7" t="str">
        <f>VLOOKUP(A445,'TODAS LAS P'!A:A,1,0)</f>
        <v>FEHF226237</v>
      </c>
      <c r="H445" s="7" t="str">
        <f>VLOOKUP(A445,PAGOS!A479:$A$1553,1,0)</f>
        <v>FEHF226237</v>
      </c>
      <c r="I445" s="40"/>
      <c r="J445" s="40"/>
      <c r="K445" s="40"/>
      <c r="L445" s="40"/>
      <c r="M445" s="40"/>
      <c r="N445" s="40"/>
      <c r="O445" s="40">
        <v>320864</v>
      </c>
      <c r="P445" s="40"/>
      <c r="Q445" s="7"/>
      <c r="R445" s="7" t="str">
        <f>VLOOKUP(A445,Hoja2!A$1:H$1143,8,0)</f>
        <v>2000767825</v>
      </c>
      <c r="S445" s="7"/>
      <c r="T445" s="35">
        <f t="shared" si="26"/>
        <v>0</v>
      </c>
      <c r="U445" s="7"/>
    </row>
    <row r="446" spans="1:21" x14ac:dyDescent="0.25">
      <c r="A446" s="7" t="s">
        <v>1447</v>
      </c>
      <c r="B446" s="8">
        <v>44533.454305555555</v>
      </c>
      <c r="C446" s="8">
        <v>44566</v>
      </c>
      <c r="D446" s="9">
        <v>53700</v>
      </c>
      <c r="E446" s="7" t="e">
        <f>VLOOKUP(A446,DEVOLUCIONES!A$1:A$231,1,0)</f>
        <v>#N/A</v>
      </c>
      <c r="F446" s="7" t="e">
        <f>VLOOKUP(A446,'GLOSAS X CONCILIAR'!$A$1:$A$37,1,0)</f>
        <v>#N/A</v>
      </c>
      <c r="G446" s="7" t="str">
        <f>VLOOKUP(A446,'TODAS LAS P'!A:A,1,0)</f>
        <v>FEHF226502</v>
      </c>
      <c r="H446" s="7" t="str">
        <f>VLOOKUP(A446,PAGOS!A480:$A$1553,1,0)</f>
        <v>FEHF226502</v>
      </c>
      <c r="I446" s="40"/>
      <c r="J446" s="40"/>
      <c r="K446" s="40"/>
      <c r="L446" s="40"/>
      <c r="M446" s="40"/>
      <c r="N446" s="40"/>
      <c r="O446" s="40">
        <v>53700</v>
      </c>
      <c r="P446" s="40"/>
      <c r="Q446" s="7"/>
      <c r="R446" s="7" t="str">
        <f>VLOOKUP(A446,Hoja2!A$1:H$1143,8,0)</f>
        <v>2000788133</v>
      </c>
      <c r="S446" s="7"/>
      <c r="T446" s="35">
        <f t="shared" si="26"/>
        <v>0</v>
      </c>
      <c r="U446" s="7"/>
    </row>
    <row r="447" spans="1:21" x14ac:dyDescent="0.25">
      <c r="A447" s="7" t="s">
        <v>1321</v>
      </c>
      <c r="B447" s="8">
        <v>44534.250625000001</v>
      </c>
      <c r="C447" s="8">
        <v>44566</v>
      </c>
      <c r="D447" s="9">
        <v>102500</v>
      </c>
      <c r="E447" s="7" t="e">
        <f>VLOOKUP(A447,DEVOLUCIONES!A$1:A$231,1,0)</f>
        <v>#N/A</v>
      </c>
      <c r="F447" s="7" t="e">
        <f>VLOOKUP(A447,'GLOSAS X CONCILIAR'!$A$1:$A$37,1,0)</f>
        <v>#N/A</v>
      </c>
      <c r="G447" s="7" t="str">
        <f>VLOOKUP(A447,'TODAS LAS P'!A:A,1,0)</f>
        <v>FEHF226757</v>
      </c>
      <c r="H447" s="7" t="str">
        <f>VLOOKUP(A447,PAGOS!A481:$A$1553,1,0)</f>
        <v>FEHF226757</v>
      </c>
      <c r="I447" s="40"/>
      <c r="J447" s="40"/>
      <c r="K447" s="40"/>
      <c r="L447" s="40"/>
      <c r="M447" s="40"/>
      <c r="N447" s="40"/>
      <c r="O447" s="40">
        <v>102500</v>
      </c>
      <c r="P447" s="40"/>
      <c r="Q447" s="7"/>
      <c r="R447" s="7" t="str">
        <f>VLOOKUP(A447,Hoja2!A$1:H$1143,8,0)</f>
        <v>2000797280</v>
      </c>
      <c r="S447" s="7"/>
      <c r="T447" s="35">
        <f t="shared" si="26"/>
        <v>0</v>
      </c>
      <c r="U447" s="7"/>
    </row>
    <row r="448" spans="1:21" x14ac:dyDescent="0.25">
      <c r="A448" s="7" t="s">
        <v>1271</v>
      </c>
      <c r="B448" s="8">
        <v>44537.324062500003</v>
      </c>
      <c r="C448" s="8">
        <v>44566</v>
      </c>
      <c r="D448" s="9">
        <v>156800</v>
      </c>
      <c r="E448" s="7" t="e">
        <f>VLOOKUP(A448,DEVOLUCIONES!A$1:A$231,1,0)</f>
        <v>#N/A</v>
      </c>
      <c r="F448" s="7" t="e">
        <f>VLOOKUP(A448,'GLOSAS X CONCILIAR'!$A$1:$A$37,1,0)</f>
        <v>#N/A</v>
      </c>
      <c r="G448" s="7" t="str">
        <f>VLOOKUP(A448,'TODAS LAS P'!A:A,1,0)</f>
        <v>FEHF227540</v>
      </c>
      <c r="H448" s="7" t="str">
        <f>VLOOKUP(A448,PAGOS!A482:$A$1553,1,0)</f>
        <v>FEHF227540</v>
      </c>
      <c r="I448" s="40"/>
      <c r="J448" s="40"/>
      <c r="K448" s="40"/>
      <c r="L448" s="40"/>
      <c r="M448" s="40"/>
      <c r="N448" s="40"/>
      <c r="O448" s="40">
        <v>156800</v>
      </c>
      <c r="P448" s="40"/>
      <c r="Q448" s="7"/>
      <c r="R448" s="7" t="str">
        <f>VLOOKUP(A448,Hoja2!A$1:H$1143,8,0)</f>
        <v>2000797280</v>
      </c>
      <c r="S448" s="7"/>
      <c r="T448" s="35">
        <f t="shared" si="26"/>
        <v>0</v>
      </c>
      <c r="U448" s="7"/>
    </row>
    <row r="449" spans="1:21" x14ac:dyDescent="0.25">
      <c r="A449" s="7" t="s">
        <v>1378</v>
      </c>
      <c r="B449" s="8">
        <v>44537.344363425924</v>
      </c>
      <c r="C449" s="8">
        <v>44566</v>
      </c>
      <c r="D449" s="9">
        <v>45800</v>
      </c>
      <c r="E449" s="7" t="e">
        <f>VLOOKUP(A449,DEVOLUCIONES!A$1:A$231,1,0)</f>
        <v>#N/A</v>
      </c>
      <c r="F449" s="7" t="e">
        <f>VLOOKUP(A449,'GLOSAS X CONCILIAR'!$A$1:$A$37,1,0)</f>
        <v>#N/A</v>
      </c>
      <c r="G449" s="7" t="str">
        <f>VLOOKUP(A449,'TODAS LAS P'!A:A,1,0)</f>
        <v>FEHF227564</v>
      </c>
      <c r="H449" s="7" t="str">
        <f>VLOOKUP(A449,PAGOS!A483:$A$1553,1,0)</f>
        <v>FEHF227564</v>
      </c>
      <c r="I449" s="40"/>
      <c r="J449" s="40"/>
      <c r="K449" s="40"/>
      <c r="L449" s="40"/>
      <c r="M449" s="40"/>
      <c r="N449" s="40"/>
      <c r="O449" s="40">
        <v>45800</v>
      </c>
      <c r="P449" s="40"/>
      <c r="Q449" s="7"/>
      <c r="R449" s="7" t="str">
        <f>VLOOKUP(A449,Hoja2!A$1:H$1143,8,0)</f>
        <v>2000797280</v>
      </c>
      <c r="S449" s="7"/>
      <c r="T449" s="35">
        <f t="shared" si="26"/>
        <v>0</v>
      </c>
      <c r="U449" s="7"/>
    </row>
    <row r="450" spans="1:21" x14ac:dyDescent="0.25">
      <c r="A450" s="7" t="s">
        <v>1318</v>
      </c>
      <c r="B450" s="8">
        <v>44537.975104166668</v>
      </c>
      <c r="C450" s="8">
        <v>44566</v>
      </c>
      <c r="D450" s="9">
        <v>53700</v>
      </c>
      <c r="E450" s="7" t="e">
        <f>VLOOKUP(A450,DEVOLUCIONES!A$1:A$231,1,0)</f>
        <v>#N/A</v>
      </c>
      <c r="F450" s="7" t="e">
        <f>VLOOKUP(A450,'GLOSAS X CONCILIAR'!$A$1:$A$37,1,0)</f>
        <v>#N/A</v>
      </c>
      <c r="G450" s="7" t="str">
        <f>VLOOKUP(A450,'TODAS LAS P'!A:A,1,0)</f>
        <v>FEHF227863</v>
      </c>
      <c r="H450" s="7" t="str">
        <f>VLOOKUP(A450,PAGOS!A484:$A$1553,1,0)</f>
        <v>FEHF227863</v>
      </c>
      <c r="I450" s="40"/>
      <c r="J450" s="40"/>
      <c r="K450" s="40"/>
      <c r="L450" s="40"/>
      <c r="M450" s="40"/>
      <c r="N450" s="40"/>
      <c r="O450" s="40">
        <v>53700</v>
      </c>
      <c r="P450" s="40"/>
      <c r="Q450" s="7"/>
      <c r="R450" s="7" t="str">
        <f>VLOOKUP(A450,Hoja2!A$1:H$1143,8,0)</f>
        <v>2000797280</v>
      </c>
      <c r="S450" s="7"/>
      <c r="T450" s="35">
        <f t="shared" si="26"/>
        <v>0</v>
      </c>
      <c r="U450" s="7"/>
    </row>
    <row r="451" spans="1:21" x14ac:dyDescent="0.25">
      <c r="A451" s="7" t="s">
        <v>1376</v>
      </c>
      <c r="B451" s="8">
        <v>44540.363912037035</v>
      </c>
      <c r="C451" s="8">
        <v>44566</v>
      </c>
      <c r="D451" s="9">
        <v>47200</v>
      </c>
      <c r="E451" s="7" t="e">
        <f>VLOOKUP(A451,DEVOLUCIONES!A$1:A$231,1,0)</f>
        <v>#N/A</v>
      </c>
      <c r="F451" s="7" t="e">
        <f>VLOOKUP(A451,'GLOSAS X CONCILIAR'!$A$1:$A$37,1,0)</f>
        <v>#N/A</v>
      </c>
      <c r="G451" s="7" t="str">
        <f>VLOOKUP(A451,'TODAS LAS P'!A:A,1,0)</f>
        <v>FEHF228537</v>
      </c>
      <c r="H451" s="7" t="str">
        <f>VLOOKUP(A451,PAGOS!A485:$A$1553,1,0)</f>
        <v>FEHF228537</v>
      </c>
      <c r="I451" s="40"/>
      <c r="J451" s="40"/>
      <c r="K451" s="40"/>
      <c r="L451" s="40"/>
      <c r="M451" s="40"/>
      <c r="N451" s="40"/>
      <c r="O451" s="40">
        <v>47200</v>
      </c>
      <c r="P451" s="40"/>
      <c r="Q451" s="7"/>
      <c r="R451" s="7" t="str">
        <f>VLOOKUP(A451,Hoja2!A$1:H$1143,8,0)</f>
        <v>2000797280</v>
      </c>
      <c r="S451" s="7"/>
      <c r="T451" s="35">
        <f t="shared" ref="T451:T514" si="30">D451-SUM(I451:Q451)</f>
        <v>0</v>
      </c>
      <c r="U451" s="7"/>
    </row>
    <row r="452" spans="1:21" x14ac:dyDescent="0.25">
      <c r="A452" s="7" t="s">
        <v>1316</v>
      </c>
      <c r="B452" s="8">
        <v>44542.100972222222</v>
      </c>
      <c r="C452" s="8">
        <v>44566</v>
      </c>
      <c r="D452" s="9">
        <v>100757</v>
      </c>
      <c r="E452" s="7" t="e">
        <f>VLOOKUP(A452,DEVOLUCIONES!A$1:A$231,1,0)</f>
        <v>#N/A</v>
      </c>
      <c r="F452" s="7" t="e">
        <f>VLOOKUP(A452,'GLOSAS X CONCILIAR'!$A$1:$A$37,1,0)</f>
        <v>#N/A</v>
      </c>
      <c r="G452" s="7" t="str">
        <f>VLOOKUP(A452,'TODAS LAS P'!A:A,1,0)</f>
        <v>FEHF229068</v>
      </c>
      <c r="H452" s="7" t="str">
        <f>VLOOKUP(A452,PAGOS!A486:$A$1553,1,0)</f>
        <v>FEHF229068</v>
      </c>
      <c r="I452" s="40"/>
      <c r="J452" s="40"/>
      <c r="K452" s="40"/>
      <c r="L452" s="40"/>
      <c r="M452" s="40"/>
      <c r="N452" s="40"/>
      <c r="O452" s="40">
        <v>100757</v>
      </c>
      <c r="P452" s="40"/>
      <c r="Q452" s="7"/>
      <c r="R452" s="7" t="str">
        <f>VLOOKUP(A452,Hoja2!A$1:H$1143,8,0)</f>
        <v>2000797280</v>
      </c>
      <c r="S452" s="7"/>
      <c r="T452" s="35">
        <f t="shared" si="30"/>
        <v>0</v>
      </c>
      <c r="U452" s="7"/>
    </row>
    <row r="453" spans="1:21" x14ac:dyDescent="0.25">
      <c r="A453" s="7" t="s">
        <v>1420</v>
      </c>
      <c r="B453" s="8">
        <v>44542.737905092596</v>
      </c>
      <c r="C453" s="8">
        <v>44566</v>
      </c>
      <c r="D453" s="9">
        <v>53700</v>
      </c>
      <c r="E453" s="7" t="e">
        <f>VLOOKUP(A453,DEVOLUCIONES!A$1:A$231,1,0)</f>
        <v>#N/A</v>
      </c>
      <c r="F453" s="7" t="e">
        <f>VLOOKUP(A453,'GLOSAS X CONCILIAR'!$A$1:$A$37,1,0)</f>
        <v>#N/A</v>
      </c>
      <c r="G453" s="7" t="str">
        <f>VLOOKUP(A453,'TODAS LAS P'!A:A,1,0)</f>
        <v>FEHF229177</v>
      </c>
      <c r="H453" s="7" t="str">
        <f>VLOOKUP(A453,PAGOS!A487:$A$1553,1,0)</f>
        <v>FEHF229177</v>
      </c>
      <c r="I453" s="40"/>
      <c r="J453" s="40"/>
      <c r="K453" s="40"/>
      <c r="L453" s="40"/>
      <c r="M453" s="40"/>
      <c r="N453" s="40"/>
      <c r="O453" s="40">
        <v>53700</v>
      </c>
      <c r="P453" s="40"/>
      <c r="Q453" s="7"/>
      <c r="R453" s="7" t="str">
        <f>VLOOKUP(A453,Hoja2!A$1:H$1143,8,0)</f>
        <v>2000794281</v>
      </c>
      <c r="S453" s="7"/>
      <c r="T453" s="35">
        <f t="shared" si="30"/>
        <v>0</v>
      </c>
      <c r="U453" s="7"/>
    </row>
    <row r="454" spans="1:21" x14ac:dyDescent="0.25">
      <c r="A454" s="7" t="s">
        <v>1352</v>
      </c>
      <c r="B454" s="8">
        <v>44543.632430555554</v>
      </c>
      <c r="C454" s="8">
        <v>44566</v>
      </c>
      <c r="D454" s="9">
        <v>77300</v>
      </c>
      <c r="E454" s="7" t="e">
        <f>VLOOKUP(A454,DEVOLUCIONES!A$1:A$231,1,0)</f>
        <v>#N/A</v>
      </c>
      <c r="F454" s="7" t="e">
        <f>VLOOKUP(A454,'GLOSAS X CONCILIAR'!$A$1:$A$37,1,0)</f>
        <v>#N/A</v>
      </c>
      <c r="G454" s="7" t="str">
        <f>VLOOKUP(A454,'TODAS LAS P'!A:A,1,0)</f>
        <v>FEHF229533</v>
      </c>
      <c r="H454" s="7" t="str">
        <f>VLOOKUP(A454,PAGOS!A488:$A$1553,1,0)</f>
        <v>FEHF229533</v>
      </c>
      <c r="I454" s="40"/>
      <c r="J454" s="40"/>
      <c r="K454" s="40"/>
      <c r="L454" s="40"/>
      <c r="M454" s="40"/>
      <c r="N454" s="40"/>
      <c r="O454" s="40">
        <v>77300</v>
      </c>
      <c r="P454" s="40"/>
      <c r="Q454" s="7"/>
      <c r="R454" s="7" t="str">
        <f>VLOOKUP(A454,Hoja2!A$1:H$1143,8,0)</f>
        <v>2000797280</v>
      </c>
      <c r="S454" s="7"/>
      <c r="T454" s="35">
        <f t="shared" si="30"/>
        <v>0</v>
      </c>
      <c r="U454" s="7"/>
    </row>
    <row r="455" spans="1:21" x14ac:dyDescent="0.25">
      <c r="A455" s="7" t="s">
        <v>251</v>
      </c>
      <c r="B455" s="8">
        <v>44543.693773148145</v>
      </c>
      <c r="C455" s="8">
        <v>44566</v>
      </c>
      <c r="D455" s="9">
        <v>132520</v>
      </c>
      <c r="E455" s="7" t="e">
        <f>VLOOKUP(A455,DEVOLUCIONES!A$1:A$231,1,0)</f>
        <v>#N/A</v>
      </c>
      <c r="F455" s="7" t="e">
        <f>VLOOKUP(A455,'GLOSAS X CONCILIAR'!$A$1:$A$37,1,0)</f>
        <v>#N/A</v>
      </c>
      <c r="G455" s="7" t="str">
        <f>VLOOKUP(A455,'TODAS LAS P'!A:A,1,0)</f>
        <v>FEHF229579</v>
      </c>
      <c r="H455" s="7" t="str">
        <f>VLOOKUP(A455,PAGOS!A489:$A$1553,1,0)</f>
        <v>FEHF229579</v>
      </c>
      <c r="I455" s="40"/>
      <c r="J455" s="40"/>
      <c r="K455" s="40"/>
      <c r="L455" s="40"/>
      <c r="M455" s="40"/>
      <c r="N455" s="40"/>
      <c r="O455" s="40">
        <v>132520</v>
      </c>
      <c r="P455" s="40"/>
      <c r="Q455" s="7"/>
      <c r="R455" s="7" t="str">
        <f>VLOOKUP(A455,Hoja2!A$1:H$1143,8,0)</f>
        <v>2000767838</v>
      </c>
      <c r="S455" s="7"/>
      <c r="T455" s="35">
        <f t="shared" si="30"/>
        <v>0</v>
      </c>
      <c r="U455" s="7"/>
    </row>
    <row r="456" spans="1:21" x14ac:dyDescent="0.25">
      <c r="A456" s="7" t="s">
        <v>1313</v>
      </c>
      <c r="B456" s="8">
        <v>44544.663055555553</v>
      </c>
      <c r="C456" s="8">
        <v>44566</v>
      </c>
      <c r="D456" s="9">
        <v>80161</v>
      </c>
      <c r="E456" s="7" t="e">
        <f>VLOOKUP(A456,DEVOLUCIONES!A$1:A$231,1,0)</f>
        <v>#N/A</v>
      </c>
      <c r="F456" s="7" t="e">
        <f>VLOOKUP(A456,'GLOSAS X CONCILIAR'!$A$1:$A$37,1,0)</f>
        <v>#N/A</v>
      </c>
      <c r="G456" s="7" t="str">
        <f>VLOOKUP(A456,'TODAS LAS P'!A:A,1,0)</f>
        <v>FEHF230082</v>
      </c>
      <c r="H456" s="7" t="str">
        <f>VLOOKUP(A456,PAGOS!A490:$A$1553,1,0)</f>
        <v>FEHF230082</v>
      </c>
      <c r="I456" s="40"/>
      <c r="J456" s="40"/>
      <c r="K456" s="40"/>
      <c r="L456" s="40"/>
      <c r="M456" s="40"/>
      <c r="N456" s="40"/>
      <c r="O456" s="40">
        <v>80161</v>
      </c>
      <c r="P456" s="40"/>
      <c r="Q456" s="7"/>
      <c r="R456" s="7" t="str">
        <f>VLOOKUP(A456,Hoja2!A$1:H$1143,8,0)</f>
        <v>2000797280</v>
      </c>
      <c r="S456" s="7"/>
      <c r="T456" s="35">
        <f t="shared" si="30"/>
        <v>0</v>
      </c>
      <c r="U456" s="7"/>
    </row>
    <row r="457" spans="1:21" x14ac:dyDescent="0.25">
      <c r="A457" s="7" t="s">
        <v>1393</v>
      </c>
      <c r="B457" s="8">
        <v>44546.318252314813</v>
      </c>
      <c r="C457" s="8">
        <v>44566</v>
      </c>
      <c r="D457" s="9">
        <v>9700</v>
      </c>
      <c r="E457" s="7" t="e">
        <f>VLOOKUP(A457,DEVOLUCIONES!A$1:A$231,1,0)</f>
        <v>#N/A</v>
      </c>
      <c r="F457" s="7" t="e">
        <f>VLOOKUP(A457,'GLOSAS X CONCILIAR'!$A$1:$A$37,1,0)</f>
        <v>#N/A</v>
      </c>
      <c r="G457" s="7" t="str">
        <f>VLOOKUP(A457,'TODAS LAS P'!A:A,1,0)</f>
        <v>FEHF230674</v>
      </c>
      <c r="H457" s="7" t="str">
        <f>VLOOKUP(A457,PAGOS!A491:$A$1553,1,0)</f>
        <v>FEHF230674</v>
      </c>
      <c r="I457" s="40"/>
      <c r="J457" s="40"/>
      <c r="K457" s="40"/>
      <c r="L457" s="40"/>
      <c r="M457" s="40"/>
      <c r="N457" s="40"/>
      <c r="O457" s="40">
        <v>9700</v>
      </c>
      <c r="P457" s="40"/>
      <c r="Q457" s="7"/>
      <c r="R457" s="7" t="str">
        <f>VLOOKUP(A457,Hoja2!A$1:H$1143,8,0)</f>
        <v>2000788130</v>
      </c>
      <c r="S457" s="7"/>
      <c r="T457" s="35">
        <f t="shared" si="30"/>
        <v>0</v>
      </c>
      <c r="U457" s="7"/>
    </row>
    <row r="458" spans="1:21" x14ac:dyDescent="0.25">
      <c r="A458" s="7" t="s">
        <v>1374</v>
      </c>
      <c r="B458" s="8">
        <v>44546.354456018518</v>
      </c>
      <c r="C458" s="8">
        <v>44566</v>
      </c>
      <c r="D458" s="9">
        <v>32700</v>
      </c>
      <c r="E458" s="7" t="e">
        <f>VLOOKUP(A458,DEVOLUCIONES!A$1:A$231,1,0)</f>
        <v>#N/A</v>
      </c>
      <c r="F458" s="7" t="e">
        <f>VLOOKUP(A458,'GLOSAS X CONCILIAR'!$A$1:$A$37,1,0)</f>
        <v>#N/A</v>
      </c>
      <c r="G458" s="7" t="str">
        <f>VLOOKUP(A458,'TODAS LAS P'!A:A,1,0)</f>
        <v>FEHF230727</v>
      </c>
      <c r="H458" s="7" t="str">
        <f>VLOOKUP(A458,PAGOS!A492:$A$1553,1,0)</f>
        <v>FEHF230727</v>
      </c>
      <c r="I458" s="40"/>
      <c r="J458" s="40"/>
      <c r="K458" s="40"/>
      <c r="L458" s="40"/>
      <c r="M458" s="40"/>
      <c r="N458" s="40"/>
      <c r="O458" s="40">
        <v>32700</v>
      </c>
      <c r="P458" s="40"/>
      <c r="Q458" s="7"/>
      <c r="R458" s="7" t="str">
        <f>VLOOKUP(A458,Hoja2!A$1:H$1143,8,0)</f>
        <v>2000797280</v>
      </c>
      <c r="S458" s="7"/>
      <c r="T458" s="35">
        <f t="shared" si="30"/>
        <v>0</v>
      </c>
      <c r="U458" s="7"/>
    </row>
    <row r="459" spans="1:21" x14ac:dyDescent="0.25">
      <c r="A459" s="7" t="s">
        <v>1350</v>
      </c>
      <c r="B459" s="8">
        <v>44546.580949074072</v>
      </c>
      <c r="C459" s="8">
        <v>44566</v>
      </c>
      <c r="D459" s="9">
        <v>143100</v>
      </c>
      <c r="E459" s="7" t="e">
        <f>VLOOKUP(A459,DEVOLUCIONES!A$1:A$231,1,0)</f>
        <v>#N/A</v>
      </c>
      <c r="F459" s="7" t="e">
        <f>VLOOKUP(A459,'GLOSAS X CONCILIAR'!$A$1:$A$37,1,0)</f>
        <v>#N/A</v>
      </c>
      <c r="G459" s="7" t="str">
        <f>VLOOKUP(A459,'TODAS LAS P'!A:A,1,0)</f>
        <v>FEHF230969</v>
      </c>
      <c r="H459" s="7" t="str">
        <f>VLOOKUP(A459,PAGOS!A493:$A$1553,1,0)</f>
        <v>FEHF230969</v>
      </c>
      <c r="I459" s="40"/>
      <c r="J459" s="40"/>
      <c r="K459" s="40"/>
      <c r="L459" s="40"/>
      <c r="M459" s="40"/>
      <c r="N459" s="40"/>
      <c r="O459" s="40">
        <v>143100</v>
      </c>
      <c r="P459" s="40"/>
      <c r="Q459" s="7"/>
      <c r="R459" s="7" t="str">
        <f>VLOOKUP(A459,Hoja2!A$1:H$1143,8,0)</f>
        <v>2000797280</v>
      </c>
      <c r="S459" s="7"/>
      <c r="T459" s="35">
        <f t="shared" si="30"/>
        <v>0</v>
      </c>
      <c r="U459" s="7"/>
    </row>
    <row r="460" spans="1:21" x14ac:dyDescent="0.25">
      <c r="A460" s="7" t="s">
        <v>419</v>
      </c>
      <c r="B460" s="8">
        <v>44546.995474537034</v>
      </c>
      <c r="C460" s="8">
        <v>44566</v>
      </c>
      <c r="D460" s="9">
        <v>74561</v>
      </c>
      <c r="E460" s="7" t="e">
        <f>VLOOKUP(A460,DEVOLUCIONES!A$1:A$231,1,0)</f>
        <v>#N/A</v>
      </c>
      <c r="F460" s="7" t="e">
        <f>VLOOKUP(A460,'GLOSAS X CONCILIAR'!$A$1:$A$37,1,0)</f>
        <v>#N/A</v>
      </c>
      <c r="G460" s="7" t="str">
        <f>VLOOKUP(A460,'TODAS LAS P'!A:A,1,0)</f>
        <v>FEHF231140</v>
      </c>
      <c r="H460" s="7" t="str">
        <f>VLOOKUP(A460,PAGOS!A494:$A$1553,1,0)</f>
        <v>FEHF231140</v>
      </c>
      <c r="I460" s="40"/>
      <c r="J460" s="40"/>
      <c r="K460" s="40"/>
      <c r="L460" s="40"/>
      <c r="M460" s="40"/>
      <c r="N460" s="40"/>
      <c r="O460" s="40">
        <v>74561</v>
      </c>
      <c r="P460" s="40"/>
      <c r="Q460" s="7"/>
      <c r="R460" s="7" t="str">
        <f>VLOOKUP(A460,Hoja2!A$1:H$1143,8,0)</f>
        <v>2000767849</v>
      </c>
      <c r="S460" s="7"/>
      <c r="T460" s="35">
        <f t="shared" si="30"/>
        <v>0</v>
      </c>
      <c r="U460" s="7"/>
    </row>
    <row r="461" spans="1:21" x14ac:dyDescent="0.25">
      <c r="A461" s="7" t="s">
        <v>1372</v>
      </c>
      <c r="B461" s="8">
        <v>44547.376504629632</v>
      </c>
      <c r="C461" s="8">
        <v>44566</v>
      </c>
      <c r="D461" s="9">
        <v>150000</v>
      </c>
      <c r="E461" s="7" t="e">
        <f>VLOOKUP(A461,DEVOLUCIONES!A$1:A$231,1,0)</f>
        <v>#N/A</v>
      </c>
      <c r="F461" s="7" t="e">
        <f>VLOOKUP(A461,'GLOSAS X CONCILIAR'!$A$1:$A$37,1,0)</f>
        <v>#N/A</v>
      </c>
      <c r="G461" s="7" t="str">
        <f>VLOOKUP(A461,'TODAS LAS P'!A:A,1,0)</f>
        <v>FEHF231304</v>
      </c>
      <c r="H461" s="7" t="str">
        <f>VLOOKUP(A461,PAGOS!A495:$A$1553,1,0)</f>
        <v>FEHF231304</v>
      </c>
      <c r="I461" s="40"/>
      <c r="J461" s="40"/>
      <c r="K461" s="40"/>
      <c r="L461" s="40"/>
      <c r="M461" s="40"/>
      <c r="N461" s="40"/>
      <c r="O461" s="40">
        <v>150000</v>
      </c>
      <c r="P461" s="40"/>
      <c r="Q461" s="7"/>
      <c r="R461" s="7" t="str">
        <f>VLOOKUP(A461,Hoja2!A$1:H$1143,8,0)</f>
        <v>2000797280</v>
      </c>
      <c r="S461" s="7"/>
      <c r="T461" s="35">
        <f t="shared" si="30"/>
        <v>0</v>
      </c>
      <c r="U461" s="7"/>
    </row>
    <row r="462" spans="1:21" x14ac:dyDescent="0.25">
      <c r="A462" s="7" t="s">
        <v>1370</v>
      </c>
      <c r="B462" s="8">
        <v>44547.569537037038</v>
      </c>
      <c r="C462" s="8">
        <v>44566</v>
      </c>
      <c r="D462" s="9">
        <v>32700</v>
      </c>
      <c r="E462" s="7" t="e">
        <f>VLOOKUP(A462,DEVOLUCIONES!A$1:A$231,1,0)</f>
        <v>#N/A</v>
      </c>
      <c r="F462" s="7" t="e">
        <f>VLOOKUP(A462,'GLOSAS X CONCILIAR'!$A$1:$A$37,1,0)</f>
        <v>#N/A</v>
      </c>
      <c r="G462" s="7" t="str">
        <f>VLOOKUP(A462,'TODAS LAS P'!A:A,1,0)</f>
        <v>FEHF231495</v>
      </c>
      <c r="H462" s="7" t="str">
        <f>VLOOKUP(A462,PAGOS!A496:$A$1553,1,0)</f>
        <v>FEHF231495</v>
      </c>
      <c r="I462" s="40"/>
      <c r="J462" s="40"/>
      <c r="K462" s="40"/>
      <c r="L462" s="40"/>
      <c r="M462" s="40"/>
      <c r="N462" s="40"/>
      <c r="O462" s="40">
        <v>32700</v>
      </c>
      <c r="P462" s="40"/>
      <c r="Q462" s="7"/>
      <c r="R462" s="7" t="str">
        <f>VLOOKUP(A462,Hoja2!A$1:H$1143,8,0)</f>
        <v>2000797280</v>
      </c>
      <c r="S462" s="7"/>
      <c r="T462" s="35">
        <f t="shared" si="30"/>
        <v>0</v>
      </c>
      <c r="U462" s="7"/>
    </row>
    <row r="463" spans="1:21" x14ac:dyDescent="0.25">
      <c r="A463" s="7" t="s">
        <v>1347</v>
      </c>
      <c r="B463" s="8">
        <v>44547.579108796293</v>
      </c>
      <c r="C463" s="8">
        <v>44566</v>
      </c>
      <c r="D463" s="9">
        <v>29200</v>
      </c>
      <c r="E463" s="7" t="e">
        <f>VLOOKUP(A463,DEVOLUCIONES!A$1:A$231,1,0)</f>
        <v>#N/A</v>
      </c>
      <c r="F463" s="7" t="e">
        <f>VLOOKUP(A463,'GLOSAS X CONCILIAR'!$A$1:$A$37,1,0)</f>
        <v>#N/A</v>
      </c>
      <c r="G463" s="7" t="str">
        <f>VLOOKUP(A463,'TODAS LAS P'!A:A,1,0)</f>
        <v>FEHF231503</v>
      </c>
      <c r="H463" s="7" t="str">
        <f>VLOOKUP(A463,PAGOS!A497:$A$1553,1,0)</f>
        <v>FEHF231503</v>
      </c>
      <c r="I463" s="40"/>
      <c r="J463" s="40"/>
      <c r="K463" s="40"/>
      <c r="L463" s="40"/>
      <c r="M463" s="40"/>
      <c r="N463" s="40"/>
      <c r="O463" s="40">
        <v>29200</v>
      </c>
      <c r="P463" s="40"/>
      <c r="Q463" s="7"/>
      <c r="R463" s="7" t="str">
        <f>VLOOKUP(A463,Hoja2!A$1:H$1143,8,0)</f>
        <v>2000797280</v>
      </c>
      <c r="S463" s="7"/>
      <c r="T463" s="35">
        <f t="shared" si="30"/>
        <v>0</v>
      </c>
      <c r="U463" s="7"/>
    </row>
    <row r="464" spans="1:21" x14ac:dyDescent="0.25">
      <c r="A464" s="7" t="s">
        <v>1368</v>
      </c>
      <c r="B464" s="8">
        <v>44550.321412037039</v>
      </c>
      <c r="C464" s="8">
        <v>44566</v>
      </c>
      <c r="D464" s="9">
        <v>32700</v>
      </c>
      <c r="E464" s="7" t="e">
        <f>VLOOKUP(A464,DEVOLUCIONES!A$1:A$231,1,0)</f>
        <v>#N/A</v>
      </c>
      <c r="F464" s="7" t="e">
        <f>VLOOKUP(A464,'GLOSAS X CONCILIAR'!$A$1:$A$37,1,0)</f>
        <v>#N/A</v>
      </c>
      <c r="G464" s="7" t="str">
        <f>VLOOKUP(A464,'TODAS LAS P'!A:A,1,0)</f>
        <v>FEHF232049</v>
      </c>
      <c r="H464" s="7" t="str">
        <f>VLOOKUP(A464,PAGOS!A498:$A$1553,1,0)</f>
        <v>FEHF232049</v>
      </c>
      <c r="I464" s="40"/>
      <c r="J464" s="40"/>
      <c r="K464" s="40"/>
      <c r="L464" s="40"/>
      <c r="M464" s="40"/>
      <c r="N464" s="40"/>
      <c r="O464" s="40">
        <v>32700</v>
      </c>
      <c r="P464" s="40"/>
      <c r="Q464" s="7"/>
      <c r="R464" s="7" t="str">
        <f>VLOOKUP(A464,Hoja2!A$1:H$1143,8,0)</f>
        <v>2000797280</v>
      </c>
      <c r="S464" s="7"/>
      <c r="T464" s="35">
        <f t="shared" si="30"/>
        <v>0</v>
      </c>
      <c r="U464" s="7"/>
    </row>
    <row r="465" spans="1:21" x14ac:dyDescent="0.25">
      <c r="A465" s="7" t="s">
        <v>1366</v>
      </c>
      <c r="B465" s="8">
        <v>44550.456828703704</v>
      </c>
      <c r="C465" s="8">
        <v>44566</v>
      </c>
      <c r="D465" s="9">
        <v>112100</v>
      </c>
      <c r="E465" s="7" t="e">
        <f>VLOOKUP(A465,DEVOLUCIONES!A$1:A$231,1,0)</f>
        <v>#N/A</v>
      </c>
      <c r="F465" s="7" t="e">
        <f>VLOOKUP(A465,'GLOSAS X CONCILIAR'!$A$1:$A$37,1,0)</f>
        <v>#N/A</v>
      </c>
      <c r="G465" s="7" t="str">
        <f>VLOOKUP(A465,'TODAS LAS P'!A:A,1,0)</f>
        <v>FEHF232226</v>
      </c>
      <c r="H465" s="7" t="str">
        <f>VLOOKUP(A465,PAGOS!A499:$A$1553,1,0)</f>
        <v>FEHF232226</v>
      </c>
      <c r="I465" s="40"/>
      <c r="J465" s="40"/>
      <c r="K465" s="40"/>
      <c r="L465" s="40"/>
      <c r="M465" s="40"/>
      <c r="N465" s="40"/>
      <c r="O465" s="40">
        <v>112100</v>
      </c>
      <c r="P465" s="40"/>
      <c r="Q465" s="7"/>
      <c r="R465" s="7" t="str">
        <f>VLOOKUP(A465,Hoja2!A$1:H$1143,8,0)</f>
        <v>2000797280</v>
      </c>
      <c r="S465" s="7"/>
      <c r="T465" s="35">
        <f t="shared" si="30"/>
        <v>0</v>
      </c>
      <c r="U465" s="7"/>
    </row>
    <row r="466" spans="1:21" x14ac:dyDescent="0.25">
      <c r="A466" s="7" t="s">
        <v>1364</v>
      </c>
      <c r="B466" s="8">
        <v>44551.333252314813</v>
      </c>
      <c r="C466" s="8">
        <v>44566</v>
      </c>
      <c r="D466" s="9">
        <v>47200</v>
      </c>
      <c r="E466" s="7" t="e">
        <f>VLOOKUP(A466,DEVOLUCIONES!A$1:A$231,1,0)</f>
        <v>#N/A</v>
      </c>
      <c r="F466" s="7" t="e">
        <f>VLOOKUP(A466,'GLOSAS X CONCILIAR'!$A$1:$A$37,1,0)</f>
        <v>#N/A</v>
      </c>
      <c r="G466" s="7" t="str">
        <f>VLOOKUP(A466,'TODAS LAS P'!A:A,1,0)</f>
        <v>FEHF232596</v>
      </c>
      <c r="H466" s="7" t="str">
        <f>VLOOKUP(A466,PAGOS!A500:$A$1553,1,0)</f>
        <v>FEHF232596</v>
      </c>
      <c r="I466" s="40"/>
      <c r="J466" s="40"/>
      <c r="K466" s="40"/>
      <c r="L466" s="40"/>
      <c r="M466" s="40"/>
      <c r="N466" s="40"/>
      <c r="O466" s="40">
        <v>47200</v>
      </c>
      <c r="P466" s="40"/>
      <c r="Q466" s="7"/>
      <c r="R466" s="7" t="str">
        <f>VLOOKUP(A466,Hoja2!A$1:H$1143,8,0)</f>
        <v>2000797280</v>
      </c>
      <c r="S466" s="7"/>
      <c r="T466" s="35">
        <f t="shared" si="30"/>
        <v>0</v>
      </c>
      <c r="U466" s="7"/>
    </row>
    <row r="467" spans="1:21" x14ac:dyDescent="0.25">
      <c r="A467" s="7" t="s">
        <v>1302</v>
      </c>
      <c r="B467" s="8">
        <v>44551.735173611109</v>
      </c>
      <c r="C467" s="8">
        <v>44566</v>
      </c>
      <c r="D467" s="9">
        <v>53700</v>
      </c>
      <c r="E467" s="7" t="e">
        <f>VLOOKUP(A467,DEVOLUCIONES!A$1:A$231,1,0)</f>
        <v>#N/A</v>
      </c>
      <c r="F467" s="7" t="e">
        <f>VLOOKUP(A467,'GLOSAS X CONCILIAR'!$A$1:$A$37,1,0)</f>
        <v>#N/A</v>
      </c>
      <c r="G467" s="7" t="str">
        <f>VLOOKUP(A467,'TODAS LAS P'!A:A,1,0)</f>
        <v>FEHF232952</v>
      </c>
      <c r="H467" s="7" t="str">
        <f>VLOOKUP(A467,PAGOS!A501:$A$1553,1,0)</f>
        <v>FEHF232952</v>
      </c>
      <c r="I467" s="40"/>
      <c r="J467" s="40"/>
      <c r="K467" s="40"/>
      <c r="L467" s="40"/>
      <c r="M467" s="40"/>
      <c r="N467" s="40"/>
      <c r="O467" s="40">
        <v>53700</v>
      </c>
      <c r="P467" s="40"/>
      <c r="Q467" s="7"/>
      <c r="R467" s="7" t="str">
        <f>VLOOKUP(A467,Hoja2!A$1:H$1143,8,0)</f>
        <v>2000797280</v>
      </c>
      <c r="S467" s="7"/>
      <c r="T467" s="35">
        <f t="shared" si="30"/>
        <v>0</v>
      </c>
      <c r="U467" s="7"/>
    </row>
    <row r="468" spans="1:21" x14ac:dyDescent="0.25">
      <c r="A468" s="7" t="s">
        <v>3077</v>
      </c>
      <c r="B468" s="8">
        <v>44553.477986111109</v>
      </c>
      <c r="C468" s="8">
        <v>44566</v>
      </c>
      <c r="D468" s="9">
        <v>113400</v>
      </c>
      <c r="E468" s="7" t="str">
        <f>VLOOKUP(A468,DEVOLUCIONES!A$1:A$231,1,0)</f>
        <v>FEHF233842</v>
      </c>
      <c r="F468" s="7" t="e">
        <f>VLOOKUP(A468,'GLOSAS X CONCILIAR'!$A$1:$A$37,1,0)</f>
        <v>#N/A</v>
      </c>
      <c r="G468" s="7" t="e">
        <f>VLOOKUP(A468,'TODAS LAS P'!A:A,1,0)</f>
        <v>#N/A</v>
      </c>
      <c r="H468" s="7" t="e">
        <f>VLOOKUP(A468,PAGOS!A502:$A$1553,1,0)</f>
        <v>#N/A</v>
      </c>
      <c r="I468" s="40"/>
      <c r="J468" s="40">
        <f>D468</f>
        <v>113400</v>
      </c>
      <c r="K468" s="40"/>
      <c r="L468" s="40"/>
      <c r="M468" s="40"/>
      <c r="N468" s="40"/>
      <c r="O468" s="40"/>
      <c r="P468" s="40"/>
      <c r="Q468" s="7" t="str">
        <f>VLOOKUP(A468,DEVOLUCIONES!A$1:B$231,2,0)</f>
        <v>DF-259261133270</v>
      </c>
      <c r="R468" s="7"/>
      <c r="S468" s="7" t="str">
        <f>VLOOKUP(A468,DEVOLUCIONES!A$1:H$231,8,0)</f>
        <v>Se hace devolución total de la factura FEHF233842 por $113400 se verifica en Dynamicoos y no se evidencia que la IPS haya gestionado su respectivo código para la atencion del dia 11/12/2021 tampoco anexan la trazabilidad del anexo 2 que cumpla con los criterios de la misma se recuerda que se debe realizar 3 envíos con intervalo de 20 minutos no se observa cumplimiento como lo estipula  la Resolución 3047/2008 en su artículo 4 y en el decreto 4747/2007 articulo 12 y 13 Dicho requisito es necesario para su respectivo tramiteUna vez subsanado el motivo de la devolución se solicita a la IPS radicar nuevamente en el portal de aplistaff para continuar con su respectivo proceso</v>
      </c>
      <c r="T468" s="35">
        <f t="shared" si="30"/>
        <v>0</v>
      </c>
      <c r="U468" s="7"/>
    </row>
    <row r="469" spans="1:21" x14ac:dyDescent="0.25">
      <c r="A469" s="7" t="s">
        <v>1300</v>
      </c>
      <c r="B469" s="8">
        <v>44554.149293981478</v>
      </c>
      <c r="C469" s="8">
        <v>44566</v>
      </c>
      <c r="D469" s="9">
        <v>117626</v>
      </c>
      <c r="E469" s="7" t="e">
        <f>VLOOKUP(A469,DEVOLUCIONES!A$1:A$231,1,0)</f>
        <v>#N/A</v>
      </c>
      <c r="F469" s="7" t="e">
        <f>VLOOKUP(A469,'GLOSAS X CONCILIAR'!$A$1:$A$37,1,0)</f>
        <v>#N/A</v>
      </c>
      <c r="G469" s="7" t="str">
        <f>VLOOKUP(A469,'TODAS LAS P'!A:A,1,0)</f>
        <v>FEHF234092</v>
      </c>
      <c r="H469" s="7" t="str">
        <f>VLOOKUP(A469,PAGOS!A503:$A$1553,1,0)</f>
        <v>FEHF234092</v>
      </c>
      <c r="I469" s="40"/>
      <c r="J469" s="40"/>
      <c r="K469" s="40"/>
      <c r="L469" s="40"/>
      <c r="M469" s="40"/>
      <c r="N469" s="40"/>
      <c r="O469" s="40">
        <v>117626</v>
      </c>
      <c r="P469" s="40"/>
      <c r="Q469" s="7"/>
      <c r="R469" s="7" t="str">
        <f>VLOOKUP(A469,Hoja2!A$1:H$1143,8,0)</f>
        <v>2000797280</v>
      </c>
      <c r="S469" s="7"/>
      <c r="T469" s="35">
        <f t="shared" si="30"/>
        <v>0</v>
      </c>
      <c r="U469" s="7"/>
    </row>
    <row r="470" spans="1:21" x14ac:dyDescent="0.25">
      <c r="A470" s="7" t="s">
        <v>1344</v>
      </c>
      <c r="B470" s="8">
        <v>44554.36041666667</v>
      </c>
      <c r="C470" s="8">
        <v>44566</v>
      </c>
      <c r="D470" s="9">
        <v>28100</v>
      </c>
      <c r="E470" s="7" t="e">
        <f>VLOOKUP(A470,DEVOLUCIONES!A$1:A$231,1,0)</f>
        <v>#N/A</v>
      </c>
      <c r="F470" s="7" t="e">
        <f>VLOOKUP(A470,'GLOSAS X CONCILIAR'!$A$1:$A$37,1,0)</f>
        <v>#N/A</v>
      </c>
      <c r="G470" s="7" t="str">
        <f>VLOOKUP(A470,'TODAS LAS P'!A:A,1,0)</f>
        <v>FEHF234177</v>
      </c>
      <c r="H470" s="7" t="str">
        <f>VLOOKUP(A470,PAGOS!A504:$A$1553,1,0)</f>
        <v>FEHF234177</v>
      </c>
      <c r="I470" s="40"/>
      <c r="J470" s="40"/>
      <c r="K470" s="40"/>
      <c r="L470" s="40"/>
      <c r="M470" s="40"/>
      <c r="N470" s="40"/>
      <c r="O470" s="40">
        <v>28100</v>
      </c>
      <c r="P470" s="40"/>
      <c r="Q470" s="7"/>
      <c r="R470" s="7" t="str">
        <f>VLOOKUP(A470,Hoja2!A$1:H$1143,8,0)</f>
        <v>2000797280</v>
      </c>
      <c r="S470" s="7"/>
      <c r="T470" s="35">
        <f t="shared" si="30"/>
        <v>0</v>
      </c>
      <c r="U470" s="7"/>
    </row>
    <row r="471" spans="1:21" x14ac:dyDescent="0.25">
      <c r="A471" s="7" t="s">
        <v>1342</v>
      </c>
      <c r="B471" s="8">
        <v>44554.364560185182</v>
      </c>
      <c r="C471" s="8">
        <v>44566</v>
      </c>
      <c r="D471" s="9">
        <v>28100</v>
      </c>
      <c r="E471" s="7" t="e">
        <f>VLOOKUP(A471,DEVOLUCIONES!A$1:A$231,1,0)</f>
        <v>#N/A</v>
      </c>
      <c r="F471" s="7" t="e">
        <f>VLOOKUP(A471,'GLOSAS X CONCILIAR'!$A$1:$A$37,1,0)</f>
        <v>#N/A</v>
      </c>
      <c r="G471" s="7" t="str">
        <f>VLOOKUP(A471,'TODAS LAS P'!A:A,1,0)</f>
        <v>FEHF234180</v>
      </c>
      <c r="H471" s="7" t="str">
        <f>VLOOKUP(A471,PAGOS!A505:$A$1553,1,0)</f>
        <v>FEHF234180</v>
      </c>
      <c r="I471" s="40"/>
      <c r="J471" s="40"/>
      <c r="K471" s="40"/>
      <c r="L471" s="40"/>
      <c r="M471" s="40"/>
      <c r="N471" s="40"/>
      <c r="O471" s="40">
        <v>28100</v>
      </c>
      <c r="P471" s="40"/>
      <c r="Q471" s="7"/>
      <c r="R471" s="7" t="str">
        <f>VLOOKUP(A471,Hoja2!A$1:H$1143,8,0)</f>
        <v>2000797280</v>
      </c>
      <c r="S471" s="7"/>
      <c r="T471" s="35">
        <f t="shared" si="30"/>
        <v>0</v>
      </c>
      <c r="U471" s="7"/>
    </row>
    <row r="472" spans="1:21" x14ac:dyDescent="0.25">
      <c r="A472" s="7" t="s">
        <v>1298</v>
      </c>
      <c r="B472" s="8">
        <v>44556.367546296293</v>
      </c>
      <c r="C472" s="8">
        <v>44566</v>
      </c>
      <c r="D472" s="9">
        <v>789412</v>
      </c>
      <c r="E472" s="7" t="e">
        <f>VLOOKUP(A472,DEVOLUCIONES!A$1:A$231,1,0)</f>
        <v>#N/A</v>
      </c>
      <c r="F472" s="7" t="e">
        <f>VLOOKUP(A472,'GLOSAS X CONCILIAR'!$A$1:$A$37,1,0)</f>
        <v>#N/A</v>
      </c>
      <c r="G472" s="7" t="str">
        <f>VLOOKUP(A472,'TODAS LAS P'!A:A,1,0)</f>
        <v>FEHF234479</v>
      </c>
      <c r="H472" s="7" t="str">
        <f>VLOOKUP(A472,PAGOS!A506:$A$1553,1,0)</f>
        <v>FEHF234479</v>
      </c>
      <c r="I472" s="40"/>
      <c r="J472" s="40"/>
      <c r="K472" s="40"/>
      <c r="L472" s="40"/>
      <c r="M472" s="40"/>
      <c r="N472" s="40"/>
      <c r="O472" s="40">
        <v>789412</v>
      </c>
      <c r="P472" s="40"/>
      <c r="Q472" s="7"/>
      <c r="R472" s="7" t="str">
        <f>VLOOKUP(A472,Hoja2!A$1:H$1143,8,0)</f>
        <v>2000797280</v>
      </c>
      <c r="S472" s="7"/>
      <c r="T472" s="35">
        <f t="shared" si="30"/>
        <v>0</v>
      </c>
      <c r="U472" s="7"/>
    </row>
    <row r="473" spans="1:21" x14ac:dyDescent="0.25">
      <c r="A473" s="7" t="s">
        <v>1311</v>
      </c>
      <c r="B473" s="8">
        <v>44557.348796296297</v>
      </c>
      <c r="C473" s="8">
        <v>44566</v>
      </c>
      <c r="D473" s="9">
        <v>53700</v>
      </c>
      <c r="E473" s="7" t="e">
        <f>VLOOKUP(A473,DEVOLUCIONES!A$1:A$231,1,0)</f>
        <v>#N/A</v>
      </c>
      <c r="F473" s="7" t="e">
        <f>VLOOKUP(A473,'GLOSAS X CONCILIAR'!$A$1:$A$37,1,0)</f>
        <v>#N/A</v>
      </c>
      <c r="G473" s="7" t="str">
        <f>VLOOKUP(A473,'TODAS LAS P'!A:A,1,0)</f>
        <v>FEHF234687</v>
      </c>
      <c r="H473" s="7" t="str">
        <f>VLOOKUP(A473,PAGOS!A507:$A$1553,1,0)</f>
        <v>FEHF234687</v>
      </c>
      <c r="I473" s="40"/>
      <c r="J473" s="40"/>
      <c r="K473" s="40"/>
      <c r="L473" s="40"/>
      <c r="M473" s="40"/>
      <c r="N473" s="40"/>
      <c r="O473" s="40">
        <v>53700</v>
      </c>
      <c r="P473" s="40"/>
      <c r="Q473" s="7"/>
      <c r="R473" s="7" t="str">
        <f>VLOOKUP(A473,Hoja2!A$1:H$1143,8,0)</f>
        <v>2000797280</v>
      </c>
      <c r="S473" s="7"/>
      <c r="T473" s="35">
        <f t="shared" si="30"/>
        <v>0</v>
      </c>
      <c r="U473" s="7"/>
    </row>
    <row r="474" spans="1:21" x14ac:dyDescent="0.25">
      <c r="A474" s="7" t="s">
        <v>1340</v>
      </c>
      <c r="B474" s="8">
        <v>44557.360497685186</v>
      </c>
      <c r="C474" s="8">
        <v>44566</v>
      </c>
      <c r="D474" s="9">
        <v>29200</v>
      </c>
      <c r="E474" s="7" t="e">
        <f>VLOOKUP(A474,DEVOLUCIONES!A$1:A$231,1,0)</f>
        <v>#N/A</v>
      </c>
      <c r="F474" s="7" t="e">
        <f>VLOOKUP(A474,'GLOSAS X CONCILIAR'!$A$1:$A$37,1,0)</f>
        <v>#N/A</v>
      </c>
      <c r="G474" s="7" t="str">
        <f>VLOOKUP(A474,'TODAS LAS P'!A:A,1,0)</f>
        <v>FEHF234703</v>
      </c>
      <c r="H474" s="7" t="str">
        <f>VLOOKUP(A474,PAGOS!A508:$A$1553,1,0)</f>
        <v>FEHF234703</v>
      </c>
      <c r="I474" s="40"/>
      <c r="J474" s="40"/>
      <c r="K474" s="40"/>
      <c r="L474" s="40"/>
      <c r="M474" s="40"/>
      <c r="N474" s="40"/>
      <c r="O474" s="40">
        <v>29200</v>
      </c>
      <c r="P474" s="40"/>
      <c r="Q474" s="7"/>
      <c r="R474" s="7" t="str">
        <f>VLOOKUP(A474,Hoja2!A$1:H$1143,8,0)</f>
        <v>2000797280</v>
      </c>
      <c r="S474" s="7"/>
      <c r="T474" s="35">
        <f t="shared" si="30"/>
        <v>0</v>
      </c>
      <c r="U474" s="7"/>
    </row>
    <row r="475" spans="1:21" x14ac:dyDescent="0.25">
      <c r="A475" s="7" t="s">
        <v>1295</v>
      </c>
      <c r="B475" s="8">
        <v>44558.112476851849</v>
      </c>
      <c r="C475" s="8">
        <v>44566</v>
      </c>
      <c r="D475" s="9">
        <v>72786</v>
      </c>
      <c r="E475" s="7" t="e">
        <f>VLOOKUP(A475,DEVOLUCIONES!A$1:A$231,1,0)</f>
        <v>#N/A</v>
      </c>
      <c r="F475" s="7" t="e">
        <f>VLOOKUP(A475,'GLOSAS X CONCILIAR'!$A$1:$A$37,1,0)</f>
        <v>#N/A</v>
      </c>
      <c r="G475" s="7" t="str">
        <f>VLOOKUP(A475,'TODAS LAS P'!A:A,1,0)</f>
        <v>FEHF235038</v>
      </c>
      <c r="H475" s="7" t="str">
        <f>VLOOKUP(A475,PAGOS!A509:$A$1553,1,0)</f>
        <v>FEHF235038</v>
      </c>
      <c r="I475" s="40"/>
      <c r="J475" s="40"/>
      <c r="K475" s="40"/>
      <c r="L475" s="40"/>
      <c r="M475" s="40"/>
      <c r="N475" s="40"/>
      <c r="O475" s="40">
        <v>72786</v>
      </c>
      <c r="P475" s="40"/>
      <c r="Q475" s="7"/>
      <c r="R475" s="7" t="str">
        <f>VLOOKUP(A475,Hoja2!A$1:H$1143,8,0)</f>
        <v>2000797280</v>
      </c>
      <c r="S475" s="7"/>
      <c r="T475" s="35">
        <f t="shared" si="30"/>
        <v>0</v>
      </c>
      <c r="U475" s="7"/>
    </row>
    <row r="476" spans="1:21" x14ac:dyDescent="0.25">
      <c r="A476" s="7" t="s">
        <v>1362</v>
      </c>
      <c r="B476" s="8">
        <v>44558.305949074071</v>
      </c>
      <c r="C476" s="8">
        <v>44566</v>
      </c>
      <c r="D476" s="9">
        <v>31600</v>
      </c>
      <c r="E476" s="7" t="e">
        <f>VLOOKUP(A476,DEVOLUCIONES!A$1:A$231,1,0)</f>
        <v>#N/A</v>
      </c>
      <c r="F476" s="7" t="e">
        <f>VLOOKUP(A476,'GLOSAS X CONCILIAR'!$A$1:$A$37,1,0)</f>
        <v>#N/A</v>
      </c>
      <c r="G476" s="7" t="str">
        <f>VLOOKUP(A476,'TODAS LAS P'!A:A,1,0)</f>
        <v>FEHF235084</v>
      </c>
      <c r="H476" s="7" t="str">
        <f>VLOOKUP(A476,PAGOS!A510:$A$1553,1,0)</f>
        <v>FEHF235084</v>
      </c>
      <c r="I476" s="40"/>
      <c r="J476" s="40"/>
      <c r="K476" s="40"/>
      <c r="L476" s="40"/>
      <c r="M476" s="40"/>
      <c r="N476" s="40"/>
      <c r="O476" s="40">
        <v>31600</v>
      </c>
      <c r="P476" s="40"/>
      <c r="Q476" s="7"/>
      <c r="R476" s="7" t="str">
        <f>VLOOKUP(A476,Hoja2!A$1:H$1143,8,0)</f>
        <v>2000797280</v>
      </c>
      <c r="S476" s="7"/>
      <c r="T476" s="35">
        <f t="shared" si="30"/>
        <v>0</v>
      </c>
      <c r="U476" s="7"/>
    </row>
    <row r="477" spans="1:21" x14ac:dyDescent="0.25">
      <c r="A477" s="7" t="s">
        <v>1359</v>
      </c>
      <c r="B477" s="8">
        <v>44558.357141203705</v>
      </c>
      <c r="C477" s="8">
        <v>44566</v>
      </c>
      <c r="D477" s="9">
        <v>47200</v>
      </c>
      <c r="E477" s="7" t="e">
        <f>VLOOKUP(A477,DEVOLUCIONES!A$1:A$231,1,0)</f>
        <v>#N/A</v>
      </c>
      <c r="F477" s="7" t="e">
        <f>VLOOKUP(A477,'GLOSAS X CONCILIAR'!$A$1:$A$37,1,0)</f>
        <v>#N/A</v>
      </c>
      <c r="G477" s="7" t="str">
        <f>VLOOKUP(A477,'TODAS LAS P'!A:A,1,0)</f>
        <v>FEHF235169</v>
      </c>
      <c r="H477" s="7" t="str">
        <f>VLOOKUP(A477,PAGOS!A511:$A$1553,1,0)</f>
        <v>FEHF235169</v>
      </c>
      <c r="I477" s="40"/>
      <c r="J477" s="40"/>
      <c r="K477" s="40"/>
      <c r="L477" s="40"/>
      <c r="M477" s="40"/>
      <c r="N477" s="40"/>
      <c r="O477" s="40">
        <v>47200</v>
      </c>
      <c r="P477" s="40"/>
      <c r="Q477" s="7"/>
      <c r="R477" s="7" t="str">
        <f>VLOOKUP(A477,Hoja2!A$1:H$1143,8,0)</f>
        <v>2000797280</v>
      </c>
      <c r="S477" s="7"/>
      <c r="T477" s="35">
        <f t="shared" si="30"/>
        <v>0</v>
      </c>
      <c r="U477" s="7"/>
    </row>
    <row r="478" spans="1:21" x14ac:dyDescent="0.25">
      <c r="A478" s="7" t="s">
        <v>1338</v>
      </c>
      <c r="B478" s="8">
        <v>44558.41783564815</v>
      </c>
      <c r="C478" s="8">
        <v>44566</v>
      </c>
      <c r="D478" s="9">
        <v>29200</v>
      </c>
      <c r="E478" s="7" t="e">
        <f>VLOOKUP(A478,DEVOLUCIONES!A$1:A$231,1,0)</f>
        <v>#N/A</v>
      </c>
      <c r="F478" s="7" t="e">
        <f>VLOOKUP(A478,'GLOSAS X CONCILIAR'!$A$1:$A$37,1,0)</f>
        <v>#N/A</v>
      </c>
      <c r="G478" s="7" t="str">
        <f>VLOOKUP(A478,'TODAS LAS P'!A:A,1,0)</f>
        <v>FEHF235264</v>
      </c>
      <c r="H478" s="7" t="str">
        <f>VLOOKUP(A478,PAGOS!A512:$A$1553,1,0)</f>
        <v>FEHF235264</v>
      </c>
      <c r="I478" s="40"/>
      <c r="J478" s="40"/>
      <c r="K478" s="40"/>
      <c r="L478" s="40"/>
      <c r="M478" s="40"/>
      <c r="N478" s="40"/>
      <c r="O478" s="40">
        <v>29200</v>
      </c>
      <c r="P478" s="40"/>
      <c r="Q478" s="7"/>
      <c r="R478" s="7" t="str">
        <f>VLOOKUP(A478,Hoja2!A$1:H$1143,8,0)</f>
        <v>2000797280</v>
      </c>
      <c r="S478" s="7"/>
      <c r="T478" s="35">
        <f t="shared" si="30"/>
        <v>0</v>
      </c>
      <c r="U478" s="7"/>
    </row>
    <row r="479" spans="1:21" x14ac:dyDescent="0.25">
      <c r="A479" s="7" t="s">
        <v>1336</v>
      </c>
      <c r="B479" s="8">
        <v>44558.419976851852</v>
      </c>
      <c r="C479" s="8">
        <v>44566</v>
      </c>
      <c r="D479" s="9">
        <v>29200</v>
      </c>
      <c r="E479" s="7" t="e">
        <f>VLOOKUP(A479,DEVOLUCIONES!A$1:A$231,1,0)</f>
        <v>#N/A</v>
      </c>
      <c r="F479" s="7" t="e">
        <f>VLOOKUP(A479,'GLOSAS X CONCILIAR'!$A$1:$A$37,1,0)</f>
        <v>#N/A</v>
      </c>
      <c r="G479" s="7" t="str">
        <f>VLOOKUP(A479,'TODAS LAS P'!A:A,1,0)</f>
        <v>FEHF235268</v>
      </c>
      <c r="H479" s="7" t="str">
        <f>VLOOKUP(A479,PAGOS!A513:$A$1553,1,0)</f>
        <v>FEHF235268</v>
      </c>
      <c r="I479" s="40"/>
      <c r="J479" s="40"/>
      <c r="K479" s="40"/>
      <c r="L479" s="40"/>
      <c r="M479" s="40"/>
      <c r="N479" s="40"/>
      <c r="O479" s="40">
        <v>29200</v>
      </c>
      <c r="P479" s="40"/>
      <c r="Q479" s="7"/>
      <c r="R479" s="7" t="str">
        <f>VLOOKUP(A479,Hoja2!A$1:H$1143,8,0)</f>
        <v>2000797280</v>
      </c>
      <c r="S479" s="7"/>
      <c r="T479" s="35">
        <f t="shared" si="30"/>
        <v>0</v>
      </c>
      <c r="U479" s="7"/>
    </row>
    <row r="480" spans="1:21" x14ac:dyDescent="0.25">
      <c r="A480" s="7" t="s">
        <v>1293</v>
      </c>
      <c r="B480" s="8">
        <v>44559.207569444443</v>
      </c>
      <c r="C480" s="8">
        <v>44566</v>
      </c>
      <c r="D480" s="9">
        <v>353272</v>
      </c>
      <c r="E480" s="7" t="e">
        <f>VLOOKUP(A480,DEVOLUCIONES!A$1:A$231,1,0)</f>
        <v>#N/A</v>
      </c>
      <c r="F480" s="7" t="e">
        <f>VLOOKUP(A480,'GLOSAS X CONCILIAR'!$A$1:$A$37,1,0)</f>
        <v>#N/A</v>
      </c>
      <c r="G480" s="7" t="str">
        <f>VLOOKUP(A480,'TODAS LAS P'!A:A,1,0)</f>
        <v>FEHF235594</v>
      </c>
      <c r="H480" s="7" t="str">
        <f>VLOOKUP(A480,PAGOS!A514:$A$1553,1,0)</f>
        <v>FEHF235594</v>
      </c>
      <c r="I480" s="40"/>
      <c r="J480" s="40"/>
      <c r="K480" s="40"/>
      <c r="L480" s="40"/>
      <c r="M480" s="40"/>
      <c r="N480" s="40"/>
      <c r="O480" s="40">
        <v>353272</v>
      </c>
      <c r="P480" s="40"/>
      <c r="Q480" s="7"/>
      <c r="R480" s="7" t="str">
        <f>VLOOKUP(A480,Hoja2!A$1:H$1143,8,0)</f>
        <v>2000797280</v>
      </c>
      <c r="S480" s="7"/>
      <c r="T480" s="35">
        <f t="shared" si="30"/>
        <v>0</v>
      </c>
      <c r="U480" s="7"/>
    </row>
    <row r="481" spans="1:21" x14ac:dyDescent="0.25">
      <c r="A481" s="7" t="s">
        <v>1356</v>
      </c>
      <c r="B481" s="8">
        <v>44559.46297453704</v>
      </c>
      <c r="C481" s="8">
        <v>44566</v>
      </c>
      <c r="D481" s="9">
        <v>562100</v>
      </c>
      <c r="E481" s="7" t="e">
        <f>VLOOKUP(A481,DEVOLUCIONES!A$1:A$231,1,0)</f>
        <v>#N/A</v>
      </c>
      <c r="F481" s="7" t="e">
        <f>VLOOKUP(A481,'GLOSAS X CONCILIAR'!$A$1:$A$37,1,0)</f>
        <v>#N/A</v>
      </c>
      <c r="G481" s="7" t="str">
        <f>VLOOKUP(A481,'TODAS LAS P'!A:A,1,0)</f>
        <v>FEHF235797</v>
      </c>
      <c r="H481" s="7" t="str">
        <f>VLOOKUP(A481,PAGOS!A515:$A$1553,1,0)</f>
        <v>FEHF235797</v>
      </c>
      <c r="I481" s="40"/>
      <c r="J481" s="40"/>
      <c r="K481" s="40"/>
      <c r="L481" s="40"/>
      <c r="M481" s="40"/>
      <c r="N481" s="40"/>
      <c r="O481" s="40">
        <v>562100</v>
      </c>
      <c r="P481" s="40"/>
      <c r="Q481" s="7"/>
      <c r="R481" s="7" t="str">
        <f>VLOOKUP(A481,Hoja2!A$1:H$1143,8,0)</f>
        <v>2000797280</v>
      </c>
      <c r="S481" s="7"/>
      <c r="T481" s="35">
        <f t="shared" si="30"/>
        <v>0</v>
      </c>
      <c r="U481" s="7"/>
    </row>
    <row r="482" spans="1:21" x14ac:dyDescent="0.25">
      <c r="A482" s="7" t="s">
        <v>1290</v>
      </c>
      <c r="B482" s="8">
        <v>44559.919687499998</v>
      </c>
      <c r="C482" s="8">
        <v>44566</v>
      </c>
      <c r="D482" s="9">
        <v>55132</v>
      </c>
      <c r="E482" s="7" t="e">
        <f>VLOOKUP(A482,DEVOLUCIONES!A$1:A$231,1,0)</f>
        <v>#N/A</v>
      </c>
      <c r="F482" s="7" t="e">
        <f>VLOOKUP(A482,'GLOSAS X CONCILIAR'!$A$1:$A$37,1,0)</f>
        <v>#N/A</v>
      </c>
      <c r="G482" s="7" t="str">
        <f>VLOOKUP(A482,'TODAS LAS P'!A:A,1,0)</f>
        <v>FEHF235994</v>
      </c>
      <c r="H482" s="7" t="str">
        <f>VLOOKUP(A482,PAGOS!A516:$A$1553,1,0)</f>
        <v>FEHF235994</v>
      </c>
      <c r="I482" s="40"/>
      <c r="J482" s="40"/>
      <c r="K482" s="40"/>
      <c r="L482" s="40"/>
      <c r="M482" s="40"/>
      <c r="N482" s="40"/>
      <c r="O482" s="40">
        <v>55132</v>
      </c>
      <c r="P482" s="40"/>
      <c r="Q482" s="7"/>
      <c r="R482" s="7" t="str">
        <f>VLOOKUP(A482,Hoja2!A$1:H$1143,8,0)</f>
        <v>2000797280</v>
      </c>
      <c r="S482" s="7"/>
      <c r="T482" s="35">
        <f t="shared" si="30"/>
        <v>0</v>
      </c>
      <c r="U482" s="7"/>
    </row>
    <row r="483" spans="1:21" x14ac:dyDescent="0.25">
      <c r="A483" s="7" t="s">
        <v>1334</v>
      </c>
      <c r="B483" s="8">
        <v>44560.37840277778</v>
      </c>
      <c r="C483" s="8">
        <v>44566</v>
      </c>
      <c r="D483" s="9">
        <v>42300</v>
      </c>
      <c r="E483" s="7" t="e">
        <f>VLOOKUP(A483,DEVOLUCIONES!A$1:A$231,1,0)</f>
        <v>#N/A</v>
      </c>
      <c r="F483" s="7" t="e">
        <f>VLOOKUP(A483,'GLOSAS X CONCILIAR'!$A$1:$A$37,1,0)</f>
        <v>#N/A</v>
      </c>
      <c r="G483" s="7" t="str">
        <f>VLOOKUP(A483,'TODAS LAS P'!A:A,1,0)</f>
        <v>FEHF236138</v>
      </c>
      <c r="H483" s="7" t="str">
        <f>VLOOKUP(A483,PAGOS!A517:$A$1553,1,0)</f>
        <v>FEHF236138</v>
      </c>
      <c r="I483" s="40"/>
      <c r="J483" s="40"/>
      <c r="K483" s="40"/>
      <c r="L483" s="40"/>
      <c r="M483" s="40"/>
      <c r="N483" s="40"/>
      <c r="O483" s="40">
        <v>42300</v>
      </c>
      <c r="P483" s="40"/>
      <c r="Q483" s="7"/>
      <c r="R483" s="7" t="str">
        <f>VLOOKUP(A483,Hoja2!A$1:H$1143,8,0)</f>
        <v>2000797280</v>
      </c>
      <c r="S483" s="7"/>
      <c r="T483" s="35">
        <f t="shared" si="30"/>
        <v>0</v>
      </c>
      <c r="U483" s="7"/>
    </row>
    <row r="484" spans="1:21" x14ac:dyDescent="0.25">
      <c r="A484" s="7" t="s">
        <v>1332</v>
      </c>
      <c r="B484" s="8">
        <v>44560.457685185182</v>
      </c>
      <c r="C484" s="8">
        <v>44566</v>
      </c>
      <c r="D484" s="9">
        <v>43700</v>
      </c>
      <c r="E484" s="7" t="e">
        <f>VLOOKUP(A484,DEVOLUCIONES!A$1:A$231,1,0)</f>
        <v>#N/A</v>
      </c>
      <c r="F484" s="7" t="e">
        <f>VLOOKUP(A484,'GLOSAS X CONCILIAR'!$A$1:$A$37,1,0)</f>
        <v>#N/A</v>
      </c>
      <c r="G484" s="7" t="str">
        <f>VLOOKUP(A484,'TODAS LAS P'!A:A,1,0)</f>
        <v>FEHF236209</v>
      </c>
      <c r="H484" s="7" t="str">
        <f>VLOOKUP(A484,PAGOS!A518:$A$1553,1,0)</f>
        <v>FEHF236209</v>
      </c>
      <c r="I484" s="40"/>
      <c r="J484" s="40"/>
      <c r="K484" s="40"/>
      <c r="L484" s="40"/>
      <c r="M484" s="40"/>
      <c r="N484" s="40"/>
      <c r="O484" s="40">
        <v>43700</v>
      </c>
      <c r="P484" s="40"/>
      <c r="Q484" s="7"/>
      <c r="R484" s="7" t="str">
        <f>VLOOKUP(A484,Hoja2!A$1:H$1143,8,0)</f>
        <v>2000797280</v>
      </c>
      <c r="S484" s="7"/>
      <c r="T484" s="35">
        <f t="shared" si="30"/>
        <v>0</v>
      </c>
      <c r="U484" s="7"/>
    </row>
    <row r="485" spans="1:21" x14ac:dyDescent="0.25">
      <c r="A485" s="7" t="s">
        <v>1429</v>
      </c>
      <c r="B485" s="8">
        <v>44560.516643518517</v>
      </c>
      <c r="C485" s="8">
        <v>44566</v>
      </c>
      <c r="D485" s="9">
        <v>95024</v>
      </c>
      <c r="E485" s="7" t="e">
        <f>VLOOKUP(A485,DEVOLUCIONES!A$1:A$231,1,0)</f>
        <v>#N/A</v>
      </c>
      <c r="F485" s="7" t="e">
        <f>VLOOKUP(A485,'GLOSAS X CONCILIAR'!$A$1:$A$37,1,0)</f>
        <v>#N/A</v>
      </c>
      <c r="G485" s="7" t="str">
        <f>VLOOKUP(A485,'TODAS LAS P'!A:A,1,0)</f>
        <v>FEHF236259</v>
      </c>
      <c r="H485" s="7" t="str">
        <f>VLOOKUP(A485,PAGOS!A519:$A$1553,1,0)</f>
        <v>FEHF236259</v>
      </c>
      <c r="I485" s="40"/>
      <c r="J485" s="40"/>
      <c r="K485" s="40"/>
      <c r="L485" s="40"/>
      <c r="M485" s="40"/>
      <c r="N485" s="40"/>
      <c r="O485" s="40">
        <v>95024</v>
      </c>
      <c r="P485" s="40"/>
      <c r="Q485" s="7"/>
      <c r="R485" s="7" t="str">
        <f>VLOOKUP(A485,Hoja2!A$1:H$1143,8,0)</f>
        <v>2000791620</v>
      </c>
      <c r="S485" s="7"/>
      <c r="T485" s="35">
        <f t="shared" si="30"/>
        <v>0</v>
      </c>
      <c r="U485" s="7"/>
    </row>
    <row r="486" spans="1:21" x14ac:dyDescent="0.25">
      <c r="A486" s="7" t="s">
        <v>968</v>
      </c>
      <c r="B486" s="8">
        <v>44560.518888888888</v>
      </c>
      <c r="C486" s="8">
        <v>44566</v>
      </c>
      <c r="D486" s="9">
        <v>873499</v>
      </c>
      <c r="E486" s="7" t="e">
        <f>VLOOKUP(A486,DEVOLUCIONES!A$1:A$231,1,0)</f>
        <v>#N/A</v>
      </c>
      <c r="F486" s="7" t="e">
        <f>VLOOKUP(A486,'GLOSAS X CONCILIAR'!$A$1:$A$37,1,0)</f>
        <v>#N/A</v>
      </c>
      <c r="G486" s="7" t="str">
        <f>VLOOKUP(A486,'TODAS LAS P'!A:A,1,0)</f>
        <v>FEHF236261</v>
      </c>
      <c r="H486" s="7" t="e">
        <f>VLOOKUP(A486,PAGOS!A520:$A$1553,1,0)</f>
        <v>#N/A</v>
      </c>
      <c r="I486" s="40"/>
      <c r="J486" s="40"/>
      <c r="K486" s="40"/>
      <c r="L486" s="40"/>
      <c r="M486" s="40"/>
      <c r="N486" s="40"/>
      <c r="O486" s="40">
        <v>873499</v>
      </c>
      <c r="P486" s="40"/>
      <c r="Q486" s="7"/>
      <c r="R486" s="7" t="str">
        <f>VLOOKUP(A486,Hoja2!A$1:H$1143,8,0)</f>
        <v>2000826027</v>
      </c>
      <c r="S486" s="7"/>
      <c r="T486" s="35">
        <f t="shared" si="30"/>
        <v>0</v>
      </c>
      <c r="U486" s="7"/>
    </row>
    <row r="487" spans="1:21" x14ac:dyDescent="0.25">
      <c r="A487" s="7" t="s">
        <v>1354</v>
      </c>
      <c r="B487" s="8">
        <v>44560.593032407407</v>
      </c>
      <c r="C487" s="8">
        <v>44566</v>
      </c>
      <c r="D487" s="9">
        <v>31600</v>
      </c>
      <c r="E487" s="7" t="e">
        <f>VLOOKUP(A487,DEVOLUCIONES!A$1:A$231,1,0)</f>
        <v>#N/A</v>
      </c>
      <c r="F487" s="7" t="e">
        <f>VLOOKUP(A487,'GLOSAS X CONCILIAR'!$A$1:$A$37,1,0)</f>
        <v>#N/A</v>
      </c>
      <c r="G487" s="7" t="str">
        <f>VLOOKUP(A487,'TODAS LAS P'!A:A,1,0)</f>
        <v>FEHF236313</v>
      </c>
      <c r="H487" s="7" t="str">
        <f>VLOOKUP(A487,PAGOS!A521:$A$1553,1,0)</f>
        <v>FEHF236313</v>
      </c>
      <c r="I487" s="40"/>
      <c r="J487" s="40"/>
      <c r="K487" s="40"/>
      <c r="L487" s="40"/>
      <c r="M487" s="40"/>
      <c r="N487" s="40"/>
      <c r="O487" s="40">
        <v>31600</v>
      </c>
      <c r="P487" s="40"/>
      <c r="Q487" s="7"/>
      <c r="R487" s="7" t="str">
        <f>VLOOKUP(A487,Hoja2!A$1:H$1143,8,0)</f>
        <v>2000797280</v>
      </c>
      <c r="S487" s="7"/>
      <c r="T487" s="35">
        <f t="shared" si="30"/>
        <v>0</v>
      </c>
      <c r="U487" s="7"/>
    </row>
    <row r="488" spans="1:21" x14ac:dyDescent="0.25">
      <c r="A488" s="7" t="s">
        <v>1396</v>
      </c>
      <c r="B488" s="8">
        <v>44560.707812499997</v>
      </c>
      <c r="C488" s="8">
        <v>44566</v>
      </c>
      <c r="D488" s="9">
        <v>2720645</v>
      </c>
      <c r="E488" s="7" t="e">
        <f>VLOOKUP(A488,DEVOLUCIONES!A$1:A$231,1,0)</f>
        <v>#N/A</v>
      </c>
      <c r="F488" s="7" t="e">
        <f>VLOOKUP(A488,'GLOSAS X CONCILIAR'!$A$1:$A$37,1,0)</f>
        <v>#N/A</v>
      </c>
      <c r="G488" s="7" t="str">
        <f>VLOOKUP(A488,'TODAS LAS P'!A:A,1,0)</f>
        <v>FEHF236387</v>
      </c>
      <c r="H488" s="7" t="str">
        <f>VLOOKUP(A488,PAGOS!A522:$A$1553,1,0)</f>
        <v>FEHF236387</v>
      </c>
      <c r="I488" s="40"/>
      <c r="J488" s="40"/>
      <c r="K488" s="40"/>
      <c r="L488" s="40"/>
      <c r="M488" s="40"/>
      <c r="N488" s="40"/>
      <c r="O488" s="40">
        <v>2720645</v>
      </c>
      <c r="P488" s="40"/>
      <c r="Q488" s="7"/>
      <c r="R488" s="7" t="str">
        <f>VLOOKUP(A488,Hoja2!A$1:H$1143,8,0)</f>
        <v>2000788130</v>
      </c>
      <c r="S488" s="7"/>
      <c r="T488" s="35">
        <f t="shared" si="30"/>
        <v>0</v>
      </c>
      <c r="U488" s="7"/>
    </row>
    <row r="489" spans="1:21" x14ac:dyDescent="0.25">
      <c r="A489" s="7" t="s">
        <v>1308</v>
      </c>
      <c r="B489" s="8">
        <v>44560.77815972222</v>
      </c>
      <c r="C489" s="8">
        <v>44566</v>
      </c>
      <c r="D489" s="9">
        <v>3968641</v>
      </c>
      <c r="E489" s="7" t="e">
        <f>VLOOKUP(A489,DEVOLUCIONES!A$1:A$231,1,0)</f>
        <v>#N/A</v>
      </c>
      <c r="F489" s="7" t="e">
        <f>VLOOKUP(A489,'GLOSAS X CONCILIAR'!$A$1:$A$37,1,0)</f>
        <v>#N/A</v>
      </c>
      <c r="G489" s="7" t="str">
        <f>VLOOKUP(A489,'TODAS LAS P'!A:A,1,0)</f>
        <v>FEHF236421</v>
      </c>
      <c r="H489" s="7" t="str">
        <f>VLOOKUP(A489,PAGOS!A523:$A$1553,1,0)</f>
        <v>FEHF236421</v>
      </c>
      <c r="I489" s="40"/>
      <c r="J489" s="40"/>
      <c r="K489" s="40"/>
      <c r="L489" s="40"/>
      <c r="M489" s="40"/>
      <c r="N489" s="40"/>
      <c r="O489" s="40">
        <v>3968641</v>
      </c>
      <c r="P489" s="40"/>
      <c r="Q489" s="7"/>
      <c r="R489" s="7" t="str">
        <f>VLOOKUP(A489,Hoja2!A$1:H$1143,8,0)</f>
        <v>2000797280</v>
      </c>
      <c r="S489" s="7"/>
      <c r="T489" s="35">
        <f t="shared" si="30"/>
        <v>0</v>
      </c>
      <c r="U489" s="7"/>
    </row>
    <row r="490" spans="1:21" x14ac:dyDescent="0.25">
      <c r="A490" s="7" t="s">
        <v>1330</v>
      </c>
      <c r="B490" s="8">
        <v>44561.343645833331</v>
      </c>
      <c r="C490" s="8">
        <v>44566</v>
      </c>
      <c r="D490" s="9">
        <v>28100</v>
      </c>
      <c r="E490" s="7" t="e">
        <f>VLOOKUP(A490,DEVOLUCIONES!A$1:A$231,1,0)</f>
        <v>#N/A</v>
      </c>
      <c r="F490" s="7" t="e">
        <f>VLOOKUP(A490,'GLOSAS X CONCILIAR'!$A$1:$A$37,1,0)</f>
        <v>#N/A</v>
      </c>
      <c r="G490" s="7" t="str">
        <f>VLOOKUP(A490,'TODAS LAS P'!A:A,1,0)</f>
        <v>FEHF236595</v>
      </c>
      <c r="H490" s="7" t="str">
        <f>VLOOKUP(A490,PAGOS!A524:$A$1553,1,0)</f>
        <v>FEHF236595</v>
      </c>
      <c r="I490" s="40"/>
      <c r="J490" s="40"/>
      <c r="K490" s="40"/>
      <c r="L490" s="40"/>
      <c r="M490" s="40"/>
      <c r="N490" s="40"/>
      <c r="O490" s="40">
        <v>28100</v>
      </c>
      <c r="P490" s="40"/>
      <c r="Q490" s="7"/>
      <c r="R490" s="7" t="str">
        <f>VLOOKUP(A490,Hoja2!A$1:H$1143,8,0)</f>
        <v>2000797280</v>
      </c>
      <c r="S490" s="7"/>
      <c r="T490" s="35">
        <f t="shared" si="30"/>
        <v>0</v>
      </c>
      <c r="U490" s="7"/>
    </row>
    <row r="491" spans="1:21" x14ac:dyDescent="0.25">
      <c r="A491" s="7" t="s">
        <v>1305</v>
      </c>
      <c r="B491" s="8">
        <v>44561.464537037034</v>
      </c>
      <c r="C491" s="8">
        <v>44566</v>
      </c>
      <c r="D491" s="9">
        <v>66159</v>
      </c>
      <c r="E491" s="7" t="e">
        <f>VLOOKUP(A491,DEVOLUCIONES!A$1:A$231,1,0)</f>
        <v>#N/A</v>
      </c>
      <c r="F491" s="7" t="e">
        <f>VLOOKUP(A491,'GLOSAS X CONCILIAR'!$A$1:$A$37,1,0)</f>
        <v>#N/A</v>
      </c>
      <c r="G491" s="7" t="str">
        <f>VLOOKUP(A491,'TODAS LAS P'!A:A,1,0)</f>
        <v>FEHF236676</v>
      </c>
      <c r="H491" s="7" t="str">
        <f>VLOOKUP(A491,PAGOS!A525:$A$1553,1,0)</f>
        <v>FEHF236676</v>
      </c>
      <c r="I491" s="40"/>
      <c r="J491" s="40"/>
      <c r="K491" s="40"/>
      <c r="L491" s="40"/>
      <c r="M491" s="40"/>
      <c r="N491" s="40"/>
      <c r="O491" s="40">
        <v>66159</v>
      </c>
      <c r="P491" s="40"/>
      <c r="Q491" s="7"/>
      <c r="R491" s="7" t="str">
        <f>VLOOKUP(A491,Hoja2!A$1:H$1143,8,0)</f>
        <v>2000797280</v>
      </c>
      <c r="S491" s="7"/>
      <c r="T491" s="35">
        <f t="shared" si="30"/>
        <v>0</v>
      </c>
      <c r="U491" s="7"/>
    </row>
    <row r="492" spans="1:21" x14ac:dyDescent="0.25">
      <c r="A492" s="7" t="s">
        <v>1287</v>
      </c>
      <c r="B492" s="8">
        <v>44561.840057870373</v>
      </c>
      <c r="C492" s="8">
        <v>44566</v>
      </c>
      <c r="D492" s="9">
        <v>147186</v>
      </c>
      <c r="E492" s="7" t="e">
        <f>VLOOKUP(A492,DEVOLUCIONES!A$1:A$231,1,0)</f>
        <v>#N/A</v>
      </c>
      <c r="F492" s="7" t="e">
        <f>VLOOKUP(A492,'GLOSAS X CONCILIAR'!$A$1:$A$37,1,0)</f>
        <v>#N/A</v>
      </c>
      <c r="G492" s="7" t="str">
        <f>VLOOKUP(A492,'TODAS LAS P'!A:A,1,0)</f>
        <v>FEHF236820</v>
      </c>
      <c r="H492" s="7" t="str">
        <f>VLOOKUP(A492,PAGOS!A526:$A$1553,1,0)</f>
        <v>FEHF236820</v>
      </c>
      <c r="I492" s="40"/>
      <c r="J492" s="40"/>
      <c r="K492" s="40"/>
      <c r="L492" s="40"/>
      <c r="M492" s="40"/>
      <c r="N492" s="40"/>
      <c r="O492" s="40">
        <v>147186</v>
      </c>
      <c r="P492" s="40"/>
      <c r="Q492" s="7"/>
      <c r="R492" s="7" t="str">
        <f>VLOOKUP(A492,Hoja2!A$1:H$1143,8,0)</f>
        <v>2000797280</v>
      </c>
      <c r="S492" s="7"/>
      <c r="T492" s="35">
        <f t="shared" si="30"/>
        <v>0</v>
      </c>
      <c r="U492" s="7"/>
    </row>
    <row r="493" spans="1:21" x14ac:dyDescent="0.25">
      <c r="A493" s="7" t="s">
        <v>1284</v>
      </c>
      <c r="B493" s="8">
        <v>44561.864999999998</v>
      </c>
      <c r="C493" s="8">
        <v>44566</v>
      </c>
      <c r="D493" s="9">
        <v>195400</v>
      </c>
      <c r="E493" s="7" t="e">
        <f>VLOOKUP(A493,DEVOLUCIONES!A$1:A$231,1,0)</f>
        <v>#N/A</v>
      </c>
      <c r="F493" s="7" t="e">
        <f>VLOOKUP(A493,'GLOSAS X CONCILIAR'!$A$1:$A$37,1,0)</f>
        <v>#N/A</v>
      </c>
      <c r="G493" s="7" t="str">
        <f>VLOOKUP(A493,'TODAS LAS P'!A:A,1,0)</f>
        <v>FEHF236829</v>
      </c>
      <c r="H493" s="7" t="str">
        <f>VLOOKUP(A493,PAGOS!A527:$A$1553,1,0)</f>
        <v>FEHF236829</v>
      </c>
      <c r="I493" s="40"/>
      <c r="J493" s="40"/>
      <c r="K493" s="40"/>
      <c r="L493" s="40"/>
      <c r="M493" s="40"/>
      <c r="N493" s="40"/>
      <c r="O493" s="40">
        <v>195400</v>
      </c>
      <c r="P493" s="40"/>
      <c r="Q493" s="7"/>
      <c r="R493" s="7" t="str">
        <f>VLOOKUP(A493,Hoja2!A$1:H$1143,8,0)</f>
        <v>2000797280</v>
      </c>
      <c r="S493" s="7"/>
      <c r="T493" s="35">
        <f t="shared" si="30"/>
        <v>0</v>
      </c>
      <c r="U493" s="7"/>
    </row>
    <row r="494" spans="1:21" x14ac:dyDescent="0.25">
      <c r="A494" s="7" t="s">
        <v>1639</v>
      </c>
      <c r="B494" s="8">
        <v>44562.603530092594</v>
      </c>
      <c r="C494" s="8">
        <v>44599.659722222219</v>
      </c>
      <c r="D494" s="9">
        <v>72591</v>
      </c>
      <c r="E494" s="7" t="e">
        <f>VLOOKUP(A494,DEVOLUCIONES!A$1:A$231,1,0)</f>
        <v>#N/A</v>
      </c>
      <c r="F494" s="7" t="e">
        <f>VLOOKUP(A494,'GLOSAS X CONCILIAR'!$A$1:$A$37,1,0)</f>
        <v>#N/A</v>
      </c>
      <c r="G494" s="7" t="str">
        <f>VLOOKUP(A494,'TODAS LAS P'!A:A,1,0)</f>
        <v>FEHF236891</v>
      </c>
      <c r="H494" s="7" t="str">
        <f>VLOOKUP(A494,PAGOS!A528:$A$1553,1,0)</f>
        <v>FEHF236891</v>
      </c>
      <c r="I494" s="40"/>
      <c r="J494" s="40"/>
      <c r="K494" s="40"/>
      <c r="L494" s="40"/>
      <c r="M494" s="40"/>
      <c r="N494" s="40"/>
      <c r="O494" s="40">
        <v>72591</v>
      </c>
      <c r="P494" s="40"/>
      <c r="Q494" s="7"/>
      <c r="R494" s="7" t="str">
        <f>VLOOKUP(A494,Hoja2!A$1:H$1143,8,0)</f>
        <v>2000797280</v>
      </c>
      <c r="S494" s="7"/>
      <c r="T494" s="35">
        <f t="shared" si="30"/>
        <v>0</v>
      </c>
      <c r="U494" s="7"/>
    </row>
    <row r="495" spans="1:21" x14ac:dyDescent="0.25">
      <c r="A495" s="7" t="s">
        <v>1452</v>
      </c>
      <c r="B495" s="8">
        <v>44562.718356481484</v>
      </c>
      <c r="C495" s="8">
        <v>44602</v>
      </c>
      <c r="D495" s="9">
        <v>59100</v>
      </c>
      <c r="E495" s="7" t="e">
        <f>VLOOKUP(A495,DEVOLUCIONES!A$1:A$231,1,0)</f>
        <v>#N/A</v>
      </c>
      <c r="F495" s="7" t="e">
        <f>VLOOKUP(A495,'GLOSAS X CONCILIAR'!$A$1:$A$37,1,0)</f>
        <v>#N/A</v>
      </c>
      <c r="G495" s="7" t="str">
        <f>VLOOKUP(A495,'TODAS LAS P'!A:A,1,0)</f>
        <v>FEHF236910</v>
      </c>
      <c r="H495" s="7" t="str">
        <f>VLOOKUP(A495,PAGOS!A529:$A$1553,1,0)</f>
        <v>FEHF236910</v>
      </c>
      <c r="I495" s="40"/>
      <c r="J495" s="40"/>
      <c r="K495" s="40"/>
      <c r="L495" s="40"/>
      <c r="M495" s="40"/>
      <c r="N495" s="40"/>
      <c r="O495" s="40">
        <v>59100</v>
      </c>
      <c r="P495" s="40"/>
      <c r="Q495" s="7"/>
      <c r="R495" s="7" t="str">
        <f>VLOOKUP(A495,Hoja2!A$1:H$1143,8,0)</f>
        <v>2000797280</v>
      </c>
      <c r="S495" s="7"/>
      <c r="T495" s="35">
        <f t="shared" si="30"/>
        <v>0</v>
      </c>
      <c r="U495" s="7"/>
    </row>
    <row r="496" spans="1:21" x14ac:dyDescent="0.25">
      <c r="A496" s="7" t="s">
        <v>1450</v>
      </c>
      <c r="B496" s="8">
        <v>44563.613865740743</v>
      </c>
      <c r="C496" s="8">
        <v>44602</v>
      </c>
      <c r="D496" s="9">
        <v>237300</v>
      </c>
      <c r="E496" s="7" t="e">
        <f>VLOOKUP(A496,DEVOLUCIONES!A$1:A$231,1,0)</f>
        <v>#N/A</v>
      </c>
      <c r="F496" s="7" t="e">
        <f>VLOOKUP(A496,'GLOSAS X CONCILIAR'!$A$1:$A$37,1,0)</f>
        <v>#N/A</v>
      </c>
      <c r="G496" s="7" t="str">
        <f>VLOOKUP(A496,'TODAS LAS P'!A:A,1,0)</f>
        <v>FEHF236962</v>
      </c>
      <c r="H496" s="7" t="str">
        <f>VLOOKUP(A496,PAGOS!A530:$A$1553,1,0)</f>
        <v>FEHF236962</v>
      </c>
      <c r="I496" s="40"/>
      <c r="J496" s="40"/>
      <c r="K496" s="40"/>
      <c r="L496" s="40"/>
      <c r="M496" s="40"/>
      <c r="N496" s="40"/>
      <c r="O496" s="40">
        <v>237300</v>
      </c>
      <c r="P496" s="40"/>
      <c r="Q496" s="7"/>
      <c r="R496" s="7" t="str">
        <f>VLOOKUP(A496,Hoja2!A$1:H$1143,8,0)</f>
        <v>2000797280</v>
      </c>
      <c r="S496" s="7"/>
      <c r="T496" s="35">
        <f t="shared" si="30"/>
        <v>0</v>
      </c>
      <c r="U496" s="7"/>
    </row>
    <row r="497" spans="1:21" x14ac:dyDescent="0.25">
      <c r="A497" s="7" t="s">
        <v>1578</v>
      </c>
      <c r="B497" s="8">
        <v>44564.331377314818</v>
      </c>
      <c r="C497" s="8">
        <v>44599.707638888889</v>
      </c>
      <c r="D497" s="9">
        <v>32300</v>
      </c>
      <c r="E497" s="7" t="e">
        <f>VLOOKUP(A497,DEVOLUCIONES!A$1:A$231,1,0)</f>
        <v>#N/A</v>
      </c>
      <c r="F497" s="7" t="e">
        <f>VLOOKUP(A497,'GLOSAS X CONCILIAR'!$A$1:$A$37,1,0)</f>
        <v>#N/A</v>
      </c>
      <c r="G497" s="7" t="str">
        <f>VLOOKUP(A497,'TODAS LAS P'!A:A,1,0)</f>
        <v>FEHF237039</v>
      </c>
      <c r="H497" s="7" t="str">
        <f>VLOOKUP(A497,PAGOS!A531:$A$1553,1,0)</f>
        <v>FEHF237039</v>
      </c>
      <c r="I497" s="40"/>
      <c r="J497" s="40"/>
      <c r="K497" s="40"/>
      <c r="L497" s="40"/>
      <c r="M497" s="40"/>
      <c r="N497" s="40"/>
      <c r="O497" s="40">
        <v>32300</v>
      </c>
      <c r="P497" s="40"/>
      <c r="Q497" s="7"/>
      <c r="R497" s="7" t="str">
        <f>VLOOKUP(A497,Hoja2!A$1:H$1143,8,0)</f>
        <v>2000797280</v>
      </c>
      <c r="S497" s="7"/>
      <c r="T497" s="35">
        <f t="shared" si="30"/>
        <v>0</v>
      </c>
      <c r="U497" s="7"/>
    </row>
    <row r="498" spans="1:21" x14ac:dyDescent="0.25">
      <c r="A498" s="7" t="s">
        <v>1576</v>
      </c>
      <c r="B498" s="8">
        <v>44564.335439814815</v>
      </c>
      <c r="C498" s="8">
        <v>44599.707638888889</v>
      </c>
      <c r="D498" s="9">
        <v>32300</v>
      </c>
      <c r="E498" s="7" t="e">
        <f>VLOOKUP(A498,DEVOLUCIONES!A$1:A$231,1,0)</f>
        <v>#N/A</v>
      </c>
      <c r="F498" s="7" t="e">
        <f>VLOOKUP(A498,'GLOSAS X CONCILIAR'!$A$1:$A$37,1,0)</f>
        <v>#N/A</v>
      </c>
      <c r="G498" s="7" t="str">
        <f>VLOOKUP(A498,'TODAS LAS P'!A:A,1,0)</f>
        <v>FEHF237042</v>
      </c>
      <c r="H498" s="7" t="str">
        <f>VLOOKUP(A498,PAGOS!A532:$A$1553,1,0)</f>
        <v>FEHF237042</v>
      </c>
      <c r="I498" s="40"/>
      <c r="J498" s="40"/>
      <c r="K498" s="40"/>
      <c r="L498" s="40"/>
      <c r="M498" s="40"/>
      <c r="N498" s="40"/>
      <c r="O498" s="40">
        <v>32300</v>
      </c>
      <c r="P498" s="40"/>
      <c r="Q498" s="7"/>
      <c r="R498" s="7" t="str">
        <f>VLOOKUP(A498,Hoja2!A$1:H$1143,8,0)</f>
        <v>2000797280</v>
      </c>
      <c r="S498" s="7"/>
      <c r="T498" s="35">
        <f t="shared" si="30"/>
        <v>0</v>
      </c>
      <c r="U498" s="7"/>
    </row>
    <row r="499" spans="1:21" x14ac:dyDescent="0.25">
      <c r="A499" s="7" t="s">
        <v>1281</v>
      </c>
      <c r="B499" s="8">
        <v>44564.420300925929</v>
      </c>
      <c r="C499" s="8">
        <v>44566</v>
      </c>
      <c r="D499" s="9">
        <v>53700</v>
      </c>
      <c r="E499" s="7" t="e">
        <f>VLOOKUP(A499,DEVOLUCIONES!A$1:A$231,1,0)</f>
        <v>#N/A</v>
      </c>
      <c r="F499" s="7" t="e">
        <f>VLOOKUP(A499,'GLOSAS X CONCILIAR'!$A$1:$A$37,1,0)</f>
        <v>#N/A</v>
      </c>
      <c r="G499" s="7" t="str">
        <f>VLOOKUP(A499,'TODAS LAS P'!A:A,1,0)</f>
        <v>FEHF237107</v>
      </c>
      <c r="H499" s="7" t="str">
        <f>VLOOKUP(A499,PAGOS!A533:$A$1553,1,0)</f>
        <v>FEHF237107</v>
      </c>
      <c r="I499" s="40"/>
      <c r="J499" s="40"/>
      <c r="K499" s="40"/>
      <c r="L499" s="40"/>
      <c r="M499" s="40"/>
      <c r="N499" s="40"/>
      <c r="O499" s="40">
        <v>53700</v>
      </c>
      <c r="P499" s="40"/>
      <c r="Q499" s="7"/>
      <c r="R499" s="7" t="str">
        <f>VLOOKUP(A499,Hoja2!A$1:H$1143,8,0)</f>
        <v>2000797280</v>
      </c>
      <c r="S499" s="7"/>
      <c r="T499" s="35">
        <f t="shared" si="30"/>
        <v>0</v>
      </c>
      <c r="U499" s="7"/>
    </row>
    <row r="500" spans="1:21" x14ac:dyDescent="0.25">
      <c r="A500" s="7" t="s">
        <v>1380</v>
      </c>
      <c r="B500" s="8">
        <v>44564.451354166667</v>
      </c>
      <c r="C500" s="8">
        <v>44599.707638888889</v>
      </c>
      <c r="D500" s="9">
        <v>36000</v>
      </c>
      <c r="E500" s="7" t="e">
        <f>VLOOKUP(A500,DEVOLUCIONES!A$1:A$231,1,0)</f>
        <v>#N/A</v>
      </c>
      <c r="F500" s="7" t="e">
        <f>VLOOKUP(A500,'GLOSAS X CONCILIAR'!$A$1:$A$37,1,0)</f>
        <v>#N/A</v>
      </c>
      <c r="G500" s="7" t="str">
        <f>VLOOKUP(A500,'TODAS LAS P'!A:A,1,0)</f>
        <v>FEHF237130</v>
      </c>
      <c r="H500" s="7" t="str">
        <f>VLOOKUP(A500,PAGOS!A534:$A$1553,1,0)</f>
        <v>FEHF237130</v>
      </c>
      <c r="I500" s="40"/>
      <c r="J500" s="40"/>
      <c r="K500" s="40"/>
      <c r="L500" s="40"/>
      <c r="M500" s="40"/>
      <c r="N500" s="40"/>
      <c r="O500" s="40">
        <v>36000</v>
      </c>
      <c r="P500" s="40"/>
      <c r="Q500" s="7"/>
      <c r="R500" s="7" t="str">
        <f>VLOOKUP(A500,Hoja2!A$1:H$1143,8,0)</f>
        <v>2000797004</v>
      </c>
      <c r="S500" s="7"/>
      <c r="T500" s="35">
        <f t="shared" si="30"/>
        <v>0</v>
      </c>
      <c r="U500" s="7"/>
    </row>
    <row r="501" spans="1:21" x14ac:dyDescent="0.25">
      <c r="A501" s="7" t="s">
        <v>3078</v>
      </c>
      <c r="B501" s="8">
        <v>44564.529965277776</v>
      </c>
      <c r="C501" s="8">
        <v>44566</v>
      </c>
      <c r="D501" s="9">
        <v>80832</v>
      </c>
      <c r="E501" s="7" t="str">
        <f>VLOOKUP(A501,DEVOLUCIONES!A$1:A$231,1,0)</f>
        <v>FEHF237173</v>
      </c>
      <c r="F501" s="7" t="e">
        <f>VLOOKUP(A501,'GLOSAS X CONCILIAR'!$A$1:$A$37,1,0)</f>
        <v>#N/A</v>
      </c>
      <c r="G501" s="7" t="e">
        <f>VLOOKUP(A501,'TODAS LAS P'!A:A,1,0)</f>
        <v>#N/A</v>
      </c>
      <c r="H501" s="7" t="e">
        <f>VLOOKUP(A501,PAGOS!A535:$A$1553,1,0)</f>
        <v>#N/A</v>
      </c>
      <c r="I501" s="40"/>
      <c r="J501" s="40">
        <f>D501</f>
        <v>80832</v>
      </c>
      <c r="K501" s="40"/>
      <c r="L501" s="40"/>
      <c r="M501" s="40"/>
      <c r="N501" s="40"/>
      <c r="O501" s="40"/>
      <c r="P501" s="40"/>
      <c r="Q501" s="7" t="str">
        <f>VLOOKUP(A501,DEVOLUCIONES!A$1:B$231,2,0)</f>
        <v>DF-257654324538860</v>
      </c>
      <c r="R501" s="7"/>
      <c r="S501" s="7" t="str">
        <f>VLOOKUP(A501,DEVOLUCIONES!A$1:H$231,8,0)</f>
        <v xml:space="preserve">Se realiza devolución de la factura dado que la IPS no anexa los requisitos exigidos por el ADRES se observa que no anexan el registro INVIMA para las pruebas de anticuerpos y de antígenos tampoco adjuntan el pdf del resultado cargado en la plataforma SISMUESTRAS ni el archivo en Excel según lo estipulado en la circular 049 expedida por el ADRES y resolución 1463 requisito necesario para continuar con el debido proceso </v>
      </c>
      <c r="T501" s="35">
        <f t="shared" si="30"/>
        <v>0</v>
      </c>
      <c r="U501" s="7"/>
    </row>
    <row r="502" spans="1:21" x14ac:dyDescent="0.25">
      <c r="A502" s="7" t="s">
        <v>1637</v>
      </c>
      <c r="B502" s="8">
        <v>44564.730138888888</v>
      </c>
      <c r="C502" s="8">
        <v>44599.659722222219</v>
      </c>
      <c r="D502" s="9">
        <v>331300</v>
      </c>
      <c r="E502" s="7" t="e">
        <f>VLOOKUP(A502,DEVOLUCIONES!A$1:A$231,1,0)</f>
        <v>#N/A</v>
      </c>
      <c r="F502" s="7" t="e">
        <f>VLOOKUP(A502,'GLOSAS X CONCILIAR'!$A$1:$A$37,1,0)</f>
        <v>#N/A</v>
      </c>
      <c r="G502" s="7" t="str">
        <f>VLOOKUP(A502,'TODAS LAS P'!A:A,1,0)</f>
        <v>FEHF237274</v>
      </c>
      <c r="H502" s="7" t="str">
        <f>VLOOKUP(A502,PAGOS!A536:$A$1553,1,0)</f>
        <v>FEHF237274</v>
      </c>
      <c r="I502" s="40"/>
      <c r="J502" s="40"/>
      <c r="K502" s="40"/>
      <c r="L502" s="40"/>
      <c r="M502" s="40"/>
      <c r="N502" s="40"/>
      <c r="O502" s="40">
        <v>331300</v>
      </c>
      <c r="P502" s="40"/>
      <c r="Q502" s="7"/>
      <c r="R502" s="7" t="str">
        <f>VLOOKUP(A502,Hoja2!A$1:H$1143,8,0)</f>
        <v>2000797280</v>
      </c>
      <c r="S502" s="7"/>
      <c r="T502" s="35">
        <f t="shared" si="30"/>
        <v>0</v>
      </c>
      <c r="U502" s="7"/>
    </row>
    <row r="503" spans="1:21" x14ac:dyDescent="0.25">
      <c r="A503" s="7" t="s">
        <v>1574</v>
      </c>
      <c r="B503" s="8">
        <v>44566.288043981483</v>
      </c>
      <c r="C503" s="8">
        <v>44599.707638888889</v>
      </c>
      <c r="D503" s="9">
        <v>265200</v>
      </c>
      <c r="E503" s="7" t="e">
        <f>VLOOKUP(A503,DEVOLUCIONES!A$1:A$231,1,0)</f>
        <v>#N/A</v>
      </c>
      <c r="F503" s="7" t="e">
        <f>VLOOKUP(A503,'GLOSAS X CONCILIAR'!$A$1:$A$37,1,0)</f>
        <v>#N/A</v>
      </c>
      <c r="G503" s="7" t="str">
        <f>VLOOKUP(A503,'TODAS LAS P'!A:A,1,0)</f>
        <v>FEHF237789</v>
      </c>
      <c r="H503" s="7" t="str">
        <f>VLOOKUP(A503,PAGOS!A537:$A$1553,1,0)</f>
        <v>FEHF237789</v>
      </c>
      <c r="I503" s="40"/>
      <c r="J503" s="40"/>
      <c r="K503" s="40"/>
      <c r="L503" s="40"/>
      <c r="M503" s="40"/>
      <c r="N503" s="40"/>
      <c r="O503" s="40">
        <v>265200</v>
      </c>
      <c r="P503" s="40"/>
      <c r="Q503" s="7"/>
      <c r="R503" s="7" t="str">
        <f>VLOOKUP(A503,Hoja2!A$1:H$1143,8,0)</f>
        <v>2000797280</v>
      </c>
      <c r="S503" s="7"/>
      <c r="T503" s="35">
        <f t="shared" si="30"/>
        <v>0</v>
      </c>
      <c r="U503" s="7"/>
    </row>
    <row r="504" spans="1:21" x14ac:dyDescent="0.25">
      <c r="A504" s="7" t="s">
        <v>1635</v>
      </c>
      <c r="B504" s="8">
        <v>44566.392858796295</v>
      </c>
      <c r="C504" s="8">
        <v>44599.659722222219</v>
      </c>
      <c r="D504" s="9">
        <v>59100</v>
      </c>
      <c r="E504" s="7" t="e">
        <f>VLOOKUP(A504,DEVOLUCIONES!A$1:A$231,1,0)</f>
        <v>#N/A</v>
      </c>
      <c r="F504" s="7" t="e">
        <f>VLOOKUP(A504,'GLOSAS X CONCILIAR'!$A$1:$A$37,1,0)</f>
        <v>#N/A</v>
      </c>
      <c r="G504" s="7" t="str">
        <f>VLOOKUP(A504,'TODAS LAS P'!A:A,1,0)</f>
        <v>FEHF237918</v>
      </c>
      <c r="H504" s="7" t="str">
        <f>VLOOKUP(A504,PAGOS!A538:$A$1553,1,0)</f>
        <v>FEHF237918</v>
      </c>
      <c r="I504" s="40"/>
      <c r="J504" s="40"/>
      <c r="K504" s="40"/>
      <c r="L504" s="40"/>
      <c r="M504" s="40"/>
      <c r="N504" s="40"/>
      <c r="O504" s="40">
        <v>59100</v>
      </c>
      <c r="P504" s="40"/>
      <c r="Q504" s="7"/>
      <c r="R504" s="7" t="str">
        <f>VLOOKUP(A504,Hoja2!A$1:H$1143,8,0)</f>
        <v>2000797280</v>
      </c>
      <c r="S504" s="7"/>
      <c r="T504" s="35">
        <f t="shared" si="30"/>
        <v>0</v>
      </c>
      <c r="U504" s="7"/>
    </row>
    <row r="505" spans="1:21" x14ac:dyDescent="0.25">
      <c r="A505" s="7" t="s">
        <v>1633</v>
      </c>
      <c r="B505" s="8">
        <v>44567.988796296297</v>
      </c>
      <c r="C505" s="8">
        <v>44599.659722222219</v>
      </c>
      <c r="D505" s="9">
        <v>192434</v>
      </c>
      <c r="E505" s="7" t="e">
        <f>VLOOKUP(A505,DEVOLUCIONES!A$1:A$231,1,0)</f>
        <v>#N/A</v>
      </c>
      <c r="F505" s="7" t="e">
        <f>VLOOKUP(A505,'GLOSAS X CONCILIAR'!$A$1:$A$37,1,0)</f>
        <v>#N/A</v>
      </c>
      <c r="G505" s="7" t="str">
        <f>VLOOKUP(A505,'TODAS LAS P'!A:A,1,0)</f>
        <v>FEHF238669</v>
      </c>
      <c r="H505" s="7" t="str">
        <f>VLOOKUP(A505,PAGOS!A539:$A$1553,1,0)</f>
        <v>FEHF238669</v>
      </c>
      <c r="I505" s="40"/>
      <c r="J505" s="40"/>
      <c r="K505" s="40"/>
      <c r="L505" s="40"/>
      <c r="M505" s="40"/>
      <c r="N505" s="40"/>
      <c r="O505" s="40">
        <v>192434</v>
      </c>
      <c r="P505" s="40"/>
      <c r="Q505" s="7"/>
      <c r="R505" s="7" t="str">
        <f>VLOOKUP(A505,Hoja2!A$1:H$1143,8,0)</f>
        <v>2000797280</v>
      </c>
      <c r="S505" s="7"/>
      <c r="T505" s="35">
        <f t="shared" si="30"/>
        <v>0</v>
      </c>
      <c r="U505" s="7"/>
    </row>
    <row r="506" spans="1:21" x14ac:dyDescent="0.25">
      <c r="A506" s="7" t="s">
        <v>1485</v>
      </c>
      <c r="B506" s="8">
        <v>44568.356296296297</v>
      </c>
      <c r="C506" s="8">
        <v>44599.707638888889</v>
      </c>
      <c r="D506" s="9">
        <v>23000</v>
      </c>
      <c r="E506" s="7" t="e">
        <f>VLOOKUP(A506,DEVOLUCIONES!A$1:A$231,1,0)</f>
        <v>#N/A</v>
      </c>
      <c r="F506" s="7" t="e">
        <f>VLOOKUP(A506,'GLOSAS X CONCILIAR'!$A$1:$A$37,1,0)</f>
        <v>#N/A</v>
      </c>
      <c r="G506" s="7" t="str">
        <f>VLOOKUP(A506,'TODAS LAS P'!A:A,1,0)</f>
        <v>FEHF238831</v>
      </c>
      <c r="H506" s="7" t="str">
        <f>VLOOKUP(A506,PAGOS!A540:$A$1553,1,0)</f>
        <v>FEHF238831</v>
      </c>
      <c r="I506" s="40"/>
      <c r="J506" s="40"/>
      <c r="K506" s="40"/>
      <c r="L506" s="40"/>
      <c r="M506" s="40"/>
      <c r="N506" s="40"/>
      <c r="O506" s="40">
        <v>23000</v>
      </c>
      <c r="P506" s="40"/>
      <c r="Q506" s="7"/>
      <c r="R506" s="7" t="str">
        <f>VLOOKUP(A506,Hoja2!A$1:H$1143,8,0)</f>
        <v>2000797280</v>
      </c>
      <c r="S506" s="7"/>
      <c r="T506" s="35">
        <f t="shared" si="30"/>
        <v>0</v>
      </c>
      <c r="U506" s="7"/>
    </row>
    <row r="507" spans="1:21" x14ac:dyDescent="0.25">
      <c r="A507" s="7" t="s">
        <v>1483</v>
      </c>
      <c r="B507" s="8">
        <v>44568.449953703705</v>
      </c>
      <c r="C507" s="8">
        <v>44599.707638888889</v>
      </c>
      <c r="D507" s="9">
        <v>51900</v>
      </c>
      <c r="E507" s="7" t="e">
        <f>VLOOKUP(A507,DEVOLUCIONES!A$1:A$231,1,0)</f>
        <v>#N/A</v>
      </c>
      <c r="F507" s="7" t="e">
        <f>VLOOKUP(A507,'GLOSAS X CONCILIAR'!$A$1:$A$37,1,0)</f>
        <v>#N/A</v>
      </c>
      <c r="G507" s="7" t="str">
        <f>VLOOKUP(A507,'TODAS LAS P'!A:A,1,0)</f>
        <v>FEHF238970</v>
      </c>
      <c r="H507" s="7" t="str">
        <f>VLOOKUP(A507,PAGOS!A541:$A$1553,1,0)</f>
        <v>FEHF238970</v>
      </c>
      <c r="I507" s="40"/>
      <c r="J507" s="40"/>
      <c r="K507" s="40"/>
      <c r="L507" s="40"/>
      <c r="M507" s="40"/>
      <c r="N507" s="40"/>
      <c r="O507" s="40">
        <v>51900</v>
      </c>
      <c r="P507" s="40"/>
      <c r="Q507" s="7"/>
      <c r="R507" s="7" t="str">
        <f>VLOOKUP(A507,Hoja2!A$1:H$1143,8,0)</f>
        <v>2000797280</v>
      </c>
      <c r="S507" s="7"/>
      <c r="T507" s="35">
        <f t="shared" si="30"/>
        <v>0</v>
      </c>
      <c r="U507" s="7"/>
    </row>
    <row r="508" spans="1:21" x14ac:dyDescent="0.25">
      <c r="A508" s="7" t="s">
        <v>1566</v>
      </c>
      <c r="B508" s="8">
        <v>44568.48505787037</v>
      </c>
      <c r="C508" s="8">
        <v>44602</v>
      </c>
      <c r="D508" s="9">
        <v>103500</v>
      </c>
      <c r="E508" s="7" t="e">
        <f>VLOOKUP(A508,DEVOLUCIONES!A$1:A$231,1,0)</f>
        <v>#N/A</v>
      </c>
      <c r="F508" s="7" t="e">
        <f>VLOOKUP(A508,'GLOSAS X CONCILIAR'!$A$1:$A$37,1,0)</f>
        <v>#N/A</v>
      </c>
      <c r="G508" s="7" t="str">
        <f>VLOOKUP(A508,'TODAS LAS P'!A:A,1,0)</f>
        <v>FEHF239012</v>
      </c>
      <c r="H508" s="7" t="str">
        <f>VLOOKUP(A508,PAGOS!A542:$A$1553,1,0)</f>
        <v>FEHF239012</v>
      </c>
      <c r="I508" s="40"/>
      <c r="J508" s="40"/>
      <c r="K508" s="40"/>
      <c r="L508" s="40"/>
      <c r="M508" s="40"/>
      <c r="N508" s="40"/>
      <c r="O508" s="40">
        <v>103500</v>
      </c>
      <c r="P508" s="40"/>
      <c r="Q508" s="7"/>
      <c r="R508" s="7" t="str">
        <f>VLOOKUP(A508,Hoja2!A$1:H$1143,8,0)</f>
        <v>2000797280</v>
      </c>
      <c r="S508" s="7"/>
      <c r="T508" s="35">
        <f t="shared" si="30"/>
        <v>0</v>
      </c>
      <c r="U508" s="7"/>
    </row>
    <row r="509" spans="1:21" x14ac:dyDescent="0.25">
      <c r="A509" s="7" t="s">
        <v>1563</v>
      </c>
      <c r="B509" s="8">
        <v>44568.630104166667</v>
      </c>
      <c r="C509" s="8">
        <v>44602</v>
      </c>
      <c r="D509" s="9">
        <v>1680135</v>
      </c>
      <c r="E509" s="7" t="e">
        <f>VLOOKUP(A509,DEVOLUCIONES!A$1:A$231,1,0)</f>
        <v>#N/A</v>
      </c>
      <c r="F509" s="7" t="e">
        <f>VLOOKUP(A509,'GLOSAS X CONCILIAR'!$A$1:$A$37,1,0)</f>
        <v>#N/A</v>
      </c>
      <c r="G509" s="7" t="str">
        <f>VLOOKUP(A509,'TODAS LAS P'!A:A,1,0)</f>
        <v>FEHF239122</v>
      </c>
      <c r="H509" s="7" t="str">
        <f>VLOOKUP(A509,PAGOS!A543:$A$1553,1,0)</f>
        <v>FEHF239122</v>
      </c>
      <c r="I509" s="40"/>
      <c r="J509" s="40"/>
      <c r="K509" s="40"/>
      <c r="L509" s="40"/>
      <c r="M509" s="40"/>
      <c r="N509" s="40"/>
      <c r="O509" s="40">
        <v>1680135</v>
      </c>
      <c r="P509" s="40"/>
      <c r="Q509" s="7"/>
      <c r="R509" s="7" t="str">
        <f>VLOOKUP(A509,Hoja2!A$1:H$1143,8,0)</f>
        <v>2000797280</v>
      </c>
      <c r="S509" s="7"/>
      <c r="T509" s="35">
        <f t="shared" si="30"/>
        <v>0</v>
      </c>
      <c r="U509" s="7"/>
    </row>
    <row r="510" spans="1:21" x14ac:dyDescent="0.25">
      <c r="A510" s="7" t="s">
        <v>1630</v>
      </c>
      <c r="B510" s="8">
        <v>44569.264120370368</v>
      </c>
      <c r="C510" s="8">
        <v>44599.659722222219</v>
      </c>
      <c r="D510" s="9">
        <v>59978</v>
      </c>
      <c r="E510" s="7" t="e">
        <f>VLOOKUP(A510,DEVOLUCIONES!A$1:A$231,1,0)</f>
        <v>#N/A</v>
      </c>
      <c r="F510" s="7" t="e">
        <f>VLOOKUP(A510,'GLOSAS X CONCILIAR'!$A$1:$A$37,1,0)</f>
        <v>#N/A</v>
      </c>
      <c r="G510" s="7" t="str">
        <f>VLOOKUP(A510,'TODAS LAS P'!A:A,1,0)</f>
        <v>FEHF239230</v>
      </c>
      <c r="H510" s="7" t="str">
        <f>VLOOKUP(A510,PAGOS!A544:$A$1553,1,0)</f>
        <v>FEHF239230</v>
      </c>
      <c r="I510" s="40"/>
      <c r="J510" s="40"/>
      <c r="K510" s="40"/>
      <c r="L510" s="40"/>
      <c r="M510" s="40"/>
      <c r="N510" s="40"/>
      <c r="O510" s="40">
        <v>59978</v>
      </c>
      <c r="P510" s="40"/>
      <c r="Q510" s="7"/>
      <c r="R510" s="7" t="str">
        <f>VLOOKUP(A510,Hoja2!A$1:H$1143,8,0)</f>
        <v>2000797280</v>
      </c>
      <c r="S510" s="7"/>
      <c r="T510" s="35">
        <f t="shared" si="30"/>
        <v>0</v>
      </c>
      <c r="U510" s="7"/>
    </row>
    <row r="511" spans="1:21" x14ac:dyDescent="0.25">
      <c r="A511" s="7" t="s">
        <v>965</v>
      </c>
      <c r="B511" s="8">
        <v>44569.892291666663</v>
      </c>
      <c r="C511" s="8">
        <v>44602</v>
      </c>
      <c r="D511" s="9">
        <v>74425</v>
      </c>
      <c r="E511" s="7" t="e">
        <f>VLOOKUP(A511,DEVOLUCIONES!A$1:A$231,1,0)</f>
        <v>#N/A</v>
      </c>
      <c r="F511" s="7" t="e">
        <f>VLOOKUP(A511,'GLOSAS X CONCILIAR'!$A$1:$A$37,1,0)</f>
        <v>#N/A</v>
      </c>
      <c r="G511" s="7" t="str">
        <f>VLOOKUP(A511,'TODAS LAS P'!A:A,1,0)</f>
        <v>FEHF239395</v>
      </c>
      <c r="H511" s="7" t="str">
        <f>VLOOKUP(A511,PAGOS!A545:$A$1553,1,0)</f>
        <v>FEHF239395</v>
      </c>
      <c r="I511" s="40"/>
      <c r="J511" s="40"/>
      <c r="K511" s="40"/>
      <c r="L511" s="40"/>
      <c r="M511" s="40"/>
      <c r="N511" s="40"/>
      <c r="O511" s="40">
        <v>74425</v>
      </c>
      <c r="P511" s="40"/>
      <c r="Q511" s="7"/>
      <c r="R511" s="7" t="str">
        <f>VLOOKUP(A511,Hoja2!A$1:H$1143,8,0)</f>
        <v>2000826027</v>
      </c>
      <c r="S511" s="7"/>
      <c r="T511" s="35">
        <f t="shared" si="30"/>
        <v>0</v>
      </c>
      <c r="U511" s="7"/>
    </row>
    <row r="512" spans="1:21" x14ac:dyDescent="0.25">
      <c r="A512" s="7" t="s">
        <v>1561</v>
      </c>
      <c r="B512" s="8">
        <v>44570.91133101852</v>
      </c>
      <c r="C512" s="8">
        <v>44602</v>
      </c>
      <c r="D512" s="9">
        <v>166272</v>
      </c>
      <c r="E512" s="7" t="e">
        <f>VLOOKUP(A512,DEVOLUCIONES!A$1:A$231,1,0)</f>
        <v>#N/A</v>
      </c>
      <c r="F512" s="7" t="e">
        <f>VLOOKUP(A512,'GLOSAS X CONCILIAR'!$A$1:$A$37,1,0)</f>
        <v>#N/A</v>
      </c>
      <c r="G512" s="7" t="str">
        <f>VLOOKUP(A512,'TODAS LAS P'!A:A,1,0)</f>
        <v>FEHF239524</v>
      </c>
      <c r="H512" s="7" t="str">
        <f>VLOOKUP(A512,PAGOS!A546:$A$1553,1,0)</f>
        <v>FEHF239524</v>
      </c>
      <c r="I512" s="40"/>
      <c r="J512" s="40"/>
      <c r="K512" s="40"/>
      <c r="L512" s="40"/>
      <c r="M512" s="40"/>
      <c r="N512" s="40"/>
      <c r="O512" s="40">
        <v>166272</v>
      </c>
      <c r="P512" s="40"/>
      <c r="Q512" s="7"/>
      <c r="R512" s="7" t="str">
        <f>VLOOKUP(A512,Hoja2!A$1:H$1143,8,0)</f>
        <v>2000797280</v>
      </c>
      <c r="S512" s="7"/>
      <c r="T512" s="35">
        <f t="shared" si="30"/>
        <v>0</v>
      </c>
      <c r="U512" s="7"/>
    </row>
    <row r="513" spans="1:21" x14ac:dyDescent="0.25">
      <c r="A513" s="7" t="s">
        <v>3079</v>
      </c>
      <c r="B513" s="8">
        <v>44571.540694444448</v>
      </c>
      <c r="C513" s="8">
        <v>44602</v>
      </c>
      <c r="D513" s="9">
        <v>80832</v>
      </c>
      <c r="E513" s="7" t="str">
        <f>VLOOKUP(A513,DEVOLUCIONES!A$1:A$231,1,0)</f>
        <v>FEHF239609</v>
      </c>
      <c r="F513" s="7" t="e">
        <f>VLOOKUP(A513,'GLOSAS X CONCILIAR'!$A$1:$A$37,1,0)</f>
        <v>#N/A</v>
      </c>
      <c r="G513" s="7" t="e">
        <f>VLOOKUP(A513,'TODAS LAS P'!A:A,1,0)</f>
        <v>#N/A</v>
      </c>
      <c r="H513" s="7" t="e">
        <f>VLOOKUP(A513,PAGOS!A547:$A$1553,1,0)</f>
        <v>#N/A</v>
      </c>
      <c r="I513" s="40"/>
      <c r="J513" s="40">
        <f>D513</f>
        <v>80832</v>
      </c>
      <c r="K513" s="40"/>
      <c r="L513" s="40"/>
      <c r="M513" s="40"/>
      <c r="N513" s="40"/>
      <c r="O513" s="40"/>
      <c r="P513" s="40"/>
      <c r="Q513" s="7" t="str">
        <f>VLOOKUP(A513,DEVOLUCIONES!A$1:B$231,2,0)</f>
        <v>DF-257654324539583</v>
      </c>
      <c r="R513" s="7"/>
      <c r="S513" s="7" t="str">
        <f>VLOOKUP(A513,DEVOLUCIONES!A$1:H$231,8,0)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según lo estipulado en la circular 049 expedida por el ADRES y resolución 1463 requisito necesario para continuar con el debido proceso </v>
      </c>
      <c r="T513" s="35">
        <f t="shared" si="30"/>
        <v>0</v>
      </c>
      <c r="U513" s="7"/>
    </row>
    <row r="514" spans="1:21" x14ac:dyDescent="0.25">
      <c r="A514" s="7" t="s">
        <v>1572</v>
      </c>
      <c r="B514" s="8">
        <v>44571.542453703703</v>
      </c>
      <c r="C514" s="8">
        <v>44599.707638888889</v>
      </c>
      <c r="D514" s="9">
        <v>59100</v>
      </c>
      <c r="E514" s="7" t="e">
        <f>VLOOKUP(A514,DEVOLUCIONES!A$1:A$231,1,0)</f>
        <v>#N/A</v>
      </c>
      <c r="F514" s="7" t="e">
        <f>VLOOKUP(A514,'GLOSAS X CONCILIAR'!$A$1:$A$37,1,0)</f>
        <v>#N/A</v>
      </c>
      <c r="G514" s="7" t="str">
        <f>VLOOKUP(A514,'TODAS LAS P'!A:A,1,0)</f>
        <v>FEHF239611</v>
      </c>
      <c r="H514" s="7" t="str">
        <f>VLOOKUP(A514,PAGOS!A548:$A$1553,1,0)</f>
        <v>FEHF239611</v>
      </c>
      <c r="I514" s="40"/>
      <c r="J514" s="40"/>
      <c r="K514" s="40"/>
      <c r="L514" s="40"/>
      <c r="M514" s="40"/>
      <c r="N514" s="40"/>
      <c r="O514" s="40">
        <v>59100</v>
      </c>
      <c r="P514" s="40"/>
      <c r="Q514" s="7"/>
      <c r="R514" s="7" t="str">
        <f>VLOOKUP(A514,Hoja2!A$1:H$1143,8,0)</f>
        <v>2000797280</v>
      </c>
      <c r="S514" s="7"/>
      <c r="T514" s="35">
        <f t="shared" si="30"/>
        <v>0</v>
      </c>
      <c r="U514" s="7"/>
    </row>
    <row r="515" spans="1:21" x14ac:dyDescent="0.25">
      <c r="A515" s="7" t="s">
        <v>1558</v>
      </c>
      <c r="B515" s="8">
        <v>44571.617280092592</v>
      </c>
      <c r="C515" s="8">
        <v>44602</v>
      </c>
      <c r="D515" s="9">
        <v>115861</v>
      </c>
      <c r="E515" s="7" t="e">
        <f>VLOOKUP(A515,DEVOLUCIONES!A$1:A$231,1,0)</f>
        <v>#N/A</v>
      </c>
      <c r="F515" s="7" t="e">
        <f>VLOOKUP(A515,'GLOSAS X CONCILIAR'!$A$1:$A$37,1,0)</f>
        <v>#N/A</v>
      </c>
      <c r="G515" s="7" t="str">
        <f>VLOOKUP(A515,'TODAS LAS P'!A:A,1,0)</f>
        <v>FEHF239635</v>
      </c>
      <c r="H515" s="7" t="str">
        <f>VLOOKUP(A515,PAGOS!A549:$A$1553,1,0)</f>
        <v>FEHF239635</v>
      </c>
      <c r="I515" s="40"/>
      <c r="J515" s="40"/>
      <c r="K515" s="40"/>
      <c r="L515" s="40"/>
      <c r="M515" s="40"/>
      <c r="N515" s="40"/>
      <c r="O515" s="40">
        <v>115861</v>
      </c>
      <c r="P515" s="40"/>
      <c r="Q515" s="7"/>
      <c r="R515" s="7" t="str">
        <f>VLOOKUP(A515,Hoja2!A$1:H$1143,8,0)</f>
        <v>2000797280</v>
      </c>
      <c r="S515" s="7"/>
      <c r="T515" s="35">
        <f t="shared" ref="T515:T578" si="31">D515-SUM(I515:Q515)</f>
        <v>0</v>
      </c>
      <c r="U515" s="7"/>
    </row>
    <row r="516" spans="1:21" x14ac:dyDescent="0.25">
      <c r="A516" s="7" t="s">
        <v>1555</v>
      </c>
      <c r="B516" s="8">
        <v>44571.712696759256</v>
      </c>
      <c r="C516" s="8">
        <v>44602</v>
      </c>
      <c r="D516" s="9">
        <v>1423628</v>
      </c>
      <c r="E516" s="7" t="e">
        <f>VLOOKUP(A516,DEVOLUCIONES!A$1:A$231,1,0)</f>
        <v>#N/A</v>
      </c>
      <c r="F516" s="7" t="e">
        <f>VLOOKUP(A516,'GLOSAS X CONCILIAR'!$A$1:$A$37,1,0)</f>
        <v>#N/A</v>
      </c>
      <c r="G516" s="7" t="str">
        <f>VLOOKUP(A516,'TODAS LAS P'!A:A,1,0)</f>
        <v>FEHF239647</v>
      </c>
      <c r="H516" s="7" t="str">
        <f>VLOOKUP(A516,PAGOS!A550:$A$1553,1,0)</f>
        <v>FEHF239647</v>
      </c>
      <c r="I516" s="40"/>
      <c r="J516" s="40"/>
      <c r="K516" s="40"/>
      <c r="L516" s="40"/>
      <c r="M516" s="40"/>
      <c r="N516" s="40"/>
      <c r="O516" s="40">
        <v>1423628</v>
      </c>
      <c r="P516" s="40"/>
      <c r="Q516" s="7"/>
      <c r="R516" s="7" t="str">
        <f>VLOOKUP(A516,Hoja2!A$1:H$1143,8,0)</f>
        <v>2000797280</v>
      </c>
      <c r="S516" s="7"/>
      <c r="T516" s="35">
        <f t="shared" si="31"/>
        <v>0</v>
      </c>
      <c r="U516" s="7"/>
    </row>
    <row r="517" spans="1:21" x14ac:dyDescent="0.25">
      <c r="A517" s="7" t="s">
        <v>3080</v>
      </c>
      <c r="B517" s="8">
        <v>44571.714513888888</v>
      </c>
      <c r="C517" s="8">
        <v>44602</v>
      </c>
      <c r="D517" s="9">
        <v>80832</v>
      </c>
      <c r="E517" s="7" t="str">
        <f>VLOOKUP(A517,DEVOLUCIONES!A$1:A$231,1,0)</f>
        <v>FEHF239648</v>
      </c>
      <c r="F517" s="7" t="e">
        <f>VLOOKUP(A517,'GLOSAS X CONCILIAR'!$A$1:$A$37,1,0)</f>
        <v>#N/A</v>
      </c>
      <c r="G517" s="7" t="e">
        <f>VLOOKUP(A517,'TODAS LAS P'!A:A,1,0)</f>
        <v>#N/A</v>
      </c>
      <c r="H517" s="7" t="e">
        <f>VLOOKUP(A517,PAGOS!A551:$A$1553,1,0)</f>
        <v>#N/A</v>
      </c>
      <c r="I517" s="40"/>
      <c r="J517" s="40">
        <f>D517</f>
        <v>80832</v>
      </c>
      <c r="K517" s="40"/>
      <c r="L517" s="40"/>
      <c r="M517" s="40"/>
      <c r="N517" s="40"/>
      <c r="O517" s="40"/>
      <c r="P517" s="40"/>
      <c r="Q517" s="7" t="str">
        <f>VLOOKUP(A517,DEVOLUCIONES!A$1:B$231,2,0)</f>
        <v>DF-257654324539584</v>
      </c>
      <c r="R517" s="7"/>
      <c r="S517" s="7" t="str">
        <f>VLOOKUP(A517,DEVOLUCIONES!A$1:H$231,8,0)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según lo estipulado en la circular 049 expedida por el ADRES y resolución 1463 requisito necesario para continuar con el debido proceso </v>
      </c>
      <c r="T517" s="35">
        <f t="shared" si="31"/>
        <v>0</v>
      </c>
      <c r="U517" s="7"/>
    </row>
    <row r="518" spans="1:21" x14ac:dyDescent="0.25">
      <c r="A518" s="7" t="s">
        <v>1570</v>
      </c>
      <c r="B518" s="8">
        <v>44573.602268518516</v>
      </c>
      <c r="C518" s="8">
        <v>44599.707638888889</v>
      </c>
      <c r="D518" s="9">
        <v>48200</v>
      </c>
      <c r="E518" s="7" t="e">
        <f>VLOOKUP(A518,DEVOLUCIONES!A$1:A$231,1,0)</f>
        <v>#N/A</v>
      </c>
      <c r="F518" s="7" t="e">
        <f>VLOOKUP(A518,'GLOSAS X CONCILIAR'!$A$1:$A$37,1,0)</f>
        <v>#N/A</v>
      </c>
      <c r="G518" s="7" t="str">
        <f>VLOOKUP(A518,'TODAS LAS P'!A:A,1,0)</f>
        <v>FEHF240647</v>
      </c>
      <c r="H518" s="7" t="str">
        <f>VLOOKUP(A518,PAGOS!A552:$A$1553,1,0)</f>
        <v>FEHF240647</v>
      </c>
      <c r="I518" s="40"/>
      <c r="J518" s="40"/>
      <c r="K518" s="40"/>
      <c r="L518" s="40"/>
      <c r="M518" s="40"/>
      <c r="N518" s="40"/>
      <c r="O518" s="40">
        <v>48200</v>
      </c>
      <c r="P518" s="40"/>
      <c r="Q518" s="7"/>
      <c r="R518" s="7" t="str">
        <f>VLOOKUP(A518,Hoja2!A$1:H$1143,8,0)</f>
        <v>2000797280</v>
      </c>
      <c r="S518" s="7"/>
      <c r="T518" s="35">
        <f t="shared" si="31"/>
        <v>0</v>
      </c>
      <c r="U518" s="7"/>
    </row>
    <row r="519" spans="1:21" x14ac:dyDescent="0.25">
      <c r="A519" s="7" t="s">
        <v>1628</v>
      </c>
      <c r="B519" s="8">
        <v>44573.696087962962</v>
      </c>
      <c r="C519" s="8">
        <v>44599.659722222219</v>
      </c>
      <c r="D519" s="9">
        <v>152537</v>
      </c>
      <c r="E519" s="7" t="e">
        <f>VLOOKUP(A519,DEVOLUCIONES!A$1:A$231,1,0)</f>
        <v>#N/A</v>
      </c>
      <c r="F519" s="7" t="e">
        <f>VLOOKUP(A519,'GLOSAS X CONCILIAR'!$A$1:$A$37,1,0)</f>
        <v>#N/A</v>
      </c>
      <c r="G519" s="7" t="str">
        <f>VLOOKUP(A519,'TODAS LAS P'!A:A,1,0)</f>
        <v>FEHF240722</v>
      </c>
      <c r="H519" s="7" t="str">
        <f>VLOOKUP(A519,PAGOS!A553:$A$1553,1,0)</f>
        <v>FEHF240722</v>
      </c>
      <c r="I519" s="40"/>
      <c r="J519" s="40"/>
      <c r="K519" s="40"/>
      <c r="L519" s="40"/>
      <c r="M519" s="40"/>
      <c r="N519" s="40"/>
      <c r="O519" s="40">
        <v>152537</v>
      </c>
      <c r="P519" s="40"/>
      <c r="Q519" s="7"/>
      <c r="R519" s="7" t="str">
        <f>VLOOKUP(A519,Hoja2!A$1:H$1143,8,0)</f>
        <v>2000797280</v>
      </c>
      <c r="S519" s="7"/>
      <c r="T519" s="35">
        <f t="shared" si="31"/>
        <v>0</v>
      </c>
      <c r="U519" s="7"/>
    </row>
    <row r="520" spans="1:21" x14ac:dyDescent="0.25">
      <c r="A520" s="7" t="s">
        <v>1481</v>
      </c>
      <c r="B520" s="8">
        <v>44574.332199074073</v>
      </c>
      <c r="C520" s="8">
        <v>44599.707638888889</v>
      </c>
      <c r="D520" s="9">
        <v>36000</v>
      </c>
      <c r="E520" s="7" t="e">
        <f>VLOOKUP(A520,DEVOLUCIONES!A$1:A$231,1,0)</f>
        <v>#N/A</v>
      </c>
      <c r="F520" s="7" t="e">
        <f>VLOOKUP(A520,'GLOSAS X CONCILIAR'!$A$1:$A$37,1,0)</f>
        <v>#N/A</v>
      </c>
      <c r="G520" s="7" t="str">
        <f>VLOOKUP(A520,'TODAS LAS P'!A:A,1,0)</f>
        <v>FEHF240881</v>
      </c>
      <c r="H520" s="7" t="str">
        <f>VLOOKUP(A520,PAGOS!A554:$A$1553,1,0)</f>
        <v>FEHF240881</v>
      </c>
      <c r="I520" s="40"/>
      <c r="J520" s="40"/>
      <c r="K520" s="40"/>
      <c r="L520" s="40"/>
      <c r="M520" s="40"/>
      <c r="N520" s="40"/>
      <c r="O520" s="40">
        <v>36000</v>
      </c>
      <c r="P520" s="40"/>
      <c r="Q520" s="7"/>
      <c r="R520" s="7" t="str">
        <f>VLOOKUP(A520,Hoja2!A$1:H$1143,8,0)</f>
        <v>2000797280</v>
      </c>
      <c r="S520" s="7"/>
      <c r="T520" s="35">
        <f t="shared" si="31"/>
        <v>0</v>
      </c>
      <c r="U520" s="7"/>
    </row>
    <row r="521" spans="1:21" x14ac:dyDescent="0.25">
      <c r="A521" s="7" t="s">
        <v>3081</v>
      </c>
      <c r="B521" s="8">
        <v>44574.543738425928</v>
      </c>
      <c r="C521" s="8">
        <v>44602</v>
      </c>
      <c r="D521" s="9">
        <v>80832</v>
      </c>
      <c r="E521" s="7" t="str">
        <f>VLOOKUP(A521,DEVOLUCIONES!A$1:A$231,1,0)</f>
        <v>FEHF241147</v>
      </c>
      <c r="F521" s="7" t="e">
        <f>VLOOKUP(A521,'GLOSAS X CONCILIAR'!$A$1:$A$37,1,0)</f>
        <v>#N/A</v>
      </c>
      <c r="G521" s="7" t="e">
        <f>VLOOKUP(A521,'TODAS LAS P'!A:A,1,0)</f>
        <v>#N/A</v>
      </c>
      <c r="H521" s="7" t="e">
        <f>VLOOKUP(A521,PAGOS!A555:$A$1553,1,0)</f>
        <v>#N/A</v>
      </c>
      <c r="I521" s="40"/>
      <c r="J521" s="40">
        <f>D521</f>
        <v>80832</v>
      </c>
      <c r="K521" s="40"/>
      <c r="L521" s="40"/>
      <c r="M521" s="40"/>
      <c r="N521" s="40"/>
      <c r="O521" s="40"/>
      <c r="P521" s="40"/>
      <c r="Q521" s="7" t="str">
        <f>VLOOKUP(A521,DEVOLUCIONES!A$1:B$231,2,0)</f>
        <v>DF-257654324539585</v>
      </c>
      <c r="R521" s="7"/>
      <c r="S521" s="7" t="str">
        <f>VLOOKUP(A521,DEVOLUCIONES!A$1:H$231,8,0)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según lo estipulado en la circular 049 expedida por el ADRES y resolución 1463 requisito necesario para continuar con el debido proceso </v>
      </c>
      <c r="T521" s="35">
        <f t="shared" si="31"/>
        <v>0</v>
      </c>
      <c r="U521" s="7"/>
    </row>
    <row r="522" spans="1:21" x14ac:dyDescent="0.25">
      <c r="A522" s="7" t="s">
        <v>1667</v>
      </c>
      <c r="B522" s="8">
        <v>44574.581226851849</v>
      </c>
      <c r="C522" s="8">
        <v>44599.707638888889</v>
      </c>
      <c r="D522" s="9">
        <v>157700</v>
      </c>
      <c r="E522" s="7" t="e">
        <f>VLOOKUP(A522,DEVOLUCIONES!A$1:A$231,1,0)</f>
        <v>#N/A</v>
      </c>
      <c r="F522" s="7" t="e">
        <f>VLOOKUP(A522,'GLOSAS X CONCILIAR'!$A$1:$A$37,1,0)</f>
        <v>#N/A</v>
      </c>
      <c r="G522" s="7" t="str">
        <f>VLOOKUP(A522,'TODAS LAS P'!A:A,1,0)</f>
        <v>FEHF241189</v>
      </c>
      <c r="H522" s="7" t="str">
        <f>VLOOKUP(A522,PAGOS!A556:$A$1553,1,0)</f>
        <v>FEHF241189</v>
      </c>
      <c r="I522" s="40"/>
      <c r="J522" s="40"/>
      <c r="K522" s="40"/>
      <c r="L522" s="40"/>
      <c r="M522" s="40"/>
      <c r="N522" s="40"/>
      <c r="O522" s="40">
        <v>157700</v>
      </c>
      <c r="P522" s="40"/>
      <c r="Q522" s="7"/>
      <c r="R522" s="7" t="str">
        <f>VLOOKUP(A522,Hoja2!A$1:H$1143,8,0)</f>
        <v>2000797280</v>
      </c>
      <c r="S522" s="7"/>
      <c r="T522" s="35">
        <f t="shared" si="31"/>
        <v>0</v>
      </c>
      <c r="U522" s="7"/>
    </row>
    <row r="523" spans="1:21" x14ac:dyDescent="0.25">
      <c r="A523" s="7" t="s">
        <v>1626</v>
      </c>
      <c r="B523" s="8">
        <v>44575.25571759259</v>
      </c>
      <c r="C523" s="8">
        <v>44599.659722222219</v>
      </c>
      <c r="D523" s="9">
        <v>208634</v>
      </c>
      <c r="E523" s="7" t="e">
        <f>VLOOKUP(A523,DEVOLUCIONES!A$1:A$231,1,0)</f>
        <v>#N/A</v>
      </c>
      <c r="F523" s="7" t="e">
        <f>VLOOKUP(A523,'GLOSAS X CONCILIAR'!$A$1:$A$37,1,0)</f>
        <v>#N/A</v>
      </c>
      <c r="G523" s="7" t="str">
        <f>VLOOKUP(A523,'TODAS LAS P'!A:A,1,0)</f>
        <v>FEHF241344</v>
      </c>
      <c r="H523" s="7" t="str">
        <f>VLOOKUP(A523,PAGOS!A557:$A$1553,1,0)</f>
        <v>FEHF241344</v>
      </c>
      <c r="I523" s="40"/>
      <c r="J523" s="40"/>
      <c r="K523" s="40"/>
      <c r="L523" s="40"/>
      <c r="M523" s="40"/>
      <c r="N523" s="40"/>
      <c r="O523" s="40">
        <v>208634</v>
      </c>
      <c r="P523" s="40"/>
      <c r="Q523" s="7"/>
      <c r="R523" s="7" t="str">
        <f>VLOOKUP(A523,Hoja2!A$1:H$1143,8,0)</f>
        <v>2000797280</v>
      </c>
      <c r="S523" s="7"/>
      <c r="T523" s="35">
        <f t="shared" si="31"/>
        <v>0</v>
      </c>
      <c r="U523" s="7"/>
    </row>
    <row r="524" spans="1:21" x14ac:dyDescent="0.25">
      <c r="A524" s="7" t="s">
        <v>1479</v>
      </c>
      <c r="B524" s="8">
        <v>44575.333090277774</v>
      </c>
      <c r="C524" s="8">
        <v>44599.707638888889</v>
      </c>
      <c r="D524" s="9">
        <v>51900</v>
      </c>
      <c r="E524" s="7" t="e">
        <f>VLOOKUP(A524,DEVOLUCIONES!A$1:A$231,1,0)</f>
        <v>#N/A</v>
      </c>
      <c r="F524" s="7" t="e">
        <f>VLOOKUP(A524,'GLOSAS X CONCILIAR'!$A$1:$A$37,1,0)</f>
        <v>#N/A</v>
      </c>
      <c r="G524" s="7" t="str">
        <f>VLOOKUP(A524,'TODAS LAS P'!A:A,1,0)</f>
        <v>FEHF241443</v>
      </c>
      <c r="H524" s="7" t="str">
        <f>VLOOKUP(A524,PAGOS!A558:$A$1553,1,0)</f>
        <v>FEHF241443</v>
      </c>
      <c r="I524" s="40"/>
      <c r="J524" s="40"/>
      <c r="K524" s="40"/>
      <c r="L524" s="40"/>
      <c r="M524" s="40"/>
      <c r="N524" s="40"/>
      <c r="O524" s="40">
        <v>51900</v>
      </c>
      <c r="P524" s="40"/>
      <c r="Q524" s="7"/>
      <c r="R524" s="7" t="str">
        <f>VLOOKUP(A524,Hoja2!A$1:H$1143,8,0)</f>
        <v>2000797280</v>
      </c>
      <c r="S524" s="7"/>
      <c r="T524" s="35">
        <f t="shared" si="31"/>
        <v>0</v>
      </c>
      <c r="U524" s="7"/>
    </row>
    <row r="525" spans="1:21" x14ac:dyDescent="0.25">
      <c r="A525" s="7" t="s">
        <v>1552</v>
      </c>
      <c r="B525" s="8">
        <v>44576.494189814817</v>
      </c>
      <c r="C525" s="8">
        <v>44602</v>
      </c>
      <c r="D525" s="9">
        <v>221400</v>
      </c>
      <c r="E525" s="7" t="e">
        <f>VLOOKUP(A525,DEVOLUCIONES!A$1:A$231,1,0)</f>
        <v>#N/A</v>
      </c>
      <c r="F525" s="7" t="e">
        <f>VLOOKUP(A525,'GLOSAS X CONCILIAR'!$A$1:$A$37,1,0)</f>
        <v>#N/A</v>
      </c>
      <c r="G525" s="7" t="str">
        <f>VLOOKUP(A525,'TODAS LAS P'!A:A,1,0)</f>
        <v>FEHF242023</v>
      </c>
      <c r="H525" s="7" t="str">
        <f>VLOOKUP(A525,PAGOS!A559:$A$1553,1,0)</f>
        <v>FEHF242023</v>
      </c>
      <c r="I525" s="40"/>
      <c r="J525" s="40"/>
      <c r="K525" s="40"/>
      <c r="L525" s="40"/>
      <c r="M525" s="40"/>
      <c r="N525" s="40"/>
      <c r="O525" s="40">
        <v>221400</v>
      </c>
      <c r="P525" s="40"/>
      <c r="Q525" s="7"/>
      <c r="R525" s="7" t="str">
        <f>VLOOKUP(A525,Hoja2!A$1:H$1143,8,0)</f>
        <v>2000797280</v>
      </c>
      <c r="S525" s="7"/>
      <c r="T525" s="35">
        <f t="shared" si="31"/>
        <v>0</v>
      </c>
      <c r="U525" s="7"/>
    </row>
    <row r="526" spans="1:21" x14ac:dyDescent="0.25">
      <c r="A526" s="7" t="s">
        <v>1624</v>
      </c>
      <c r="B526" s="8">
        <v>44576.509525462963</v>
      </c>
      <c r="C526" s="8">
        <v>44599.659722222219</v>
      </c>
      <c r="D526" s="9">
        <v>59100</v>
      </c>
      <c r="E526" s="7" t="e">
        <f>VLOOKUP(A526,DEVOLUCIONES!A$1:A$231,1,0)</f>
        <v>#N/A</v>
      </c>
      <c r="F526" s="7" t="e">
        <f>VLOOKUP(A526,'GLOSAS X CONCILIAR'!$A$1:$A$37,1,0)</f>
        <v>#N/A</v>
      </c>
      <c r="G526" s="7" t="str">
        <f>VLOOKUP(A526,'TODAS LAS P'!A:A,1,0)</f>
        <v>FEHF242029</v>
      </c>
      <c r="H526" s="7" t="str">
        <f>VLOOKUP(A526,PAGOS!A560:$A$1553,1,0)</f>
        <v>FEHF242029</v>
      </c>
      <c r="I526" s="40"/>
      <c r="J526" s="40"/>
      <c r="K526" s="40"/>
      <c r="L526" s="40"/>
      <c r="M526" s="40"/>
      <c r="N526" s="40"/>
      <c r="O526" s="40">
        <v>59100</v>
      </c>
      <c r="P526" s="40"/>
      <c r="Q526" s="7"/>
      <c r="R526" s="7" t="str">
        <f>VLOOKUP(A526,Hoja2!A$1:H$1143,8,0)</f>
        <v>2000797280</v>
      </c>
      <c r="S526" s="7"/>
      <c r="T526" s="35">
        <f t="shared" si="31"/>
        <v>0</v>
      </c>
      <c r="U526" s="7"/>
    </row>
    <row r="527" spans="1:21" x14ac:dyDescent="0.25">
      <c r="A527" s="7" t="s">
        <v>1549</v>
      </c>
      <c r="B527" s="8">
        <v>44576.952002314814</v>
      </c>
      <c r="C527" s="8">
        <v>44602</v>
      </c>
      <c r="D527" s="9">
        <v>1161016</v>
      </c>
      <c r="E527" s="7" t="e">
        <f>VLOOKUP(A527,DEVOLUCIONES!A$1:A$231,1,0)</f>
        <v>#N/A</v>
      </c>
      <c r="F527" s="7" t="e">
        <f>VLOOKUP(A527,'GLOSAS X CONCILIAR'!$A$1:$A$37,1,0)</f>
        <v>#N/A</v>
      </c>
      <c r="G527" s="7" t="str">
        <f>VLOOKUP(A527,'TODAS LAS P'!A:A,1,0)</f>
        <v>FEHF242117</v>
      </c>
      <c r="H527" s="7" t="str">
        <f>VLOOKUP(A527,PAGOS!A561:$A$1553,1,0)</f>
        <v>FEHF242117</v>
      </c>
      <c r="I527" s="40"/>
      <c r="J527" s="40"/>
      <c r="K527" s="40"/>
      <c r="L527" s="40"/>
      <c r="M527" s="40"/>
      <c r="N527" s="40"/>
      <c r="O527" s="40">
        <v>1161016</v>
      </c>
      <c r="P527" s="40"/>
      <c r="Q527" s="7"/>
      <c r="R527" s="7" t="str">
        <f>VLOOKUP(A527,Hoja2!A$1:H$1143,8,0)</f>
        <v>2000797280</v>
      </c>
      <c r="S527" s="7"/>
      <c r="T527" s="35">
        <f t="shared" si="31"/>
        <v>0</v>
      </c>
      <c r="U527" s="7"/>
    </row>
    <row r="528" spans="1:21" x14ac:dyDescent="0.25">
      <c r="A528" s="7" t="s">
        <v>1621</v>
      </c>
      <c r="B528" s="8">
        <v>44577.384814814817</v>
      </c>
      <c r="C528" s="8">
        <v>44599.659722222219</v>
      </c>
      <c r="D528" s="9">
        <v>1990165</v>
      </c>
      <c r="E528" s="7" t="e">
        <f>VLOOKUP(A528,DEVOLUCIONES!A$1:A$231,1,0)</f>
        <v>#N/A</v>
      </c>
      <c r="F528" s="7" t="e">
        <f>VLOOKUP(A528,'GLOSAS X CONCILIAR'!$A$1:$A$37,1,0)</f>
        <v>#N/A</v>
      </c>
      <c r="G528" s="7" t="str">
        <f>VLOOKUP(A528,'TODAS LAS P'!A:A,1,0)</f>
        <v>FEHF242165</v>
      </c>
      <c r="H528" s="7" t="str">
        <f>VLOOKUP(A528,PAGOS!A562:$A$1553,1,0)</f>
        <v>FEHF242165</v>
      </c>
      <c r="I528" s="40"/>
      <c r="J528" s="40"/>
      <c r="K528" s="40"/>
      <c r="L528" s="40"/>
      <c r="M528" s="40"/>
      <c r="N528" s="40"/>
      <c r="O528" s="40">
        <v>1990165</v>
      </c>
      <c r="P528" s="40"/>
      <c r="Q528" s="7"/>
      <c r="R528" s="7" t="str">
        <f>VLOOKUP(A528,Hoja2!A$1:H$1143,8,0)</f>
        <v>2000797280</v>
      </c>
      <c r="S528" s="7"/>
      <c r="T528" s="35">
        <f t="shared" si="31"/>
        <v>0</v>
      </c>
      <c r="U528" s="7"/>
    </row>
    <row r="529" spans="1:21" x14ac:dyDescent="0.25">
      <c r="A529" s="7" t="s">
        <v>1546</v>
      </c>
      <c r="B529" s="8">
        <v>44577.480185185188</v>
      </c>
      <c r="C529" s="8">
        <v>44602</v>
      </c>
      <c r="D529" s="9">
        <v>274998</v>
      </c>
      <c r="E529" s="7" t="e">
        <f>VLOOKUP(A529,DEVOLUCIONES!A$1:A$231,1,0)</f>
        <v>#N/A</v>
      </c>
      <c r="F529" s="7" t="e">
        <f>VLOOKUP(A529,'GLOSAS X CONCILIAR'!$A$1:$A$37,1,0)</f>
        <v>#N/A</v>
      </c>
      <c r="G529" s="7" t="str">
        <f>VLOOKUP(A529,'TODAS LAS P'!A:A,1,0)</f>
        <v>FEHF242181</v>
      </c>
      <c r="H529" s="7" t="str">
        <f>VLOOKUP(A529,PAGOS!A563:$A$1553,1,0)</f>
        <v>FEHF242181</v>
      </c>
      <c r="I529" s="40"/>
      <c r="J529" s="40"/>
      <c r="K529" s="40"/>
      <c r="L529" s="40"/>
      <c r="M529" s="40"/>
      <c r="N529" s="40"/>
      <c r="O529" s="40">
        <v>274998</v>
      </c>
      <c r="P529" s="40"/>
      <c r="Q529" s="7"/>
      <c r="R529" s="7" t="str">
        <f>VLOOKUP(A529,Hoja2!A$1:H$1143,8,0)</f>
        <v>2000797280</v>
      </c>
      <c r="S529" s="7"/>
      <c r="T529" s="35">
        <f t="shared" si="31"/>
        <v>0</v>
      </c>
      <c r="U529" s="7"/>
    </row>
    <row r="530" spans="1:21" x14ac:dyDescent="0.25">
      <c r="A530" s="7" t="s">
        <v>1618</v>
      </c>
      <c r="B530" s="8">
        <v>44577.743113425924</v>
      </c>
      <c r="C530" s="8">
        <v>44599.659722222219</v>
      </c>
      <c r="D530" s="9">
        <v>262100</v>
      </c>
      <c r="E530" s="7" t="e">
        <f>VLOOKUP(A530,DEVOLUCIONES!A$1:A$231,1,0)</f>
        <v>#N/A</v>
      </c>
      <c r="F530" s="7" t="e">
        <f>VLOOKUP(A530,'GLOSAS X CONCILIAR'!$A$1:$A$37,1,0)</f>
        <v>#N/A</v>
      </c>
      <c r="G530" s="7" t="str">
        <f>VLOOKUP(A530,'TODAS LAS P'!A:A,1,0)</f>
        <v>FEHF242238</v>
      </c>
      <c r="H530" s="7" t="str">
        <f>VLOOKUP(A530,PAGOS!A564:$A$1553,1,0)</f>
        <v>FEHF242238</v>
      </c>
      <c r="I530" s="40"/>
      <c r="J530" s="40"/>
      <c r="K530" s="40"/>
      <c r="L530" s="40"/>
      <c r="M530" s="40"/>
      <c r="N530" s="40"/>
      <c r="O530" s="40">
        <v>262100</v>
      </c>
      <c r="P530" s="40"/>
      <c r="Q530" s="7"/>
      <c r="R530" s="7" t="str">
        <f>VLOOKUP(A530,Hoja2!A$1:H$1143,8,0)</f>
        <v>2000797280</v>
      </c>
      <c r="S530" s="7"/>
      <c r="T530" s="35">
        <f t="shared" si="31"/>
        <v>0</v>
      </c>
      <c r="U530" s="7"/>
    </row>
    <row r="531" spans="1:21" x14ac:dyDescent="0.25">
      <c r="A531" s="7" t="s">
        <v>3082</v>
      </c>
      <c r="B531" s="8">
        <v>44578.29546296296</v>
      </c>
      <c r="C531" s="8">
        <v>44599.707638888889</v>
      </c>
      <c r="D531" s="9">
        <v>7400</v>
      </c>
      <c r="E531" s="7" t="e">
        <f>VLOOKUP(A531,DEVOLUCIONES!A$1:A$231,1,0)</f>
        <v>#N/A</v>
      </c>
      <c r="F531" s="7" t="e">
        <f>VLOOKUP(A531,'GLOSAS X CONCILIAR'!$A$1:$A$37,1,0)</f>
        <v>#N/A</v>
      </c>
      <c r="G531" s="7" t="e">
        <f>VLOOKUP(A531,'TODAS LAS P'!A:A,1,0)</f>
        <v>#N/A</v>
      </c>
      <c r="H531" s="7" t="e">
        <f>VLOOKUP(A531,PAGOS!A565:$A$1553,1,0)</f>
        <v>#N/A</v>
      </c>
      <c r="I531" s="40"/>
      <c r="J531" s="40"/>
      <c r="K531" s="40"/>
      <c r="L531" s="40">
        <f>D531</f>
        <v>7400</v>
      </c>
      <c r="M531" s="40"/>
      <c r="N531" s="40"/>
      <c r="O531" s="40"/>
      <c r="P531" s="40"/>
      <c r="Q531" s="7"/>
      <c r="R531" s="7"/>
      <c r="S531" s="7"/>
      <c r="T531" s="35">
        <f t="shared" si="31"/>
        <v>0</v>
      </c>
      <c r="U531" s="7"/>
    </row>
    <row r="532" spans="1:21" x14ac:dyDescent="0.25">
      <c r="A532" s="7" t="s">
        <v>1665</v>
      </c>
      <c r="B532" s="8">
        <v>44578.342303240737</v>
      </c>
      <c r="C532" s="8">
        <v>44599.707638888889</v>
      </c>
      <c r="D532" s="9">
        <v>980600</v>
      </c>
      <c r="E532" s="7" t="e">
        <f>VLOOKUP(A532,DEVOLUCIONES!A$1:A$231,1,0)</f>
        <v>#N/A</v>
      </c>
      <c r="F532" s="7" t="e">
        <f>VLOOKUP(A532,'GLOSAS X CONCILIAR'!$A$1:$A$37,1,0)</f>
        <v>#N/A</v>
      </c>
      <c r="G532" s="7" t="str">
        <f>VLOOKUP(A532,'TODAS LAS P'!A:A,1,0)</f>
        <v>FEHF242388</v>
      </c>
      <c r="H532" s="7" t="str">
        <f>VLOOKUP(A532,PAGOS!A566:$A$1553,1,0)</f>
        <v>FEHF242388</v>
      </c>
      <c r="I532" s="40"/>
      <c r="J532" s="40"/>
      <c r="K532" s="40"/>
      <c r="L532" s="40"/>
      <c r="M532" s="40"/>
      <c r="N532" s="40"/>
      <c r="O532" s="40">
        <v>980600</v>
      </c>
      <c r="P532" s="40"/>
      <c r="Q532" s="7"/>
      <c r="R532" s="7" t="str">
        <f>VLOOKUP(A532,Hoja2!A$1:H$1143,8,0)</f>
        <v>2000797280</v>
      </c>
      <c r="S532" s="7"/>
      <c r="T532" s="35">
        <f t="shared" si="31"/>
        <v>0</v>
      </c>
      <c r="U532" s="7"/>
    </row>
    <row r="533" spans="1:21" x14ac:dyDescent="0.25">
      <c r="A533" s="7" t="s">
        <v>1476</v>
      </c>
      <c r="B533" s="8">
        <v>44578.399976851855</v>
      </c>
      <c r="C533" s="8">
        <v>44599.707638888889</v>
      </c>
      <c r="D533" s="9">
        <v>51900</v>
      </c>
      <c r="E533" s="7" t="e">
        <f>VLOOKUP(A533,DEVOLUCIONES!A$1:A$231,1,0)</f>
        <v>#N/A</v>
      </c>
      <c r="F533" s="7" t="e">
        <f>VLOOKUP(A533,'GLOSAS X CONCILIAR'!$A$1:$A$37,1,0)</f>
        <v>#N/A</v>
      </c>
      <c r="G533" s="7" t="str">
        <f>VLOOKUP(A533,'TODAS LAS P'!A:A,1,0)</f>
        <v>FEHF242498</v>
      </c>
      <c r="H533" s="7" t="str">
        <f>VLOOKUP(A533,PAGOS!A567:$A$1553,1,0)</f>
        <v>FEHF242498</v>
      </c>
      <c r="I533" s="40"/>
      <c r="J533" s="40"/>
      <c r="K533" s="40"/>
      <c r="L533" s="40"/>
      <c r="M533" s="40"/>
      <c r="N533" s="40"/>
      <c r="O533" s="40">
        <v>51900</v>
      </c>
      <c r="P533" s="40"/>
      <c r="Q533" s="7"/>
      <c r="R533" s="7" t="str">
        <f>VLOOKUP(A533,Hoja2!A$1:H$1143,8,0)</f>
        <v>2000797280</v>
      </c>
      <c r="S533" s="7"/>
      <c r="T533" s="35">
        <f t="shared" si="31"/>
        <v>0</v>
      </c>
      <c r="U533" s="7"/>
    </row>
    <row r="534" spans="1:21" x14ac:dyDescent="0.25">
      <c r="A534" s="7" t="s">
        <v>1474</v>
      </c>
      <c r="B534" s="8">
        <v>44578.69976851852</v>
      </c>
      <c r="C534" s="8">
        <v>44599.707638888889</v>
      </c>
      <c r="D534" s="9">
        <v>161400</v>
      </c>
      <c r="E534" s="7" t="e">
        <f>VLOOKUP(A534,DEVOLUCIONES!A$1:A$231,1,0)</f>
        <v>#N/A</v>
      </c>
      <c r="F534" s="7" t="e">
        <f>VLOOKUP(A534,'GLOSAS X CONCILIAR'!$A$1:$A$37,1,0)</f>
        <v>#N/A</v>
      </c>
      <c r="G534" s="7" t="str">
        <f>VLOOKUP(A534,'TODAS LAS P'!A:A,1,0)</f>
        <v>FEHF242853</v>
      </c>
      <c r="H534" s="7" t="str">
        <f>VLOOKUP(A534,PAGOS!A568:$A$1553,1,0)</f>
        <v>FEHF242853</v>
      </c>
      <c r="I534" s="40"/>
      <c r="J534" s="40"/>
      <c r="K534" s="40"/>
      <c r="L534" s="40"/>
      <c r="M534" s="40"/>
      <c r="N534" s="40"/>
      <c r="O534" s="40">
        <v>161400</v>
      </c>
      <c r="P534" s="40"/>
      <c r="Q534" s="7"/>
      <c r="R534" s="7" t="str">
        <f>VLOOKUP(A534,Hoja2!A$1:H$1143,8,0)</f>
        <v>2000797280</v>
      </c>
      <c r="S534" s="7"/>
      <c r="T534" s="35">
        <f t="shared" si="31"/>
        <v>0</v>
      </c>
      <c r="U534" s="7"/>
    </row>
    <row r="535" spans="1:21" x14ac:dyDescent="0.25">
      <c r="A535" s="7" t="s">
        <v>1616</v>
      </c>
      <c r="B535" s="8">
        <v>44579.659629629627</v>
      </c>
      <c r="C535" s="8">
        <v>44599.659722222219</v>
      </c>
      <c r="D535" s="9">
        <v>633274</v>
      </c>
      <c r="E535" s="7" t="e">
        <f>VLOOKUP(A535,DEVOLUCIONES!A$1:A$231,1,0)</f>
        <v>#N/A</v>
      </c>
      <c r="F535" s="7" t="e">
        <f>VLOOKUP(A535,'GLOSAS X CONCILIAR'!$A$1:$A$37,1,0)</f>
        <v>#N/A</v>
      </c>
      <c r="G535" s="7" t="str">
        <f>VLOOKUP(A535,'TODAS LAS P'!A:A,1,0)</f>
        <v>FEHF243474</v>
      </c>
      <c r="H535" s="7" t="str">
        <f>VLOOKUP(A535,PAGOS!A569:$A$1553,1,0)</f>
        <v>FEHF243474</v>
      </c>
      <c r="I535" s="40"/>
      <c r="J535" s="40"/>
      <c r="K535" s="40"/>
      <c r="L535" s="40"/>
      <c r="M535" s="40"/>
      <c r="N535" s="40"/>
      <c r="O535" s="40">
        <v>633274</v>
      </c>
      <c r="P535" s="40"/>
      <c r="Q535" s="7"/>
      <c r="R535" s="7" t="str">
        <f>VLOOKUP(A535,Hoja2!A$1:H$1143,8,0)</f>
        <v>2000797280</v>
      </c>
      <c r="S535" s="7"/>
      <c r="T535" s="35">
        <f t="shared" si="31"/>
        <v>0</v>
      </c>
      <c r="U535" s="7"/>
    </row>
    <row r="536" spans="1:21" x14ac:dyDescent="0.25">
      <c r="A536" s="7" t="s">
        <v>1614</v>
      </c>
      <c r="B536" s="8">
        <v>44580.046863425923</v>
      </c>
      <c r="C536" s="8">
        <v>44599.659722222219</v>
      </c>
      <c r="D536" s="9">
        <v>89937</v>
      </c>
      <c r="E536" s="7" t="e">
        <f>VLOOKUP(A536,DEVOLUCIONES!A$1:A$231,1,0)</f>
        <v>#N/A</v>
      </c>
      <c r="F536" s="7" t="e">
        <f>VLOOKUP(A536,'GLOSAS X CONCILIAR'!$A$1:$A$37,1,0)</f>
        <v>#N/A</v>
      </c>
      <c r="G536" s="7" t="str">
        <f>VLOOKUP(A536,'TODAS LAS P'!A:A,1,0)</f>
        <v>FEHF243543</v>
      </c>
      <c r="H536" s="7" t="str">
        <f>VLOOKUP(A536,PAGOS!A570:$A$1553,1,0)</f>
        <v>FEHF243543</v>
      </c>
      <c r="I536" s="40"/>
      <c r="J536" s="40"/>
      <c r="K536" s="40"/>
      <c r="L536" s="40"/>
      <c r="M536" s="40"/>
      <c r="N536" s="40"/>
      <c r="O536" s="40">
        <v>89937</v>
      </c>
      <c r="P536" s="40"/>
      <c r="Q536" s="7"/>
      <c r="R536" s="7" t="str">
        <f>VLOOKUP(A536,Hoja2!A$1:H$1143,8,0)</f>
        <v>2000797280</v>
      </c>
      <c r="S536" s="7"/>
      <c r="T536" s="35">
        <f t="shared" si="31"/>
        <v>0</v>
      </c>
      <c r="U536" s="7"/>
    </row>
    <row r="537" spans="1:21" x14ac:dyDescent="0.25">
      <c r="A537" s="7" t="s">
        <v>1662</v>
      </c>
      <c r="B537" s="8">
        <v>44580.417141203703</v>
      </c>
      <c r="C537" s="8">
        <v>44599.707638888889</v>
      </c>
      <c r="D537" s="9">
        <v>20900</v>
      </c>
      <c r="E537" s="7" t="e">
        <f>VLOOKUP(A537,DEVOLUCIONES!A$1:A$231,1,0)</f>
        <v>#N/A</v>
      </c>
      <c r="F537" s="7" t="e">
        <f>VLOOKUP(A537,'GLOSAS X CONCILIAR'!$A$1:$A$37,1,0)</f>
        <v>#N/A</v>
      </c>
      <c r="G537" s="7" t="str">
        <f>VLOOKUP(A537,'TODAS LAS P'!A:A,1,0)</f>
        <v>FEHF243781</v>
      </c>
      <c r="H537" s="7" t="str">
        <f>VLOOKUP(A537,PAGOS!A571:$A$1553,1,0)</f>
        <v>FEHF243781</v>
      </c>
      <c r="I537" s="40"/>
      <c r="J537" s="40"/>
      <c r="K537" s="40"/>
      <c r="L537" s="40"/>
      <c r="M537" s="40"/>
      <c r="N537" s="40"/>
      <c r="O537" s="40">
        <v>20900</v>
      </c>
      <c r="P537" s="40"/>
      <c r="Q537" s="7"/>
      <c r="R537" s="7" t="str">
        <f>VLOOKUP(A537,Hoja2!A$1:H$1143,8,0)</f>
        <v>2000797280</v>
      </c>
      <c r="S537" s="7"/>
      <c r="T537" s="35">
        <f t="shared" si="31"/>
        <v>0</v>
      </c>
      <c r="U537" s="7"/>
    </row>
    <row r="538" spans="1:21" x14ac:dyDescent="0.25">
      <c r="A538" s="7" t="s">
        <v>1544</v>
      </c>
      <c r="B538" s="8">
        <v>44580.766481481478</v>
      </c>
      <c r="C538" s="8">
        <v>44602</v>
      </c>
      <c r="D538" s="9">
        <v>156300</v>
      </c>
      <c r="E538" s="7" t="e">
        <f>VLOOKUP(A538,DEVOLUCIONES!A$1:A$231,1,0)</f>
        <v>#N/A</v>
      </c>
      <c r="F538" s="7" t="e">
        <f>VLOOKUP(A538,'GLOSAS X CONCILIAR'!$A$1:$A$37,1,0)</f>
        <v>#N/A</v>
      </c>
      <c r="G538" s="7" t="str">
        <f>VLOOKUP(A538,'TODAS LAS P'!A:A,1,0)</f>
        <v>FEHF244033</v>
      </c>
      <c r="H538" s="7" t="str">
        <f>VLOOKUP(A538,PAGOS!A572:$A$1553,1,0)</f>
        <v>FEHF244033</v>
      </c>
      <c r="I538" s="40"/>
      <c r="J538" s="40"/>
      <c r="K538" s="40"/>
      <c r="L538" s="40"/>
      <c r="M538" s="40"/>
      <c r="N538" s="40"/>
      <c r="O538" s="40">
        <v>156300</v>
      </c>
      <c r="P538" s="40"/>
      <c r="Q538" s="7"/>
      <c r="R538" s="7" t="str">
        <f>VLOOKUP(A538,Hoja2!A$1:H$1143,8,0)</f>
        <v>2000797280</v>
      </c>
      <c r="S538" s="7"/>
      <c r="T538" s="35">
        <f t="shared" si="31"/>
        <v>0</v>
      </c>
      <c r="U538" s="7"/>
    </row>
    <row r="539" spans="1:21" x14ac:dyDescent="0.25">
      <c r="A539" s="7" t="s">
        <v>1568</v>
      </c>
      <c r="B539" s="8">
        <v>44581.036365740743</v>
      </c>
      <c r="C539" s="8">
        <v>44599.659722222219</v>
      </c>
      <c r="D539" s="9">
        <v>182400</v>
      </c>
      <c r="E539" s="7" t="e">
        <f>VLOOKUP(A539,DEVOLUCIONES!A$1:A$231,1,0)</f>
        <v>#N/A</v>
      </c>
      <c r="F539" s="7" t="e">
        <f>VLOOKUP(A539,'GLOSAS X CONCILIAR'!$A$1:$A$37,1,0)</f>
        <v>#N/A</v>
      </c>
      <c r="G539" s="7" t="str">
        <f>VLOOKUP(A539,'TODAS LAS P'!A:A,1,0)</f>
        <v>FEHF244075</v>
      </c>
      <c r="H539" s="7" t="str">
        <f>VLOOKUP(A539,PAGOS!A573:$A$1553,1,0)</f>
        <v>FEHF244075</v>
      </c>
      <c r="I539" s="40"/>
      <c r="J539" s="40"/>
      <c r="K539" s="40"/>
      <c r="L539" s="40"/>
      <c r="M539" s="40"/>
      <c r="N539" s="40"/>
      <c r="O539" s="40">
        <v>182400</v>
      </c>
      <c r="P539" s="40"/>
      <c r="Q539" s="7"/>
      <c r="R539" s="7" t="str">
        <f>VLOOKUP(A539,Hoja2!A$1:H$1143,8,0)</f>
        <v>2000797280</v>
      </c>
      <c r="S539" s="7"/>
      <c r="T539" s="35">
        <f t="shared" si="31"/>
        <v>0</v>
      </c>
      <c r="U539" s="7"/>
    </row>
    <row r="540" spans="1:21" x14ac:dyDescent="0.25">
      <c r="A540" s="7" t="s">
        <v>1660</v>
      </c>
      <c r="B540" s="8">
        <v>44581.537048611113</v>
      </c>
      <c r="C540" s="8">
        <v>44599.707638888889</v>
      </c>
      <c r="D540" s="9">
        <v>32300</v>
      </c>
      <c r="E540" s="7" t="e">
        <f>VLOOKUP(A540,DEVOLUCIONES!A$1:A$231,1,0)</f>
        <v>#N/A</v>
      </c>
      <c r="F540" s="7" t="e">
        <f>VLOOKUP(A540,'GLOSAS X CONCILIAR'!$A$1:$A$37,1,0)</f>
        <v>#N/A</v>
      </c>
      <c r="G540" s="7" t="str">
        <f>VLOOKUP(A540,'TODAS LAS P'!A:A,1,0)</f>
        <v>FEHF244491</v>
      </c>
      <c r="H540" s="7" t="str">
        <f>VLOOKUP(A540,PAGOS!A574:$A$1553,1,0)</f>
        <v>FEHF244491</v>
      </c>
      <c r="I540" s="40"/>
      <c r="J540" s="40"/>
      <c r="K540" s="40"/>
      <c r="L540" s="40"/>
      <c r="M540" s="40"/>
      <c r="N540" s="40"/>
      <c r="O540" s="40">
        <v>32300</v>
      </c>
      <c r="P540" s="40"/>
      <c r="Q540" s="7"/>
      <c r="R540" s="7" t="str">
        <f>VLOOKUP(A540,Hoja2!A$1:H$1143,8,0)</f>
        <v>2000797280</v>
      </c>
      <c r="S540" s="7"/>
      <c r="T540" s="35">
        <f t="shared" si="31"/>
        <v>0</v>
      </c>
      <c r="U540" s="7"/>
    </row>
    <row r="541" spans="1:21" x14ac:dyDescent="0.25">
      <c r="A541" s="7" t="s">
        <v>1541</v>
      </c>
      <c r="B541" s="8">
        <v>44581.743009259262</v>
      </c>
      <c r="C541" s="8">
        <v>44602</v>
      </c>
      <c r="D541" s="9">
        <v>219000</v>
      </c>
      <c r="E541" s="7" t="e">
        <f>VLOOKUP(A541,DEVOLUCIONES!A$1:A$231,1,0)</f>
        <v>#N/A</v>
      </c>
      <c r="F541" s="7" t="e">
        <f>VLOOKUP(A541,'GLOSAS X CONCILIAR'!$A$1:$A$37,1,0)</f>
        <v>#N/A</v>
      </c>
      <c r="G541" s="7" t="str">
        <f>VLOOKUP(A541,'TODAS LAS P'!A:A,1,0)</f>
        <v>FEHF244683</v>
      </c>
      <c r="H541" s="7" t="str">
        <f>VLOOKUP(A541,PAGOS!A575:$A$1553,1,0)</f>
        <v>FEHF244683</v>
      </c>
      <c r="I541" s="40"/>
      <c r="J541" s="40"/>
      <c r="K541" s="40"/>
      <c r="L541" s="40"/>
      <c r="M541" s="40"/>
      <c r="N541" s="40"/>
      <c r="O541" s="40">
        <v>219000</v>
      </c>
      <c r="P541" s="40"/>
      <c r="Q541" s="7"/>
      <c r="R541" s="7" t="str">
        <f>VLOOKUP(A541,Hoja2!A$1:H$1143,8,0)</f>
        <v>2000797280</v>
      </c>
      <c r="S541" s="7"/>
      <c r="T541" s="35">
        <f t="shared" si="31"/>
        <v>0</v>
      </c>
      <c r="U541" s="7"/>
    </row>
    <row r="542" spans="1:21" x14ac:dyDescent="0.25">
      <c r="A542" s="7" t="s">
        <v>1538</v>
      </c>
      <c r="B542" s="8">
        <v>44582.26059027778</v>
      </c>
      <c r="C542" s="8">
        <v>44602</v>
      </c>
      <c r="D542" s="9">
        <v>62060</v>
      </c>
      <c r="E542" s="7" t="e">
        <f>VLOOKUP(A542,DEVOLUCIONES!A$1:A$231,1,0)</f>
        <v>#N/A</v>
      </c>
      <c r="F542" s="7" t="e">
        <f>VLOOKUP(A542,'GLOSAS X CONCILIAR'!$A$1:$A$37,1,0)</f>
        <v>#N/A</v>
      </c>
      <c r="G542" s="7" t="str">
        <f>VLOOKUP(A542,'TODAS LAS P'!A:A,1,0)</f>
        <v>FEHF244741</v>
      </c>
      <c r="H542" s="7" t="str">
        <f>VLOOKUP(A542,PAGOS!A576:$A$1553,1,0)</f>
        <v>FEHF244741</v>
      </c>
      <c r="I542" s="40"/>
      <c r="J542" s="40"/>
      <c r="K542" s="40"/>
      <c r="L542" s="40"/>
      <c r="M542" s="40"/>
      <c r="N542" s="40"/>
      <c r="O542" s="40">
        <v>62060</v>
      </c>
      <c r="P542" s="40"/>
      <c r="Q542" s="7"/>
      <c r="R542" s="7" t="str">
        <f>VLOOKUP(A542,Hoja2!A$1:H$1143,8,0)</f>
        <v>2000797280</v>
      </c>
      <c r="S542" s="7"/>
      <c r="T542" s="35">
        <f t="shared" si="31"/>
        <v>0</v>
      </c>
      <c r="U542" s="7"/>
    </row>
    <row r="543" spans="1:21" x14ac:dyDescent="0.25">
      <c r="A543" s="7" t="s">
        <v>1657</v>
      </c>
      <c r="B543" s="8">
        <v>44582.634641203702</v>
      </c>
      <c r="C543" s="8">
        <v>44599.707638888889</v>
      </c>
      <c r="D543" s="9">
        <v>32300</v>
      </c>
      <c r="E543" s="7" t="e">
        <f>VLOOKUP(A543,DEVOLUCIONES!A$1:A$231,1,0)</f>
        <v>#N/A</v>
      </c>
      <c r="F543" s="7" t="e">
        <f>VLOOKUP(A543,'GLOSAS X CONCILIAR'!$A$1:$A$37,1,0)</f>
        <v>#N/A</v>
      </c>
      <c r="G543" s="7" t="str">
        <f>VLOOKUP(A543,'TODAS LAS P'!A:A,1,0)</f>
        <v>FEHF245241</v>
      </c>
      <c r="H543" s="7" t="str">
        <f>VLOOKUP(A543,PAGOS!A577:$A$1553,1,0)</f>
        <v>FEHF245241</v>
      </c>
      <c r="I543" s="40"/>
      <c r="J543" s="40"/>
      <c r="K543" s="40"/>
      <c r="L543" s="40"/>
      <c r="M543" s="40"/>
      <c r="N543" s="40"/>
      <c r="O543" s="40">
        <v>32300</v>
      </c>
      <c r="P543" s="40"/>
      <c r="Q543" s="7"/>
      <c r="R543" s="7" t="str">
        <f>VLOOKUP(A543,Hoja2!A$1:H$1143,8,0)</f>
        <v>2000797280</v>
      </c>
      <c r="S543" s="7"/>
      <c r="T543" s="35">
        <f t="shared" si="31"/>
        <v>0</v>
      </c>
      <c r="U543" s="7"/>
    </row>
    <row r="544" spans="1:21" x14ac:dyDescent="0.25">
      <c r="A544" s="7" t="s">
        <v>1536</v>
      </c>
      <c r="B544" s="8">
        <v>44582.923703703702</v>
      </c>
      <c r="C544" s="8">
        <v>44602</v>
      </c>
      <c r="D544" s="9">
        <v>103500</v>
      </c>
      <c r="E544" s="7" t="e">
        <f>VLOOKUP(A544,DEVOLUCIONES!A$1:A$231,1,0)</f>
        <v>#N/A</v>
      </c>
      <c r="F544" s="7" t="e">
        <f>VLOOKUP(A544,'GLOSAS X CONCILIAR'!$A$1:$A$37,1,0)</f>
        <v>#N/A</v>
      </c>
      <c r="G544" s="7" t="str">
        <f>VLOOKUP(A544,'TODAS LAS P'!A:A,1,0)</f>
        <v>FEHF245347</v>
      </c>
      <c r="H544" s="7" t="str">
        <f>VLOOKUP(A544,PAGOS!A578:$A$1553,1,0)</f>
        <v>FEHF245347</v>
      </c>
      <c r="I544" s="40"/>
      <c r="J544" s="40"/>
      <c r="K544" s="40"/>
      <c r="L544" s="40"/>
      <c r="M544" s="40"/>
      <c r="N544" s="40"/>
      <c r="O544" s="40">
        <v>103500</v>
      </c>
      <c r="P544" s="40"/>
      <c r="Q544" s="7"/>
      <c r="R544" s="7" t="str">
        <f>VLOOKUP(A544,Hoja2!A$1:H$1143,8,0)</f>
        <v>2000797280</v>
      </c>
      <c r="S544" s="7"/>
      <c r="T544" s="35">
        <f t="shared" si="31"/>
        <v>0</v>
      </c>
      <c r="U544" s="7"/>
    </row>
    <row r="545" spans="1:21" x14ac:dyDescent="0.25">
      <c r="A545" s="7" t="s">
        <v>1501</v>
      </c>
      <c r="B545" s="8">
        <v>44583.200844907406</v>
      </c>
      <c r="C545" s="8">
        <v>44599.659722222219</v>
      </c>
      <c r="D545" s="9">
        <v>59100</v>
      </c>
      <c r="E545" s="7" t="e">
        <f>VLOOKUP(A545,DEVOLUCIONES!A$1:A$231,1,0)</f>
        <v>#N/A</v>
      </c>
      <c r="F545" s="7" t="e">
        <f>VLOOKUP(A545,'GLOSAS X CONCILIAR'!$A$1:$A$37,1,0)</f>
        <v>#N/A</v>
      </c>
      <c r="G545" s="7" t="str">
        <f>VLOOKUP(A545,'TODAS LAS P'!A:A,1,0)</f>
        <v>FEHF245372</v>
      </c>
      <c r="H545" s="7" t="str">
        <f>VLOOKUP(A545,PAGOS!A579:$A$1553,1,0)</f>
        <v>FEHF245372</v>
      </c>
      <c r="I545" s="40"/>
      <c r="J545" s="40"/>
      <c r="K545" s="40"/>
      <c r="L545" s="40"/>
      <c r="M545" s="40"/>
      <c r="N545" s="40"/>
      <c r="O545" s="40">
        <v>59100</v>
      </c>
      <c r="P545" s="40"/>
      <c r="Q545" s="7"/>
      <c r="R545" s="7" t="str">
        <f>VLOOKUP(A545,Hoja2!A$1:H$1143,8,0)</f>
        <v>2000797280</v>
      </c>
      <c r="S545" s="7"/>
      <c r="T545" s="35">
        <f t="shared" si="31"/>
        <v>0</v>
      </c>
      <c r="U545" s="7"/>
    </row>
    <row r="546" spans="1:21" x14ac:dyDescent="0.25">
      <c r="A546" s="7" t="s">
        <v>1471</v>
      </c>
      <c r="B546" s="8">
        <v>44583.419918981483</v>
      </c>
      <c r="C546" s="8">
        <v>44599.707638888889</v>
      </c>
      <c r="D546" s="9">
        <v>2600000</v>
      </c>
      <c r="E546" s="7" t="e">
        <f>VLOOKUP(A546,DEVOLUCIONES!A$1:A$231,1,0)</f>
        <v>#N/A</v>
      </c>
      <c r="F546" s="7" t="e">
        <f>VLOOKUP(A546,'GLOSAS X CONCILIAR'!$A$1:$A$37,1,0)</f>
        <v>#N/A</v>
      </c>
      <c r="G546" s="7" t="str">
        <f>VLOOKUP(A546,'TODAS LAS P'!A:A,1,0)</f>
        <v>FEHF245456</v>
      </c>
      <c r="H546" s="7" t="str">
        <f>VLOOKUP(A546,PAGOS!A580:$A$1553,1,0)</f>
        <v>FEHF245456</v>
      </c>
      <c r="I546" s="40"/>
      <c r="J546" s="40"/>
      <c r="K546" s="40"/>
      <c r="L546" s="40"/>
      <c r="M546" s="40"/>
      <c r="N546" s="40"/>
      <c r="O546" s="40">
        <v>2600000</v>
      </c>
      <c r="P546" s="40"/>
      <c r="Q546" s="7"/>
      <c r="R546" s="7" t="str">
        <f>VLOOKUP(A546,Hoja2!A$1:H$1143,8,0)</f>
        <v>2000797280</v>
      </c>
      <c r="S546" s="7"/>
      <c r="T546" s="35">
        <f t="shared" si="31"/>
        <v>0</v>
      </c>
      <c r="U546" s="7"/>
    </row>
    <row r="547" spans="1:21" x14ac:dyDescent="0.25">
      <c r="A547" s="7" t="s">
        <v>1469</v>
      </c>
      <c r="B547" s="8">
        <v>44583.453506944446</v>
      </c>
      <c r="C547" s="8">
        <v>44599.707638888889</v>
      </c>
      <c r="D547" s="9">
        <v>504000</v>
      </c>
      <c r="E547" s="7" t="e">
        <f>VLOOKUP(A547,DEVOLUCIONES!A$1:A$231,1,0)</f>
        <v>#N/A</v>
      </c>
      <c r="F547" s="7" t="e">
        <f>VLOOKUP(A547,'GLOSAS X CONCILIAR'!$A$1:$A$37,1,0)</f>
        <v>#N/A</v>
      </c>
      <c r="G547" s="7" t="str">
        <f>VLOOKUP(A547,'TODAS LAS P'!A:A,1,0)</f>
        <v>FEHF245482</v>
      </c>
      <c r="H547" s="7" t="str">
        <f>VLOOKUP(A547,PAGOS!A581:$A$1553,1,0)</f>
        <v>FEHF245482</v>
      </c>
      <c r="I547" s="40"/>
      <c r="J547" s="40"/>
      <c r="K547" s="40"/>
      <c r="L547" s="40"/>
      <c r="M547" s="40"/>
      <c r="N547" s="40"/>
      <c r="O547" s="40">
        <v>504000</v>
      </c>
      <c r="P547" s="40"/>
      <c r="Q547" s="7"/>
      <c r="R547" s="7" t="str">
        <f>VLOOKUP(A547,Hoja2!A$1:H$1143,8,0)</f>
        <v>2000797280</v>
      </c>
      <c r="S547" s="7"/>
      <c r="T547" s="35">
        <f t="shared" si="31"/>
        <v>0</v>
      </c>
      <c r="U547" s="7"/>
    </row>
    <row r="548" spans="1:21" x14ac:dyDescent="0.25">
      <c r="A548" s="7" t="s">
        <v>3083</v>
      </c>
      <c r="B548" s="8">
        <v>44583.615949074076</v>
      </c>
      <c r="C548" s="8">
        <v>44602</v>
      </c>
      <c r="D548" s="9">
        <v>4730338</v>
      </c>
      <c r="E548" s="7" t="str">
        <f>VLOOKUP(A548,DEVOLUCIONES!A$1:A$231,1,0)</f>
        <v>FEHF245544</v>
      </c>
      <c r="F548" s="7" t="e">
        <f>VLOOKUP(A548,'GLOSAS X CONCILIAR'!$A$1:$A$37,1,0)</f>
        <v>#N/A</v>
      </c>
      <c r="G548" s="7" t="e">
        <f>VLOOKUP(A548,'TODAS LAS P'!A:A,1,0)</f>
        <v>#N/A</v>
      </c>
      <c r="H548" s="7" t="e">
        <f>VLOOKUP(A548,PAGOS!A582:$A$1553,1,0)</f>
        <v>#N/A</v>
      </c>
      <c r="I548" s="40"/>
      <c r="J548" s="40">
        <f>D548</f>
        <v>4730338</v>
      </c>
      <c r="K548" s="40"/>
      <c r="L548" s="40"/>
      <c r="M548" s="40"/>
      <c r="N548" s="40"/>
      <c r="O548" s="40"/>
      <c r="P548" s="40"/>
      <c r="Q548" s="7" t="str">
        <f>VLOOKUP(A548,DEVOLUCIONES!A$1:B$231,2,0)</f>
        <v>DF-15765434553368</v>
      </c>
      <c r="R548" s="7"/>
      <c r="S548" s="7" t="str">
        <f>VLOOKUP(A548,DEVOLUCIONES!A$1:H$231,8,0)</f>
        <v>SE DEVUELVE FACTURA N FEHF245544 POR QUE NO HAY AUTORIZACION PARA LA PRESTACION DEL SERVICIO</v>
      </c>
      <c r="T548" s="35">
        <f t="shared" si="31"/>
        <v>0</v>
      </c>
      <c r="U548" s="7"/>
    </row>
    <row r="549" spans="1:21" x14ac:dyDescent="0.25">
      <c r="A549" s="7" t="s">
        <v>1533</v>
      </c>
      <c r="B549" s="8">
        <v>44583.701238425929</v>
      </c>
      <c r="C549" s="8">
        <v>44602</v>
      </c>
      <c r="D549" s="9">
        <v>547296</v>
      </c>
      <c r="E549" s="7" t="e">
        <f>VLOOKUP(A549,DEVOLUCIONES!A$1:A$231,1,0)</f>
        <v>#N/A</v>
      </c>
      <c r="F549" s="7" t="e">
        <f>VLOOKUP(A549,'GLOSAS X CONCILIAR'!$A$1:$A$37,1,0)</f>
        <v>#N/A</v>
      </c>
      <c r="G549" s="7" t="str">
        <f>VLOOKUP(A549,'TODAS LAS P'!A:A,1,0)</f>
        <v>FEHF245570</v>
      </c>
      <c r="H549" s="7" t="str">
        <f>VLOOKUP(A549,PAGOS!A583:$A$1553,1,0)</f>
        <v>FEHF245570</v>
      </c>
      <c r="I549" s="40"/>
      <c r="J549" s="40"/>
      <c r="K549" s="40"/>
      <c r="L549" s="40"/>
      <c r="M549" s="40"/>
      <c r="N549" s="40"/>
      <c r="O549" s="40">
        <v>547296</v>
      </c>
      <c r="P549" s="40"/>
      <c r="Q549" s="7"/>
      <c r="R549" s="7" t="str">
        <f>VLOOKUP(A549,Hoja2!A$1:H$1143,8,0)</f>
        <v>2000797280</v>
      </c>
      <c r="S549" s="7"/>
      <c r="T549" s="35">
        <f t="shared" si="31"/>
        <v>0</v>
      </c>
      <c r="U549" s="7"/>
    </row>
    <row r="550" spans="1:21" x14ac:dyDescent="0.25">
      <c r="A550" s="7" t="s">
        <v>1530</v>
      </c>
      <c r="B550" s="8">
        <v>44584.729837962965</v>
      </c>
      <c r="C550" s="8">
        <v>44602</v>
      </c>
      <c r="D550" s="9">
        <v>610275</v>
      </c>
      <c r="E550" s="7" t="e">
        <f>VLOOKUP(A550,DEVOLUCIONES!A$1:A$231,1,0)</f>
        <v>#N/A</v>
      </c>
      <c r="F550" s="7" t="e">
        <f>VLOOKUP(A550,'GLOSAS X CONCILIAR'!$A$1:$A$37,1,0)</f>
        <v>#N/A</v>
      </c>
      <c r="G550" s="7" t="str">
        <f>VLOOKUP(A550,'TODAS LAS P'!A:A,1,0)</f>
        <v>FEHF245738</v>
      </c>
      <c r="H550" s="7" t="str">
        <f>VLOOKUP(A550,PAGOS!A584:$A$1553,1,0)</f>
        <v>FEHF245738</v>
      </c>
      <c r="I550" s="40"/>
      <c r="J550" s="40"/>
      <c r="K550" s="40"/>
      <c r="L550" s="40"/>
      <c r="M550" s="40"/>
      <c r="N550" s="40"/>
      <c r="O550" s="40">
        <v>610275</v>
      </c>
      <c r="P550" s="40"/>
      <c r="Q550" s="7"/>
      <c r="R550" s="7" t="str">
        <f>VLOOKUP(A550,Hoja2!A$1:H$1143,8,0)</f>
        <v>2000797280</v>
      </c>
      <c r="S550" s="7"/>
      <c r="T550" s="35">
        <f t="shared" si="31"/>
        <v>0</v>
      </c>
      <c r="U550" s="7"/>
    </row>
    <row r="551" spans="1:21" x14ac:dyDescent="0.25">
      <c r="A551" s="7" t="s">
        <v>1467</v>
      </c>
      <c r="B551" s="8">
        <v>44585.296724537038</v>
      </c>
      <c r="C551" s="8">
        <v>44599.707638888889</v>
      </c>
      <c r="D551" s="9">
        <v>51900</v>
      </c>
      <c r="E551" s="7" t="e">
        <f>VLOOKUP(A551,DEVOLUCIONES!A$1:A$231,1,0)</f>
        <v>#N/A</v>
      </c>
      <c r="F551" s="7" t="e">
        <f>VLOOKUP(A551,'GLOSAS X CONCILIAR'!$A$1:$A$37,1,0)</f>
        <v>#N/A</v>
      </c>
      <c r="G551" s="7" t="str">
        <f>VLOOKUP(A551,'TODAS LAS P'!A:A,1,0)</f>
        <v>FEHF245820</v>
      </c>
      <c r="H551" s="7" t="str">
        <f>VLOOKUP(A551,PAGOS!A585:$A$1553,1,0)</f>
        <v>FEHF245820</v>
      </c>
      <c r="I551" s="40"/>
      <c r="J551" s="40"/>
      <c r="K551" s="40"/>
      <c r="L551" s="40"/>
      <c r="M551" s="40"/>
      <c r="N551" s="40"/>
      <c r="O551" s="40">
        <v>51900</v>
      </c>
      <c r="P551" s="40"/>
      <c r="Q551" s="7"/>
      <c r="R551" s="7" t="str">
        <f>VLOOKUP(A551,Hoja2!A$1:H$1143,8,0)</f>
        <v>2000797280</v>
      </c>
      <c r="S551" s="7"/>
      <c r="T551" s="35">
        <f t="shared" si="31"/>
        <v>0</v>
      </c>
      <c r="U551" s="7"/>
    </row>
    <row r="552" spans="1:21" x14ac:dyDescent="0.25">
      <c r="A552" s="7" t="s">
        <v>1654</v>
      </c>
      <c r="B552" s="8">
        <v>44585.61210648148</v>
      </c>
      <c r="C552" s="8">
        <v>44599.707638888889</v>
      </c>
      <c r="D552" s="9">
        <v>2327100</v>
      </c>
      <c r="E552" s="7" t="e">
        <f>VLOOKUP(A552,DEVOLUCIONES!A$1:A$231,1,0)</f>
        <v>#N/A</v>
      </c>
      <c r="F552" s="7" t="e">
        <f>VLOOKUP(A552,'GLOSAS X CONCILIAR'!$A$1:$A$37,1,0)</f>
        <v>#N/A</v>
      </c>
      <c r="G552" s="7" t="str">
        <f>VLOOKUP(A552,'TODAS LAS P'!A:A,1,0)</f>
        <v>FEHF246277</v>
      </c>
      <c r="H552" s="7" t="str">
        <f>VLOOKUP(A552,PAGOS!A586:$A$1553,1,0)</f>
        <v>FEHF246277</v>
      </c>
      <c r="I552" s="40"/>
      <c r="J552" s="40"/>
      <c r="K552" s="40"/>
      <c r="L552" s="40"/>
      <c r="M552" s="40"/>
      <c r="N552" s="40"/>
      <c r="O552" s="40">
        <v>2327100</v>
      </c>
      <c r="P552" s="40"/>
      <c r="Q552" s="7"/>
      <c r="R552" s="7" t="str">
        <f>VLOOKUP(A552,Hoja2!A$1:H$1143,8,0)</f>
        <v>2000797280</v>
      </c>
      <c r="S552" s="7"/>
      <c r="T552" s="35">
        <f t="shared" si="31"/>
        <v>0</v>
      </c>
      <c r="U552" s="7"/>
    </row>
    <row r="553" spans="1:21" x14ac:dyDescent="0.25">
      <c r="A553" s="7" t="s">
        <v>1499</v>
      </c>
      <c r="B553" s="8">
        <v>44585.793807870374</v>
      </c>
      <c r="C553" s="8">
        <v>44599.659722222219</v>
      </c>
      <c r="D553" s="9">
        <v>59100</v>
      </c>
      <c r="E553" s="7" t="e">
        <f>VLOOKUP(A553,DEVOLUCIONES!A$1:A$231,1,0)</f>
        <v>#N/A</v>
      </c>
      <c r="F553" s="7" t="e">
        <f>VLOOKUP(A553,'GLOSAS X CONCILIAR'!$A$1:$A$37,1,0)</f>
        <v>#N/A</v>
      </c>
      <c r="G553" s="7" t="str">
        <f>VLOOKUP(A553,'TODAS LAS P'!A:A,1,0)</f>
        <v>FEHF246422</v>
      </c>
      <c r="H553" s="7" t="str">
        <f>VLOOKUP(A553,PAGOS!A587:$A$1553,1,0)</f>
        <v>FEHF246422</v>
      </c>
      <c r="I553" s="40"/>
      <c r="J553" s="40"/>
      <c r="K553" s="40"/>
      <c r="L553" s="40"/>
      <c r="M553" s="40"/>
      <c r="N553" s="40"/>
      <c r="O553" s="40">
        <v>59100</v>
      </c>
      <c r="P553" s="40"/>
      <c r="Q553" s="7"/>
      <c r="R553" s="7" t="str">
        <f>VLOOKUP(A553,Hoja2!A$1:H$1143,8,0)</f>
        <v>2000797280</v>
      </c>
      <c r="S553" s="7"/>
      <c r="T553" s="35">
        <f t="shared" si="31"/>
        <v>0</v>
      </c>
      <c r="U553" s="7"/>
    </row>
    <row r="554" spans="1:21" x14ac:dyDescent="0.25">
      <c r="A554" s="7" t="s">
        <v>1063</v>
      </c>
      <c r="B554" s="8">
        <v>44586.304872685185</v>
      </c>
      <c r="C554" s="8">
        <v>44599.707638888889</v>
      </c>
      <c r="D554" s="9">
        <v>7400</v>
      </c>
      <c r="E554" s="7" t="e">
        <f>VLOOKUP(A554,DEVOLUCIONES!A$1:A$231,1,0)</f>
        <v>#N/A</v>
      </c>
      <c r="F554" s="7" t="e">
        <f>VLOOKUP(A554,'GLOSAS X CONCILIAR'!$A$1:$A$37,1,0)</f>
        <v>#N/A</v>
      </c>
      <c r="G554" s="7" t="str">
        <f>VLOOKUP(A554,'TODAS LAS P'!A:A,1,0)</f>
        <v>FEHF246533</v>
      </c>
      <c r="H554" s="7" t="e">
        <f>VLOOKUP(A554,PAGOS!A588:$A$1553,1,0)</f>
        <v>#N/A</v>
      </c>
      <c r="I554" s="40"/>
      <c r="J554" s="40"/>
      <c r="K554" s="40"/>
      <c r="L554" s="40"/>
      <c r="M554" s="40"/>
      <c r="N554" s="40"/>
      <c r="O554" s="40">
        <v>7400</v>
      </c>
      <c r="P554" s="40"/>
      <c r="Q554" s="7"/>
      <c r="R554" s="7" t="str">
        <f>VLOOKUP(A554,Hoja2!A$1:H$1143,8,0)</f>
        <v>2000826623</v>
      </c>
      <c r="S554" s="7"/>
      <c r="T554" s="35">
        <f t="shared" si="31"/>
        <v>0</v>
      </c>
      <c r="U554" s="7"/>
    </row>
    <row r="555" spans="1:21" x14ac:dyDescent="0.25">
      <c r="A555" s="7" t="s">
        <v>1061</v>
      </c>
      <c r="B555" s="8">
        <v>44586.375219907408</v>
      </c>
      <c r="C555" s="8">
        <v>44599.707638888889</v>
      </c>
      <c r="D555" s="9">
        <v>83200</v>
      </c>
      <c r="E555" s="7" t="e">
        <f>VLOOKUP(A555,DEVOLUCIONES!A$1:A$231,1,0)</f>
        <v>#N/A</v>
      </c>
      <c r="F555" s="7" t="e">
        <f>VLOOKUP(A555,'GLOSAS X CONCILIAR'!$A$1:$A$37,1,0)</f>
        <v>#N/A</v>
      </c>
      <c r="G555" s="7" t="str">
        <f>VLOOKUP(A555,'TODAS LAS P'!A:A,1,0)</f>
        <v>FEHF246652</v>
      </c>
      <c r="H555" s="7" t="e">
        <f>VLOOKUP(A555,PAGOS!A589:$A$1553,1,0)</f>
        <v>#N/A</v>
      </c>
      <c r="I555" s="40"/>
      <c r="J555" s="40"/>
      <c r="K555" s="40"/>
      <c r="L555" s="40"/>
      <c r="M555" s="40"/>
      <c r="N555" s="40"/>
      <c r="O555" s="40">
        <v>83200</v>
      </c>
      <c r="P555" s="40"/>
      <c r="Q555" s="7"/>
      <c r="R555" s="7" t="str">
        <f>VLOOKUP(A555,Hoja2!A$1:H$1143,8,0)</f>
        <v>2000826623</v>
      </c>
      <c r="S555" s="7"/>
      <c r="T555" s="35">
        <f t="shared" si="31"/>
        <v>0</v>
      </c>
      <c r="U555" s="7"/>
    </row>
    <row r="556" spans="1:21" x14ac:dyDescent="0.25">
      <c r="A556" s="7" t="s">
        <v>1652</v>
      </c>
      <c r="B556" s="8">
        <v>44586.378182870372</v>
      </c>
      <c r="C556" s="8">
        <v>44599.707638888889</v>
      </c>
      <c r="D556" s="9">
        <v>478400</v>
      </c>
      <c r="E556" s="7" t="e">
        <f>VLOOKUP(A556,DEVOLUCIONES!A$1:A$231,1,0)</f>
        <v>#N/A</v>
      </c>
      <c r="F556" s="7" t="e">
        <f>VLOOKUP(A556,'GLOSAS X CONCILIAR'!$A$1:$A$37,1,0)</f>
        <v>#N/A</v>
      </c>
      <c r="G556" s="7" t="str">
        <f>VLOOKUP(A556,'TODAS LAS P'!A:A,1,0)</f>
        <v>FEHF246656</v>
      </c>
      <c r="H556" s="7" t="str">
        <f>VLOOKUP(A556,PAGOS!A590:$A$1553,1,0)</f>
        <v>FEHF246656</v>
      </c>
      <c r="I556" s="40"/>
      <c r="J556" s="40"/>
      <c r="K556" s="40"/>
      <c r="L556" s="40"/>
      <c r="M556" s="40"/>
      <c r="N556" s="40"/>
      <c r="O556" s="40">
        <v>478400</v>
      </c>
      <c r="P556" s="40"/>
      <c r="Q556" s="7"/>
      <c r="R556" s="7" t="str">
        <f>VLOOKUP(A556,Hoja2!A$1:H$1143,8,0)</f>
        <v>2000797280</v>
      </c>
      <c r="S556" s="7"/>
      <c r="T556" s="35">
        <f t="shared" si="31"/>
        <v>0</v>
      </c>
      <c r="U556" s="7"/>
    </row>
    <row r="557" spans="1:21" x14ac:dyDescent="0.25">
      <c r="A557" s="7" t="s">
        <v>1650</v>
      </c>
      <c r="B557" s="8">
        <v>44586.380115740743</v>
      </c>
      <c r="C557" s="8">
        <v>44599.707638888889</v>
      </c>
      <c r="D557" s="9">
        <v>135100</v>
      </c>
      <c r="E557" s="7" t="e">
        <f>VLOOKUP(A557,DEVOLUCIONES!A$1:A$231,1,0)</f>
        <v>#N/A</v>
      </c>
      <c r="F557" s="7" t="e">
        <f>VLOOKUP(A557,'GLOSAS X CONCILIAR'!$A$1:$A$37,1,0)</f>
        <v>#N/A</v>
      </c>
      <c r="G557" s="7" t="str">
        <f>VLOOKUP(A557,'TODAS LAS P'!A:A,1,0)</f>
        <v>FEHF246657</v>
      </c>
      <c r="H557" s="7" t="str">
        <f>VLOOKUP(A557,PAGOS!A591:$A$1553,1,0)</f>
        <v>FEHF246657</v>
      </c>
      <c r="I557" s="40"/>
      <c r="J557" s="40"/>
      <c r="K557" s="40"/>
      <c r="L557" s="40"/>
      <c r="M557" s="40"/>
      <c r="N557" s="40"/>
      <c r="O557" s="40">
        <v>135100</v>
      </c>
      <c r="P557" s="40"/>
      <c r="Q557" s="7"/>
      <c r="R557" s="7" t="str">
        <f>VLOOKUP(A557,Hoja2!A$1:H$1143,8,0)</f>
        <v>2000797280</v>
      </c>
      <c r="S557" s="7"/>
      <c r="T557" s="35">
        <f t="shared" si="31"/>
        <v>0</v>
      </c>
      <c r="U557" s="7"/>
    </row>
    <row r="558" spans="1:21" x14ac:dyDescent="0.25">
      <c r="A558" s="7" t="s">
        <v>1496</v>
      </c>
      <c r="B558" s="8">
        <v>44586.718530092592</v>
      </c>
      <c r="C558" s="8">
        <v>44599.659722222219</v>
      </c>
      <c r="D558" s="9">
        <v>60532</v>
      </c>
      <c r="E558" s="7" t="e">
        <f>VLOOKUP(A558,DEVOLUCIONES!A$1:A$231,1,0)</f>
        <v>#N/A</v>
      </c>
      <c r="F558" s="7" t="e">
        <f>VLOOKUP(A558,'GLOSAS X CONCILIAR'!$A$1:$A$37,1,0)</f>
        <v>#N/A</v>
      </c>
      <c r="G558" s="7" t="str">
        <f>VLOOKUP(A558,'TODAS LAS P'!A:A,1,0)</f>
        <v>FEHF247022</v>
      </c>
      <c r="H558" s="7" t="str">
        <f>VLOOKUP(A558,PAGOS!A592:$A$1553,1,0)</f>
        <v>FEHF247022</v>
      </c>
      <c r="I558" s="40"/>
      <c r="J558" s="40"/>
      <c r="K558" s="40"/>
      <c r="L558" s="40"/>
      <c r="M558" s="40"/>
      <c r="N558" s="40"/>
      <c r="O558" s="40">
        <v>60532</v>
      </c>
      <c r="P558" s="40"/>
      <c r="Q558" s="7"/>
      <c r="R558" s="7" t="str">
        <f>VLOOKUP(A558,Hoja2!A$1:H$1143,8,0)</f>
        <v>2000797280</v>
      </c>
      <c r="S558" s="7"/>
      <c r="T558" s="35">
        <f t="shared" si="31"/>
        <v>0</v>
      </c>
      <c r="U558" s="7"/>
    </row>
    <row r="559" spans="1:21" x14ac:dyDescent="0.25">
      <c r="A559" s="7" t="s">
        <v>3084</v>
      </c>
      <c r="B559" s="8">
        <v>44586.720370370371</v>
      </c>
      <c r="C559" s="8">
        <v>44602</v>
      </c>
      <c r="D559" s="9">
        <v>80832</v>
      </c>
      <c r="E559" s="7" t="str">
        <f>VLOOKUP(A559,DEVOLUCIONES!A$1:A$231,1,0)</f>
        <v>FEHF247024</v>
      </c>
      <c r="F559" s="7" t="e">
        <f>VLOOKUP(A559,'GLOSAS X CONCILIAR'!$A$1:$A$37,1,0)</f>
        <v>#N/A</v>
      </c>
      <c r="G559" s="7" t="e">
        <f>VLOOKUP(A559,'TODAS LAS P'!A:A,1,0)</f>
        <v>#N/A</v>
      </c>
      <c r="H559" s="7" t="e">
        <f>VLOOKUP(A559,PAGOS!A593:$A$1553,1,0)</f>
        <v>#N/A</v>
      </c>
      <c r="I559" s="40"/>
      <c r="J559" s="40">
        <f>D559</f>
        <v>80832</v>
      </c>
      <c r="K559" s="40"/>
      <c r="L559" s="40"/>
      <c r="M559" s="40"/>
      <c r="N559" s="40"/>
      <c r="O559" s="40"/>
      <c r="P559" s="40"/>
      <c r="Q559" s="7" t="str">
        <f>VLOOKUP(A559,DEVOLUCIONES!A$1:B$231,2,0)</f>
        <v>DF-257654324539586</v>
      </c>
      <c r="R559" s="7"/>
      <c r="S559" s="7" t="str">
        <f>VLOOKUP(A559,DEVOLUCIONES!A$1:H$231,8,0)</f>
        <v xml:space="preserve">Se realiza devolución de la factura correspondiente a cobro de SARS COV2 COVID 19 ANTIGENO  dado que la IPS no anexa los requisitos exigidos por el ADRES se observa que no anexan el registro INVIMA para las pruebas de anticuerpos y de antígenos según lo estipulado en la circular 049 expedida por el ADRES y resolución 1463 requisito necesario para continuar con el debido proceso </v>
      </c>
      <c r="T559" s="35">
        <f t="shared" si="31"/>
        <v>0</v>
      </c>
      <c r="U559" s="7"/>
    </row>
    <row r="560" spans="1:21" x14ac:dyDescent="0.25">
      <c r="A560" s="7" t="s">
        <v>1465</v>
      </c>
      <c r="B560" s="8">
        <v>44587.396435185183</v>
      </c>
      <c r="C560" s="8">
        <v>44599.707638888889</v>
      </c>
      <c r="D560" s="9">
        <v>34700</v>
      </c>
      <c r="E560" s="7" t="e">
        <f>VLOOKUP(A560,DEVOLUCIONES!A$1:A$231,1,0)</f>
        <v>#N/A</v>
      </c>
      <c r="F560" s="7" t="e">
        <f>VLOOKUP(A560,'GLOSAS X CONCILIAR'!$A$1:$A$37,1,0)</f>
        <v>#N/A</v>
      </c>
      <c r="G560" s="7" t="str">
        <f>VLOOKUP(A560,'TODAS LAS P'!A:A,1,0)</f>
        <v>FEHF247264</v>
      </c>
      <c r="H560" s="7" t="str">
        <f>VLOOKUP(A560,PAGOS!A594:$A$1553,1,0)</f>
        <v>FEHF247264</v>
      </c>
      <c r="I560" s="40"/>
      <c r="J560" s="40"/>
      <c r="K560" s="40"/>
      <c r="L560" s="40"/>
      <c r="M560" s="40"/>
      <c r="N560" s="40"/>
      <c r="O560" s="40">
        <v>34700</v>
      </c>
      <c r="P560" s="40"/>
      <c r="Q560" s="7"/>
      <c r="R560" s="7" t="str">
        <f>VLOOKUP(A560,Hoja2!A$1:H$1143,8,0)</f>
        <v>2000797280</v>
      </c>
      <c r="S560" s="7"/>
      <c r="T560" s="35">
        <f t="shared" si="31"/>
        <v>0</v>
      </c>
      <c r="U560" s="7"/>
    </row>
    <row r="561" spans="1:21" x14ac:dyDescent="0.25">
      <c r="A561" s="7" t="s">
        <v>1528</v>
      </c>
      <c r="B561" s="8">
        <v>44587.419664351852</v>
      </c>
      <c r="C561" s="8">
        <v>44602</v>
      </c>
      <c r="D561" s="9">
        <v>59191</v>
      </c>
      <c r="E561" s="7" t="e">
        <f>VLOOKUP(A561,DEVOLUCIONES!A$1:A$231,1,0)</f>
        <v>#N/A</v>
      </c>
      <c r="F561" s="7" t="e">
        <f>VLOOKUP(A561,'GLOSAS X CONCILIAR'!$A$1:$A$37,1,0)</f>
        <v>#N/A</v>
      </c>
      <c r="G561" s="7" t="str">
        <f>VLOOKUP(A561,'TODAS LAS P'!A:A,1,0)</f>
        <v>FEHF247296</v>
      </c>
      <c r="H561" s="7" t="str">
        <f>VLOOKUP(A561,PAGOS!A595:$A$1553,1,0)</f>
        <v>FEHF247296</v>
      </c>
      <c r="I561" s="40"/>
      <c r="J561" s="40"/>
      <c r="K561" s="40"/>
      <c r="L561" s="40"/>
      <c r="M561" s="40"/>
      <c r="N561" s="40"/>
      <c r="O561" s="40">
        <v>59191</v>
      </c>
      <c r="P561" s="40"/>
      <c r="Q561" s="7"/>
      <c r="R561" s="7" t="str">
        <f>VLOOKUP(A561,Hoja2!A$1:H$1143,8,0)</f>
        <v>2000797280</v>
      </c>
      <c r="S561" s="7"/>
      <c r="T561" s="35">
        <f t="shared" si="31"/>
        <v>0</v>
      </c>
      <c r="U561" s="7"/>
    </row>
    <row r="562" spans="1:21" x14ac:dyDescent="0.25">
      <c r="A562" s="7" t="s">
        <v>1463</v>
      </c>
      <c r="B562" s="8">
        <v>44587.472002314818</v>
      </c>
      <c r="C562" s="8">
        <v>44599.707638888889</v>
      </c>
      <c r="D562" s="9">
        <v>51900</v>
      </c>
      <c r="E562" s="7" t="e">
        <f>VLOOKUP(A562,DEVOLUCIONES!A$1:A$231,1,0)</f>
        <v>#N/A</v>
      </c>
      <c r="F562" s="7" t="e">
        <f>VLOOKUP(A562,'GLOSAS X CONCILIAR'!$A$1:$A$37,1,0)</f>
        <v>#N/A</v>
      </c>
      <c r="G562" s="7" t="str">
        <f>VLOOKUP(A562,'TODAS LAS P'!A:A,1,0)</f>
        <v>FEHF247388</v>
      </c>
      <c r="H562" s="7" t="str">
        <f>VLOOKUP(A562,PAGOS!A596:$A$1553,1,0)</f>
        <v>FEHF247388</v>
      </c>
      <c r="I562" s="40"/>
      <c r="J562" s="40"/>
      <c r="K562" s="40"/>
      <c r="L562" s="40"/>
      <c r="M562" s="40"/>
      <c r="N562" s="40"/>
      <c r="O562" s="40">
        <v>51900</v>
      </c>
      <c r="P562" s="40"/>
      <c r="Q562" s="7"/>
      <c r="R562" s="7" t="str">
        <f>VLOOKUP(A562,Hoja2!A$1:H$1143,8,0)</f>
        <v>2000797280</v>
      </c>
      <c r="S562" s="7"/>
      <c r="T562" s="35">
        <f t="shared" si="31"/>
        <v>0</v>
      </c>
      <c r="U562" s="7"/>
    </row>
    <row r="563" spans="1:21" x14ac:dyDescent="0.25">
      <c r="A563" s="7" t="s">
        <v>1525</v>
      </c>
      <c r="B563" s="8">
        <v>44588.084166666667</v>
      </c>
      <c r="C563" s="8">
        <v>44602</v>
      </c>
      <c r="D563" s="9">
        <v>131801</v>
      </c>
      <c r="E563" s="7" t="e">
        <f>VLOOKUP(A563,DEVOLUCIONES!A$1:A$231,1,0)</f>
        <v>#N/A</v>
      </c>
      <c r="F563" s="7" t="e">
        <f>VLOOKUP(A563,'GLOSAS X CONCILIAR'!$A$1:$A$37,1,0)</f>
        <v>#N/A</v>
      </c>
      <c r="G563" s="7" t="str">
        <f>VLOOKUP(A563,'TODAS LAS P'!A:A,1,0)</f>
        <v>FEHF247651</v>
      </c>
      <c r="H563" s="7" t="str">
        <f>VLOOKUP(A563,PAGOS!A597:$A$1553,1,0)</f>
        <v>FEHF247651</v>
      </c>
      <c r="I563" s="40"/>
      <c r="J563" s="40"/>
      <c r="K563" s="40"/>
      <c r="L563" s="40"/>
      <c r="M563" s="40"/>
      <c r="N563" s="40"/>
      <c r="O563" s="40">
        <v>131801</v>
      </c>
      <c r="P563" s="40"/>
      <c r="Q563" s="7"/>
      <c r="R563" s="7" t="str">
        <f>VLOOKUP(A563,Hoja2!A$1:H$1143,8,0)</f>
        <v>2000797280</v>
      </c>
      <c r="S563" s="7"/>
      <c r="T563" s="35">
        <f t="shared" si="31"/>
        <v>0</v>
      </c>
      <c r="U563" s="7"/>
    </row>
    <row r="564" spans="1:21" x14ac:dyDescent="0.25">
      <c r="A564" s="7" t="s">
        <v>1648</v>
      </c>
      <c r="B564" s="8">
        <v>44588.361006944448</v>
      </c>
      <c r="C564" s="8">
        <v>44599.707638888889</v>
      </c>
      <c r="D564" s="9">
        <v>10700</v>
      </c>
      <c r="E564" s="7" t="e">
        <f>VLOOKUP(A564,DEVOLUCIONES!A$1:A$231,1,0)</f>
        <v>#N/A</v>
      </c>
      <c r="F564" s="7" t="e">
        <f>VLOOKUP(A564,'GLOSAS X CONCILIAR'!$A$1:$A$37,1,0)</f>
        <v>#N/A</v>
      </c>
      <c r="G564" s="7" t="str">
        <f>VLOOKUP(A564,'TODAS LAS P'!A:A,1,0)</f>
        <v>FEHF247786</v>
      </c>
      <c r="H564" s="7" t="str">
        <f>VLOOKUP(A564,PAGOS!A598:$A$1553,1,0)</f>
        <v>FEHF247786</v>
      </c>
      <c r="I564" s="40"/>
      <c r="J564" s="40"/>
      <c r="K564" s="40"/>
      <c r="L564" s="40"/>
      <c r="M564" s="40"/>
      <c r="N564" s="40"/>
      <c r="O564" s="40">
        <v>10700</v>
      </c>
      <c r="P564" s="40"/>
      <c r="Q564" s="7"/>
      <c r="R564" s="7" t="str">
        <f>VLOOKUP(A564,Hoja2!A$1:H$1143,8,0)</f>
        <v>2000797280</v>
      </c>
      <c r="S564" s="7"/>
      <c r="T564" s="35">
        <f t="shared" si="31"/>
        <v>0</v>
      </c>
      <c r="U564" s="7"/>
    </row>
    <row r="565" spans="1:21" x14ac:dyDescent="0.25">
      <c r="A565" s="7" t="s">
        <v>948</v>
      </c>
      <c r="B565" s="8">
        <v>44588.683437500003</v>
      </c>
      <c r="C565" s="8">
        <v>44602</v>
      </c>
      <c r="D565" s="9">
        <v>1711266</v>
      </c>
      <c r="E565" s="7" t="e">
        <f>VLOOKUP(A565,DEVOLUCIONES!A$1:A$231,1,0)</f>
        <v>#N/A</v>
      </c>
      <c r="F565" s="7" t="e">
        <f>VLOOKUP(A565,'GLOSAS X CONCILIAR'!$A$1:$A$37,1,0)</f>
        <v>#N/A</v>
      </c>
      <c r="G565" s="7" t="str">
        <f>VLOOKUP(A565,'TODAS LAS P'!A:A,1,0)</f>
        <v>FEHF248128</v>
      </c>
      <c r="H565" s="7" t="e">
        <f>VLOOKUP(A565,PAGOS!A599:$A$1553,1,0)</f>
        <v>#N/A</v>
      </c>
      <c r="I565" s="40"/>
      <c r="J565" s="40"/>
      <c r="K565" s="40"/>
      <c r="L565" s="40"/>
      <c r="M565" s="40"/>
      <c r="N565" s="40"/>
      <c r="O565" s="40">
        <v>1711266</v>
      </c>
      <c r="P565" s="40"/>
      <c r="Q565" s="7"/>
      <c r="R565" s="7" t="str">
        <f>VLOOKUP(A565,Hoja2!A$1:H$1143,8,0)</f>
        <v>2000826027</v>
      </c>
      <c r="S565" s="7"/>
      <c r="T565" s="35">
        <f t="shared" si="31"/>
        <v>0</v>
      </c>
      <c r="U565" s="7"/>
    </row>
    <row r="566" spans="1:21" x14ac:dyDescent="0.25">
      <c r="A566" s="7" t="s">
        <v>1494</v>
      </c>
      <c r="B566" s="8">
        <v>44588.74832175926</v>
      </c>
      <c r="C566" s="8">
        <v>44599.659722222219</v>
      </c>
      <c r="D566" s="9">
        <v>60124</v>
      </c>
      <c r="E566" s="7" t="e">
        <f>VLOOKUP(A566,DEVOLUCIONES!A$1:A$231,1,0)</f>
        <v>#N/A</v>
      </c>
      <c r="F566" s="7" t="e">
        <f>VLOOKUP(A566,'GLOSAS X CONCILIAR'!$A$1:$A$37,1,0)</f>
        <v>#N/A</v>
      </c>
      <c r="G566" s="7" t="str">
        <f>VLOOKUP(A566,'TODAS LAS P'!A:A,1,0)</f>
        <v>FEHF248161</v>
      </c>
      <c r="H566" s="7" t="str">
        <f>VLOOKUP(A566,PAGOS!A600:$A$1553,1,0)</f>
        <v>FEHF248161</v>
      </c>
      <c r="I566" s="40"/>
      <c r="J566" s="40"/>
      <c r="K566" s="40"/>
      <c r="L566" s="40"/>
      <c r="M566" s="40"/>
      <c r="N566" s="40"/>
      <c r="O566" s="40">
        <v>60124</v>
      </c>
      <c r="P566" s="40"/>
      <c r="Q566" s="7"/>
      <c r="R566" s="7" t="str">
        <f>VLOOKUP(A566,Hoja2!A$1:H$1143,8,0)</f>
        <v>2000797280</v>
      </c>
      <c r="S566" s="7"/>
      <c r="T566" s="35">
        <f t="shared" si="31"/>
        <v>0</v>
      </c>
      <c r="U566" s="7"/>
    </row>
    <row r="567" spans="1:21" x14ac:dyDescent="0.25">
      <c r="A567" s="7" t="s">
        <v>1646</v>
      </c>
      <c r="B567" s="8">
        <v>44589.318738425929</v>
      </c>
      <c r="C567" s="8">
        <v>44599.707638888889</v>
      </c>
      <c r="D567" s="9">
        <v>32300</v>
      </c>
      <c r="E567" s="7" t="e">
        <f>VLOOKUP(A567,DEVOLUCIONES!A$1:A$231,1,0)</f>
        <v>#N/A</v>
      </c>
      <c r="F567" s="7" t="e">
        <f>VLOOKUP(A567,'GLOSAS X CONCILIAR'!$A$1:$A$37,1,0)</f>
        <v>#N/A</v>
      </c>
      <c r="G567" s="7" t="str">
        <f>VLOOKUP(A567,'TODAS LAS P'!A:A,1,0)</f>
        <v>FEHF248278</v>
      </c>
      <c r="H567" s="7" t="str">
        <f>VLOOKUP(A567,PAGOS!A601:$A$1553,1,0)</f>
        <v>FEHF248278</v>
      </c>
      <c r="I567" s="40"/>
      <c r="J567" s="40"/>
      <c r="K567" s="40"/>
      <c r="L567" s="40"/>
      <c r="M567" s="40"/>
      <c r="N567" s="40"/>
      <c r="O567" s="40">
        <v>32300</v>
      </c>
      <c r="P567" s="40"/>
      <c r="Q567" s="7"/>
      <c r="R567" s="7" t="str">
        <f>VLOOKUP(A567,Hoja2!A$1:H$1143,8,0)</f>
        <v>2000797280</v>
      </c>
      <c r="S567" s="7"/>
      <c r="T567" s="35">
        <f t="shared" si="31"/>
        <v>0</v>
      </c>
      <c r="U567" s="7"/>
    </row>
    <row r="568" spans="1:21" x14ac:dyDescent="0.25">
      <c r="A568" s="7" t="s">
        <v>1461</v>
      </c>
      <c r="B568" s="8">
        <v>44589.340046296296</v>
      </c>
      <c r="C568" s="8">
        <v>44599.707638888889</v>
      </c>
      <c r="D568" s="9">
        <v>26000</v>
      </c>
      <c r="E568" s="7" t="e">
        <f>VLOOKUP(A568,DEVOLUCIONES!A$1:A$231,1,0)</f>
        <v>#N/A</v>
      </c>
      <c r="F568" s="7" t="e">
        <f>VLOOKUP(A568,'GLOSAS X CONCILIAR'!$A$1:$A$37,1,0)</f>
        <v>#N/A</v>
      </c>
      <c r="G568" s="7" t="str">
        <f>VLOOKUP(A568,'TODAS LAS P'!A:A,1,0)</f>
        <v>FEHF248318</v>
      </c>
      <c r="H568" s="7" t="str">
        <f>VLOOKUP(A568,PAGOS!A602:$A$1553,1,0)</f>
        <v>FEHF248318</v>
      </c>
      <c r="I568" s="40"/>
      <c r="J568" s="40"/>
      <c r="K568" s="40"/>
      <c r="L568" s="40"/>
      <c r="M568" s="40"/>
      <c r="N568" s="40"/>
      <c r="O568" s="40">
        <v>26000</v>
      </c>
      <c r="P568" s="40"/>
      <c r="Q568" s="7"/>
      <c r="R568" s="7" t="str">
        <f>VLOOKUP(A568,Hoja2!A$1:H$1143,8,0)</f>
        <v>2000797280</v>
      </c>
      <c r="S568" s="7"/>
      <c r="T568" s="35">
        <f t="shared" si="31"/>
        <v>0</v>
      </c>
      <c r="U568" s="7"/>
    </row>
    <row r="569" spans="1:21" x14ac:dyDescent="0.25">
      <c r="A569" s="7" t="s">
        <v>1522</v>
      </c>
      <c r="B569" s="8">
        <v>44589.385057870371</v>
      </c>
      <c r="C569" s="8">
        <v>44602</v>
      </c>
      <c r="D569" s="9">
        <v>3553521</v>
      </c>
      <c r="E569" s="7" t="e">
        <f>VLOOKUP(A569,DEVOLUCIONES!A$1:A$231,1,0)</f>
        <v>#N/A</v>
      </c>
      <c r="F569" s="7" t="e">
        <f>VLOOKUP(A569,'GLOSAS X CONCILIAR'!$A$1:$A$37,1,0)</f>
        <v>#N/A</v>
      </c>
      <c r="G569" s="7" t="str">
        <f>VLOOKUP(A569,'TODAS LAS P'!A:A,1,0)</f>
        <v>FEHF248391</v>
      </c>
      <c r="H569" s="7" t="str">
        <f>VLOOKUP(A569,PAGOS!A603:$A$1553,1,0)</f>
        <v>FEHF248391</v>
      </c>
      <c r="I569" s="40"/>
      <c r="J569" s="40"/>
      <c r="K569" s="40"/>
      <c r="L569" s="40"/>
      <c r="M569" s="40"/>
      <c r="N569" s="40"/>
      <c r="O569" s="40">
        <v>3553521</v>
      </c>
      <c r="P569" s="40"/>
      <c r="Q569" s="7"/>
      <c r="R569" s="7" t="str">
        <f>VLOOKUP(A569,Hoja2!A$1:H$1143,8,0)</f>
        <v>2000797280</v>
      </c>
      <c r="S569" s="7"/>
      <c r="T569" s="35">
        <f t="shared" si="31"/>
        <v>0</v>
      </c>
      <c r="U569" s="7"/>
    </row>
    <row r="570" spans="1:21" x14ac:dyDescent="0.25">
      <c r="A570" s="7" t="s">
        <v>1519</v>
      </c>
      <c r="B570" s="8">
        <v>44589.403310185182</v>
      </c>
      <c r="C570" s="8">
        <v>44602</v>
      </c>
      <c r="D570" s="9">
        <v>1121100</v>
      </c>
      <c r="E570" s="7" t="e">
        <f>VLOOKUP(A570,DEVOLUCIONES!A$1:A$231,1,0)</f>
        <v>#N/A</v>
      </c>
      <c r="F570" s="7" t="e">
        <f>VLOOKUP(A570,'GLOSAS X CONCILIAR'!$A$1:$A$37,1,0)</f>
        <v>#N/A</v>
      </c>
      <c r="G570" s="7" t="str">
        <f>VLOOKUP(A570,'TODAS LAS P'!A:A,1,0)</f>
        <v>FEHF248427</v>
      </c>
      <c r="H570" s="7" t="str">
        <f>VLOOKUP(A570,PAGOS!A604:$A$1553,1,0)</f>
        <v>FEHF248427</v>
      </c>
      <c r="I570" s="40"/>
      <c r="J570" s="40"/>
      <c r="K570" s="40"/>
      <c r="L570" s="40"/>
      <c r="M570" s="40"/>
      <c r="N570" s="40"/>
      <c r="O570" s="40">
        <v>1121100</v>
      </c>
      <c r="P570" s="40"/>
      <c r="Q570" s="7"/>
      <c r="R570" s="7" t="str">
        <f>VLOOKUP(A570,Hoja2!A$1:H$1143,8,0)</f>
        <v>2000797280</v>
      </c>
      <c r="S570" s="7"/>
      <c r="T570" s="35">
        <f t="shared" si="31"/>
        <v>0</v>
      </c>
      <c r="U570" s="7"/>
    </row>
    <row r="571" spans="1:21" x14ac:dyDescent="0.25">
      <c r="A571" s="7" t="s">
        <v>1459</v>
      </c>
      <c r="B571" s="8">
        <v>44589.412314814814</v>
      </c>
      <c r="C571" s="8">
        <v>44599.707638888889</v>
      </c>
      <c r="D571" s="9">
        <v>72000</v>
      </c>
      <c r="E571" s="7" t="e">
        <f>VLOOKUP(A571,DEVOLUCIONES!A$1:A$231,1,0)</f>
        <v>#N/A</v>
      </c>
      <c r="F571" s="7" t="e">
        <f>VLOOKUP(A571,'GLOSAS X CONCILIAR'!$A$1:$A$37,1,0)</f>
        <v>#N/A</v>
      </c>
      <c r="G571" s="7" t="str">
        <f>VLOOKUP(A571,'TODAS LAS P'!A:A,1,0)</f>
        <v>FEHF248448</v>
      </c>
      <c r="H571" s="7" t="str">
        <f>VLOOKUP(A571,PAGOS!A605:$A$1553,1,0)</f>
        <v>FEHF248448</v>
      </c>
      <c r="I571" s="40"/>
      <c r="J571" s="40"/>
      <c r="K571" s="40"/>
      <c r="L571" s="40"/>
      <c r="M571" s="40"/>
      <c r="N571" s="40"/>
      <c r="O571" s="40">
        <v>72000</v>
      </c>
      <c r="P571" s="40"/>
      <c r="Q571" s="7"/>
      <c r="R571" s="7" t="str">
        <f>VLOOKUP(A571,Hoja2!A$1:H$1143,8,0)</f>
        <v>2000797280</v>
      </c>
      <c r="S571" s="7"/>
      <c r="T571" s="35">
        <f t="shared" si="31"/>
        <v>0</v>
      </c>
      <c r="U571" s="7"/>
    </row>
    <row r="572" spans="1:21" x14ac:dyDescent="0.25">
      <c r="A572" s="7" t="s">
        <v>1644</v>
      </c>
      <c r="B572" s="8">
        <v>44589.424143518518</v>
      </c>
      <c r="C572" s="8">
        <v>44599.707638888889</v>
      </c>
      <c r="D572" s="9">
        <v>31000</v>
      </c>
      <c r="E572" s="7" t="e">
        <f>VLOOKUP(A572,DEVOLUCIONES!A$1:A$231,1,0)</f>
        <v>#N/A</v>
      </c>
      <c r="F572" s="7" t="e">
        <f>VLOOKUP(A572,'GLOSAS X CONCILIAR'!$A$1:$A$37,1,0)</f>
        <v>#N/A</v>
      </c>
      <c r="G572" s="7" t="str">
        <f>VLOOKUP(A572,'TODAS LAS P'!A:A,1,0)</f>
        <v>FEHF248473</v>
      </c>
      <c r="H572" s="7" t="str">
        <f>VLOOKUP(A572,PAGOS!A606:$A$1553,1,0)</f>
        <v>FEHF248473</v>
      </c>
      <c r="I572" s="40"/>
      <c r="J572" s="40"/>
      <c r="K572" s="40"/>
      <c r="L572" s="40"/>
      <c r="M572" s="40"/>
      <c r="N572" s="40"/>
      <c r="O572" s="40">
        <v>31000</v>
      </c>
      <c r="P572" s="40"/>
      <c r="Q572" s="7"/>
      <c r="R572" s="7" t="str">
        <f>VLOOKUP(A572,Hoja2!A$1:H$1143,8,0)</f>
        <v>2000797280</v>
      </c>
      <c r="S572" s="7"/>
      <c r="T572" s="35">
        <f t="shared" si="31"/>
        <v>0</v>
      </c>
      <c r="U572" s="7"/>
    </row>
    <row r="573" spans="1:21" x14ac:dyDescent="0.25">
      <c r="A573" s="7" t="s">
        <v>1516</v>
      </c>
      <c r="B573" s="8">
        <v>44589.469930555555</v>
      </c>
      <c r="C573" s="8">
        <v>44602</v>
      </c>
      <c r="D573" s="9">
        <v>2367666</v>
      </c>
      <c r="E573" s="7" t="e">
        <f>VLOOKUP(A573,DEVOLUCIONES!A$1:A$231,1,0)</f>
        <v>#N/A</v>
      </c>
      <c r="F573" s="7" t="e">
        <f>VLOOKUP(A573,'GLOSAS X CONCILIAR'!$A$1:$A$37,1,0)</f>
        <v>#N/A</v>
      </c>
      <c r="G573" s="7" t="str">
        <f>VLOOKUP(A573,'TODAS LAS P'!A:A,1,0)</f>
        <v>FEHF248549</v>
      </c>
      <c r="H573" s="7" t="str">
        <f>VLOOKUP(A573,PAGOS!A607:$A$1553,1,0)</f>
        <v>FEHF248549</v>
      </c>
      <c r="I573" s="40"/>
      <c r="J573" s="40"/>
      <c r="K573" s="40"/>
      <c r="L573" s="40"/>
      <c r="M573" s="40"/>
      <c r="N573" s="40"/>
      <c r="O573" s="40">
        <v>2367666</v>
      </c>
      <c r="P573" s="40"/>
      <c r="Q573" s="7"/>
      <c r="R573" s="7" t="str">
        <f>VLOOKUP(A573,Hoja2!A$1:H$1143,8,0)</f>
        <v>2000797280</v>
      </c>
      <c r="S573" s="7"/>
      <c r="T573" s="35">
        <f t="shared" si="31"/>
        <v>0</v>
      </c>
      <c r="U573" s="7"/>
    </row>
    <row r="574" spans="1:21" x14ac:dyDescent="0.25">
      <c r="A574" s="7" t="s">
        <v>1513</v>
      </c>
      <c r="B574" s="8">
        <v>44589.645370370374</v>
      </c>
      <c r="C574" s="8">
        <v>44602</v>
      </c>
      <c r="D574" s="9">
        <v>164072</v>
      </c>
      <c r="E574" s="7" t="e">
        <f>VLOOKUP(A574,DEVOLUCIONES!A$1:A$231,1,0)</f>
        <v>#N/A</v>
      </c>
      <c r="F574" s="7" t="e">
        <f>VLOOKUP(A574,'GLOSAS X CONCILIAR'!$A$1:$A$37,1,0)</f>
        <v>#N/A</v>
      </c>
      <c r="G574" s="7" t="str">
        <f>VLOOKUP(A574,'TODAS LAS P'!A:A,1,0)</f>
        <v>FEHF248737</v>
      </c>
      <c r="H574" s="7" t="str">
        <f>VLOOKUP(A574,PAGOS!A608:$A$1553,1,0)</f>
        <v>FEHF248737</v>
      </c>
      <c r="I574" s="40"/>
      <c r="J574" s="40"/>
      <c r="K574" s="40"/>
      <c r="L574" s="40"/>
      <c r="M574" s="40"/>
      <c r="N574" s="40"/>
      <c r="O574" s="40">
        <v>164072</v>
      </c>
      <c r="P574" s="40"/>
      <c r="Q574" s="7"/>
      <c r="R574" s="7" t="str">
        <f>VLOOKUP(A574,Hoja2!A$1:H$1143,8,0)</f>
        <v>2000797280</v>
      </c>
      <c r="S574" s="7"/>
      <c r="T574" s="35">
        <f t="shared" si="31"/>
        <v>0</v>
      </c>
      <c r="U574" s="7"/>
    </row>
    <row r="575" spans="1:21" x14ac:dyDescent="0.25">
      <c r="A575" s="7" t="s">
        <v>1491</v>
      </c>
      <c r="B575" s="8">
        <v>44589.663506944446</v>
      </c>
      <c r="C575" s="8">
        <v>44599.659722222219</v>
      </c>
      <c r="D575" s="9">
        <v>109269</v>
      </c>
      <c r="E575" s="7" t="e">
        <f>VLOOKUP(A575,DEVOLUCIONES!A$1:A$231,1,0)</f>
        <v>#N/A</v>
      </c>
      <c r="F575" s="7" t="e">
        <f>VLOOKUP(A575,'GLOSAS X CONCILIAR'!$A$1:$A$37,1,0)</f>
        <v>#N/A</v>
      </c>
      <c r="G575" s="7" t="str">
        <f>VLOOKUP(A575,'TODAS LAS P'!A:A,1,0)</f>
        <v>FEHF248753</v>
      </c>
      <c r="H575" s="7" t="str">
        <f>VLOOKUP(A575,PAGOS!A609:$A$1553,1,0)</f>
        <v>FEHF248753</v>
      </c>
      <c r="I575" s="40"/>
      <c r="J575" s="40"/>
      <c r="K575" s="40"/>
      <c r="L575" s="40"/>
      <c r="M575" s="40"/>
      <c r="N575" s="40"/>
      <c r="O575" s="40">
        <v>109269</v>
      </c>
      <c r="P575" s="40"/>
      <c r="Q575" s="7"/>
      <c r="R575" s="7" t="str">
        <f>VLOOKUP(A575,Hoja2!A$1:H$1143,8,0)</f>
        <v>2000797280</v>
      </c>
      <c r="S575" s="7"/>
      <c r="T575" s="35">
        <f t="shared" si="31"/>
        <v>0</v>
      </c>
      <c r="U575" s="7"/>
    </row>
    <row r="576" spans="1:21" x14ac:dyDescent="0.25">
      <c r="A576" s="7" t="s">
        <v>121</v>
      </c>
      <c r="B576" s="8">
        <v>44590.587604166663</v>
      </c>
      <c r="C576" s="8">
        <v>44602</v>
      </c>
      <c r="D576" s="9">
        <v>6150423</v>
      </c>
      <c r="E576" s="7" t="e">
        <f>VLOOKUP(A576,DEVOLUCIONES!A$1:A$231,1,0)</f>
        <v>#N/A</v>
      </c>
      <c r="F576" s="7" t="str">
        <f>VLOOKUP(A576,'GLOSAS X CONCILIAR'!$A$1:$A$37,1,0)</f>
        <v>FEHF248929</v>
      </c>
      <c r="G576" s="7" t="str">
        <f>VLOOKUP(A576,'TODAS LAS P'!A:A,1,0)</f>
        <v>FEHF248929</v>
      </c>
      <c r="H576" s="7" t="e">
        <f>VLOOKUP(A576,PAGOS!A610:$A$1553,1,0)</f>
        <v>#N/A</v>
      </c>
      <c r="I576" s="40"/>
      <c r="J576" s="40"/>
      <c r="K576" s="40"/>
      <c r="L576" s="40"/>
      <c r="M576" s="40"/>
      <c r="N576" s="40">
        <f>VLOOKUP(A576,'GLOSAS X CONCILIAR'!A$1:C$37,3,0)</f>
        <v>846800</v>
      </c>
      <c r="O576" s="40">
        <v>5303623</v>
      </c>
      <c r="P576" s="40"/>
      <c r="Q576" s="7"/>
      <c r="R576" s="7" t="str">
        <f>VLOOKUP(A576,Hoja2!A$1:H$1143,8,0)</f>
        <v>2000826719</v>
      </c>
      <c r="S576" s="7"/>
      <c r="T576" s="35">
        <f t="shared" si="31"/>
        <v>0</v>
      </c>
      <c r="U576" s="7"/>
    </row>
    <row r="577" spans="1:21" x14ac:dyDescent="0.25">
      <c r="A577" s="7" t="s">
        <v>1489</v>
      </c>
      <c r="B577" s="8">
        <v>44591.494027777779</v>
      </c>
      <c r="C577" s="8">
        <v>44599.659722222219</v>
      </c>
      <c r="D577" s="9">
        <v>140840</v>
      </c>
      <c r="E577" s="7" t="e">
        <f>VLOOKUP(A577,DEVOLUCIONES!A$1:A$231,1,0)</f>
        <v>#N/A</v>
      </c>
      <c r="F577" s="7" t="e">
        <f>VLOOKUP(A577,'GLOSAS X CONCILIAR'!$A$1:$A$37,1,0)</f>
        <v>#N/A</v>
      </c>
      <c r="G577" s="7" t="str">
        <f>VLOOKUP(A577,'TODAS LAS P'!A:A,1,0)</f>
        <v>FEHF249115</v>
      </c>
      <c r="H577" s="7" t="str">
        <f>VLOOKUP(A577,PAGOS!A611:$A$1553,1,0)</f>
        <v>FEHF249115</v>
      </c>
      <c r="I577" s="40"/>
      <c r="J577" s="40"/>
      <c r="K577" s="40"/>
      <c r="L577" s="40"/>
      <c r="M577" s="40"/>
      <c r="N577" s="40"/>
      <c r="O577" s="40">
        <v>140840</v>
      </c>
      <c r="P577" s="40"/>
      <c r="Q577" s="7"/>
      <c r="R577" s="7" t="str">
        <f>VLOOKUP(A577,Hoja2!A$1:H$1143,8,0)</f>
        <v>2000797280</v>
      </c>
      <c r="S577" s="7"/>
      <c r="T577" s="35">
        <f t="shared" si="31"/>
        <v>0</v>
      </c>
      <c r="U577" s="7"/>
    </row>
    <row r="578" spans="1:21" x14ac:dyDescent="0.25">
      <c r="A578" s="7" t="s">
        <v>1457</v>
      </c>
      <c r="B578" s="8">
        <v>44592.580671296295</v>
      </c>
      <c r="C578" s="8">
        <v>44599.707638888889</v>
      </c>
      <c r="D578" s="9">
        <v>36000</v>
      </c>
      <c r="E578" s="7" t="e">
        <f>VLOOKUP(A578,DEVOLUCIONES!A$1:A$231,1,0)</f>
        <v>#N/A</v>
      </c>
      <c r="F578" s="7" t="e">
        <f>VLOOKUP(A578,'GLOSAS X CONCILIAR'!$A$1:$A$37,1,0)</f>
        <v>#N/A</v>
      </c>
      <c r="G578" s="7" t="str">
        <f>VLOOKUP(A578,'TODAS LAS P'!A:A,1,0)</f>
        <v>FEHF249641</v>
      </c>
      <c r="H578" s="7" t="str">
        <f>VLOOKUP(A578,PAGOS!A612:$A$1553,1,0)</f>
        <v>FEHF249641</v>
      </c>
      <c r="I578" s="40"/>
      <c r="J578" s="40"/>
      <c r="K578" s="40"/>
      <c r="L578" s="40"/>
      <c r="M578" s="40"/>
      <c r="N578" s="40"/>
      <c r="O578" s="40">
        <v>36000</v>
      </c>
      <c r="P578" s="40"/>
      <c r="Q578" s="7"/>
      <c r="R578" s="7" t="str">
        <f>VLOOKUP(A578,Hoja2!A$1:H$1143,8,0)</f>
        <v>2000797280</v>
      </c>
      <c r="S578" s="7"/>
      <c r="T578" s="35">
        <f t="shared" si="31"/>
        <v>0</v>
      </c>
      <c r="U578" s="7"/>
    </row>
    <row r="579" spans="1:21" x14ac:dyDescent="0.25">
      <c r="A579" s="7" t="s">
        <v>1510</v>
      </c>
      <c r="B579" s="8">
        <v>44592.723819444444</v>
      </c>
      <c r="C579" s="8">
        <v>44602</v>
      </c>
      <c r="D579" s="9">
        <v>59100</v>
      </c>
      <c r="E579" s="7" t="e">
        <f>VLOOKUP(A579,DEVOLUCIONES!A$1:A$231,1,0)</f>
        <v>#N/A</v>
      </c>
      <c r="F579" s="7" t="e">
        <f>VLOOKUP(A579,'GLOSAS X CONCILIAR'!$A$1:$A$37,1,0)</f>
        <v>#N/A</v>
      </c>
      <c r="G579" s="7" t="str">
        <f>VLOOKUP(A579,'TODAS LAS P'!A:A,1,0)</f>
        <v>FEHF249804</v>
      </c>
      <c r="H579" s="7" t="str">
        <f>VLOOKUP(A579,PAGOS!A613:$A$1553,1,0)</f>
        <v>FEHF249804</v>
      </c>
      <c r="I579" s="40"/>
      <c r="J579" s="40"/>
      <c r="K579" s="40"/>
      <c r="L579" s="40"/>
      <c r="M579" s="40"/>
      <c r="N579" s="40"/>
      <c r="O579" s="40">
        <v>59100</v>
      </c>
      <c r="P579" s="40"/>
      <c r="Q579" s="7"/>
      <c r="R579" s="7" t="str">
        <f>VLOOKUP(A579,Hoja2!A$1:H$1143,8,0)</f>
        <v>2000797280</v>
      </c>
      <c r="S579" s="7"/>
      <c r="T579" s="35">
        <f t="shared" ref="T579:T642" si="32">D579-SUM(I579:Q579)</f>
        <v>0</v>
      </c>
      <c r="U579" s="7"/>
    </row>
    <row r="580" spans="1:21" x14ac:dyDescent="0.25">
      <c r="A580" s="7" t="s">
        <v>1508</v>
      </c>
      <c r="B580" s="8">
        <v>44592.743587962963</v>
      </c>
      <c r="C580" s="8">
        <v>44602</v>
      </c>
      <c r="D580" s="9">
        <v>3500214</v>
      </c>
      <c r="E580" s="7" t="e">
        <f>VLOOKUP(A580,DEVOLUCIONES!A$1:A$231,1,0)</f>
        <v>#N/A</v>
      </c>
      <c r="F580" s="7" t="e">
        <f>VLOOKUP(A580,'GLOSAS X CONCILIAR'!$A$1:$A$37,1,0)</f>
        <v>#N/A</v>
      </c>
      <c r="G580" s="7" t="str">
        <f>VLOOKUP(A580,'TODAS LAS P'!A:A,1,0)</f>
        <v>FEHF249811</v>
      </c>
      <c r="H580" s="7" t="str">
        <f>VLOOKUP(A580,PAGOS!A614:$A$1553,1,0)</f>
        <v>FEHF249811</v>
      </c>
      <c r="I580" s="40"/>
      <c r="J580" s="40"/>
      <c r="K580" s="40"/>
      <c r="L580" s="40"/>
      <c r="M580" s="40"/>
      <c r="N580" s="40"/>
      <c r="O580" s="40">
        <v>3500214</v>
      </c>
      <c r="P580" s="40"/>
      <c r="Q580" s="7"/>
      <c r="R580" s="7" t="str">
        <f>VLOOKUP(A580,Hoja2!A$1:H$1143,8,0)</f>
        <v>2000797280</v>
      </c>
      <c r="S580" s="7"/>
      <c r="T580" s="35">
        <f t="shared" si="32"/>
        <v>0</v>
      </c>
      <c r="U580" s="7"/>
    </row>
    <row r="581" spans="1:21" x14ac:dyDescent="0.25">
      <c r="A581" s="7" t="s">
        <v>1055</v>
      </c>
      <c r="B581" s="8">
        <v>44593.177187499998</v>
      </c>
      <c r="C581" s="8">
        <v>44626</v>
      </c>
      <c r="D581" s="9">
        <v>285764</v>
      </c>
      <c r="E581" s="7" t="e">
        <f>VLOOKUP(A581,DEVOLUCIONES!A$1:A$231,1,0)</f>
        <v>#N/A</v>
      </c>
      <c r="F581" s="7" t="e">
        <f>VLOOKUP(A581,'GLOSAS X CONCILIAR'!$A$1:$A$37,1,0)</f>
        <v>#N/A</v>
      </c>
      <c r="G581" s="7" t="str">
        <f>VLOOKUP(A581,'TODAS LAS P'!A:A,1,0)</f>
        <v>FEHF249881</v>
      </c>
      <c r="H581" s="7" t="e">
        <f>VLOOKUP(A581,PAGOS!A615:$A$1553,1,0)</f>
        <v>#N/A</v>
      </c>
      <c r="I581" s="40"/>
      <c r="J581" s="40"/>
      <c r="K581" s="40"/>
      <c r="L581" s="40"/>
      <c r="M581" s="40"/>
      <c r="N581" s="40"/>
      <c r="O581" s="40">
        <v>285764</v>
      </c>
      <c r="P581" s="40"/>
      <c r="Q581" s="7"/>
      <c r="R581" s="7" t="str">
        <f>VLOOKUP(A581,Hoja2!A$1:H$1143,8,0)</f>
        <v>2000826623</v>
      </c>
      <c r="S581" s="7"/>
      <c r="T581" s="35">
        <f t="shared" si="32"/>
        <v>0</v>
      </c>
      <c r="U581" s="7"/>
    </row>
    <row r="582" spans="1:21" x14ac:dyDescent="0.25">
      <c r="A582" s="7" t="s">
        <v>1081</v>
      </c>
      <c r="B582" s="8">
        <v>44593.39912037037</v>
      </c>
      <c r="C582" s="8">
        <v>44626</v>
      </c>
      <c r="D582" s="9">
        <v>48529</v>
      </c>
      <c r="E582" s="7" t="e">
        <f>VLOOKUP(A582,DEVOLUCIONES!A$1:A$231,1,0)</f>
        <v>#N/A</v>
      </c>
      <c r="F582" s="7" t="e">
        <f>VLOOKUP(A582,'GLOSAS X CONCILIAR'!$A$1:$A$37,1,0)</f>
        <v>#N/A</v>
      </c>
      <c r="G582" s="7" t="str">
        <f>VLOOKUP(A582,'TODAS LAS P'!A:A,1,0)</f>
        <v>FEHF250038</v>
      </c>
      <c r="H582" s="7" t="e">
        <f>VLOOKUP(A582,PAGOS!A616:$A$1553,1,0)</f>
        <v>#N/A</v>
      </c>
      <c r="I582" s="40"/>
      <c r="J582" s="40"/>
      <c r="K582" s="40"/>
      <c r="L582" s="40"/>
      <c r="M582" s="40"/>
      <c r="N582" s="40"/>
      <c r="O582" s="40">
        <v>48529</v>
      </c>
      <c r="P582" s="40"/>
      <c r="Q582" s="7"/>
      <c r="R582" s="7" t="str">
        <f>VLOOKUP(A582,Hoja2!A$1:H$1143,8,0)</f>
        <v>2000821418</v>
      </c>
      <c r="S582" s="7"/>
      <c r="T582" s="35">
        <f t="shared" si="32"/>
        <v>0</v>
      </c>
      <c r="U582" s="7"/>
    </row>
    <row r="583" spans="1:21" x14ac:dyDescent="0.25">
      <c r="A583" s="7" t="s">
        <v>1148</v>
      </c>
      <c r="B583" s="8">
        <v>44593.464120370372</v>
      </c>
      <c r="C583" s="8">
        <v>44626</v>
      </c>
      <c r="D583" s="9">
        <v>103500</v>
      </c>
      <c r="E583" s="7" t="e">
        <f>VLOOKUP(A583,DEVOLUCIONES!A$1:A$231,1,0)</f>
        <v>#N/A</v>
      </c>
      <c r="F583" s="7" t="e">
        <f>VLOOKUP(A583,'GLOSAS X CONCILIAR'!$A$1:$A$37,1,0)</f>
        <v>#N/A</v>
      </c>
      <c r="G583" s="7" t="str">
        <f>VLOOKUP(A583,'TODAS LAS P'!A:A,1,0)</f>
        <v>FEHF250123</v>
      </c>
      <c r="H583" s="7" t="e">
        <f>VLOOKUP(A583,PAGOS!A617:$A$1553,1,0)</f>
        <v>#N/A</v>
      </c>
      <c r="I583" s="40"/>
      <c r="J583" s="40"/>
      <c r="K583" s="40"/>
      <c r="L583" s="40"/>
      <c r="M583" s="40"/>
      <c r="N583" s="40"/>
      <c r="O583" s="40">
        <v>103500</v>
      </c>
      <c r="P583" s="40"/>
      <c r="Q583" s="7"/>
      <c r="R583" s="7" t="str">
        <f>VLOOKUP(A583,Hoja2!A$1:H$1143,8,0)</f>
        <v>2000826719</v>
      </c>
      <c r="S583" s="7"/>
      <c r="T583" s="35">
        <f t="shared" si="32"/>
        <v>0</v>
      </c>
      <c r="U583" s="7"/>
    </row>
    <row r="584" spans="1:21" x14ac:dyDescent="0.25">
      <c r="A584" s="7" t="s">
        <v>3085</v>
      </c>
      <c r="B584" s="8">
        <v>44593.633148148147</v>
      </c>
      <c r="C584" s="8">
        <v>44626</v>
      </c>
      <c r="D584" s="9">
        <v>48200</v>
      </c>
      <c r="E584" s="7" t="e">
        <f>VLOOKUP(A584,DEVOLUCIONES!A$1:A$231,1,0)</f>
        <v>#N/A</v>
      </c>
      <c r="F584" s="7" t="e">
        <f>VLOOKUP(A584,'GLOSAS X CONCILIAR'!$A$1:$A$37,1,0)</f>
        <v>#N/A</v>
      </c>
      <c r="G584" s="7" t="e">
        <f>VLOOKUP(A584,'TODAS LAS P'!A:A,1,0)</f>
        <v>#N/A</v>
      </c>
      <c r="H584" s="7" t="e">
        <f>VLOOKUP(A584,PAGOS!A618:$A$1553,1,0)</f>
        <v>#N/A</v>
      </c>
      <c r="I584" s="40"/>
      <c r="J584" s="40"/>
      <c r="K584" s="40"/>
      <c r="L584" s="40">
        <f>D584</f>
        <v>48200</v>
      </c>
      <c r="M584" s="40"/>
      <c r="N584" s="40"/>
      <c r="O584" s="40"/>
      <c r="P584" s="40"/>
      <c r="Q584" s="7"/>
      <c r="R584" s="7"/>
      <c r="S584" s="7"/>
      <c r="T584" s="35">
        <f t="shared" si="32"/>
        <v>0</v>
      </c>
      <c r="U584" s="7"/>
    </row>
    <row r="585" spans="1:21" x14ac:dyDescent="0.25">
      <c r="A585" s="7" t="s">
        <v>1104</v>
      </c>
      <c r="B585" s="8">
        <v>44594.534803240742</v>
      </c>
      <c r="C585" s="8">
        <v>44602</v>
      </c>
      <c r="D585" s="9">
        <v>59163</v>
      </c>
      <c r="E585" s="7" t="e">
        <f>VLOOKUP(A585,DEVOLUCIONES!A$1:A$231,1,0)</f>
        <v>#N/A</v>
      </c>
      <c r="F585" s="7" t="e">
        <f>VLOOKUP(A585,'GLOSAS X CONCILIAR'!$A$1:$A$37,1,0)</f>
        <v>#N/A</v>
      </c>
      <c r="G585" s="7" t="str">
        <f>VLOOKUP(A585,'TODAS LAS P'!A:A,1,0)</f>
        <v>FEHF250811</v>
      </c>
      <c r="H585" s="7" t="e">
        <f>VLOOKUP(A585,PAGOS!A619:$A$1553,1,0)</f>
        <v>#N/A</v>
      </c>
      <c r="I585" s="40"/>
      <c r="J585" s="40"/>
      <c r="K585" s="40"/>
      <c r="L585" s="40"/>
      <c r="M585" s="40"/>
      <c r="N585" s="40"/>
      <c r="O585" s="40">
        <v>59163</v>
      </c>
      <c r="P585" s="40"/>
      <c r="Q585" s="7"/>
      <c r="R585" s="7" t="str">
        <f>VLOOKUP(A585,Hoja2!A$1:H$1143,8,0)</f>
        <v>2000825304</v>
      </c>
      <c r="S585" s="7"/>
      <c r="T585" s="35">
        <f t="shared" si="32"/>
        <v>0</v>
      </c>
      <c r="U585" s="7"/>
    </row>
    <row r="586" spans="1:21" x14ac:dyDescent="0.25">
      <c r="A586" s="7" t="s">
        <v>1506</v>
      </c>
      <c r="B586" s="8">
        <v>44594.646817129629</v>
      </c>
      <c r="C586" s="8">
        <v>44602</v>
      </c>
      <c r="D586" s="9">
        <v>2662981</v>
      </c>
      <c r="E586" s="7" t="e">
        <f>VLOOKUP(A586,DEVOLUCIONES!A$1:A$231,1,0)</f>
        <v>#N/A</v>
      </c>
      <c r="F586" s="7" t="e">
        <f>VLOOKUP(A586,'GLOSAS X CONCILIAR'!$A$1:$A$37,1,0)</f>
        <v>#N/A</v>
      </c>
      <c r="G586" s="7" t="str">
        <f>VLOOKUP(A586,'TODAS LAS P'!A:A,1,0)</f>
        <v>FEHF250910</v>
      </c>
      <c r="H586" s="7" t="str">
        <f>VLOOKUP(A586,PAGOS!A620:$A$1553,1,0)</f>
        <v>FEHF250910</v>
      </c>
      <c r="I586" s="40"/>
      <c r="J586" s="40"/>
      <c r="K586" s="40"/>
      <c r="L586" s="40"/>
      <c r="M586" s="40"/>
      <c r="N586" s="40"/>
      <c r="O586" s="40">
        <v>2662981</v>
      </c>
      <c r="P586" s="40"/>
      <c r="Q586" s="7"/>
      <c r="R586" s="7" t="str">
        <f>VLOOKUP(A586,Hoja2!A$1:H$1143,8,0)</f>
        <v>2000797280</v>
      </c>
      <c r="S586" s="7"/>
      <c r="T586" s="35">
        <f t="shared" si="32"/>
        <v>0</v>
      </c>
      <c r="U586" s="7"/>
    </row>
    <row r="587" spans="1:21" x14ac:dyDescent="0.25">
      <c r="A587" s="7" t="s">
        <v>1014</v>
      </c>
      <c r="B587" s="8">
        <v>44595.630162037036</v>
      </c>
      <c r="C587" s="8">
        <v>44626</v>
      </c>
      <c r="D587" s="9">
        <v>307226</v>
      </c>
      <c r="E587" s="7" t="e">
        <f>VLOOKUP(A587,DEVOLUCIONES!A$1:A$231,1,0)</f>
        <v>#N/A</v>
      </c>
      <c r="F587" s="7" t="e">
        <f>VLOOKUP(A587,'GLOSAS X CONCILIAR'!$A$1:$A$37,1,0)</f>
        <v>#N/A</v>
      </c>
      <c r="G587" s="7" t="str">
        <f>VLOOKUP(A587,'TODAS LAS P'!A:A,1,0)</f>
        <v>FEHF251504</v>
      </c>
      <c r="H587" s="7" t="e">
        <f>VLOOKUP(A587,PAGOS!A621:$A$1553,1,0)</f>
        <v>#N/A</v>
      </c>
      <c r="I587" s="40"/>
      <c r="J587" s="40"/>
      <c r="K587" s="40"/>
      <c r="L587" s="40"/>
      <c r="M587" s="40"/>
      <c r="N587" s="40"/>
      <c r="O587" s="40">
        <v>307226</v>
      </c>
      <c r="P587" s="40"/>
      <c r="Q587" s="7"/>
      <c r="R587" s="7" t="str">
        <f>VLOOKUP(A587,Hoja2!A$1:H$1143,8,0)</f>
        <v>2000826667</v>
      </c>
      <c r="S587" s="7"/>
      <c r="T587" s="35">
        <f t="shared" si="32"/>
        <v>0</v>
      </c>
      <c r="U587" s="7"/>
    </row>
    <row r="588" spans="1:21" x14ac:dyDescent="0.25">
      <c r="A588" s="7" t="s">
        <v>1011</v>
      </c>
      <c r="B588" s="8">
        <v>44595.852719907409</v>
      </c>
      <c r="C588" s="8">
        <v>44626</v>
      </c>
      <c r="D588" s="9">
        <v>59100</v>
      </c>
      <c r="E588" s="7" t="e">
        <f>VLOOKUP(A588,DEVOLUCIONES!A$1:A$231,1,0)</f>
        <v>#N/A</v>
      </c>
      <c r="F588" s="7" t="e">
        <f>VLOOKUP(A588,'GLOSAS X CONCILIAR'!$A$1:$A$37,1,0)</f>
        <v>#N/A</v>
      </c>
      <c r="G588" s="7" t="str">
        <f>VLOOKUP(A588,'TODAS LAS P'!A:A,1,0)</f>
        <v>FEHF251645</v>
      </c>
      <c r="H588" s="7" t="e">
        <f>VLOOKUP(A588,PAGOS!A622:$A$1553,1,0)</f>
        <v>#N/A</v>
      </c>
      <c r="I588" s="40"/>
      <c r="J588" s="40"/>
      <c r="K588" s="40"/>
      <c r="L588" s="40"/>
      <c r="M588" s="40"/>
      <c r="N588" s="40"/>
      <c r="O588" s="40">
        <v>59100</v>
      </c>
      <c r="P588" s="40"/>
      <c r="Q588" s="7"/>
      <c r="R588" s="7" t="str">
        <f>VLOOKUP(A588,Hoja2!A$1:H$1143,8,0)</f>
        <v>2000826667</v>
      </c>
      <c r="S588" s="7"/>
      <c r="T588" s="35">
        <f t="shared" si="32"/>
        <v>0</v>
      </c>
      <c r="U588" s="7"/>
    </row>
    <row r="589" spans="1:21" x14ac:dyDescent="0.25">
      <c r="A589" s="7" t="s">
        <v>1487</v>
      </c>
      <c r="B589" s="8">
        <v>44596.47047453704</v>
      </c>
      <c r="C589" s="8">
        <v>44599.659722222219</v>
      </c>
      <c r="D589" s="9">
        <v>662398</v>
      </c>
      <c r="E589" s="7" t="e">
        <f>VLOOKUP(A589,DEVOLUCIONES!A$1:A$231,1,0)</f>
        <v>#N/A</v>
      </c>
      <c r="F589" s="7" t="e">
        <f>VLOOKUP(A589,'GLOSAS X CONCILIAR'!$A$1:$A$37,1,0)</f>
        <v>#N/A</v>
      </c>
      <c r="G589" s="7" t="str">
        <f>VLOOKUP(A589,'TODAS LAS P'!A:A,1,0)</f>
        <v>FEHF251998</v>
      </c>
      <c r="H589" s="7" t="str">
        <f>VLOOKUP(A589,PAGOS!A623:$A$1553,1,0)</f>
        <v>FEHF251998</v>
      </c>
      <c r="I589" s="40"/>
      <c r="J589" s="40"/>
      <c r="K589" s="40"/>
      <c r="L589" s="40"/>
      <c r="M589" s="40"/>
      <c r="N589" s="40"/>
      <c r="O589" s="40">
        <v>662398</v>
      </c>
      <c r="P589" s="40"/>
      <c r="Q589" s="7"/>
      <c r="R589" s="7" t="str">
        <f>VLOOKUP(A589,Hoja2!A$1:H$1143,8,0)</f>
        <v>2000797280</v>
      </c>
      <c r="S589" s="7"/>
      <c r="T589" s="35">
        <f t="shared" si="32"/>
        <v>0</v>
      </c>
      <c r="U589" s="7"/>
    </row>
    <row r="590" spans="1:21" x14ac:dyDescent="0.25">
      <c r="A590" s="7" t="s">
        <v>1642</v>
      </c>
      <c r="B590" s="8">
        <v>44596.492384259262</v>
      </c>
      <c r="C590" s="8">
        <v>44599.707638888889</v>
      </c>
      <c r="D590" s="9">
        <v>31000</v>
      </c>
      <c r="E590" s="7" t="e">
        <f>VLOOKUP(A590,DEVOLUCIONES!A$1:A$231,1,0)</f>
        <v>#N/A</v>
      </c>
      <c r="F590" s="7" t="e">
        <f>VLOOKUP(A590,'GLOSAS X CONCILIAR'!$A$1:$A$37,1,0)</f>
        <v>#N/A</v>
      </c>
      <c r="G590" s="7" t="str">
        <f>VLOOKUP(A590,'TODAS LAS P'!A:A,1,0)</f>
        <v>FEHF252045</v>
      </c>
      <c r="H590" s="7" t="str">
        <f>VLOOKUP(A590,PAGOS!A624:$A$1553,1,0)</f>
        <v>FEHF252045</v>
      </c>
      <c r="I590" s="40"/>
      <c r="J590" s="40"/>
      <c r="K590" s="40"/>
      <c r="L590" s="40"/>
      <c r="M590" s="40"/>
      <c r="N590" s="40"/>
      <c r="O590" s="40">
        <v>31000</v>
      </c>
      <c r="P590" s="40"/>
      <c r="Q590" s="7"/>
      <c r="R590" s="7" t="str">
        <f>VLOOKUP(A590,Hoja2!A$1:H$1143,8,0)</f>
        <v>2000797280</v>
      </c>
      <c r="S590" s="7"/>
      <c r="T590" s="35">
        <f t="shared" si="32"/>
        <v>0</v>
      </c>
      <c r="U590" s="7"/>
    </row>
    <row r="591" spans="1:21" x14ac:dyDescent="0.25">
      <c r="A591" s="7" t="s">
        <v>1455</v>
      </c>
      <c r="B591" s="8">
        <v>44596.493969907409</v>
      </c>
      <c r="C591" s="8">
        <v>44599.707638888889</v>
      </c>
      <c r="D591" s="9">
        <v>34700</v>
      </c>
      <c r="E591" s="7" t="e">
        <f>VLOOKUP(A591,DEVOLUCIONES!A$1:A$231,1,0)</f>
        <v>#N/A</v>
      </c>
      <c r="F591" s="7" t="e">
        <f>VLOOKUP(A591,'GLOSAS X CONCILIAR'!$A$1:$A$37,1,0)</f>
        <v>#N/A</v>
      </c>
      <c r="G591" s="7" t="str">
        <f>VLOOKUP(A591,'TODAS LAS P'!A:A,1,0)</f>
        <v>FEHF252048</v>
      </c>
      <c r="H591" s="7" t="str">
        <f>VLOOKUP(A591,PAGOS!A625:$A$1553,1,0)</f>
        <v>FEHF252048</v>
      </c>
      <c r="I591" s="40"/>
      <c r="J591" s="40"/>
      <c r="K591" s="40"/>
      <c r="L591" s="40"/>
      <c r="M591" s="40"/>
      <c r="N591" s="40"/>
      <c r="O591" s="40">
        <v>34700</v>
      </c>
      <c r="P591" s="40"/>
      <c r="Q591" s="7"/>
      <c r="R591" s="7" t="str">
        <f>VLOOKUP(A591,Hoja2!A$1:H$1143,8,0)</f>
        <v>2000797280</v>
      </c>
      <c r="S591" s="7"/>
      <c r="T591" s="35">
        <f t="shared" si="32"/>
        <v>0</v>
      </c>
      <c r="U591" s="7"/>
    </row>
    <row r="592" spans="1:21" x14ac:dyDescent="0.25">
      <c r="A592" s="7" t="s">
        <v>1110</v>
      </c>
      <c r="B592" s="8">
        <v>44596.875092592592</v>
      </c>
      <c r="C592" s="8">
        <v>44626</v>
      </c>
      <c r="D592" s="9">
        <v>59100</v>
      </c>
      <c r="E592" s="7" t="e">
        <f>VLOOKUP(A592,DEVOLUCIONES!A$1:A$231,1,0)</f>
        <v>#N/A</v>
      </c>
      <c r="F592" s="7" t="e">
        <f>VLOOKUP(A592,'GLOSAS X CONCILIAR'!$A$1:$A$37,1,0)</f>
        <v>#N/A</v>
      </c>
      <c r="G592" s="7" t="str">
        <f>VLOOKUP(A592,'TODAS LAS P'!A:A,1,0)</f>
        <v>FEHF252322</v>
      </c>
      <c r="H592" s="7" t="e">
        <f>VLOOKUP(A592,PAGOS!A626:$A$1553,1,0)</f>
        <v>#N/A</v>
      </c>
      <c r="I592" s="40"/>
      <c r="J592" s="40"/>
      <c r="K592" s="40"/>
      <c r="L592" s="40"/>
      <c r="M592" s="40"/>
      <c r="N592" s="40"/>
      <c r="O592" s="40">
        <v>59100</v>
      </c>
      <c r="P592" s="40"/>
      <c r="Q592" s="7"/>
      <c r="R592" s="7" t="str">
        <f>VLOOKUP(A592,Hoja2!A$1:H$1143,8,0)</f>
        <v>2000825304</v>
      </c>
      <c r="S592" s="7"/>
      <c r="T592" s="35">
        <f t="shared" si="32"/>
        <v>0</v>
      </c>
      <c r="U592" s="7"/>
    </row>
    <row r="593" spans="1:21" x14ac:dyDescent="0.25">
      <c r="A593" s="7" t="s">
        <v>1052</v>
      </c>
      <c r="B593" s="8">
        <v>44597.456701388888</v>
      </c>
      <c r="C593" s="8">
        <v>44626</v>
      </c>
      <c r="D593" s="9">
        <v>206064</v>
      </c>
      <c r="E593" s="7" t="e">
        <f>VLOOKUP(A593,DEVOLUCIONES!A$1:A$231,1,0)</f>
        <v>#N/A</v>
      </c>
      <c r="F593" s="7" t="e">
        <f>VLOOKUP(A593,'GLOSAS X CONCILIAR'!$A$1:$A$37,1,0)</f>
        <v>#N/A</v>
      </c>
      <c r="G593" s="7" t="str">
        <f>VLOOKUP(A593,'TODAS LAS P'!A:A,1,0)</f>
        <v>FEHF252415</v>
      </c>
      <c r="H593" s="7" t="e">
        <f>VLOOKUP(A593,PAGOS!A627:$A$1553,1,0)</f>
        <v>#N/A</v>
      </c>
      <c r="I593" s="40"/>
      <c r="J593" s="40"/>
      <c r="K593" s="40"/>
      <c r="L593" s="40"/>
      <c r="M593" s="40"/>
      <c r="N593" s="40"/>
      <c r="O593" s="40">
        <v>206064</v>
      </c>
      <c r="P593" s="40"/>
      <c r="Q593" s="7"/>
      <c r="R593" s="7" t="str">
        <f>VLOOKUP(A593,Hoja2!A$1:H$1143,8,0)</f>
        <v>2000826623</v>
      </c>
      <c r="S593" s="7"/>
      <c r="T593" s="35">
        <f t="shared" si="32"/>
        <v>0</v>
      </c>
      <c r="U593" s="7"/>
    </row>
    <row r="594" spans="1:21" x14ac:dyDescent="0.25">
      <c r="A594" s="7" t="s">
        <v>1008</v>
      </c>
      <c r="B594" s="8">
        <v>44597.514282407406</v>
      </c>
      <c r="C594" s="8">
        <v>44626</v>
      </c>
      <c r="D594" s="9">
        <v>104457</v>
      </c>
      <c r="E594" s="7" t="e">
        <f>VLOOKUP(A594,DEVOLUCIONES!A$1:A$231,1,0)</f>
        <v>#N/A</v>
      </c>
      <c r="F594" s="7" t="e">
        <f>VLOOKUP(A594,'GLOSAS X CONCILIAR'!$A$1:$A$37,1,0)</f>
        <v>#N/A</v>
      </c>
      <c r="G594" s="7" t="str">
        <f>VLOOKUP(A594,'TODAS LAS P'!A:A,1,0)</f>
        <v>FEHF252428</v>
      </c>
      <c r="H594" s="7" t="e">
        <f>VLOOKUP(A594,PAGOS!A628:$A$1553,1,0)</f>
        <v>#N/A</v>
      </c>
      <c r="I594" s="40"/>
      <c r="J594" s="40"/>
      <c r="K594" s="40"/>
      <c r="L594" s="40"/>
      <c r="M594" s="40"/>
      <c r="N594" s="40"/>
      <c r="O594" s="40">
        <v>104457</v>
      </c>
      <c r="P594" s="40"/>
      <c r="Q594" s="7"/>
      <c r="R594" s="7" t="str">
        <f>VLOOKUP(A594,Hoja2!A$1:H$1143,8,0)</f>
        <v>2000826667</v>
      </c>
      <c r="S594" s="7"/>
      <c r="T594" s="35">
        <f t="shared" si="32"/>
        <v>0</v>
      </c>
      <c r="U594" s="7"/>
    </row>
    <row r="595" spans="1:21" x14ac:dyDescent="0.25">
      <c r="A595" s="7" t="s">
        <v>1158</v>
      </c>
      <c r="B595" s="8">
        <v>44599.53628472222</v>
      </c>
      <c r="C595" s="8">
        <v>44626</v>
      </c>
      <c r="D595" s="9">
        <v>681928</v>
      </c>
      <c r="E595" s="7" t="e">
        <f>VLOOKUP(A595,DEVOLUCIONES!A$1:A$231,1,0)</f>
        <v>#N/A</v>
      </c>
      <c r="F595" s="7" t="e">
        <f>VLOOKUP(A595,'GLOSAS X CONCILIAR'!$A$1:$A$37,1,0)</f>
        <v>#N/A</v>
      </c>
      <c r="G595" s="7" t="str">
        <f>VLOOKUP(A595,'TODAS LAS P'!A:A,1,0)</f>
        <v>FEHF253092</v>
      </c>
      <c r="H595" s="7" t="e">
        <f>VLOOKUP(A595,PAGOS!A629:$A$1553,1,0)</f>
        <v>#N/A</v>
      </c>
      <c r="I595" s="40"/>
      <c r="J595" s="40"/>
      <c r="K595" s="40"/>
      <c r="L595" s="40"/>
      <c r="M595" s="40"/>
      <c r="N595" s="40"/>
      <c r="O595" s="40">
        <v>681928</v>
      </c>
      <c r="P595" s="40"/>
      <c r="Q595" s="7"/>
      <c r="R595" s="7" t="str">
        <f>VLOOKUP(A595,Hoja2!A$1:H$1143,8,0)</f>
        <v>2000826719</v>
      </c>
      <c r="S595" s="7"/>
      <c r="T595" s="35">
        <f t="shared" si="32"/>
        <v>0</v>
      </c>
      <c r="U595" s="7"/>
    </row>
    <row r="596" spans="1:21" x14ac:dyDescent="0.25">
      <c r="A596" s="7" t="s">
        <v>1002</v>
      </c>
      <c r="B596" s="8">
        <v>44600.538124999999</v>
      </c>
      <c r="C596" s="8">
        <v>44627</v>
      </c>
      <c r="D596" s="9">
        <v>78399</v>
      </c>
      <c r="E596" s="7" t="e">
        <f>VLOOKUP(A596,DEVOLUCIONES!A$1:A$231,1,0)</f>
        <v>#N/A</v>
      </c>
      <c r="F596" s="7" t="e">
        <f>VLOOKUP(A596,'GLOSAS X CONCILIAR'!$A$1:$A$37,1,0)</f>
        <v>#N/A</v>
      </c>
      <c r="G596" s="7" t="str">
        <f>VLOOKUP(A596,'TODAS LAS P'!A:A,1,0)</f>
        <v>FEHF253752</v>
      </c>
      <c r="H596" s="7" t="e">
        <f>VLOOKUP(A596,PAGOS!A630:$A$1553,1,0)</f>
        <v>#N/A</v>
      </c>
      <c r="I596" s="40"/>
      <c r="J596" s="40"/>
      <c r="K596" s="40"/>
      <c r="L596" s="40"/>
      <c r="M596" s="40"/>
      <c r="N596" s="40"/>
      <c r="O596" s="40">
        <v>78399</v>
      </c>
      <c r="P596" s="40"/>
      <c r="Q596" s="7"/>
      <c r="R596" s="7" t="str">
        <f>VLOOKUP(A596,Hoja2!A$1:H$1143,8,0)</f>
        <v>2000826667</v>
      </c>
      <c r="S596" s="7"/>
      <c r="T596" s="35">
        <f t="shared" si="32"/>
        <v>0</v>
      </c>
      <c r="U596" s="7"/>
    </row>
    <row r="597" spans="1:21" x14ac:dyDescent="0.25">
      <c r="A597" s="7" t="s">
        <v>1000</v>
      </c>
      <c r="B597" s="8">
        <v>44600.667442129627</v>
      </c>
      <c r="C597" s="8">
        <v>44627</v>
      </c>
      <c r="D597" s="9">
        <v>230000</v>
      </c>
      <c r="E597" s="7" t="e">
        <f>VLOOKUP(A597,DEVOLUCIONES!A$1:A$231,1,0)</f>
        <v>#N/A</v>
      </c>
      <c r="F597" s="7" t="e">
        <f>VLOOKUP(A597,'GLOSAS X CONCILIAR'!$A$1:$A$37,1,0)</f>
        <v>#N/A</v>
      </c>
      <c r="G597" s="7" t="str">
        <f>VLOOKUP(A597,'TODAS LAS P'!A:A,1,0)</f>
        <v>FEHF253905</v>
      </c>
      <c r="H597" s="7" t="e">
        <f>VLOOKUP(A597,PAGOS!A631:$A$1553,1,0)</f>
        <v>#N/A</v>
      </c>
      <c r="I597" s="40"/>
      <c r="J597" s="40"/>
      <c r="K597" s="40"/>
      <c r="L597" s="40"/>
      <c r="M597" s="40"/>
      <c r="N597" s="40"/>
      <c r="O597" s="40">
        <v>230000</v>
      </c>
      <c r="P597" s="40"/>
      <c r="Q597" s="7"/>
      <c r="R597" s="7" t="str">
        <f>VLOOKUP(A597,Hoja2!A$1:H$1143,8,0)</f>
        <v>2000826667</v>
      </c>
      <c r="S597" s="7"/>
      <c r="T597" s="35">
        <f t="shared" si="32"/>
        <v>0</v>
      </c>
      <c r="U597" s="7"/>
    </row>
    <row r="598" spans="1:21" x14ac:dyDescent="0.25">
      <c r="A598" s="7" t="s">
        <v>1050</v>
      </c>
      <c r="B598" s="8">
        <v>44601.489236111112</v>
      </c>
      <c r="C598" s="8">
        <v>44626</v>
      </c>
      <c r="D598" s="9">
        <v>521090</v>
      </c>
      <c r="E598" s="7" t="e">
        <f>VLOOKUP(A598,DEVOLUCIONES!A$1:A$231,1,0)</f>
        <v>#N/A</v>
      </c>
      <c r="F598" s="7" t="e">
        <f>VLOOKUP(A598,'GLOSAS X CONCILIAR'!$A$1:$A$37,1,0)</f>
        <v>#N/A</v>
      </c>
      <c r="G598" s="7" t="str">
        <f>VLOOKUP(A598,'TODAS LAS P'!A:A,1,0)</f>
        <v>FEHF254307</v>
      </c>
      <c r="H598" s="7" t="e">
        <f>VLOOKUP(A598,PAGOS!A632:$A$1553,1,0)</f>
        <v>#N/A</v>
      </c>
      <c r="I598" s="40"/>
      <c r="J598" s="40"/>
      <c r="K598" s="40"/>
      <c r="L598" s="40"/>
      <c r="M598" s="40"/>
      <c r="N598" s="40"/>
      <c r="O598" s="40">
        <v>521090</v>
      </c>
      <c r="P598" s="40"/>
      <c r="Q598" s="7"/>
      <c r="R598" s="7" t="str">
        <f>VLOOKUP(A598,Hoja2!A$1:H$1143,8,0)</f>
        <v>2000826623</v>
      </c>
      <c r="S598" s="7"/>
      <c r="T598" s="35">
        <f t="shared" si="32"/>
        <v>0</v>
      </c>
      <c r="U598" s="7"/>
    </row>
    <row r="599" spans="1:21" x14ac:dyDescent="0.25">
      <c r="A599" s="7" t="s">
        <v>1048</v>
      </c>
      <c r="B599" s="8">
        <v>44601.719548611109</v>
      </c>
      <c r="C599" s="8">
        <v>44626</v>
      </c>
      <c r="D599" s="9">
        <v>60961</v>
      </c>
      <c r="E599" s="7" t="e">
        <f>VLOOKUP(A599,DEVOLUCIONES!A$1:A$231,1,0)</f>
        <v>#N/A</v>
      </c>
      <c r="F599" s="7" t="e">
        <f>VLOOKUP(A599,'GLOSAS X CONCILIAR'!$A$1:$A$37,1,0)</f>
        <v>#N/A</v>
      </c>
      <c r="G599" s="7" t="str">
        <f>VLOOKUP(A599,'TODAS LAS P'!A:A,1,0)</f>
        <v>FEHF254465</v>
      </c>
      <c r="H599" s="7" t="e">
        <f>VLOOKUP(A599,PAGOS!A633:$A$1553,1,0)</f>
        <v>#N/A</v>
      </c>
      <c r="I599" s="40"/>
      <c r="J599" s="40"/>
      <c r="K599" s="40"/>
      <c r="L599" s="40"/>
      <c r="M599" s="40"/>
      <c r="N599" s="40"/>
      <c r="O599" s="40">
        <v>60961</v>
      </c>
      <c r="P599" s="40"/>
      <c r="Q599" s="7"/>
      <c r="R599" s="7" t="str">
        <f>VLOOKUP(A599,Hoja2!A$1:H$1143,8,0)</f>
        <v>2000826623</v>
      </c>
      <c r="S599" s="7"/>
      <c r="T599" s="35">
        <f t="shared" si="32"/>
        <v>0</v>
      </c>
      <c r="U599" s="7"/>
    </row>
    <row r="600" spans="1:21" x14ac:dyDescent="0.25">
      <c r="A600" s="7" t="s">
        <v>3086</v>
      </c>
      <c r="B600" s="8">
        <v>44602.503750000003</v>
      </c>
      <c r="C600" s="8">
        <v>44626</v>
      </c>
      <c r="D600" s="9">
        <v>36000</v>
      </c>
      <c r="E600" s="7" t="e">
        <f>VLOOKUP(A600,DEVOLUCIONES!A$1:A$231,1,0)</f>
        <v>#N/A</v>
      </c>
      <c r="F600" s="7" t="e">
        <f>VLOOKUP(A600,'GLOSAS X CONCILIAR'!$A$1:$A$37,1,0)</f>
        <v>#N/A</v>
      </c>
      <c r="G600" s="7" t="e">
        <f>VLOOKUP(A600,'TODAS LAS P'!A:A,1,0)</f>
        <v>#N/A</v>
      </c>
      <c r="H600" s="7" t="e">
        <f>VLOOKUP(A600,PAGOS!A634:$A$1553,1,0)</f>
        <v>#N/A</v>
      </c>
      <c r="I600" s="40"/>
      <c r="J600" s="40"/>
      <c r="K600" s="40"/>
      <c r="L600" s="40">
        <f>D600</f>
        <v>36000</v>
      </c>
      <c r="M600" s="40"/>
      <c r="N600" s="40"/>
      <c r="O600" s="40"/>
      <c r="P600" s="40"/>
      <c r="Q600" s="7"/>
      <c r="R600" s="7"/>
      <c r="S600" s="7"/>
      <c r="T600" s="35">
        <f t="shared" si="32"/>
        <v>0</v>
      </c>
      <c r="U600" s="7"/>
    </row>
    <row r="601" spans="1:21" x14ac:dyDescent="0.25">
      <c r="A601" s="7" t="s">
        <v>1074</v>
      </c>
      <c r="B601" s="8">
        <v>44602.528310185182</v>
      </c>
      <c r="C601" s="8">
        <v>44626</v>
      </c>
      <c r="D601" s="9">
        <v>206064</v>
      </c>
      <c r="E601" s="7" t="e">
        <f>VLOOKUP(A601,DEVOLUCIONES!A$1:A$231,1,0)</f>
        <v>#N/A</v>
      </c>
      <c r="F601" s="7" t="e">
        <f>VLOOKUP(A601,'GLOSAS X CONCILIAR'!$A$1:$A$37,1,0)</f>
        <v>#N/A</v>
      </c>
      <c r="G601" s="7" t="str">
        <f>VLOOKUP(A601,'TODAS LAS P'!A:A,1,0)</f>
        <v>FEHF254880</v>
      </c>
      <c r="H601" s="7" t="e">
        <f>VLOOKUP(A601,PAGOS!A635:$A$1553,1,0)</f>
        <v>#N/A</v>
      </c>
      <c r="I601" s="40"/>
      <c r="J601" s="40"/>
      <c r="K601" s="40"/>
      <c r="L601" s="40"/>
      <c r="M601" s="40"/>
      <c r="N601" s="40"/>
      <c r="O601" s="40">
        <v>206064</v>
      </c>
      <c r="P601" s="40"/>
      <c r="Q601" s="7"/>
      <c r="R601" s="7" t="str">
        <f>VLOOKUP(A601,Hoja2!A$1:H$1143,8,0)</f>
        <v>2000826616</v>
      </c>
      <c r="S601" s="7"/>
      <c r="T601" s="35">
        <f t="shared" si="32"/>
        <v>0</v>
      </c>
      <c r="U601" s="7"/>
    </row>
    <row r="602" spans="1:21" x14ac:dyDescent="0.25">
      <c r="A602" s="7" t="s">
        <v>1118</v>
      </c>
      <c r="B602" s="8">
        <v>44602.5934375</v>
      </c>
      <c r="C602" s="8">
        <v>44627</v>
      </c>
      <c r="D602" s="9">
        <v>261837</v>
      </c>
      <c r="E602" s="7" t="e">
        <f>VLOOKUP(A602,DEVOLUCIONES!A$1:A$231,1,0)</f>
        <v>#N/A</v>
      </c>
      <c r="F602" s="7" t="e">
        <f>VLOOKUP(A602,'GLOSAS X CONCILIAR'!$A$1:$A$37,1,0)</f>
        <v>#N/A</v>
      </c>
      <c r="G602" s="7" t="str">
        <f>VLOOKUP(A602,'TODAS LAS P'!A:A,1,0)</f>
        <v>FEHF254944</v>
      </c>
      <c r="H602" s="7" t="e">
        <f>VLOOKUP(A602,PAGOS!A636:$A$1553,1,0)</f>
        <v>#N/A</v>
      </c>
      <c r="I602" s="40"/>
      <c r="J602" s="40"/>
      <c r="K602" s="40"/>
      <c r="L602" s="40"/>
      <c r="M602" s="40"/>
      <c r="N602" s="40"/>
      <c r="O602" s="40">
        <v>261837</v>
      </c>
      <c r="P602" s="40"/>
      <c r="Q602" s="7"/>
      <c r="R602" s="7" t="str">
        <f>VLOOKUP(A602,Hoja2!A$1:H$1143,8,0)</f>
        <v>2000825297</v>
      </c>
      <c r="S602" s="7"/>
      <c r="T602" s="35">
        <f t="shared" si="32"/>
        <v>0</v>
      </c>
      <c r="U602" s="7"/>
    </row>
    <row r="603" spans="1:21" x14ac:dyDescent="0.25">
      <c r="A603" s="7" t="s">
        <v>963</v>
      </c>
      <c r="B603" s="8">
        <v>44603.39984953704</v>
      </c>
      <c r="C603" s="8">
        <v>44626</v>
      </c>
      <c r="D603" s="9">
        <v>51900</v>
      </c>
      <c r="E603" s="7" t="e">
        <f>VLOOKUP(A603,DEVOLUCIONES!A$1:A$231,1,0)</f>
        <v>#N/A</v>
      </c>
      <c r="F603" s="7" t="e">
        <f>VLOOKUP(A603,'GLOSAS X CONCILIAR'!$A$1:$A$37,1,0)</f>
        <v>#N/A</v>
      </c>
      <c r="G603" s="7" t="str">
        <f>VLOOKUP(A603,'TODAS LAS P'!A:A,1,0)</f>
        <v>FEHF255412</v>
      </c>
      <c r="H603" s="7" t="e">
        <f>VLOOKUP(A603,PAGOS!A637:$A$1553,1,0)</f>
        <v>#N/A</v>
      </c>
      <c r="I603" s="40"/>
      <c r="J603" s="40"/>
      <c r="K603" s="40"/>
      <c r="L603" s="40"/>
      <c r="M603" s="40"/>
      <c r="N603" s="40"/>
      <c r="O603" s="40">
        <v>51900</v>
      </c>
      <c r="P603" s="40"/>
      <c r="Q603" s="7"/>
      <c r="R603" s="7" t="str">
        <f>VLOOKUP(A603,Hoja2!A$1:H$1143,8,0)</f>
        <v>2000826027</v>
      </c>
      <c r="S603" s="7"/>
      <c r="T603" s="35">
        <f t="shared" si="32"/>
        <v>0</v>
      </c>
      <c r="U603" s="7"/>
    </row>
    <row r="604" spans="1:21" x14ac:dyDescent="0.25">
      <c r="A604" s="7" t="s">
        <v>991</v>
      </c>
      <c r="B604" s="8">
        <v>44603.564432870371</v>
      </c>
      <c r="C604" s="8">
        <v>44626</v>
      </c>
      <c r="D604" s="9">
        <v>36000</v>
      </c>
      <c r="E604" s="7" t="e">
        <f>VLOOKUP(A604,DEVOLUCIONES!A$1:A$231,1,0)</f>
        <v>#N/A</v>
      </c>
      <c r="F604" s="7" t="e">
        <f>VLOOKUP(A604,'GLOSAS X CONCILIAR'!$A$1:$A$37,1,0)</f>
        <v>#N/A</v>
      </c>
      <c r="G604" s="7" t="str">
        <f>VLOOKUP(A604,'TODAS LAS P'!A:A,1,0)</f>
        <v>FEHF255662</v>
      </c>
      <c r="H604" s="7" t="e">
        <f>VLOOKUP(A604,PAGOS!A638:$A$1553,1,0)</f>
        <v>#N/A</v>
      </c>
      <c r="I604" s="40"/>
      <c r="J604" s="40"/>
      <c r="K604" s="40"/>
      <c r="L604" s="40"/>
      <c r="M604" s="40"/>
      <c r="N604" s="40"/>
      <c r="O604" s="40">
        <v>36000</v>
      </c>
      <c r="P604" s="40"/>
      <c r="Q604" s="7"/>
      <c r="R604" s="7" t="str">
        <f>VLOOKUP(A604,Hoja2!A$1:H$1143,8,0)</f>
        <v>2000826667</v>
      </c>
      <c r="S604" s="7"/>
      <c r="T604" s="35">
        <f t="shared" si="32"/>
        <v>0</v>
      </c>
      <c r="U604" s="7"/>
    </row>
    <row r="605" spans="1:21" x14ac:dyDescent="0.25">
      <c r="A605" s="7" t="s">
        <v>1220</v>
      </c>
      <c r="B605" s="8">
        <v>44603.64471064815</v>
      </c>
      <c r="C605" s="8">
        <v>44627</v>
      </c>
      <c r="D605" s="9">
        <v>860349</v>
      </c>
      <c r="E605" s="7" t="e">
        <f>VLOOKUP(A605,DEVOLUCIONES!A$1:A$231,1,0)</f>
        <v>#N/A</v>
      </c>
      <c r="F605" s="7" t="e">
        <f>VLOOKUP(A605,'GLOSAS X CONCILIAR'!$A$1:$A$37,1,0)</f>
        <v>#N/A</v>
      </c>
      <c r="G605" s="7" t="str">
        <f>VLOOKUP(A605,'TODAS LAS P'!A:A,1,0)</f>
        <v>FEHF255747</v>
      </c>
      <c r="H605" s="7" t="e">
        <f>VLOOKUP(A605,PAGOS!A639:$A$1553,1,0)</f>
        <v>#N/A</v>
      </c>
      <c r="I605" s="40"/>
      <c r="J605" s="40"/>
      <c r="K605" s="40"/>
      <c r="L605" s="40"/>
      <c r="M605" s="40"/>
      <c r="N605" s="40"/>
      <c r="O605" s="40">
        <v>860349</v>
      </c>
      <c r="P605" s="40"/>
      <c r="Q605" s="7"/>
      <c r="R605" s="7" t="str">
        <f>VLOOKUP(A605,Hoja2!A$1:H$1143,8,0)</f>
        <v>2000826696</v>
      </c>
      <c r="S605" s="7"/>
      <c r="T605" s="35">
        <f t="shared" si="32"/>
        <v>0</v>
      </c>
      <c r="U605" s="7"/>
    </row>
    <row r="606" spans="1:21" x14ac:dyDescent="0.25">
      <c r="A606" s="7" t="s">
        <v>3087</v>
      </c>
      <c r="B606" s="8">
        <v>44603.645983796298</v>
      </c>
      <c r="C606" s="8">
        <v>44626</v>
      </c>
      <c r="D606" s="9">
        <v>80832</v>
      </c>
      <c r="E606" s="7" t="str">
        <f>VLOOKUP(A606,DEVOLUCIONES!A$1:A$231,1,0)</f>
        <v>FEHF255749</v>
      </c>
      <c r="F606" s="7" t="e">
        <f>VLOOKUP(A606,'GLOSAS X CONCILIAR'!$A$1:$A$37,1,0)</f>
        <v>#N/A</v>
      </c>
      <c r="G606" s="7" t="e">
        <f>VLOOKUP(A606,'TODAS LAS P'!A:A,1,0)</f>
        <v>#N/A</v>
      </c>
      <c r="H606" s="7" t="e">
        <f>VLOOKUP(A606,PAGOS!A640:$A$1553,1,0)</f>
        <v>#N/A</v>
      </c>
      <c r="I606" s="40"/>
      <c r="J606" s="40">
        <f t="shared" ref="J606:J608" si="33">D606</f>
        <v>80832</v>
      </c>
      <c r="K606" s="40"/>
      <c r="L606" s="40"/>
      <c r="M606" s="40"/>
      <c r="N606" s="40"/>
      <c r="O606" s="40"/>
      <c r="P606" s="40"/>
      <c r="Q606" s="7" t="str">
        <f>VLOOKUP(A606,DEVOLUCIONES!A$1:B$231,2,0)</f>
        <v>DF-25765434103725</v>
      </c>
      <c r="R606" s="7"/>
      <c r="S606" s="7" t="str">
        <f>VLOOKUP(A606,DEVOLUCIONES!A$1:H$231,8,0)</f>
        <v>Se hace devolucion de factura ips no anexa ARCHIVO EXCEL Y PDF SISNUESTRAS exigidos por elo ADRESS por lo anterior no es posible continuar con procesosNOTAVALIDAR INFORMACION Y RADICAR NUEVAMENTE SUBSANADO EL MOTIVO DE DEVOLUCION</v>
      </c>
      <c r="T606" s="35">
        <f t="shared" si="32"/>
        <v>0</v>
      </c>
      <c r="U606" s="7"/>
    </row>
    <row r="607" spans="1:21" x14ac:dyDescent="0.25">
      <c r="A607" s="7" t="s">
        <v>3088</v>
      </c>
      <c r="B607" s="8">
        <v>44603.729756944442</v>
      </c>
      <c r="C607" s="8">
        <v>44627</v>
      </c>
      <c r="D607" s="9">
        <v>59100</v>
      </c>
      <c r="E607" s="7" t="str">
        <f>VLOOKUP(A607,DEVOLUCIONES!A$1:A$231,1,0)</f>
        <v>FEHF255789</v>
      </c>
      <c r="F607" s="7" t="e">
        <f>VLOOKUP(A607,'GLOSAS X CONCILIAR'!$A$1:$A$37,1,0)</f>
        <v>#N/A</v>
      </c>
      <c r="G607" s="7" t="e">
        <f>VLOOKUP(A607,'TODAS LAS P'!A:A,1,0)</f>
        <v>#N/A</v>
      </c>
      <c r="H607" s="7" t="e">
        <f>VLOOKUP(A607,PAGOS!A641:$A$1553,1,0)</f>
        <v>#N/A</v>
      </c>
      <c r="I607" s="40"/>
      <c r="J607" s="40">
        <f t="shared" si="33"/>
        <v>59100</v>
      </c>
      <c r="K607" s="40"/>
      <c r="L607" s="40"/>
      <c r="M607" s="40"/>
      <c r="N607" s="40"/>
      <c r="O607" s="40"/>
      <c r="P607" s="40"/>
      <c r="Q607" s="7" t="str">
        <f>VLOOKUP(A607,DEVOLUCIONES!A$1:B$231,2,0)</f>
        <v>DF-25765434103767</v>
      </c>
      <c r="R607" s="7"/>
      <c r="S607" s="7" t="str">
        <f>VLOOKUP(A607,DEVOLUCIONES!A$1:H$231,8,0)</f>
        <v>Se hace devolucion de factura se valida informacion anexada y no se evidencia autorizacion de urgencias se valida en Dynamicos y el servicio no se encuentra autorizado por lo anterior no es posible continuar con proceso de auditoria                                                                                                                                                                                                                                  NOTAVerificar y radicar nuevamente</v>
      </c>
      <c r="T607" s="35">
        <f t="shared" si="32"/>
        <v>0</v>
      </c>
      <c r="U607" s="7"/>
    </row>
    <row r="608" spans="1:21" x14ac:dyDescent="0.25">
      <c r="A608" s="7" t="s">
        <v>3089</v>
      </c>
      <c r="B608" s="8">
        <v>44604.479259259257</v>
      </c>
      <c r="C608" s="8">
        <v>44626</v>
      </c>
      <c r="D608" s="9">
        <v>60961</v>
      </c>
      <c r="E608" s="7" t="str">
        <f>VLOOKUP(A608,DEVOLUCIONES!A$1:A$231,1,0)</f>
        <v>FEHF255935</v>
      </c>
      <c r="F608" s="7" t="e">
        <f>VLOOKUP(A608,'GLOSAS X CONCILIAR'!$A$1:$A$37,1,0)</f>
        <v>#N/A</v>
      </c>
      <c r="G608" s="7" t="e">
        <f>VLOOKUP(A608,'TODAS LAS P'!A:A,1,0)</f>
        <v>#N/A</v>
      </c>
      <c r="H608" s="7" t="e">
        <f>VLOOKUP(A608,PAGOS!A642:$A$1553,1,0)</f>
        <v>#N/A</v>
      </c>
      <c r="I608" s="40"/>
      <c r="J608" s="40">
        <f t="shared" si="33"/>
        <v>60961</v>
      </c>
      <c r="K608" s="40"/>
      <c r="L608" s="40"/>
      <c r="M608" s="40"/>
      <c r="N608" s="40"/>
      <c r="O608" s="40"/>
      <c r="P608" s="40"/>
      <c r="Q608" s="7" t="str">
        <f>VLOOKUP(A608,DEVOLUCIONES!A$1:B$231,2,0)</f>
        <v>DF-25765434103768</v>
      </c>
      <c r="R608" s="7"/>
      <c r="S608" s="7" t="str">
        <f>VLOOKUP(A608,DEVOLUCIONES!A$1:H$231,8,0)</f>
        <v>Se hace devolucion de factura se valida informacion anexada y no se evidencia autorizacion de urgencias sevalida en Dynamicos y el servicio no se encuentra autorizado por lo anterior no es posible continuar con proceso d e a u d i t o r i a NOTAVerificar y radicar nuevamente</v>
      </c>
      <c r="T608" s="35">
        <f t="shared" si="32"/>
        <v>0</v>
      </c>
      <c r="U608" s="7"/>
    </row>
    <row r="609" spans="1:21" x14ac:dyDescent="0.25">
      <c r="A609" s="7" t="s">
        <v>1234</v>
      </c>
      <c r="B609" s="8">
        <v>44605.703784722224</v>
      </c>
      <c r="C609" s="8">
        <v>44627</v>
      </c>
      <c r="D609" s="9">
        <v>2548953</v>
      </c>
      <c r="E609" s="7" t="e">
        <f>VLOOKUP(A609,DEVOLUCIONES!A$1:A$231,1,0)</f>
        <v>#N/A</v>
      </c>
      <c r="F609" s="7" t="e">
        <f>VLOOKUP(A609,'GLOSAS X CONCILIAR'!$A$1:$A$37,1,0)</f>
        <v>#N/A</v>
      </c>
      <c r="G609" s="7" t="str">
        <f>VLOOKUP(A609,'TODAS LAS P'!A:A,1,0)</f>
        <v>FEHF256137</v>
      </c>
      <c r="H609" s="7" t="e">
        <f>VLOOKUP(A609,PAGOS!A643:$A$1553,1,0)</f>
        <v>#N/A</v>
      </c>
      <c r="I609" s="40"/>
      <c r="J609" s="40"/>
      <c r="K609" s="40"/>
      <c r="L609" s="40"/>
      <c r="M609" s="40"/>
      <c r="N609" s="40"/>
      <c r="O609" s="40">
        <v>2548953</v>
      </c>
      <c r="P609" s="40"/>
      <c r="Q609" s="7"/>
      <c r="R609" s="7" t="str">
        <f>VLOOKUP(A609,Hoja2!A$1:H$1143,8,0)</f>
        <v>2000826689</v>
      </c>
      <c r="S609" s="7"/>
      <c r="T609" s="35">
        <f t="shared" si="32"/>
        <v>0</v>
      </c>
      <c r="U609" s="7"/>
    </row>
    <row r="610" spans="1:21" x14ac:dyDescent="0.25">
      <c r="A610" s="7" t="s">
        <v>1019</v>
      </c>
      <c r="B610" s="8">
        <v>44606.343310185184</v>
      </c>
      <c r="C610" s="8">
        <v>44626</v>
      </c>
      <c r="D610" s="9">
        <v>32300</v>
      </c>
      <c r="E610" s="7" t="e">
        <f>VLOOKUP(A610,DEVOLUCIONES!A$1:A$231,1,0)</f>
        <v>#N/A</v>
      </c>
      <c r="F610" s="7" t="e">
        <f>VLOOKUP(A610,'GLOSAS X CONCILIAR'!$A$1:$A$37,1,0)</f>
        <v>#N/A</v>
      </c>
      <c r="G610" s="7" t="str">
        <f>VLOOKUP(A610,'TODAS LAS P'!A:A,1,0)</f>
        <v>FEHF256285</v>
      </c>
      <c r="H610" s="7" t="e">
        <f>VLOOKUP(A610,PAGOS!A644:$A$1553,1,0)</f>
        <v>#N/A</v>
      </c>
      <c r="I610" s="40"/>
      <c r="J610" s="40"/>
      <c r="K610" s="40"/>
      <c r="L610" s="40"/>
      <c r="M610" s="40"/>
      <c r="N610" s="40"/>
      <c r="O610" s="40">
        <v>32300</v>
      </c>
      <c r="P610" s="40"/>
      <c r="Q610" s="7"/>
      <c r="R610" s="7" t="str">
        <f>VLOOKUP(A610,Hoja2!A$1:H$1143,8,0)</f>
        <v>2000826667</v>
      </c>
      <c r="S610" s="7"/>
      <c r="T610" s="35">
        <f t="shared" si="32"/>
        <v>0</v>
      </c>
      <c r="U610" s="7"/>
    </row>
    <row r="611" spans="1:21" x14ac:dyDescent="0.25">
      <c r="A611" s="7" t="s">
        <v>1067</v>
      </c>
      <c r="B611" s="8">
        <v>44606.413738425923</v>
      </c>
      <c r="C611" s="8">
        <v>44627</v>
      </c>
      <c r="D611" s="9">
        <v>2243360</v>
      </c>
      <c r="E611" s="7" t="e">
        <f>VLOOKUP(A611,DEVOLUCIONES!A$1:A$231,1,0)</f>
        <v>#N/A</v>
      </c>
      <c r="F611" s="7" t="e">
        <f>VLOOKUP(A611,'GLOSAS X CONCILIAR'!$A$1:$A$37,1,0)</f>
        <v>#N/A</v>
      </c>
      <c r="G611" s="7" t="str">
        <f>VLOOKUP(A611,'TODAS LAS P'!A:A,1,0)</f>
        <v>FEHF256414</v>
      </c>
      <c r="H611" s="7" t="e">
        <f>VLOOKUP(A611,PAGOS!A645:$A$1553,1,0)</f>
        <v>#N/A</v>
      </c>
      <c r="I611" s="40"/>
      <c r="J611" s="40"/>
      <c r="K611" s="40"/>
      <c r="L611" s="40"/>
      <c r="M611" s="40"/>
      <c r="N611" s="40"/>
      <c r="O611" s="40">
        <v>2243360</v>
      </c>
      <c r="P611" s="40"/>
      <c r="Q611" s="7"/>
      <c r="R611" s="7" t="str">
        <f>VLOOKUP(A611,Hoja2!A$1:H$1143,8,0)</f>
        <v>2000826616</v>
      </c>
      <c r="S611" s="7"/>
      <c r="T611" s="35">
        <f t="shared" si="32"/>
        <v>0</v>
      </c>
      <c r="U611" s="7"/>
    </row>
    <row r="612" spans="1:21" x14ac:dyDescent="0.25">
      <c r="A612" s="7" t="s">
        <v>3090</v>
      </c>
      <c r="B612" s="8">
        <v>44606.417951388888</v>
      </c>
      <c r="C612" s="8">
        <v>44626</v>
      </c>
      <c r="D612" s="9">
        <v>80832</v>
      </c>
      <c r="E612" s="7" t="str">
        <f>VLOOKUP(A612,DEVOLUCIONES!A$1:A$231,1,0)</f>
        <v>FEHF256421</v>
      </c>
      <c r="F612" s="7" t="e">
        <f>VLOOKUP(A612,'GLOSAS X CONCILIAR'!$A$1:$A$37,1,0)</f>
        <v>#N/A</v>
      </c>
      <c r="G612" s="7" t="e">
        <f>VLOOKUP(A612,'TODAS LAS P'!A:A,1,0)</f>
        <v>#N/A</v>
      </c>
      <c r="H612" s="7" t="e">
        <f>VLOOKUP(A612,PAGOS!A646:$A$1553,1,0)</f>
        <v>#N/A</v>
      </c>
      <c r="I612" s="40"/>
      <c r="J612" s="40">
        <f>D612</f>
        <v>80832</v>
      </c>
      <c r="K612" s="40"/>
      <c r="L612" s="40"/>
      <c r="M612" s="40"/>
      <c r="N612" s="40"/>
      <c r="O612" s="40"/>
      <c r="P612" s="40"/>
      <c r="Q612" s="7" t="str">
        <f>VLOOKUP(A612,DEVOLUCIONES!A$1:B$231,2,0)</f>
        <v>DF-25765434103726</v>
      </c>
      <c r="R612" s="7"/>
      <c r="S612" s="7" t="str">
        <f>VLOOKUP(A612,DEVOLUCIONES!A$1:H$231,8,0)</f>
        <v>Se hace devolucion de factura ips no anexa ARCHIVO EXCEL Y PDF SISNUESTRAS exigidos por elo ADRESS por lo anterior no es posible continuar con procesosNOTAVALIDAR INFORMACION Y RADICAR NUEVAMENTE SUBSANADO EL MOTIVO DE DEVOLUCION</v>
      </c>
      <c r="T612" s="35">
        <f t="shared" si="32"/>
        <v>0</v>
      </c>
      <c r="U612" s="7"/>
    </row>
    <row r="613" spans="1:21" x14ac:dyDescent="0.25">
      <c r="A613" s="7" t="s">
        <v>988</v>
      </c>
      <c r="B613" s="8">
        <v>44606.549976851849</v>
      </c>
      <c r="C613" s="8">
        <v>44626</v>
      </c>
      <c r="D613" s="9">
        <v>34700</v>
      </c>
      <c r="E613" s="7" t="e">
        <f>VLOOKUP(A613,DEVOLUCIONES!A$1:A$231,1,0)</f>
        <v>#N/A</v>
      </c>
      <c r="F613" s="7" t="e">
        <f>VLOOKUP(A613,'GLOSAS X CONCILIAR'!$A$1:$A$37,1,0)</f>
        <v>#N/A</v>
      </c>
      <c r="G613" s="7" t="str">
        <f>VLOOKUP(A613,'TODAS LAS P'!A:A,1,0)</f>
        <v>FEHF256560</v>
      </c>
      <c r="H613" s="7" t="e">
        <f>VLOOKUP(A613,PAGOS!A647:$A$1553,1,0)</f>
        <v>#N/A</v>
      </c>
      <c r="I613" s="40"/>
      <c r="J613" s="40"/>
      <c r="K613" s="40"/>
      <c r="L613" s="40"/>
      <c r="M613" s="40"/>
      <c r="N613" s="40"/>
      <c r="O613" s="40">
        <v>34700</v>
      </c>
      <c r="P613" s="40"/>
      <c r="Q613" s="7"/>
      <c r="R613" s="7" t="str">
        <f>VLOOKUP(A613,Hoja2!A$1:H$1143,8,0)</f>
        <v>2000826667</v>
      </c>
      <c r="S613" s="7"/>
      <c r="T613" s="35">
        <f t="shared" si="32"/>
        <v>0</v>
      </c>
      <c r="U613" s="7"/>
    </row>
    <row r="614" spans="1:21" x14ac:dyDescent="0.25">
      <c r="A614" s="7" t="s">
        <v>959</v>
      </c>
      <c r="B614" s="8">
        <v>44606.743391203701</v>
      </c>
      <c r="C614" s="8">
        <v>44627</v>
      </c>
      <c r="D614" s="9">
        <v>1983095</v>
      </c>
      <c r="E614" s="7" t="e">
        <f>VLOOKUP(A614,DEVOLUCIONES!A$1:A$231,1,0)</f>
        <v>#N/A</v>
      </c>
      <c r="F614" s="7" t="e">
        <f>VLOOKUP(A614,'GLOSAS X CONCILIAR'!$A$1:$A$37,1,0)</f>
        <v>#N/A</v>
      </c>
      <c r="G614" s="7" t="str">
        <f>VLOOKUP(A614,'TODAS LAS P'!A:A,1,0)</f>
        <v>FEHF256745</v>
      </c>
      <c r="H614" s="7" t="e">
        <f>VLOOKUP(A614,PAGOS!A648:$A$1553,1,0)</f>
        <v>#N/A</v>
      </c>
      <c r="I614" s="40"/>
      <c r="J614" s="40"/>
      <c r="K614" s="40"/>
      <c r="L614" s="40"/>
      <c r="M614" s="40"/>
      <c r="N614" s="40"/>
      <c r="O614" s="40">
        <v>1983095</v>
      </c>
      <c r="P614" s="40"/>
      <c r="Q614" s="7"/>
      <c r="R614" s="7" t="str">
        <f>VLOOKUP(A614,Hoja2!A$1:H$1143,8,0)</f>
        <v>2000826663</v>
      </c>
      <c r="S614" s="7"/>
      <c r="T614" s="35">
        <f t="shared" si="32"/>
        <v>0</v>
      </c>
      <c r="U614" s="7"/>
    </row>
    <row r="615" spans="1:21" x14ac:dyDescent="0.25">
      <c r="A615" s="7" t="s">
        <v>1145</v>
      </c>
      <c r="B615" s="8">
        <v>44606.772638888891</v>
      </c>
      <c r="C615" s="8">
        <v>44626</v>
      </c>
      <c r="D615" s="9">
        <v>60643</v>
      </c>
      <c r="E615" s="7" t="e">
        <f>VLOOKUP(A615,DEVOLUCIONES!A$1:A$231,1,0)</f>
        <v>#N/A</v>
      </c>
      <c r="F615" s="7" t="e">
        <f>VLOOKUP(A615,'GLOSAS X CONCILIAR'!$A$1:$A$37,1,0)</f>
        <v>#N/A</v>
      </c>
      <c r="G615" s="7" t="str">
        <f>VLOOKUP(A615,'TODAS LAS P'!A:A,1,0)</f>
        <v>FEHF256758</v>
      </c>
      <c r="H615" s="7" t="e">
        <f>VLOOKUP(A615,PAGOS!A649:$A$1553,1,0)</f>
        <v>#N/A</v>
      </c>
      <c r="I615" s="40"/>
      <c r="J615" s="40"/>
      <c r="K615" s="40"/>
      <c r="L615" s="40"/>
      <c r="M615" s="40"/>
      <c r="N615" s="40"/>
      <c r="O615" s="40">
        <v>60643</v>
      </c>
      <c r="P615" s="40"/>
      <c r="Q615" s="7"/>
      <c r="R615" s="7" t="str">
        <f>VLOOKUP(A615,Hoja2!A$1:H$1143,8,0)</f>
        <v>2000826719</v>
      </c>
      <c r="S615" s="7"/>
      <c r="T615" s="35">
        <f t="shared" si="32"/>
        <v>0</v>
      </c>
      <c r="U615" s="7"/>
    </row>
    <row r="616" spans="1:21" x14ac:dyDescent="0.25">
      <c r="A616" s="7" t="s">
        <v>1005</v>
      </c>
      <c r="B616" s="8">
        <v>44607.479351851849</v>
      </c>
      <c r="C616" s="8">
        <v>44626</v>
      </c>
      <c r="D616" s="9">
        <v>279920</v>
      </c>
      <c r="E616" s="7" t="e">
        <f>VLOOKUP(A616,DEVOLUCIONES!A$1:A$231,1,0)</f>
        <v>#N/A</v>
      </c>
      <c r="F616" s="7" t="e">
        <f>VLOOKUP(A616,'GLOSAS X CONCILIAR'!$A$1:$A$37,1,0)</f>
        <v>#N/A</v>
      </c>
      <c r="G616" s="7" t="str">
        <f>VLOOKUP(A616,'TODAS LAS P'!A:A,1,0)</f>
        <v>FEHF257164</v>
      </c>
      <c r="H616" s="7" t="e">
        <f>VLOOKUP(A616,PAGOS!A650:$A$1553,1,0)</f>
        <v>#N/A</v>
      </c>
      <c r="I616" s="40"/>
      <c r="J616" s="40"/>
      <c r="K616" s="40"/>
      <c r="L616" s="40"/>
      <c r="M616" s="40"/>
      <c r="N616" s="40"/>
      <c r="O616" s="40">
        <v>279920</v>
      </c>
      <c r="P616" s="40"/>
      <c r="Q616" s="7"/>
      <c r="R616" s="7" t="str">
        <f>VLOOKUP(A616,Hoja2!A$1:H$1143,8,0)</f>
        <v>2000826667</v>
      </c>
      <c r="S616" s="7"/>
      <c r="T616" s="35">
        <f t="shared" si="32"/>
        <v>0</v>
      </c>
      <c r="U616" s="7"/>
    </row>
    <row r="617" spans="1:21" x14ac:dyDescent="0.25">
      <c r="A617" s="7" t="s">
        <v>1046</v>
      </c>
      <c r="B617" s="8">
        <v>44607.886886574073</v>
      </c>
      <c r="C617" s="8">
        <v>44626</v>
      </c>
      <c r="D617" s="9">
        <v>204334</v>
      </c>
      <c r="E617" s="7" t="e">
        <f>VLOOKUP(A617,DEVOLUCIONES!A$1:A$231,1,0)</f>
        <v>#N/A</v>
      </c>
      <c r="F617" s="7" t="e">
        <f>VLOOKUP(A617,'GLOSAS X CONCILIAR'!$A$1:$A$37,1,0)</f>
        <v>#N/A</v>
      </c>
      <c r="G617" s="7" t="str">
        <f>VLOOKUP(A617,'TODAS LAS P'!A:A,1,0)</f>
        <v>FEHF257413</v>
      </c>
      <c r="H617" s="7" t="e">
        <f>VLOOKUP(A617,PAGOS!A651:$A$1553,1,0)</f>
        <v>#N/A</v>
      </c>
      <c r="I617" s="40"/>
      <c r="J617" s="40"/>
      <c r="K617" s="40"/>
      <c r="L617" s="40"/>
      <c r="M617" s="40"/>
      <c r="N617" s="40"/>
      <c r="O617" s="40">
        <v>204334</v>
      </c>
      <c r="P617" s="40"/>
      <c r="Q617" s="7"/>
      <c r="R617" s="7" t="str">
        <f>VLOOKUP(A617,Hoja2!A$1:H$1143,8,0)</f>
        <v>2000826623</v>
      </c>
      <c r="S617" s="7"/>
      <c r="T617" s="35">
        <f t="shared" si="32"/>
        <v>0</v>
      </c>
      <c r="U617" s="7"/>
    </row>
    <row r="618" spans="1:21" x14ac:dyDescent="0.25">
      <c r="A618" s="7" t="s">
        <v>1059</v>
      </c>
      <c r="B618" s="8">
        <v>44608.343773148146</v>
      </c>
      <c r="C618" s="8">
        <v>44626</v>
      </c>
      <c r="D618" s="9">
        <v>48200</v>
      </c>
      <c r="E618" s="7" t="e">
        <f>VLOOKUP(A618,DEVOLUCIONES!A$1:A$231,1,0)</f>
        <v>#N/A</v>
      </c>
      <c r="F618" s="7" t="e">
        <f>VLOOKUP(A618,'GLOSAS X CONCILIAR'!$A$1:$A$37,1,0)</f>
        <v>#N/A</v>
      </c>
      <c r="G618" s="7" t="str">
        <f>VLOOKUP(A618,'TODAS LAS P'!A:A,1,0)</f>
        <v>FEHF257602</v>
      </c>
      <c r="H618" s="7" t="e">
        <f>VLOOKUP(A618,PAGOS!A652:$A$1553,1,0)</f>
        <v>#N/A</v>
      </c>
      <c r="I618" s="40"/>
      <c r="J618" s="40"/>
      <c r="K618" s="40"/>
      <c r="L618" s="40"/>
      <c r="M618" s="40"/>
      <c r="N618" s="40"/>
      <c r="O618" s="40">
        <v>48200</v>
      </c>
      <c r="P618" s="40"/>
      <c r="Q618" s="7"/>
      <c r="R618" s="7" t="str">
        <f>VLOOKUP(A618,Hoja2!A$1:H$1143,8,0)</f>
        <v>2000826623</v>
      </c>
      <c r="S618" s="7"/>
      <c r="T618" s="35">
        <f t="shared" si="32"/>
        <v>0</v>
      </c>
      <c r="U618" s="7"/>
    </row>
    <row r="619" spans="1:21" x14ac:dyDescent="0.25">
      <c r="A619" s="7" t="s">
        <v>1017</v>
      </c>
      <c r="B619" s="8">
        <v>44608.412523148145</v>
      </c>
      <c r="C619" s="8">
        <v>44626</v>
      </c>
      <c r="D619" s="9">
        <v>127700</v>
      </c>
      <c r="E619" s="7" t="e">
        <f>VLOOKUP(A619,DEVOLUCIONES!A$1:A$231,1,0)</f>
        <v>#N/A</v>
      </c>
      <c r="F619" s="7" t="e">
        <f>VLOOKUP(A619,'GLOSAS X CONCILIAR'!$A$1:$A$37,1,0)</f>
        <v>#N/A</v>
      </c>
      <c r="G619" s="7" t="str">
        <f>VLOOKUP(A619,'TODAS LAS P'!A:A,1,0)</f>
        <v>FEHF257747</v>
      </c>
      <c r="H619" s="7" t="e">
        <f>VLOOKUP(A619,PAGOS!A653:$A$1553,1,0)</f>
        <v>#N/A</v>
      </c>
      <c r="I619" s="40"/>
      <c r="J619" s="40"/>
      <c r="K619" s="40"/>
      <c r="L619" s="40"/>
      <c r="M619" s="40"/>
      <c r="N619" s="40"/>
      <c r="O619" s="40">
        <v>127700</v>
      </c>
      <c r="P619" s="40"/>
      <c r="Q619" s="7"/>
      <c r="R619" s="7" t="str">
        <f>VLOOKUP(A619,Hoja2!A$1:H$1143,8,0)</f>
        <v>2000826667</v>
      </c>
      <c r="S619" s="7"/>
      <c r="T619" s="35">
        <f t="shared" si="32"/>
        <v>0</v>
      </c>
      <c r="U619" s="7"/>
    </row>
    <row r="620" spans="1:21" x14ac:dyDescent="0.25">
      <c r="A620" s="7" t="s">
        <v>997</v>
      </c>
      <c r="B620" s="8">
        <v>44609.226342592592</v>
      </c>
      <c r="C620" s="8">
        <v>44627</v>
      </c>
      <c r="D620" s="9">
        <v>103500</v>
      </c>
      <c r="E620" s="7" t="e">
        <f>VLOOKUP(A620,DEVOLUCIONES!A$1:A$231,1,0)</f>
        <v>#N/A</v>
      </c>
      <c r="F620" s="7" t="e">
        <f>VLOOKUP(A620,'GLOSAS X CONCILIAR'!$A$1:$A$37,1,0)</f>
        <v>#N/A</v>
      </c>
      <c r="G620" s="7" t="str">
        <f>VLOOKUP(A620,'TODAS LAS P'!A:A,1,0)</f>
        <v>FEHF258149</v>
      </c>
      <c r="H620" s="7" t="e">
        <f>VLOOKUP(A620,PAGOS!A654:$A$1553,1,0)</f>
        <v>#N/A</v>
      </c>
      <c r="I620" s="40"/>
      <c r="J620" s="40"/>
      <c r="K620" s="40"/>
      <c r="L620" s="40"/>
      <c r="M620" s="40"/>
      <c r="N620" s="40"/>
      <c r="O620" s="40">
        <v>103500</v>
      </c>
      <c r="P620" s="40"/>
      <c r="Q620" s="7"/>
      <c r="R620" s="7" t="str">
        <f>VLOOKUP(A620,Hoja2!A$1:H$1143,8,0)</f>
        <v>2000826667</v>
      </c>
      <c r="S620" s="7"/>
      <c r="T620" s="35">
        <f t="shared" si="32"/>
        <v>0</v>
      </c>
      <c r="U620" s="7"/>
    </row>
    <row r="621" spans="1:21" x14ac:dyDescent="0.25">
      <c r="A621" s="7" t="s">
        <v>1039</v>
      </c>
      <c r="B621" s="8">
        <v>44609.458877314813</v>
      </c>
      <c r="C621" s="8">
        <v>44626</v>
      </c>
      <c r="D621" s="9">
        <v>849432</v>
      </c>
      <c r="E621" s="7" t="e">
        <f>VLOOKUP(A621,DEVOLUCIONES!A$1:A$231,1,0)</f>
        <v>#N/A</v>
      </c>
      <c r="F621" s="7" t="e">
        <f>VLOOKUP(A621,'GLOSAS X CONCILIAR'!$A$1:$A$37,1,0)</f>
        <v>#N/A</v>
      </c>
      <c r="G621" s="7" t="str">
        <f>VLOOKUP(A621,'TODAS LAS P'!A:A,1,0)</f>
        <v>FEHF258473</v>
      </c>
      <c r="H621" s="7" t="e">
        <f>VLOOKUP(A621,PAGOS!A655:$A$1553,1,0)</f>
        <v>#N/A</v>
      </c>
      <c r="I621" s="40"/>
      <c r="J621" s="40"/>
      <c r="K621" s="40"/>
      <c r="L621" s="40"/>
      <c r="M621" s="40"/>
      <c r="N621" s="40"/>
      <c r="O621" s="40">
        <v>849432</v>
      </c>
      <c r="P621" s="40"/>
      <c r="Q621" s="7"/>
      <c r="R621" s="7" t="str">
        <f>VLOOKUP(A621,Hoja2!A$1:H$1143,8,0)</f>
        <v>2000826623</v>
      </c>
      <c r="S621" s="7"/>
      <c r="T621" s="35">
        <f t="shared" si="32"/>
        <v>0</v>
      </c>
      <c r="U621" s="7"/>
    </row>
    <row r="622" spans="1:21" x14ac:dyDescent="0.25">
      <c r="A622" s="7" t="s">
        <v>1107</v>
      </c>
      <c r="B622" s="8">
        <v>44609.525879629633</v>
      </c>
      <c r="C622" s="8">
        <v>44626</v>
      </c>
      <c r="D622" s="9">
        <v>60057</v>
      </c>
      <c r="E622" s="7" t="e">
        <f>VLOOKUP(A622,DEVOLUCIONES!A$1:A$231,1,0)</f>
        <v>#N/A</v>
      </c>
      <c r="F622" s="7" t="e">
        <f>VLOOKUP(A622,'GLOSAS X CONCILIAR'!$A$1:$A$37,1,0)</f>
        <v>#N/A</v>
      </c>
      <c r="G622" s="7" t="str">
        <f>VLOOKUP(A622,'TODAS LAS P'!A:A,1,0)</f>
        <v>FEHF258552</v>
      </c>
      <c r="H622" s="7" t="e">
        <f>VLOOKUP(A622,PAGOS!A656:$A$1553,1,0)</f>
        <v>#N/A</v>
      </c>
      <c r="I622" s="40"/>
      <c r="J622" s="40"/>
      <c r="K622" s="40"/>
      <c r="L622" s="40"/>
      <c r="M622" s="40"/>
      <c r="N622" s="40"/>
      <c r="O622" s="40">
        <v>60057</v>
      </c>
      <c r="P622" s="40"/>
      <c r="Q622" s="7"/>
      <c r="R622" s="7" t="str">
        <f>VLOOKUP(A622,Hoja2!A$1:H$1143,8,0)</f>
        <v>2000825304</v>
      </c>
      <c r="S622" s="7"/>
      <c r="T622" s="35">
        <f t="shared" si="32"/>
        <v>0</v>
      </c>
      <c r="U622" s="7"/>
    </row>
    <row r="623" spans="1:21" x14ac:dyDescent="0.25">
      <c r="A623" s="7" t="s">
        <v>1200</v>
      </c>
      <c r="B623" s="8">
        <v>44609.553854166668</v>
      </c>
      <c r="C623" s="8">
        <v>44626</v>
      </c>
      <c r="D623" s="9">
        <v>36000</v>
      </c>
      <c r="E623" s="7" t="e">
        <f>VLOOKUP(A623,DEVOLUCIONES!A$1:A$231,1,0)</f>
        <v>#N/A</v>
      </c>
      <c r="F623" s="7" t="e">
        <f>VLOOKUP(A623,'GLOSAS X CONCILIAR'!$A$1:$A$37,1,0)</f>
        <v>#N/A</v>
      </c>
      <c r="G623" s="7" t="str">
        <f>VLOOKUP(A623,'TODAS LAS P'!A:A,1,0)</f>
        <v>FEHF258586</v>
      </c>
      <c r="H623" s="7" t="e">
        <f>VLOOKUP(A623,PAGOS!A657:$A$1553,1,0)</f>
        <v>#N/A</v>
      </c>
      <c r="I623" s="40"/>
      <c r="J623" s="40"/>
      <c r="K623" s="40"/>
      <c r="L623" s="40"/>
      <c r="M623" s="40"/>
      <c r="N623" s="40"/>
      <c r="O623" s="40">
        <v>36000</v>
      </c>
      <c r="P623" s="40"/>
      <c r="Q623" s="7"/>
      <c r="R623" s="7" t="str">
        <f>VLOOKUP(A623,Hoja2!A$1:H$1143,8,0)</f>
        <v>2000826719</v>
      </c>
      <c r="S623" s="7"/>
      <c r="T623" s="35">
        <f t="shared" si="32"/>
        <v>0</v>
      </c>
      <c r="U623" s="7"/>
    </row>
    <row r="624" spans="1:21" x14ac:dyDescent="0.25">
      <c r="A624" s="7" t="s">
        <v>1186</v>
      </c>
      <c r="B624" s="8">
        <v>44609.777372685188</v>
      </c>
      <c r="C624" s="8">
        <v>44626</v>
      </c>
      <c r="D624" s="9">
        <v>136500</v>
      </c>
      <c r="E624" s="7" t="e">
        <f>VLOOKUP(A624,DEVOLUCIONES!A$1:A$231,1,0)</f>
        <v>#N/A</v>
      </c>
      <c r="F624" s="7" t="e">
        <f>VLOOKUP(A624,'GLOSAS X CONCILIAR'!$A$1:$A$37,1,0)</f>
        <v>#N/A</v>
      </c>
      <c r="G624" s="7" t="str">
        <f>VLOOKUP(A624,'TODAS LAS P'!A:A,1,0)</f>
        <v>FEHF258785</v>
      </c>
      <c r="H624" s="7" t="e">
        <f>VLOOKUP(A624,PAGOS!A658:$A$1553,1,0)</f>
        <v>#N/A</v>
      </c>
      <c r="I624" s="40"/>
      <c r="J624" s="40"/>
      <c r="K624" s="40"/>
      <c r="L624" s="40"/>
      <c r="M624" s="40"/>
      <c r="N624" s="40"/>
      <c r="O624" s="40">
        <v>136500</v>
      </c>
      <c r="P624" s="40"/>
      <c r="Q624" s="7"/>
      <c r="R624" s="7" t="str">
        <f>VLOOKUP(A624,Hoja2!A$1:H$1143,8,0)</f>
        <v>2000826686</v>
      </c>
      <c r="S624" s="7"/>
      <c r="T624" s="35">
        <f t="shared" si="32"/>
        <v>0</v>
      </c>
      <c r="U624" s="7"/>
    </row>
    <row r="625" spans="1:21" x14ac:dyDescent="0.25">
      <c r="A625" s="7" t="s">
        <v>1142</v>
      </c>
      <c r="B625" s="8">
        <v>44610.066817129627</v>
      </c>
      <c r="C625" s="8">
        <v>44626</v>
      </c>
      <c r="D625" s="9">
        <v>154591</v>
      </c>
      <c r="E625" s="7" t="e">
        <f>VLOOKUP(A625,DEVOLUCIONES!A$1:A$231,1,0)</f>
        <v>#N/A</v>
      </c>
      <c r="F625" s="7" t="e">
        <f>VLOOKUP(A625,'GLOSAS X CONCILIAR'!$A$1:$A$37,1,0)</f>
        <v>#N/A</v>
      </c>
      <c r="G625" s="7" t="str">
        <f>VLOOKUP(A625,'TODAS LAS P'!A:A,1,0)</f>
        <v>FEHF258808</v>
      </c>
      <c r="H625" s="7" t="e">
        <f>VLOOKUP(A625,PAGOS!A659:$A$1553,1,0)</f>
        <v>#N/A</v>
      </c>
      <c r="I625" s="40"/>
      <c r="J625" s="40"/>
      <c r="K625" s="40"/>
      <c r="L625" s="40"/>
      <c r="M625" s="40"/>
      <c r="N625" s="40"/>
      <c r="O625" s="40">
        <v>154591</v>
      </c>
      <c r="P625" s="40"/>
      <c r="Q625" s="7"/>
      <c r="R625" s="7" t="str">
        <f>VLOOKUP(A625,Hoja2!A$1:H$1143,8,0)</f>
        <v>2000826719</v>
      </c>
      <c r="S625" s="7"/>
      <c r="T625" s="35">
        <f t="shared" si="32"/>
        <v>0</v>
      </c>
      <c r="U625" s="7"/>
    </row>
    <row r="626" spans="1:21" x14ac:dyDescent="0.25">
      <c r="A626" s="7" t="s">
        <v>1252</v>
      </c>
      <c r="B626" s="8">
        <v>44610.142060185186</v>
      </c>
      <c r="C626" s="8">
        <v>44626</v>
      </c>
      <c r="D626" s="9">
        <v>115778</v>
      </c>
      <c r="E626" s="7" t="e">
        <f>VLOOKUP(A626,DEVOLUCIONES!A$1:A$231,1,0)</f>
        <v>#N/A</v>
      </c>
      <c r="F626" s="7" t="e">
        <f>VLOOKUP(A626,'GLOSAS X CONCILIAR'!$A$1:$A$37,1,0)</f>
        <v>#N/A</v>
      </c>
      <c r="G626" s="7" t="str">
        <f>VLOOKUP(A626,'TODAS LAS P'!A:A,1,0)</f>
        <v>FEHF258819</v>
      </c>
      <c r="H626" s="7" t="e">
        <f>VLOOKUP(A626,PAGOS!A660:$A$1553,1,0)</f>
        <v>#N/A</v>
      </c>
      <c r="I626" s="40"/>
      <c r="J626" s="40"/>
      <c r="K626" s="40"/>
      <c r="L626" s="40"/>
      <c r="M626" s="40"/>
      <c r="N626" s="40"/>
      <c r="O626" s="40">
        <v>115778</v>
      </c>
      <c r="P626" s="40"/>
      <c r="Q626" s="7"/>
      <c r="R626" s="7" t="str">
        <f>VLOOKUP(A626,Hoja2!A$1:H$1143,8,0)</f>
        <v>2000826711</v>
      </c>
      <c r="S626" s="7"/>
      <c r="T626" s="35">
        <f t="shared" si="32"/>
        <v>0</v>
      </c>
      <c r="U626" s="7"/>
    </row>
    <row r="627" spans="1:21" x14ac:dyDescent="0.25">
      <c r="A627" s="7" t="s">
        <v>1139</v>
      </c>
      <c r="B627" s="8">
        <v>44611.052858796298</v>
      </c>
      <c r="C627" s="8">
        <v>44626</v>
      </c>
      <c r="D627" s="9">
        <v>167600</v>
      </c>
      <c r="E627" s="7" t="e">
        <f>VLOOKUP(A627,DEVOLUCIONES!A$1:A$231,1,0)</f>
        <v>#N/A</v>
      </c>
      <c r="F627" s="7" t="e">
        <f>VLOOKUP(A627,'GLOSAS X CONCILIAR'!$A$1:$A$37,1,0)</f>
        <v>#N/A</v>
      </c>
      <c r="G627" s="7" t="str">
        <f>VLOOKUP(A627,'TODAS LAS P'!A:A,1,0)</f>
        <v>FEHF259504</v>
      </c>
      <c r="H627" s="7" t="e">
        <f>VLOOKUP(A627,PAGOS!A661:$A$1553,1,0)</f>
        <v>#N/A</v>
      </c>
      <c r="I627" s="40"/>
      <c r="J627" s="40"/>
      <c r="K627" s="40"/>
      <c r="L627" s="40"/>
      <c r="M627" s="40"/>
      <c r="N627" s="40"/>
      <c r="O627" s="40">
        <v>167600</v>
      </c>
      <c r="P627" s="40"/>
      <c r="Q627" s="7"/>
      <c r="R627" s="7" t="str">
        <f>VLOOKUP(A627,Hoja2!A$1:H$1143,8,0)</f>
        <v>2000826719</v>
      </c>
      <c r="S627" s="7"/>
      <c r="T627" s="35">
        <f t="shared" si="32"/>
        <v>0</v>
      </c>
      <c r="U627" s="7"/>
    </row>
    <row r="628" spans="1:21" x14ac:dyDescent="0.25">
      <c r="A628" s="7" t="s">
        <v>1261</v>
      </c>
      <c r="B628" s="8">
        <v>44613.329201388886</v>
      </c>
      <c r="C628" s="8">
        <v>44626</v>
      </c>
      <c r="D628" s="9">
        <v>59100</v>
      </c>
      <c r="E628" s="7" t="e">
        <f>VLOOKUP(A628,DEVOLUCIONES!A$1:A$231,1,0)</f>
        <v>#N/A</v>
      </c>
      <c r="F628" s="7" t="e">
        <f>VLOOKUP(A628,'GLOSAS X CONCILIAR'!$A$1:$A$37,1,0)</f>
        <v>#N/A</v>
      </c>
      <c r="G628" s="7" t="str">
        <f>VLOOKUP(A628,'TODAS LAS P'!A:A,1,0)</f>
        <v>FEHF260043</v>
      </c>
      <c r="H628" s="7" t="e">
        <f>VLOOKUP(A628,PAGOS!A662:$A$1553,1,0)</f>
        <v>#N/A</v>
      </c>
      <c r="I628" s="40"/>
      <c r="J628" s="40"/>
      <c r="K628" s="40"/>
      <c r="L628" s="40"/>
      <c r="M628" s="40"/>
      <c r="N628" s="40"/>
      <c r="O628" s="40">
        <v>59100</v>
      </c>
      <c r="P628" s="40"/>
      <c r="Q628" s="7"/>
      <c r="R628" s="7" t="str">
        <f>VLOOKUP(A628,Hoja2!A$1:H$1143,8,0)</f>
        <v>2000826709</v>
      </c>
      <c r="S628" s="7"/>
      <c r="T628" s="35">
        <f t="shared" si="32"/>
        <v>0</v>
      </c>
      <c r="U628" s="7"/>
    </row>
    <row r="629" spans="1:21" x14ac:dyDescent="0.25">
      <c r="A629" s="7" t="s">
        <v>1133</v>
      </c>
      <c r="B629" s="8">
        <v>44613.787083333336</v>
      </c>
      <c r="C629" s="8">
        <v>44627</v>
      </c>
      <c r="D629" s="9">
        <v>747494</v>
      </c>
      <c r="E629" s="7" t="e">
        <f>VLOOKUP(A629,DEVOLUCIONES!A$1:A$231,1,0)</f>
        <v>#N/A</v>
      </c>
      <c r="F629" s="7" t="e">
        <f>VLOOKUP(A629,'GLOSAS X CONCILIAR'!$A$1:$A$37,1,0)</f>
        <v>#N/A</v>
      </c>
      <c r="G629" s="7" t="str">
        <f>VLOOKUP(A629,'TODAS LAS P'!A:A,1,0)</f>
        <v>FEHF260610</v>
      </c>
      <c r="H629" s="7" t="e">
        <f>VLOOKUP(A629,PAGOS!A663:$A$1553,1,0)</f>
        <v>#N/A</v>
      </c>
      <c r="I629" s="40"/>
      <c r="J629" s="40"/>
      <c r="K629" s="40"/>
      <c r="L629" s="40"/>
      <c r="M629" s="40"/>
      <c r="N629" s="40"/>
      <c r="O629" s="40">
        <v>747494</v>
      </c>
      <c r="P629" s="40"/>
      <c r="Q629" s="7"/>
      <c r="R629" s="7" t="str">
        <f>VLOOKUP(A629,Hoja2!A$1:H$1143,8,0)</f>
        <v>2000826719</v>
      </c>
      <c r="S629" s="7"/>
      <c r="T629" s="35">
        <f t="shared" si="32"/>
        <v>0</v>
      </c>
      <c r="U629" s="7"/>
    </row>
    <row r="630" spans="1:21" x14ac:dyDescent="0.25">
      <c r="A630" s="7" t="s">
        <v>3091</v>
      </c>
      <c r="B630" s="8">
        <v>44613.787083333336</v>
      </c>
      <c r="C630" s="8">
        <v>44626</v>
      </c>
      <c r="D630" s="9">
        <v>9738</v>
      </c>
      <c r="E630" s="7" t="str">
        <f>VLOOKUP(A630,DEVOLUCIONES!A$1:A$231,1,0)</f>
        <v>FEHF260611</v>
      </c>
      <c r="F630" s="7" t="e">
        <f>VLOOKUP(A630,'GLOSAS X CONCILIAR'!$A$1:$A$37,1,0)</f>
        <v>#N/A</v>
      </c>
      <c r="G630" s="7" t="e">
        <f>VLOOKUP(A630,'TODAS LAS P'!A:A,1,0)</f>
        <v>#N/A</v>
      </c>
      <c r="H630" s="7" t="e">
        <f>VLOOKUP(A630,PAGOS!A664:$A$1553,1,0)</f>
        <v>#N/A</v>
      </c>
      <c r="I630" s="40"/>
      <c r="J630" s="40">
        <f>D630</f>
        <v>9738</v>
      </c>
      <c r="K630" s="40"/>
      <c r="L630" s="40"/>
      <c r="M630" s="40"/>
      <c r="N630" s="40"/>
      <c r="O630" s="40"/>
      <c r="P630" s="40"/>
      <c r="Q630" s="7" t="str">
        <f>VLOOKUP(A630,DEVOLUCIONES!A$1:B$231,2,0)</f>
        <v>DF-259283036773</v>
      </c>
      <c r="R630" s="7"/>
      <c r="S630" s="7" t="str">
        <f>VLOOKUP(A630,DEVOLUCIONES!A$1:H$231,8,0)</f>
        <v xml:space="preserve">Se hace devolución de la factura se realiza validación de la información suministrada según requisitos para Recobro al ADRES Dando cumplimiento a la resolución 1885 de 2018 Resolución 41656 de 2019 y Resolución 094 de 2020 Para proceso de auditoria de facturas con Tecnologías en salud No Cubiertas en el plan de Beneficios en Salud (NO PBS) Se evidencia que la factura presenta las siguientes inconsistencias1 código mipres reportado por la IPS en la factura física no corresponde a la tecnología facturada  se debe modificar2 reporte de entrega se encuentra incompleto faltan items por llenar(valor unitario valor total)3 la factura cuenta con facturación electrónica el ID de facturación de la web mipres en el item NoFactura no viene registrado el CUFE (Factura electrónica) el cual es el que se debe registrar4 Se objeta mayor valor facturado según revisión se reconoce a  resolución 594 del 2021 por valor de $6450 el g se reconoce soporte nutricional por el valor de $5934C/U (6450  x 92g = 5934 ) se objeta la diferenciaCualquier inconsistencia es motivo de no reconocimiento ante la adres se recuerda a la ips la importancia de Verificar nuevamente cada requisito antes de radicar una vez subsane estos inconvenientes para dar trámite Nuevamente la radiación ID direccionamiento ID entrega ID facturaciónCualquier inconsistencia es motivo de no reconocimiento ante el ADRES en caso de subsanar el motivo de devolución la factura se debe cargarse nuevamente en SAMI para su proceso de radicacion </v>
      </c>
      <c r="T630" s="35">
        <f t="shared" si="32"/>
        <v>0</v>
      </c>
      <c r="U630" s="7"/>
    </row>
    <row r="631" spans="1:21" x14ac:dyDescent="0.25">
      <c r="A631" s="7" t="s">
        <v>1057</v>
      </c>
      <c r="B631" s="8">
        <v>44614.315243055556</v>
      </c>
      <c r="C631" s="8">
        <v>44626</v>
      </c>
      <c r="D631" s="9">
        <v>50400</v>
      </c>
      <c r="E631" s="7" t="e">
        <f>VLOOKUP(A631,DEVOLUCIONES!A$1:A$231,1,0)</f>
        <v>#N/A</v>
      </c>
      <c r="F631" s="7" t="e">
        <f>VLOOKUP(A631,'GLOSAS X CONCILIAR'!$A$1:$A$37,1,0)</f>
        <v>#N/A</v>
      </c>
      <c r="G631" s="7" t="str">
        <f>VLOOKUP(A631,'TODAS LAS P'!A:A,1,0)</f>
        <v>FEHF260710</v>
      </c>
      <c r="H631" s="7" t="e">
        <f>VLOOKUP(A631,PAGOS!A665:$A$1553,1,0)</f>
        <v>#N/A</v>
      </c>
      <c r="I631" s="40"/>
      <c r="J631" s="40"/>
      <c r="K631" s="40"/>
      <c r="L631" s="40"/>
      <c r="M631" s="40"/>
      <c r="N631" s="40"/>
      <c r="O631" s="40">
        <v>50400</v>
      </c>
      <c r="P631" s="40"/>
      <c r="Q631" s="7"/>
      <c r="R631" s="7" t="str">
        <f>VLOOKUP(A631,Hoja2!A$1:H$1143,8,0)</f>
        <v>2000826623</v>
      </c>
      <c r="S631" s="7"/>
      <c r="T631" s="35">
        <f t="shared" si="32"/>
        <v>0</v>
      </c>
      <c r="U631" s="7"/>
    </row>
    <row r="632" spans="1:21" x14ac:dyDescent="0.25">
      <c r="A632" s="7" t="s">
        <v>994</v>
      </c>
      <c r="B632" s="8">
        <v>44614.366388888891</v>
      </c>
      <c r="C632" s="8">
        <v>44627</v>
      </c>
      <c r="D632" s="9">
        <v>125100</v>
      </c>
      <c r="E632" s="7" t="e">
        <f>VLOOKUP(A632,DEVOLUCIONES!A$1:A$231,1,0)</f>
        <v>#N/A</v>
      </c>
      <c r="F632" s="7" t="e">
        <f>VLOOKUP(A632,'GLOSAS X CONCILIAR'!$A$1:$A$37,1,0)</f>
        <v>#N/A</v>
      </c>
      <c r="G632" s="7" t="str">
        <f>VLOOKUP(A632,'TODAS LAS P'!A:A,1,0)</f>
        <v>FEHF260817</v>
      </c>
      <c r="H632" s="7" t="e">
        <f>VLOOKUP(A632,PAGOS!A666:$A$1553,1,0)</f>
        <v>#N/A</v>
      </c>
      <c r="I632" s="40"/>
      <c r="J632" s="40"/>
      <c r="K632" s="40"/>
      <c r="L632" s="40"/>
      <c r="M632" s="40"/>
      <c r="N632" s="40"/>
      <c r="O632" s="40">
        <v>125100</v>
      </c>
      <c r="P632" s="40"/>
      <c r="Q632" s="7"/>
      <c r="R632" s="7" t="str">
        <f>VLOOKUP(A632,Hoja2!A$1:H$1143,8,0)</f>
        <v>2000826667</v>
      </c>
      <c r="S632" s="7"/>
      <c r="T632" s="35">
        <f t="shared" si="32"/>
        <v>0</v>
      </c>
      <c r="U632" s="7"/>
    </row>
    <row r="633" spans="1:21" x14ac:dyDescent="0.25">
      <c r="A633" s="7" t="s">
        <v>986</v>
      </c>
      <c r="B633" s="8">
        <v>44614.39603009259</v>
      </c>
      <c r="C633" s="8">
        <v>44626</v>
      </c>
      <c r="D633" s="9">
        <v>303700</v>
      </c>
      <c r="E633" s="7" t="e">
        <f>VLOOKUP(A633,DEVOLUCIONES!A$1:A$231,1,0)</f>
        <v>#N/A</v>
      </c>
      <c r="F633" s="7" t="e">
        <f>VLOOKUP(A633,'GLOSAS X CONCILIAR'!$A$1:$A$37,1,0)</f>
        <v>#N/A</v>
      </c>
      <c r="G633" s="7" t="str">
        <f>VLOOKUP(A633,'TODAS LAS P'!A:A,1,0)</f>
        <v>FEHF260866</v>
      </c>
      <c r="H633" s="7" t="e">
        <f>VLOOKUP(A633,PAGOS!A667:$A$1553,1,0)</f>
        <v>#N/A</v>
      </c>
      <c r="I633" s="40"/>
      <c r="J633" s="40"/>
      <c r="K633" s="40"/>
      <c r="L633" s="40"/>
      <c r="M633" s="40"/>
      <c r="N633" s="40"/>
      <c r="O633" s="40">
        <v>303700</v>
      </c>
      <c r="P633" s="40"/>
      <c r="Q633" s="7"/>
      <c r="R633" s="7" t="str">
        <f>VLOOKUP(A633,Hoja2!A$1:H$1143,8,0)</f>
        <v>2000826667</v>
      </c>
      <c r="S633" s="7"/>
      <c r="T633" s="35">
        <f t="shared" si="32"/>
        <v>0</v>
      </c>
      <c r="U633" s="7"/>
    </row>
    <row r="634" spans="1:21" x14ac:dyDescent="0.25">
      <c r="A634" s="7" t="s">
        <v>1025</v>
      </c>
      <c r="B634" s="8">
        <v>44614.467997685184</v>
      </c>
      <c r="C634" s="8">
        <v>44627</v>
      </c>
      <c r="D634" s="9">
        <v>5088525</v>
      </c>
      <c r="E634" s="7" t="e">
        <f>VLOOKUP(A634,DEVOLUCIONES!A$1:A$231,1,0)</f>
        <v>#N/A</v>
      </c>
      <c r="F634" s="7" t="e">
        <f>VLOOKUP(A634,'GLOSAS X CONCILIAR'!$A$1:$A$37,1,0)</f>
        <v>#N/A</v>
      </c>
      <c r="G634" s="7" t="str">
        <f>VLOOKUP(A634,'TODAS LAS P'!A:A,1,0)</f>
        <v>FEHF260969</v>
      </c>
      <c r="H634" s="7" t="e">
        <f>VLOOKUP(A634,PAGOS!A668:$A$1553,1,0)</f>
        <v>#N/A</v>
      </c>
      <c r="I634" s="40"/>
      <c r="J634" s="40"/>
      <c r="K634" s="40"/>
      <c r="L634" s="40"/>
      <c r="M634" s="40"/>
      <c r="N634" s="40"/>
      <c r="O634" s="40">
        <v>5088525</v>
      </c>
      <c r="P634" s="40"/>
      <c r="Q634" s="7"/>
      <c r="R634" s="7" t="str">
        <f>VLOOKUP(A634,Hoja2!A$1:H$1143,8,0)</f>
        <v>2000826665</v>
      </c>
      <c r="S634" s="7"/>
      <c r="T634" s="35">
        <f t="shared" si="32"/>
        <v>0</v>
      </c>
      <c r="U634" s="7"/>
    </row>
    <row r="635" spans="1:21" x14ac:dyDescent="0.25">
      <c r="A635" s="7" t="s">
        <v>1183</v>
      </c>
      <c r="B635" s="8">
        <v>44614.653124999997</v>
      </c>
      <c r="C635" s="8">
        <v>44626</v>
      </c>
      <c r="D635" s="9">
        <v>92375</v>
      </c>
      <c r="E635" s="7" t="e">
        <f>VLOOKUP(A635,DEVOLUCIONES!A$1:A$231,1,0)</f>
        <v>#N/A</v>
      </c>
      <c r="F635" s="7" t="e">
        <f>VLOOKUP(A635,'GLOSAS X CONCILIAR'!$A$1:$A$37,1,0)</f>
        <v>#N/A</v>
      </c>
      <c r="G635" s="7" t="str">
        <f>VLOOKUP(A635,'TODAS LAS P'!A:A,1,0)</f>
        <v>FEHF261235</v>
      </c>
      <c r="H635" s="7" t="e">
        <f>VLOOKUP(A635,PAGOS!A669:$A$1553,1,0)</f>
        <v>#N/A</v>
      </c>
      <c r="I635" s="40"/>
      <c r="J635" s="40"/>
      <c r="K635" s="40"/>
      <c r="L635" s="40"/>
      <c r="M635" s="40"/>
      <c r="N635" s="40"/>
      <c r="O635" s="40">
        <v>92375</v>
      </c>
      <c r="P635" s="40"/>
      <c r="Q635" s="7"/>
      <c r="R635" s="7" t="str">
        <f>VLOOKUP(A635,Hoja2!A$1:H$1143,8,0)</f>
        <v>2000826686</v>
      </c>
      <c r="S635" s="7"/>
      <c r="T635" s="35">
        <f t="shared" si="32"/>
        <v>0</v>
      </c>
      <c r="U635" s="7"/>
    </row>
    <row r="636" spans="1:21" x14ac:dyDescent="0.25">
      <c r="A636" s="7" t="s">
        <v>1177</v>
      </c>
      <c r="B636" s="8">
        <v>44615.310069444444</v>
      </c>
      <c r="C636" s="8">
        <v>44626</v>
      </c>
      <c r="D636" s="9">
        <v>19300</v>
      </c>
      <c r="E636" s="7" t="e">
        <f>VLOOKUP(A636,DEVOLUCIONES!A$1:A$231,1,0)</f>
        <v>#N/A</v>
      </c>
      <c r="F636" s="7" t="e">
        <f>VLOOKUP(A636,'GLOSAS X CONCILIAR'!$A$1:$A$37,1,0)</f>
        <v>#N/A</v>
      </c>
      <c r="G636" s="7" t="str">
        <f>VLOOKUP(A636,'TODAS LAS P'!A:A,1,0)</f>
        <v>FEHF261406</v>
      </c>
      <c r="H636" s="7" t="e">
        <f>VLOOKUP(A636,PAGOS!A670:$A$1553,1,0)</f>
        <v>#N/A</v>
      </c>
      <c r="I636" s="40"/>
      <c r="J636" s="40"/>
      <c r="K636" s="40"/>
      <c r="L636" s="40"/>
      <c r="M636" s="40"/>
      <c r="N636" s="40"/>
      <c r="O636" s="40">
        <v>19300</v>
      </c>
      <c r="P636" s="40"/>
      <c r="Q636" s="7"/>
      <c r="R636" s="7" t="str">
        <f>VLOOKUP(A636,Hoja2!A$1:H$1143,8,0)</f>
        <v>2000826713</v>
      </c>
      <c r="S636" s="7"/>
      <c r="T636" s="35">
        <f t="shared" si="32"/>
        <v>0</v>
      </c>
      <c r="U636" s="7"/>
    </row>
    <row r="637" spans="1:21" x14ac:dyDescent="0.25">
      <c r="A637" s="7" t="s">
        <v>1169</v>
      </c>
      <c r="B637" s="8">
        <v>44615.325879629629</v>
      </c>
      <c r="C637" s="8">
        <v>44626</v>
      </c>
      <c r="D637" s="9">
        <v>48200</v>
      </c>
      <c r="E637" s="7" t="e">
        <f>VLOOKUP(A637,DEVOLUCIONES!A$1:A$231,1,0)</f>
        <v>#N/A</v>
      </c>
      <c r="F637" s="7" t="e">
        <f>VLOOKUP(A637,'GLOSAS X CONCILIAR'!$A$1:$A$37,1,0)</f>
        <v>#N/A</v>
      </c>
      <c r="G637" s="7" t="str">
        <f>VLOOKUP(A637,'TODAS LAS P'!A:A,1,0)</f>
        <v>FEHF261448</v>
      </c>
      <c r="H637" s="7" t="e">
        <f>VLOOKUP(A637,PAGOS!A671:$A$1553,1,0)</f>
        <v>#N/A</v>
      </c>
      <c r="I637" s="40"/>
      <c r="J637" s="40"/>
      <c r="K637" s="40"/>
      <c r="L637" s="40"/>
      <c r="M637" s="40"/>
      <c r="N637" s="40"/>
      <c r="O637" s="40">
        <v>48200</v>
      </c>
      <c r="P637" s="40"/>
      <c r="Q637" s="7"/>
      <c r="R637" s="7" t="str">
        <f>VLOOKUP(A637,Hoja2!A$1:H$1143,8,0)</f>
        <v>2000826719</v>
      </c>
      <c r="S637" s="7"/>
      <c r="T637" s="35">
        <f t="shared" si="32"/>
        <v>0</v>
      </c>
      <c r="U637" s="7"/>
    </row>
    <row r="638" spans="1:21" x14ac:dyDescent="0.25">
      <c r="A638" s="7" t="s">
        <v>1174</v>
      </c>
      <c r="B638" s="8">
        <v>44615.366909722223</v>
      </c>
      <c r="C638" s="8">
        <v>44626</v>
      </c>
      <c r="D638" s="9">
        <v>36000</v>
      </c>
      <c r="E638" s="7" t="e">
        <f>VLOOKUP(A638,DEVOLUCIONES!A$1:A$231,1,0)</f>
        <v>#N/A</v>
      </c>
      <c r="F638" s="7" t="e">
        <f>VLOOKUP(A638,'GLOSAS X CONCILIAR'!$A$1:$A$37,1,0)</f>
        <v>#N/A</v>
      </c>
      <c r="G638" s="7" t="str">
        <f>VLOOKUP(A638,'TODAS LAS P'!A:A,1,0)</f>
        <v>FEHF261537</v>
      </c>
      <c r="H638" s="7" t="e">
        <f>VLOOKUP(A638,PAGOS!A672:$A$1553,1,0)</f>
        <v>#N/A</v>
      </c>
      <c r="I638" s="40"/>
      <c r="J638" s="40"/>
      <c r="K638" s="40"/>
      <c r="L638" s="40"/>
      <c r="M638" s="40"/>
      <c r="N638" s="40"/>
      <c r="O638" s="40">
        <v>36000</v>
      </c>
      <c r="P638" s="40"/>
      <c r="Q638" s="7"/>
      <c r="R638" s="7" t="str">
        <f>VLOOKUP(A638,Hoja2!A$1:H$1143,8,0)</f>
        <v>2000826713</v>
      </c>
      <c r="S638" s="7"/>
      <c r="T638" s="35">
        <f t="shared" si="32"/>
        <v>0</v>
      </c>
      <c r="U638" s="7"/>
    </row>
    <row r="639" spans="1:21" x14ac:dyDescent="0.25">
      <c r="A639" s="7" t="s">
        <v>950</v>
      </c>
      <c r="B639" s="8">
        <v>44615.38858796296</v>
      </c>
      <c r="C639" s="8">
        <v>44626</v>
      </c>
      <c r="D639" s="9">
        <v>23000</v>
      </c>
      <c r="E639" s="7" t="e">
        <f>VLOOKUP(A639,DEVOLUCIONES!A$1:A$231,1,0)</f>
        <v>#N/A</v>
      </c>
      <c r="F639" s="7" t="e">
        <f>VLOOKUP(A639,'GLOSAS X CONCILIAR'!$A$1:$A$37,1,0)</f>
        <v>#N/A</v>
      </c>
      <c r="G639" s="7" t="str">
        <f>VLOOKUP(A639,'TODAS LAS P'!A:A,1,0)</f>
        <v>FEHF261604</v>
      </c>
      <c r="H639" s="7" t="e">
        <f>VLOOKUP(A639,PAGOS!A673:$A$1553,1,0)</f>
        <v>#N/A</v>
      </c>
      <c r="I639" s="40"/>
      <c r="J639" s="40"/>
      <c r="K639" s="40"/>
      <c r="L639" s="40"/>
      <c r="M639" s="40"/>
      <c r="N639" s="40"/>
      <c r="O639" s="40">
        <v>23000</v>
      </c>
      <c r="P639" s="40"/>
      <c r="Q639" s="7"/>
      <c r="R639" s="7" t="str">
        <f>VLOOKUP(A639,Hoja2!A$1:H$1143,8,0)</f>
        <v>2000826027</v>
      </c>
      <c r="S639" s="7"/>
      <c r="T639" s="35">
        <f t="shared" si="32"/>
        <v>0</v>
      </c>
      <c r="U639" s="7"/>
    </row>
    <row r="640" spans="1:21" x14ac:dyDescent="0.25">
      <c r="A640" s="7" t="s">
        <v>1044</v>
      </c>
      <c r="B640" s="8">
        <v>44615.614444444444</v>
      </c>
      <c r="C640" s="8">
        <v>44626</v>
      </c>
      <c r="D640" s="9">
        <v>60961</v>
      </c>
      <c r="E640" s="7" t="e">
        <f>VLOOKUP(A640,DEVOLUCIONES!A$1:A$231,1,0)</f>
        <v>#N/A</v>
      </c>
      <c r="F640" s="7" t="e">
        <f>VLOOKUP(A640,'GLOSAS X CONCILIAR'!$A$1:$A$37,1,0)</f>
        <v>#N/A</v>
      </c>
      <c r="G640" s="7" t="str">
        <f>VLOOKUP(A640,'TODAS LAS P'!A:A,1,0)</f>
        <v>FEHF261875</v>
      </c>
      <c r="H640" s="7" t="e">
        <f>VLOOKUP(A640,PAGOS!A674:$A$1553,1,0)</f>
        <v>#N/A</v>
      </c>
      <c r="I640" s="40"/>
      <c r="J640" s="40"/>
      <c r="K640" s="40"/>
      <c r="L640" s="40"/>
      <c r="M640" s="40"/>
      <c r="N640" s="40"/>
      <c r="O640" s="40">
        <v>60961</v>
      </c>
      <c r="P640" s="40"/>
      <c r="Q640" s="7"/>
      <c r="R640" s="7" t="str">
        <f>VLOOKUP(A640,Hoja2!A$1:H$1143,8,0)</f>
        <v>2000826623</v>
      </c>
      <c r="S640" s="7"/>
      <c r="T640" s="35">
        <f t="shared" si="32"/>
        <v>0</v>
      </c>
      <c r="U640" s="7"/>
    </row>
    <row r="641" spans="1:21" x14ac:dyDescent="0.25">
      <c r="A641" s="7" t="s">
        <v>1136</v>
      </c>
      <c r="B641" s="8">
        <v>44615.734710648147</v>
      </c>
      <c r="C641" s="8">
        <v>44626</v>
      </c>
      <c r="D641" s="9">
        <v>398362</v>
      </c>
      <c r="E641" s="7" t="e">
        <f>VLOOKUP(A641,DEVOLUCIONES!A$1:A$231,1,0)</f>
        <v>#N/A</v>
      </c>
      <c r="F641" s="7" t="e">
        <f>VLOOKUP(A641,'GLOSAS X CONCILIAR'!$A$1:$A$37,1,0)</f>
        <v>#N/A</v>
      </c>
      <c r="G641" s="7" t="str">
        <f>VLOOKUP(A641,'TODAS LAS P'!A:A,1,0)</f>
        <v>FEHF261956</v>
      </c>
      <c r="H641" s="7" t="e">
        <f>VLOOKUP(A641,PAGOS!A675:$A$1553,1,0)</f>
        <v>#N/A</v>
      </c>
      <c r="I641" s="40"/>
      <c r="J641" s="40"/>
      <c r="K641" s="40"/>
      <c r="L641" s="40"/>
      <c r="M641" s="40"/>
      <c r="N641" s="40"/>
      <c r="O641" s="40">
        <v>398362</v>
      </c>
      <c r="P641" s="40"/>
      <c r="Q641" s="7"/>
      <c r="R641" s="7" t="str">
        <f>VLOOKUP(A641,Hoja2!A$1:H$1143,8,0)</f>
        <v>2000826719</v>
      </c>
      <c r="S641" s="7"/>
      <c r="T641" s="35">
        <f t="shared" si="32"/>
        <v>0</v>
      </c>
      <c r="U641" s="7"/>
    </row>
    <row r="642" spans="1:21" x14ac:dyDescent="0.25">
      <c r="A642" s="7" t="s">
        <v>1166</v>
      </c>
      <c r="B642" s="8">
        <v>44616.338101851848</v>
      </c>
      <c r="C642" s="8">
        <v>44626</v>
      </c>
      <c r="D642" s="9">
        <v>49900</v>
      </c>
      <c r="E642" s="7" t="e">
        <f>VLOOKUP(A642,DEVOLUCIONES!A$1:A$231,1,0)</f>
        <v>#N/A</v>
      </c>
      <c r="F642" s="7" t="e">
        <f>VLOOKUP(A642,'GLOSAS X CONCILIAR'!$A$1:$A$37,1,0)</f>
        <v>#N/A</v>
      </c>
      <c r="G642" s="7" t="str">
        <f>VLOOKUP(A642,'TODAS LAS P'!A:A,1,0)</f>
        <v>FEHF262145</v>
      </c>
      <c r="H642" s="7" t="e">
        <f>VLOOKUP(A642,PAGOS!A676:$A$1553,1,0)</f>
        <v>#N/A</v>
      </c>
      <c r="I642" s="40"/>
      <c r="J642" s="40"/>
      <c r="K642" s="40"/>
      <c r="L642" s="40"/>
      <c r="M642" s="40"/>
      <c r="N642" s="40"/>
      <c r="O642" s="40">
        <v>49900</v>
      </c>
      <c r="P642" s="40"/>
      <c r="Q642" s="7"/>
      <c r="R642" s="7" t="str">
        <f>VLOOKUP(A642,Hoja2!A$1:H$1143,8,0)</f>
        <v>2000826719</v>
      </c>
      <c r="S642" s="7"/>
      <c r="T642" s="35">
        <f t="shared" si="32"/>
        <v>0</v>
      </c>
      <c r="U642" s="7"/>
    </row>
    <row r="643" spans="1:21" x14ac:dyDescent="0.25">
      <c r="A643" s="7" t="s">
        <v>1203</v>
      </c>
      <c r="B643" s="8">
        <v>44616.373113425929</v>
      </c>
      <c r="C643" s="8">
        <v>44626</v>
      </c>
      <c r="D643" s="9">
        <v>24800</v>
      </c>
      <c r="E643" s="7" t="e">
        <f>VLOOKUP(A643,DEVOLUCIONES!A$1:A$231,1,0)</f>
        <v>#N/A</v>
      </c>
      <c r="F643" s="7" t="e">
        <f>VLOOKUP(A643,'GLOSAS X CONCILIAR'!$A$1:$A$37,1,0)</f>
        <v>#N/A</v>
      </c>
      <c r="G643" s="7" t="str">
        <f>VLOOKUP(A643,'TODAS LAS P'!A:A,1,0)</f>
        <v>FEHF262222</v>
      </c>
      <c r="H643" s="7" t="e">
        <f>VLOOKUP(A643,PAGOS!A677:$A$1553,1,0)</f>
        <v>#N/A</v>
      </c>
      <c r="I643" s="40"/>
      <c r="J643" s="40"/>
      <c r="K643" s="40"/>
      <c r="L643" s="40"/>
      <c r="M643" s="40"/>
      <c r="N643" s="40"/>
      <c r="O643" s="40">
        <v>24800</v>
      </c>
      <c r="P643" s="40"/>
      <c r="Q643" s="7"/>
      <c r="R643" s="7" t="str">
        <f>VLOOKUP(A643,Hoja2!A$1:H$1143,8,0)</f>
        <v>2000826719</v>
      </c>
      <c r="S643" s="7"/>
      <c r="T643" s="35">
        <f t="shared" ref="T643:T706" si="34">D643-SUM(I643:Q643)</f>
        <v>0</v>
      </c>
      <c r="U643" s="7"/>
    </row>
    <row r="644" spans="1:21" x14ac:dyDescent="0.25">
      <c r="A644" s="7" t="s">
        <v>1156</v>
      </c>
      <c r="B644" s="8">
        <v>44616.628321759257</v>
      </c>
      <c r="C644" s="8">
        <v>44626</v>
      </c>
      <c r="D644" s="9">
        <v>103500</v>
      </c>
      <c r="E644" s="7" t="e">
        <f>VLOOKUP(A644,DEVOLUCIONES!A$1:A$231,1,0)</f>
        <v>#N/A</v>
      </c>
      <c r="F644" s="7" t="e">
        <f>VLOOKUP(A644,'GLOSAS X CONCILIAR'!$A$1:$A$37,1,0)</f>
        <v>#N/A</v>
      </c>
      <c r="G644" s="7" t="str">
        <f>VLOOKUP(A644,'TODAS LAS P'!A:A,1,0)</f>
        <v>FEHF262620</v>
      </c>
      <c r="H644" s="7" t="e">
        <f>VLOOKUP(A644,PAGOS!A678:$A$1553,1,0)</f>
        <v>#N/A</v>
      </c>
      <c r="I644" s="40"/>
      <c r="J644" s="40"/>
      <c r="K644" s="40"/>
      <c r="L644" s="40"/>
      <c r="M644" s="40"/>
      <c r="N644" s="40"/>
      <c r="O644" s="40">
        <v>103500</v>
      </c>
      <c r="P644" s="40"/>
      <c r="Q644" s="7"/>
      <c r="R644" s="7" t="str">
        <f>VLOOKUP(A644,Hoja2!A$1:H$1143,8,0)</f>
        <v>2000826719</v>
      </c>
      <c r="S644" s="7"/>
      <c r="T644" s="35">
        <f t="shared" si="34"/>
        <v>0</v>
      </c>
      <c r="U644" s="7"/>
    </row>
    <row r="645" spans="1:21" x14ac:dyDescent="0.25">
      <c r="A645" s="7" t="s">
        <v>3092</v>
      </c>
      <c r="B645" s="8">
        <v>44617.296851851854</v>
      </c>
      <c r="C645" s="8">
        <v>44626</v>
      </c>
      <c r="D645" s="9">
        <v>23000</v>
      </c>
      <c r="E645" s="7" t="e">
        <f>VLOOKUP(A645,DEVOLUCIONES!A$1:A$231,1,0)</f>
        <v>#N/A</v>
      </c>
      <c r="F645" s="7" t="e">
        <f>VLOOKUP(A645,'GLOSAS X CONCILIAR'!$A$1:$A$37,1,0)</f>
        <v>#N/A</v>
      </c>
      <c r="G645" s="7" t="e">
        <f>VLOOKUP(A645,'TODAS LAS P'!A:A,1,0)</f>
        <v>#N/A</v>
      </c>
      <c r="H645" s="7" t="e">
        <f>VLOOKUP(A645,PAGOS!A679:$A$1553,1,0)</f>
        <v>#N/A</v>
      </c>
      <c r="I645" s="40"/>
      <c r="J645" s="40"/>
      <c r="K645" s="40"/>
      <c r="L645" s="40">
        <f t="shared" ref="L645:L646" si="35">D645</f>
        <v>23000</v>
      </c>
      <c r="M645" s="40"/>
      <c r="N645" s="40"/>
      <c r="O645" s="40"/>
      <c r="P645" s="40"/>
      <c r="Q645" s="7"/>
      <c r="R645" s="7"/>
      <c r="S645" s="7"/>
      <c r="T645" s="35">
        <f t="shared" si="34"/>
        <v>0</v>
      </c>
      <c r="U645" s="7"/>
    </row>
    <row r="646" spans="1:21" x14ac:dyDescent="0.25">
      <c r="A646" s="7" t="s">
        <v>3093</v>
      </c>
      <c r="B646" s="8">
        <v>44617.561157407406</v>
      </c>
      <c r="C646" s="8">
        <v>44626</v>
      </c>
      <c r="D646" s="9">
        <v>32300</v>
      </c>
      <c r="E646" s="7" t="e">
        <f>VLOOKUP(A646,DEVOLUCIONES!A$1:A$231,1,0)</f>
        <v>#N/A</v>
      </c>
      <c r="F646" s="7" t="e">
        <f>VLOOKUP(A646,'GLOSAS X CONCILIAR'!$A$1:$A$37,1,0)</f>
        <v>#N/A</v>
      </c>
      <c r="G646" s="7" t="e">
        <f>VLOOKUP(A646,'TODAS LAS P'!A:A,1,0)</f>
        <v>#N/A</v>
      </c>
      <c r="H646" s="7" t="e">
        <f>VLOOKUP(A646,PAGOS!A680:$A$1553,1,0)</f>
        <v>#N/A</v>
      </c>
      <c r="I646" s="40"/>
      <c r="J646" s="40"/>
      <c r="K646" s="40"/>
      <c r="L646" s="40">
        <f t="shared" si="35"/>
        <v>32300</v>
      </c>
      <c r="M646" s="40"/>
      <c r="N646" s="40"/>
      <c r="O646" s="40"/>
      <c r="P646" s="40"/>
      <c r="Q646" s="7"/>
      <c r="R646" s="7"/>
      <c r="S646" s="7"/>
      <c r="T646" s="35">
        <f t="shared" si="34"/>
        <v>0</v>
      </c>
      <c r="U646" s="7"/>
    </row>
    <row r="647" spans="1:21" x14ac:dyDescent="0.25">
      <c r="A647" s="7" t="s">
        <v>1076</v>
      </c>
      <c r="B647" s="8">
        <v>44617.565925925926</v>
      </c>
      <c r="C647" s="8">
        <v>44626</v>
      </c>
      <c r="D647" s="9">
        <v>32300</v>
      </c>
      <c r="E647" s="7" t="e">
        <f>VLOOKUP(A647,DEVOLUCIONES!A$1:A$231,1,0)</f>
        <v>#N/A</v>
      </c>
      <c r="F647" s="7" t="e">
        <f>VLOOKUP(A647,'GLOSAS X CONCILIAR'!$A$1:$A$37,1,0)</f>
        <v>#N/A</v>
      </c>
      <c r="G647" s="7" t="str">
        <f>VLOOKUP(A647,'TODAS LAS P'!A:A,1,0)</f>
        <v>FEHF263293</v>
      </c>
      <c r="H647" s="7" t="e">
        <f>VLOOKUP(A647,PAGOS!A681:$A$1553,1,0)</f>
        <v>#N/A</v>
      </c>
      <c r="I647" s="40"/>
      <c r="J647" s="40"/>
      <c r="K647" s="40"/>
      <c r="L647" s="40"/>
      <c r="M647" s="40"/>
      <c r="N647" s="40"/>
      <c r="O647" s="40">
        <v>32300</v>
      </c>
      <c r="P647" s="40"/>
      <c r="Q647" s="7"/>
      <c r="R647" s="7" t="str">
        <f>VLOOKUP(A647,Hoja2!A$1:H$1143,8,0)</f>
        <v>2000826616</v>
      </c>
      <c r="S647" s="7"/>
      <c r="T647" s="35">
        <f t="shared" si="34"/>
        <v>0</v>
      </c>
      <c r="U647" s="7"/>
    </row>
    <row r="648" spans="1:21" x14ac:dyDescent="0.25">
      <c r="A648" s="7" t="s">
        <v>1153</v>
      </c>
      <c r="B648" s="8">
        <v>44617.892696759256</v>
      </c>
      <c r="C648" s="8">
        <v>44626</v>
      </c>
      <c r="D648" s="9">
        <v>59978</v>
      </c>
      <c r="E648" s="7" t="e">
        <f>VLOOKUP(A648,DEVOLUCIONES!A$1:A$231,1,0)</f>
        <v>#N/A</v>
      </c>
      <c r="F648" s="7" t="e">
        <f>VLOOKUP(A648,'GLOSAS X CONCILIAR'!$A$1:$A$37,1,0)</f>
        <v>#N/A</v>
      </c>
      <c r="G648" s="7" t="str">
        <f>VLOOKUP(A648,'TODAS LAS P'!A:A,1,0)</f>
        <v>FEHF263520</v>
      </c>
      <c r="H648" s="7" t="e">
        <f>VLOOKUP(A648,PAGOS!A682:$A$1553,1,0)</f>
        <v>#N/A</v>
      </c>
      <c r="I648" s="40"/>
      <c r="J648" s="40"/>
      <c r="K648" s="40"/>
      <c r="L648" s="40"/>
      <c r="M648" s="40"/>
      <c r="N648" s="40"/>
      <c r="O648" s="40">
        <v>59978</v>
      </c>
      <c r="P648" s="40"/>
      <c r="Q648" s="7"/>
      <c r="R648" s="7" t="str">
        <f>VLOOKUP(A648,Hoja2!A$1:H$1143,8,0)</f>
        <v>2000826719</v>
      </c>
      <c r="S648" s="7"/>
      <c r="T648" s="35">
        <f t="shared" si="34"/>
        <v>0</v>
      </c>
      <c r="U648" s="7"/>
    </row>
    <row r="649" spans="1:21" x14ac:dyDescent="0.25">
      <c r="A649" s="7" t="s">
        <v>117</v>
      </c>
      <c r="B649" s="8">
        <v>44618.367974537039</v>
      </c>
      <c r="C649" s="8">
        <v>44627</v>
      </c>
      <c r="D649" s="9">
        <v>8375317</v>
      </c>
      <c r="E649" s="7" t="e">
        <f>VLOOKUP(A649,DEVOLUCIONES!A$1:A$231,1,0)</f>
        <v>#N/A</v>
      </c>
      <c r="F649" s="7" t="str">
        <f>VLOOKUP(A649,'GLOSAS X CONCILIAR'!$A$1:$A$37,1,0)</f>
        <v>FEHF263615</v>
      </c>
      <c r="G649" s="7" t="str">
        <f>VLOOKUP(A649,'TODAS LAS P'!A:A,1,0)</f>
        <v>FEHF263615</v>
      </c>
      <c r="H649" s="7" t="e">
        <f>VLOOKUP(A649,PAGOS!A683:$A$1553,1,0)</f>
        <v>#N/A</v>
      </c>
      <c r="I649" s="40"/>
      <c r="J649" s="40"/>
      <c r="K649" s="40"/>
      <c r="L649" s="40"/>
      <c r="M649" s="40"/>
      <c r="N649" s="40">
        <f>VLOOKUP(A649,'GLOSAS X CONCILIAR'!A$1:C$37,3,0)</f>
        <v>1494000</v>
      </c>
      <c r="O649" s="40">
        <v>6881317</v>
      </c>
      <c r="P649" s="40"/>
      <c r="Q649" s="7"/>
      <c r="R649" s="7" t="str">
        <f>VLOOKUP(A649,Hoja2!A$1:H$1143,8,0)</f>
        <v>2000827772</v>
      </c>
      <c r="S649" s="7"/>
      <c r="T649" s="35">
        <f t="shared" si="34"/>
        <v>0</v>
      </c>
      <c r="U649" s="7"/>
    </row>
    <row r="650" spans="1:21" x14ac:dyDescent="0.25">
      <c r="A650" s="7" t="s">
        <v>1130</v>
      </c>
      <c r="B650" s="8">
        <v>44618.453136574077</v>
      </c>
      <c r="C650" s="8">
        <v>44627</v>
      </c>
      <c r="D650" s="9">
        <v>59978</v>
      </c>
      <c r="E650" s="7" t="e">
        <f>VLOOKUP(A650,DEVOLUCIONES!A$1:A$231,1,0)</f>
        <v>#N/A</v>
      </c>
      <c r="F650" s="7" t="e">
        <f>VLOOKUP(A650,'GLOSAS X CONCILIAR'!$A$1:$A$37,1,0)</f>
        <v>#N/A</v>
      </c>
      <c r="G650" s="7" t="str">
        <f>VLOOKUP(A650,'TODAS LAS P'!A:A,1,0)</f>
        <v>FEHF263666</v>
      </c>
      <c r="H650" s="7" t="e">
        <f>VLOOKUP(A650,PAGOS!A684:$A$1553,1,0)</f>
        <v>#N/A</v>
      </c>
      <c r="I650" s="40"/>
      <c r="J650" s="40"/>
      <c r="K650" s="40"/>
      <c r="L650" s="40"/>
      <c r="M650" s="40"/>
      <c r="N650" s="40"/>
      <c r="O650" s="40">
        <v>59978</v>
      </c>
      <c r="P650" s="40"/>
      <c r="Q650" s="7"/>
      <c r="R650" s="7" t="str">
        <f>VLOOKUP(A650,Hoja2!A$1:H$1143,8,0)</f>
        <v>2000826719</v>
      </c>
      <c r="S650" s="7"/>
      <c r="T650" s="35">
        <f t="shared" si="34"/>
        <v>0</v>
      </c>
      <c r="U650" s="7"/>
    </row>
    <row r="651" spans="1:21" x14ac:dyDescent="0.25">
      <c r="A651" s="7" t="s">
        <v>1042</v>
      </c>
      <c r="B651" s="8">
        <v>44618.648773148147</v>
      </c>
      <c r="C651" s="8">
        <v>44626</v>
      </c>
      <c r="D651" s="9">
        <v>67735</v>
      </c>
      <c r="E651" s="7" t="e">
        <f>VLOOKUP(A651,DEVOLUCIONES!A$1:A$231,1,0)</f>
        <v>#N/A</v>
      </c>
      <c r="F651" s="7" t="e">
        <f>VLOOKUP(A651,'GLOSAS X CONCILIAR'!$A$1:$A$37,1,0)</f>
        <v>#N/A</v>
      </c>
      <c r="G651" s="7" t="str">
        <f>VLOOKUP(A651,'TODAS LAS P'!A:A,1,0)</f>
        <v>FEHF263761</v>
      </c>
      <c r="H651" s="7" t="e">
        <f>VLOOKUP(A651,PAGOS!A685:$A$1553,1,0)</f>
        <v>#N/A</v>
      </c>
      <c r="I651" s="40"/>
      <c r="J651" s="40"/>
      <c r="K651" s="40"/>
      <c r="L651" s="40"/>
      <c r="M651" s="40"/>
      <c r="N651" s="40"/>
      <c r="O651" s="40">
        <v>67735</v>
      </c>
      <c r="P651" s="40"/>
      <c r="Q651" s="7"/>
      <c r="R651" s="7" t="str">
        <f>VLOOKUP(A651,Hoja2!A$1:H$1143,8,0)</f>
        <v>2000826623</v>
      </c>
      <c r="S651" s="7"/>
      <c r="T651" s="35">
        <f t="shared" si="34"/>
        <v>0</v>
      </c>
      <c r="U651" s="7"/>
    </row>
    <row r="652" spans="1:21" x14ac:dyDescent="0.25">
      <c r="A652" s="7" t="s">
        <v>1115</v>
      </c>
      <c r="B652" s="8">
        <v>44618.744930555556</v>
      </c>
      <c r="C652" s="8">
        <v>44627</v>
      </c>
      <c r="D652" s="9">
        <v>59100</v>
      </c>
      <c r="E652" s="7" t="e">
        <f>VLOOKUP(A652,DEVOLUCIONES!A$1:A$231,1,0)</f>
        <v>#N/A</v>
      </c>
      <c r="F652" s="7" t="e">
        <f>VLOOKUP(A652,'GLOSAS X CONCILIAR'!$A$1:$A$37,1,0)</f>
        <v>#N/A</v>
      </c>
      <c r="G652" s="7" t="str">
        <f>VLOOKUP(A652,'TODAS LAS P'!A:A,1,0)</f>
        <v>FEHF263793</v>
      </c>
      <c r="H652" s="7" t="e">
        <f>VLOOKUP(A652,PAGOS!A686:$A$1553,1,0)</f>
        <v>#N/A</v>
      </c>
      <c r="I652" s="40"/>
      <c r="J652" s="40"/>
      <c r="K652" s="40"/>
      <c r="L652" s="40"/>
      <c r="M652" s="40"/>
      <c r="N652" s="40"/>
      <c r="O652" s="40">
        <v>59100</v>
      </c>
      <c r="P652" s="40"/>
      <c r="Q652" s="7"/>
      <c r="R652" s="7" t="str">
        <f>VLOOKUP(A652,Hoja2!A$1:H$1143,8,0)</f>
        <v>2000825297</v>
      </c>
      <c r="S652" s="7"/>
      <c r="T652" s="35">
        <f t="shared" si="34"/>
        <v>0</v>
      </c>
      <c r="U652" s="7"/>
    </row>
    <row r="653" spans="1:21" x14ac:dyDescent="0.25">
      <c r="A653" s="7" t="s">
        <v>1127</v>
      </c>
      <c r="B653" s="8">
        <v>44619.104363425926</v>
      </c>
      <c r="C653" s="8">
        <v>44627</v>
      </c>
      <c r="D653" s="9">
        <v>1000455</v>
      </c>
      <c r="E653" s="7" t="e">
        <f>VLOOKUP(A653,DEVOLUCIONES!A$1:A$231,1,0)</f>
        <v>#N/A</v>
      </c>
      <c r="F653" s="7" t="e">
        <f>VLOOKUP(A653,'GLOSAS X CONCILIAR'!$A$1:$A$37,1,0)</f>
        <v>#N/A</v>
      </c>
      <c r="G653" s="7" t="str">
        <f>VLOOKUP(A653,'TODAS LAS P'!A:A,1,0)</f>
        <v>FEHF263850</v>
      </c>
      <c r="H653" s="7" t="e">
        <f>VLOOKUP(A653,PAGOS!A687:$A$1553,1,0)</f>
        <v>#N/A</v>
      </c>
      <c r="I653" s="40"/>
      <c r="J653" s="40"/>
      <c r="K653" s="40"/>
      <c r="L653" s="40"/>
      <c r="M653" s="40"/>
      <c r="N653" s="40"/>
      <c r="O653" s="40">
        <v>1000455</v>
      </c>
      <c r="P653" s="40"/>
      <c r="Q653" s="7"/>
      <c r="R653" s="7" t="str">
        <f>VLOOKUP(A653,Hoja2!A$1:H$1143,8,0)</f>
        <v>2000826719</v>
      </c>
      <c r="S653" s="7"/>
      <c r="T653" s="35">
        <f t="shared" si="34"/>
        <v>0</v>
      </c>
      <c r="U653" s="7"/>
    </row>
    <row r="654" spans="1:21" x14ac:dyDescent="0.25">
      <c r="A654" s="7" t="s">
        <v>3094</v>
      </c>
      <c r="B654" s="8">
        <v>44619.77034722222</v>
      </c>
      <c r="C654" s="8">
        <v>44627</v>
      </c>
      <c r="D654" s="9">
        <v>59100</v>
      </c>
      <c r="E654" s="7" t="str">
        <f>VLOOKUP(A654,DEVOLUCIONES!A$1:A$231,1,0)</f>
        <v>FEHF264002</v>
      </c>
      <c r="F654" s="7" t="e">
        <f>VLOOKUP(A654,'GLOSAS X CONCILIAR'!$A$1:$A$37,1,0)</f>
        <v>#N/A</v>
      </c>
      <c r="G654" s="7" t="e">
        <f>VLOOKUP(A654,'TODAS LAS P'!A:A,1,0)</f>
        <v>#N/A</v>
      </c>
      <c r="H654" s="7" t="e">
        <f>VLOOKUP(A654,PAGOS!A688:$A$1553,1,0)</f>
        <v>#N/A</v>
      </c>
      <c r="I654" s="40"/>
      <c r="J654" s="40">
        <f>D654</f>
        <v>59100</v>
      </c>
      <c r="K654" s="40"/>
      <c r="L654" s="40"/>
      <c r="M654" s="40"/>
      <c r="N654" s="40"/>
      <c r="O654" s="40"/>
      <c r="P654" s="40"/>
      <c r="Q654" s="7" t="str">
        <f>VLOOKUP(A654,DEVOLUCIONES!A$1:B$231,2,0)</f>
        <v>DF-25765434103769</v>
      </c>
      <c r="R654" s="7"/>
      <c r="S654" s="7" t="str">
        <f>VLOOKUP(A654,DEVOLUCIONES!A$1:H$231,8,0)</f>
        <v>Se hace devolucion de factura se valida informacion anexada y no se evidencia autorizacion de urgencias sevalida en Dynamicos y el servicio no se encuentra autorizado por lo anterior no es posible continuar con proceso de auditoria       NOTA VERIFICAR Y RADICAR NUEVAMENTE</v>
      </c>
      <c r="T654" s="35">
        <f t="shared" si="34"/>
        <v>0</v>
      </c>
      <c r="U654" s="7"/>
    </row>
    <row r="655" spans="1:21" x14ac:dyDescent="0.25">
      <c r="A655" s="7" t="s">
        <v>1151</v>
      </c>
      <c r="B655" s="8">
        <v>44620.476620370369</v>
      </c>
      <c r="C655" s="8">
        <v>44626</v>
      </c>
      <c r="D655" s="9">
        <v>858211</v>
      </c>
      <c r="E655" s="7" t="e">
        <f>VLOOKUP(A655,DEVOLUCIONES!A$1:A$231,1,0)</f>
        <v>#N/A</v>
      </c>
      <c r="F655" s="7" t="e">
        <f>VLOOKUP(A655,'GLOSAS X CONCILIAR'!$A$1:$A$37,1,0)</f>
        <v>#N/A</v>
      </c>
      <c r="G655" s="7" t="str">
        <f>VLOOKUP(A655,'TODAS LAS P'!A:A,1,0)</f>
        <v>FEHF264406</v>
      </c>
      <c r="H655" s="7" t="e">
        <f>VLOOKUP(A655,PAGOS!A689:$A$1553,1,0)</f>
        <v>#N/A</v>
      </c>
      <c r="I655" s="40"/>
      <c r="J655" s="40"/>
      <c r="K655" s="40"/>
      <c r="L655" s="40"/>
      <c r="M655" s="40"/>
      <c r="N655" s="40"/>
      <c r="O655" s="40">
        <v>858211</v>
      </c>
      <c r="P655" s="40"/>
      <c r="Q655" s="7"/>
      <c r="R655" s="7" t="str">
        <f>VLOOKUP(A655,Hoja2!A$1:H$1143,8,0)</f>
        <v>2000826719</v>
      </c>
      <c r="S655" s="7"/>
      <c r="T655" s="35">
        <f t="shared" si="34"/>
        <v>0</v>
      </c>
      <c r="U655" s="7"/>
    </row>
    <row r="656" spans="1:21" x14ac:dyDescent="0.25">
      <c r="A656" s="7" t="s">
        <v>3095</v>
      </c>
      <c r="B656" s="8">
        <v>44620.490787037037</v>
      </c>
      <c r="C656" s="8">
        <v>44626</v>
      </c>
      <c r="D656" s="9">
        <v>51900</v>
      </c>
      <c r="E656" s="7" t="e">
        <f>VLOOKUP(A656,DEVOLUCIONES!A$1:A$231,1,0)</f>
        <v>#N/A</v>
      </c>
      <c r="F656" s="7" t="e">
        <f>VLOOKUP(A656,'GLOSAS X CONCILIAR'!$A$1:$A$37,1,0)</f>
        <v>#N/A</v>
      </c>
      <c r="G656" s="7" t="e">
        <f>VLOOKUP(A656,'TODAS LAS P'!A:A,1,0)</f>
        <v>#N/A</v>
      </c>
      <c r="H656" s="7" t="e">
        <f>VLOOKUP(A656,PAGOS!A690:$A$1553,1,0)</f>
        <v>#N/A</v>
      </c>
      <c r="I656" s="40"/>
      <c r="J656" s="40"/>
      <c r="K656" s="40"/>
      <c r="L656" s="40">
        <f>D656</f>
        <v>51900</v>
      </c>
      <c r="M656" s="40"/>
      <c r="N656" s="40"/>
      <c r="O656" s="40"/>
      <c r="P656" s="40"/>
      <c r="Q656" s="7"/>
      <c r="R656" s="7"/>
      <c r="S656" s="7"/>
      <c r="T656" s="35">
        <f t="shared" si="34"/>
        <v>0</v>
      </c>
      <c r="U656" s="7"/>
    </row>
    <row r="657" spans="1:21" x14ac:dyDescent="0.25">
      <c r="A657" s="7" t="s">
        <v>1163</v>
      </c>
      <c r="B657" s="8">
        <v>44620.651863425926</v>
      </c>
      <c r="C657" s="8">
        <v>44626</v>
      </c>
      <c r="D657" s="9">
        <v>32300</v>
      </c>
      <c r="E657" s="7" t="e">
        <f>VLOOKUP(A657,DEVOLUCIONES!A$1:A$231,1,0)</f>
        <v>#N/A</v>
      </c>
      <c r="F657" s="7" t="e">
        <f>VLOOKUP(A657,'GLOSAS X CONCILIAR'!$A$1:$A$37,1,0)</f>
        <v>#N/A</v>
      </c>
      <c r="G657" s="7" t="str">
        <f>VLOOKUP(A657,'TODAS LAS P'!A:A,1,0)</f>
        <v>FEHF264602</v>
      </c>
      <c r="H657" s="7" t="e">
        <f>VLOOKUP(A657,PAGOS!A691:$A$1553,1,0)</f>
        <v>#N/A</v>
      </c>
      <c r="I657" s="40"/>
      <c r="J657" s="40"/>
      <c r="K657" s="40"/>
      <c r="L657" s="40"/>
      <c r="M657" s="40"/>
      <c r="N657" s="40"/>
      <c r="O657" s="40">
        <v>32300</v>
      </c>
      <c r="P657" s="40"/>
      <c r="Q657" s="7"/>
      <c r="R657" s="7" t="str">
        <f>VLOOKUP(A657,Hoja2!A$1:H$1143,8,0)</f>
        <v>2000826719</v>
      </c>
      <c r="S657" s="7"/>
      <c r="T657" s="35">
        <f t="shared" si="34"/>
        <v>0</v>
      </c>
      <c r="U657" s="7"/>
    </row>
    <row r="658" spans="1:21" x14ac:dyDescent="0.25">
      <c r="A658" s="7" t="s">
        <v>1161</v>
      </c>
      <c r="B658" s="8">
        <v>44620.654363425929</v>
      </c>
      <c r="C658" s="8">
        <v>44626</v>
      </c>
      <c r="D658" s="9">
        <v>32300</v>
      </c>
      <c r="E658" s="7" t="e">
        <f>VLOOKUP(A658,DEVOLUCIONES!A$1:A$231,1,0)</f>
        <v>#N/A</v>
      </c>
      <c r="F658" s="7" t="e">
        <f>VLOOKUP(A658,'GLOSAS X CONCILIAR'!$A$1:$A$37,1,0)</f>
        <v>#N/A</v>
      </c>
      <c r="G658" s="7" t="str">
        <f>VLOOKUP(A658,'TODAS LAS P'!A:A,1,0)</f>
        <v>FEHF264604</v>
      </c>
      <c r="H658" s="7" t="e">
        <f>VLOOKUP(A658,PAGOS!A692:$A$1553,1,0)</f>
        <v>#N/A</v>
      </c>
      <c r="I658" s="40"/>
      <c r="J658" s="40"/>
      <c r="K658" s="40"/>
      <c r="L658" s="40"/>
      <c r="M658" s="40"/>
      <c r="N658" s="40"/>
      <c r="O658" s="40">
        <v>32300</v>
      </c>
      <c r="P658" s="40"/>
      <c r="Q658" s="7"/>
      <c r="R658" s="7" t="str">
        <f>VLOOKUP(A658,Hoja2!A$1:H$1143,8,0)</f>
        <v>2000826719</v>
      </c>
      <c r="S658" s="7"/>
      <c r="T658" s="35">
        <f t="shared" si="34"/>
        <v>0</v>
      </c>
      <c r="U658" s="7"/>
    </row>
    <row r="659" spans="1:21" x14ac:dyDescent="0.25">
      <c r="A659" s="7" t="s">
        <v>1070</v>
      </c>
      <c r="B659" s="8">
        <v>44620.872777777775</v>
      </c>
      <c r="C659" s="8">
        <v>44626</v>
      </c>
      <c r="D659" s="9">
        <v>140807</v>
      </c>
      <c r="E659" s="7" t="e">
        <f>VLOOKUP(A659,DEVOLUCIONES!A$1:A$231,1,0)</f>
        <v>#N/A</v>
      </c>
      <c r="F659" s="7" t="e">
        <f>VLOOKUP(A659,'GLOSAS X CONCILIAR'!$A$1:$A$37,1,0)</f>
        <v>#N/A</v>
      </c>
      <c r="G659" s="7" t="str">
        <f>VLOOKUP(A659,'TODAS LAS P'!A:A,1,0)</f>
        <v>FEHF264748</v>
      </c>
      <c r="H659" s="7" t="e">
        <f>VLOOKUP(A659,PAGOS!A693:$A$1553,1,0)</f>
        <v>#N/A</v>
      </c>
      <c r="I659" s="40"/>
      <c r="J659" s="40"/>
      <c r="K659" s="40"/>
      <c r="L659" s="40"/>
      <c r="M659" s="40"/>
      <c r="N659" s="40"/>
      <c r="O659" s="40">
        <v>140807</v>
      </c>
      <c r="P659" s="40"/>
      <c r="Q659" s="7"/>
      <c r="R659" s="7" t="str">
        <f>VLOOKUP(A659,Hoja2!A$1:H$1143,8,0)</f>
        <v>2000826616</v>
      </c>
      <c r="S659" s="7"/>
      <c r="T659" s="35">
        <f t="shared" si="34"/>
        <v>0</v>
      </c>
      <c r="U659" s="7"/>
    </row>
    <row r="660" spans="1:21" x14ac:dyDescent="0.25">
      <c r="A660" s="7" t="s">
        <v>1123</v>
      </c>
      <c r="B660" s="8">
        <v>44620.996365740742</v>
      </c>
      <c r="C660" s="8">
        <v>44627</v>
      </c>
      <c r="D660" s="9">
        <v>113724</v>
      </c>
      <c r="E660" s="7" t="e">
        <f>VLOOKUP(A660,DEVOLUCIONES!A$1:A$231,1,0)</f>
        <v>#N/A</v>
      </c>
      <c r="F660" s="7" t="e">
        <f>VLOOKUP(A660,'GLOSAS X CONCILIAR'!$A$1:$A$37,1,0)</f>
        <v>#N/A</v>
      </c>
      <c r="G660" s="7" t="str">
        <f>VLOOKUP(A660,'TODAS LAS P'!A:A,1,0)</f>
        <v>FEHF264765</v>
      </c>
      <c r="H660" s="7" t="e">
        <f>VLOOKUP(A660,PAGOS!A694:$A$1553,1,0)</f>
        <v>#N/A</v>
      </c>
      <c r="I660" s="40"/>
      <c r="J660" s="40"/>
      <c r="K660" s="40"/>
      <c r="L660" s="40"/>
      <c r="M660" s="40"/>
      <c r="N660" s="40"/>
      <c r="O660" s="40">
        <v>113724</v>
      </c>
      <c r="P660" s="40"/>
      <c r="Q660" s="7"/>
      <c r="R660" s="7" t="str">
        <f>VLOOKUP(A660,Hoja2!A$1:H$1143,8,0)</f>
        <v>2000826719</v>
      </c>
      <c r="S660" s="7"/>
      <c r="T660" s="35">
        <f t="shared" si="34"/>
        <v>0</v>
      </c>
      <c r="U660" s="7"/>
    </row>
    <row r="661" spans="1:21" x14ac:dyDescent="0.25">
      <c r="A661" s="7" t="s">
        <v>114</v>
      </c>
      <c r="B661" s="8">
        <v>44621.293032407404</v>
      </c>
      <c r="C661" s="8">
        <v>44627</v>
      </c>
      <c r="D661" s="9">
        <v>7939242</v>
      </c>
      <c r="E661" s="7" t="e">
        <f>VLOOKUP(A661,DEVOLUCIONES!A$1:A$231,1,0)</f>
        <v>#N/A</v>
      </c>
      <c r="F661" s="7" t="str">
        <f>VLOOKUP(A661,'GLOSAS X CONCILIAR'!$A$1:$A$37,1,0)</f>
        <v>FEHF264830</v>
      </c>
      <c r="G661" s="7" t="str">
        <f>VLOOKUP(A661,'TODAS LAS P'!A:A,1,0)</f>
        <v>FEHF264830</v>
      </c>
      <c r="H661" s="7" t="e">
        <f>VLOOKUP(A661,PAGOS!A695:$A$1553,1,0)</f>
        <v>#N/A</v>
      </c>
      <c r="I661" s="40"/>
      <c r="J661" s="40"/>
      <c r="K661" s="40"/>
      <c r="L661" s="40"/>
      <c r="M661" s="40"/>
      <c r="N661" s="40">
        <f>VLOOKUP(A661,'GLOSAS X CONCILIAR'!A$1:C$37,3,0)</f>
        <v>962439</v>
      </c>
      <c r="O661" s="40">
        <v>6976803</v>
      </c>
      <c r="P661" s="40"/>
      <c r="Q661" s="7"/>
      <c r="R661" s="7" t="str">
        <f>VLOOKUP(A661,Hoja2!A$1:H$1143,8,0)</f>
        <v>2000826655</v>
      </c>
      <c r="S661" s="7"/>
      <c r="T661" s="35">
        <f t="shared" si="34"/>
        <v>0</v>
      </c>
      <c r="U661" s="7"/>
    </row>
    <row r="662" spans="1:21" x14ac:dyDescent="0.25">
      <c r="A662" s="7" t="s">
        <v>3096</v>
      </c>
      <c r="B662" s="8">
        <v>44621.320856481485</v>
      </c>
      <c r="C662" s="8">
        <v>44660</v>
      </c>
      <c r="D662" s="9">
        <v>48600</v>
      </c>
      <c r="E662" s="7" t="e">
        <f>VLOOKUP(A662,DEVOLUCIONES!A$1:A$231,1,0)</f>
        <v>#N/A</v>
      </c>
      <c r="F662" s="7" t="e">
        <f>VLOOKUP(A662,'GLOSAS X CONCILIAR'!$A$1:$A$37,1,0)</f>
        <v>#N/A</v>
      </c>
      <c r="G662" s="7" t="e">
        <f>VLOOKUP(A662,'TODAS LAS P'!A:A,1,0)</f>
        <v>#N/A</v>
      </c>
      <c r="H662" s="7" t="e">
        <f>VLOOKUP(A662,PAGOS!A696:$A$1553,1,0)</f>
        <v>#N/A</v>
      </c>
      <c r="I662" s="40"/>
      <c r="J662" s="40"/>
      <c r="K662" s="40"/>
      <c r="L662" s="40">
        <f t="shared" ref="L662:L665" si="36">D662</f>
        <v>48600</v>
      </c>
      <c r="M662" s="40"/>
      <c r="N662" s="40"/>
      <c r="O662" s="40"/>
      <c r="P662" s="40"/>
      <c r="Q662" s="7"/>
      <c r="R662" s="7"/>
      <c r="S662" s="7"/>
      <c r="T662" s="35">
        <f t="shared" si="34"/>
        <v>0</v>
      </c>
      <c r="U662" s="7"/>
    </row>
    <row r="663" spans="1:21" x14ac:dyDescent="0.25">
      <c r="A663" s="7" t="s">
        <v>3097</v>
      </c>
      <c r="B663" s="8">
        <v>44621.351817129631</v>
      </c>
      <c r="C663" s="8">
        <v>44660</v>
      </c>
      <c r="D663" s="9">
        <v>44900</v>
      </c>
      <c r="E663" s="7" t="e">
        <f>VLOOKUP(A663,DEVOLUCIONES!A$1:A$231,1,0)</f>
        <v>#N/A</v>
      </c>
      <c r="F663" s="7" t="e">
        <f>VLOOKUP(A663,'GLOSAS X CONCILIAR'!$A$1:$A$37,1,0)</f>
        <v>#N/A</v>
      </c>
      <c r="G663" s="7" t="e">
        <f>VLOOKUP(A663,'TODAS LAS P'!A:A,1,0)</f>
        <v>#N/A</v>
      </c>
      <c r="H663" s="7" t="e">
        <f>VLOOKUP(A663,PAGOS!A697:$A$1553,1,0)</f>
        <v>#N/A</v>
      </c>
      <c r="I663" s="40"/>
      <c r="J663" s="40"/>
      <c r="K663" s="40"/>
      <c r="L663" s="40">
        <f t="shared" si="36"/>
        <v>44900</v>
      </c>
      <c r="M663" s="40"/>
      <c r="N663" s="40"/>
      <c r="O663" s="40"/>
      <c r="P663" s="40"/>
      <c r="Q663" s="7"/>
      <c r="R663" s="7"/>
      <c r="S663" s="7"/>
      <c r="T663" s="35">
        <f t="shared" si="34"/>
        <v>0</v>
      </c>
      <c r="U663" s="7"/>
    </row>
    <row r="664" spans="1:21" x14ac:dyDescent="0.25">
      <c r="A664" s="7" t="s">
        <v>3098</v>
      </c>
      <c r="B664" s="8">
        <v>44621.353055555555</v>
      </c>
      <c r="C664" s="8">
        <v>44660</v>
      </c>
      <c r="D664" s="9">
        <v>135100</v>
      </c>
      <c r="E664" s="7" t="e">
        <f>VLOOKUP(A664,DEVOLUCIONES!A$1:A$231,1,0)</f>
        <v>#N/A</v>
      </c>
      <c r="F664" s="7" t="e">
        <f>VLOOKUP(A664,'GLOSAS X CONCILIAR'!$A$1:$A$37,1,0)</f>
        <v>#N/A</v>
      </c>
      <c r="G664" s="7" t="e">
        <f>VLOOKUP(A664,'TODAS LAS P'!A:A,1,0)</f>
        <v>#N/A</v>
      </c>
      <c r="H664" s="7" t="e">
        <f>VLOOKUP(A664,PAGOS!A698:$A$1553,1,0)</f>
        <v>#N/A</v>
      </c>
      <c r="I664" s="40"/>
      <c r="J664" s="40"/>
      <c r="K664" s="40"/>
      <c r="L664" s="40">
        <f t="shared" si="36"/>
        <v>135100</v>
      </c>
      <c r="M664" s="40"/>
      <c r="N664" s="40"/>
      <c r="O664" s="40"/>
      <c r="P664" s="40"/>
      <c r="Q664" s="7"/>
      <c r="R664" s="7"/>
      <c r="S664" s="7"/>
      <c r="T664" s="35">
        <f t="shared" si="34"/>
        <v>0</v>
      </c>
      <c r="U664" s="7"/>
    </row>
    <row r="665" spans="1:21" x14ac:dyDescent="0.25">
      <c r="A665" s="7" t="s">
        <v>3099</v>
      </c>
      <c r="B665" s="8">
        <v>44621.383356481485</v>
      </c>
      <c r="C665" s="8">
        <v>44660</v>
      </c>
      <c r="D665" s="9">
        <v>75100</v>
      </c>
      <c r="E665" s="7" t="e">
        <f>VLOOKUP(A665,DEVOLUCIONES!A$1:A$231,1,0)</f>
        <v>#N/A</v>
      </c>
      <c r="F665" s="7" t="e">
        <f>VLOOKUP(A665,'GLOSAS X CONCILIAR'!$A$1:$A$37,1,0)</f>
        <v>#N/A</v>
      </c>
      <c r="G665" s="7" t="e">
        <f>VLOOKUP(A665,'TODAS LAS P'!A:A,1,0)</f>
        <v>#N/A</v>
      </c>
      <c r="H665" s="7" t="e">
        <f>VLOOKUP(A665,PAGOS!A699:$A$1553,1,0)</f>
        <v>#N/A</v>
      </c>
      <c r="I665" s="40"/>
      <c r="J665" s="40"/>
      <c r="K665" s="40"/>
      <c r="L665" s="40">
        <f t="shared" si="36"/>
        <v>75100</v>
      </c>
      <c r="M665" s="40"/>
      <c r="N665" s="40"/>
      <c r="O665" s="40"/>
      <c r="P665" s="40"/>
      <c r="Q665" s="7"/>
      <c r="R665" s="7"/>
      <c r="S665" s="7"/>
      <c r="T665" s="35">
        <f t="shared" si="34"/>
        <v>0</v>
      </c>
      <c r="U665" s="7"/>
    </row>
    <row r="666" spans="1:21" x14ac:dyDescent="0.25">
      <c r="A666" s="7" t="s">
        <v>1214</v>
      </c>
      <c r="B666" s="8">
        <v>44621.405590277776</v>
      </c>
      <c r="C666" s="8">
        <v>44627</v>
      </c>
      <c r="D666" s="9">
        <v>2393851</v>
      </c>
      <c r="E666" s="7" t="e">
        <f>VLOOKUP(A666,DEVOLUCIONES!A$1:A$231,1,0)</f>
        <v>#N/A</v>
      </c>
      <c r="F666" s="7" t="e">
        <f>VLOOKUP(A666,'GLOSAS X CONCILIAR'!$A$1:$A$37,1,0)</f>
        <v>#N/A</v>
      </c>
      <c r="G666" s="7" t="str">
        <f>VLOOKUP(A666,'TODAS LAS P'!A:A,1,0)</f>
        <v>FEHF265083</v>
      </c>
      <c r="H666" s="7" t="e">
        <f>VLOOKUP(A666,PAGOS!A700:$A$1553,1,0)</f>
        <v>#N/A</v>
      </c>
      <c r="I666" s="40"/>
      <c r="J666" s="40"/>
      <c r="K666" s="40"/>
      <c r="L666" s="40"/>
      <c r="M666" s="40"/>
      <c r="N666" s="40"/>
      <c r="O666" s="40">
        <v>2393851</v>
      </c>
      <c r="P666" s="40"/>
      <c r="Q666" s="7"/>
      <c r="R666" s="7" t="str">
        <f>VLOOKUP(A666,Hoja2!A$1:H$1143,8,0)</f>
        <v>2000826719</v>
      </c>
      <c r="S666" s="7"/>
      <c r="T666" s="35">
        <f t="shared" si="34"/>
        <v>0</v>
      </c>
      <c r="U666" s="7"/>
    </row>
    <row r="667" spans="1:21" x14ac:dyDescent="0.25">
      <c r="A667" s="7" t="s">
        <v>3100</v>
      </c>
      <c r="B667" s="8">
        <v>44621.472500000003</v>
      </c>
      <c r="C667" s="8">
        <v>44660</v>
      </c>
      <c r="D667" s="9">
        <v>60961</v>
      </c>
      <c r="E667" s="7" t="e">
        <f>VLOOKUP(A667,DEVOLUCIONES!A$1:A$231,1,0)</f>
        <v>#N/A</v>
      </c>
      <c r="F667" s="7" t="e">
        <f>VLOOKUP(A667,'GLOSAS X CONCILIAR'!$A$1:$A$37,1,0)</f>
        <v>#N/A</v>
      </c>
      <c r="G667" s="7" t="e">
        <f>VLOOKUP(A667,'TODAS LAS P'!A:A,1,0)</f>
        <v>#N/A</v>
      </c>
      <c r="H667" s="7" t="e">
        <f>VLOOKUP(A667,PAGOS!A701:$A$1553,1,0)</f>
        <v>#N/A</v>
      </c>
      <c r="I667" s="40"/>
      <c r="J667" s="40"/>
      <c r="K667" s="40"/>
      <c r="L667" s="40">
        <f>D667</f>
        <v>60961</v>
      </c>
      <c r="M667" s="40"/>
      <c r="N667" s="40"/>
      <c r="O667" s="40"/>
      <c r="P667" s="40"/>
      <c r="Q667" s="7"/>
      <c r="R667" s="7"/>
      <c r="S667" s="7"/>
      <c r="T667" s="35">
        <f t="shared" si="34"/>
        <v>0</v>
      </c>
      <c r="U667" s="7"/>
    </row>
    <row r="668" spans="1:21" x14ac:dyDescent="0.25">
      <c r="A668" s="7" t="s">
        <v>1206</v>
      </c>
      <c r="B668" s="8">
        <v>44623.76121527778</v>
      </c>
      <c r="C668" s="8">
        <v>44627</v>
      </c>
      <c r="D668" s="9">
        <v>537056</v>
      </c>
      <c r="E668" s="7" t="e">
        <f>VLOOKUP(A668,DEVOLUCIONES!A$1:A$231,1,0)</f>
        <v>#N/A</v>
      </c>
      <c r="F668" s="7" t="e">
        <f>VLOOKUP(A668,'GLOSAS X CONCILIAR'!$A$1:$A$37,1,0)</f>
        <v>#N/A</v>
      </c>
      <c r="G668" s="7" t="str">
        <f>VLOOKUP(A668,'TODAS LAS P'!A:A,1,0)</f>
        <v>FEHF266693</v>
      </c>
      <c r="H668" s="7" t="e">
        <f>VLOOKUP(A668,PAGOS!A702:$A$1553,1,0)</f>
        <v>#N/A</v>
      </c>
      <c r="I668" s="40"/>
      <c r="J668" s="40"/>
      <c r="K668" s="40"/>
      <c r="L668" s="40"/>
      <c r="M668" s="40"/>
      <c r="N668" s="40"/>
      <c r="O668" s="40">
        <v>537056</v>
      </c>
      <c r="P668" s="40"/>
      <c r="Q668" s="7"/>
      <c r="R668" s="7" t="str">
        <f>VLOOKUP(A668,Hoja2!A$1:H$1143,8,0)</f>
        <v>2000826719</v>
      </c>
      <c r="S668" s="7"/>
      <c r="T668" s="35">
        <f t="shared" si="34"/>
        <v>0</v>
      </c>
      <c r="U668" s="7"/>
    </row>
    <row r="669" spans="1:21" x14ac:dyDescent="0.25">
      <c r="A669" s="7" t="s">
        <v>3101</v>
      </c>
      <c r="B669" s="8">
        <v>44624.298437500001</v>
      </c>
      <c r="C669" s="8">
        <v>44660</v>
      </c>
      <c r="D669" s="9">
        <v>94400</v>
      </c>
      <c r="E669" s="7" t="e">
        <f>VLOOKUP(A669,DEVOLUCIONES!A$1:A$231,1,0)</f>
        <v>#N/A</v>
      </c>
      <c r="F669" s="7" t="e">
        <f>VLOOKUP(A669,'GLOSAS X CONCILIAR'!$A$1:$A$37,1,0)</f>
        <v>#N/A</v>
      </c>
      <c r="G669" s="7" t="e">
        <f>VLOOKUP(A669,'TODAS LAS P'!A:A,1,0)</f>
        <v>#N/A</v>
      </c>
      <c r="H669" s="7" t="e">
        <f>VLOOKUP(A669,PAGOS!A703:$A$1553,1,0)</f>
        <v>#N/A</v>
      </c>
      <c r="I669" s="40"/>
      <c r="J669" s="40"/>
      <c r="K669" s="40"/>
      <c r="L669" s="40">
        <f t="shared" ref="L669:L732" si="37">D669</f>
        <v>94400</v>
      </c>
      <c r="M669" s="40"/>
      <c r="N669" s="40"/>
      <c r="O669" s="40"/>
      <c r="P669" s="40"/>
      <c r="Q669" s="7"/>
      <c r="R669" s="7"/>
      <c r="S669" s="7"/>
      <c r="T669" s="35">
        <f t="shared" si="34"/>
        <v>0</v>
      </c>
      <c r="U669" s="7"/>
    </row>
    <row r="670" spans="1:21" x14ac:dyDescent="0.25">
      <c r="A670" s="7" t="s">
        <v>3102</v>
      </c>
      <c r="B670" s="8">
        <v>44624.421319444446</v>
      </c>
      <c r="C670" s="8">
        <v>44660</v>
      </c>
      <c r="D670" s="9">
        <v>49200</v>
      </c>
      <c r="E670" s="7" t="e">
        <f>VLOOKUP(A670,DEVOLUCIONES!A$1:A$231,1,0)</f>
        <v>#N/A</v>
      </c>
      <c r="F670" s="7" t="e">
        <f>VLOOKUP(A670,'GLOSAS X CONCILIAR'!$A$1:$A$37,1,0)</f>
        <v>#N/A</v>
      </c>
      <c r="G670" s="7" t="e">
        <f>VLOOKUP(A670,'TODAS LAS P'!A:A,1,0)</f>
        <v>#N/A</v>
      </c>
      <c r="H670" s="7" t="e">
        <f>VLOOKUP(A670,PAGOS!A704:$A$1553,1,0)</f>
        <v>#N/A</v>
      </c>
      <c r="I670" s="40"/>
      <c r="J670" s="40"/>
      <c r="K670" s="40"/>
      <c r="L670" s="40">
        <f t="shared" si="37"/>
        <v>49200</v>
      </c>
      <c r="M670" s="40"/>
      <c r="N670" s="40"/>
      <c r="O670" s="40"/>
      <c r="P670" s="40"/>
      <c r="Q670" s="7"/>
      <c r="R670" s="7"/>
      <c r="S670" s="7"/>
      <c r="T670" s="35">
        <f t="shared" si="34"/>
        <v>0</v>
      </c>
      <c r="U670" s="7"/>
    </row>
    <row r="671" spans="1:21" x14ac:dyDescent="0.25">
      <c r="A671" s="7" t="s">
        <v>3103</v>
      </c>
      <c r="B671" s="8">
        <v>44625.173506944448</v>
      </c>
      <c r="C671" s="8">
        <v>44660</v>
      </c>
      <c r="D671" s="9">
        <v>59978</v>
      </c>
      <c r="E671" s="7" t="e">
        <f>VLOOKUP(A671,DEVOLUCIONES!A$1:A$231,1,0)</f>
        <v>#N/A</v>
      </c>
      <c r="F671" s="7" t="e">
        <f>VLOOKUP(A671,'GLOSAS X CONCILIAR'!$A$1:$A$37,1,0)</f>
        <v>#N/A</v>
      </c>
      <c r="G671" s="7" t="e">
        <f>VLOOKUP(A671,'TODAS LAS P'!A:A,1,0)</f>
        <v>#N/A</v>
      </c>
      <c r="H671" s="7" t="e">
        <f>VLOOKUP(A671,PAGOS!A705:$A$1553,1,0)</f>
        <v>#N/A</v>
      </c>
      <c r="I671" s="40"/>
      <c r="J671" s="40"/>
      <c r="K671" s="40"/>
      <c r="L671" s="40">
        <f t="shared" si="37"/>
        <v>59978</v>
      </c>
      <c r="M671" s="40"/>
      <c r="N671" s="40"/>
      <c r="O671" s="40"/>
      <c r="P671" s="40"/>
      <c r="Q671" s="7"/>
      <c r="R671" s="7"/>
      <c r="S671" s="7"/>
      <c r="T671" s="35">
        <f t="shared" si="34"/>
        <v>0</v>
      </c>
      <c r="U671" s="7"/>
    </row>
    <row r="672" spans="1:21" x14ac:dyDescent="0.25">
      <c r="A672" s="7" t="s">
        <v>3104</v>
      </c>
      <c r="B672" s="8">
        <v>44627.299259259256</v>
      </c>
      <c r="C672" s="8">
        <v>44660</v>
      </c>
      <c r="D672" s="9">
        <v>51900</v>
      </c>
      <c r="E672" s="7" t="e">
        <f>VLOOKUP(A672,DEVOLUCIONES!A$1:A$231,1,0)</f>
        <v>#N/A</v>
      </c>
      <c r="F672" s="7" t="e">
        <f>VLOOKUP(A672,'GLOSAS X CONCILIAR'!$A$1:$A$37,1,0)</f>
        <v>#N/A</v>
      </c>
      <c r="G672" s="7" t="e">
        <f>VLOOKUP(A672,'TODAS LAS P'!A:A,1,0)</f>
        <v>#N/A</v>
      </c>
      <c r="H672" s="7" t="e">
        <f>VLOOKUP(A672,PAGOS!A706:$A$1553,1,0)</f>
        <v>#N/A</v>
      </c>
      <c r="I672" s="40"/>
      <c r="J672" s="40"/>
      <c r="K672" s="40"/>
      <c r="L672" s="40">
        <f t="shared" si="37"/>
        <v>51900</v>
      </c>
      <c r="M672" s="40"/>
      <c r="N672" s="40"/>
      <c r="O672" s="40"/>
      <c r="P672" s="40"/>
      <c r="Q672" s="7"/>
      <c r="R672" s="7"/>
      <c r="S672" s="7"/>
      <c r="T672" s="35">
        <f t="shared" si="34"/>
        <v>0</v>
      </c>
      <c r="U672" s="7"/>
    </row>
    <row r="673" spans="1:21" x14ac:dyDescent="0.25">
      <c r="A673" s="7" t="s">
        <v>3105</v>
      </c>
      <c r="B673" s="8">
        <v>44627.307546296295</v>
      </c>
      <c r="C673" s="8">
        <v>44660</v>
      </c>
      <c r="D673" s="9">
        <v>23000</v>
      </c>
      <c r="E673" s="7" t="e">
        <f>VLOOKUP(A673,DEVOLUCIONES!A$1:A$231,1,0)</f>
        <v>#N/A</v>
      </c>
      <c r="F673" s="7" t="e">
        <f>VLOOKUP(A673,'GLOSAS X CONCILIAR'!$A$1:$A$37,1,0)</f>
        <v>#N/A</v>
      </c>
      <c r="G673" s="7" t="e">
        <f>VLOOKUP(A673,'TODAS LAS P'!A:A,1,0)</f>
        <v>#N/A</v>
      </c>
      <c r="H673" s="7" t="e">
        <f>VLOOKUP(A673,PAGOS!A707:$A$1553,1,0)</f>
        <v>#N/A</v>
      </c>
      <c r="I673" s="40"/>
      <c r="J673" s="40"/>
      <c r="K673" s="40"/>
      <c r="L673" s="40">
        <f t="shared" si="37"/>
        <v>23000</v>
      </c>
      <c r="M673" s="40"/>
      <c r="N673" s="40"/>
      <c r="O673" s="40"/>
      <c r="P673" s="40"/>
      <c r="Q673" s="7"/>
      <c r="R673" s="7"/>
      <c r="S673" s="7"/>
      <c r="T673" s="35">
        <f t="shared" si="34"/>
        <v>0</v>
      </c>
      <c r="U673" s="7"/>
    </row>
    <row r="674" spans="1:21" x14ac:dyDescent="0.25">
      <c r="A674" s="7" t="s">
        <v>3106</v>
      </c>
      <c r="B674" s="8">
        <v>44627.554606481484</v>
      </c>
      <c r="C674" s="8">
        <v>44660</v>
      </c>
      <c r="D674" s="9">
        <v>36000</v>
      </c>
      <c r="E674" s="7" t="e">
        <f>VLOOKUP(A674,DEVOLUCIONES!A$1:A$231,1,0)</f>
        <v>#N/A</v>
      </c>
      <c r="F674" s="7" t="e">
        <f>VLOOKUP(A674,'GLOSAS X CONCILIAR'!$A$1:$A$37,1,0)</f>
        <v>#N/A</v>
      </c>
      <c r="G674" s="7" t="e">
        <f>VLOOKUP(A674,'TODAS LAS P'!A:A,1,0)</f>
        <v>#N/A</v>
      </c>
      <c r="H674" s="7" t="e">
        <f>VLOOKUP(A674,PAGOS!A708:$A$1553,1,0)</f>
        <v>#N/A</v>
      </c>
      <c r="I674" s="40"/>
      <c r="J674" s="40"/>
      <c r="K674" s="40"/>
      <c r="L674" s="40">
        <f t="shared" si="37"/>
        <v>36000</v>
      </c>
      <c r="M674" s="40"/>
      <c r="N674" s="40"/>
      <c r="O674" s="40"/>
      <c r="P674" s="40"/>
      <c r="Q674" s="7"/>
      <c r="R674" s="7"/>
      <c r="S674" s="7"/>
      <c r="T674" s="35">
        <f t="shared" si="34"/>
        <v>0</v>
      </c>
      <c r="U674" s="7"/>
    </row>
    <row r="675" spans="1:21" x14ac:dyDescent="0.25">
      <c r="A675" s="7" t="s">
        <v>3107</v>
      </c>
      <c r="B675" s="8">
        <v>44627.557453703703</v>
      </c>
      <c r="C675" s="8">
        <v>44660</v>
      </c>
      <c r="D675" s="9">
        <v>36000</v>
      </c>
      <c r="E675" s="7" t="e">
        <f>VLOOKUP(A675,DEVOLUCIONES!A$1:A$231,1,0)</f>
        <v>#N/A</v>
      </c>
      <c r="F675" s="7" t="e">
        <f>VLOOKUP(A675,'GLOSAS X CONCILIAR'!$A$1:$A$37,1,0)</f>
        <v>#N/A</v>
      </c>
      <c r="G675" s="7" t="e">
        <f>VLOOKUP(A675,'TODAS LAS P'!A:A,1,0)</f>
        <v>#N/A</v>
      </c>
      <c r="H675" s="7" t="e">
        <f>VLOOKUP(A675,PAGOS!A709:$A$1553,1,0)</f>
        <v>#N/A</v>
      </c>
      <c r="I675" s="40"/>
      <c r="J675" s="40"/>
      <c r="K675" s="40"/>
      <c r="L675" s="40">
        <f t="shared" si="37"/>
        <v>36000</v>
      </c>
      <c r="M675" s="40"/>
      <c r="N675" s="40"/>
      <c r="O675" s="40"/>
      <c r="P675" s="40"/>
      <c r="Q675" s="7"/>
      <c r="R675" s="7"/>
      <c r="S675" s="7"/>
      <c r="T675" s="35">
        <f t="shared" si="34"/>
        <v>0</v>
      </c>
      <c r="U675" s="7"/>
    </row>
    <row r="676" spans="1:21" x14ac:dyDescent="0.25">
      <c r="A676" s="7" t="s">
        <v>3108</v>
      </c>
      <c r="B676" s="8">
        <v>44628.330787037034</v>
      </c>
      <c r="C676" s="8">
        <v>44660</v>
      </c>
      <c r="D676" s="9">
        <v>32300</v>
      </c>
      <c r="E676" s="7" t="e">
        <f>VLOOKUP(A676,DEVOLUCIONES!A$1:A$231,1,0)</f>
        <v>#N/A</v>
      </c>
      <c r="F676" s="7" t="e">
        <f>VLOOKUP(A676,'GLOSAS X CONCILIAR'!$A$1:$A$37,1,0)</f>
        <v>#N/A</v>
      </c>
      <c r="G676" s="7" t="e">
        <f>VLOOKUP(A676,'TODAS LAS P'!A:A,1,0)</f>
        <v>#N/A</v>
      </c>
      <c r="H676" s="7" t="e">
        <f>VLOOKUP(A676,PAGOS!A710:$A$1553,1,0)</f>
        <v>#N/A</v>
      </c>
      <c r="I676" s="40"/>
      <c r="J676" s="40"/>
      <c r="K676" s="40"/>
      <c r="L676" s="40">
        <f t="shared" si="37"/>
        <v>32300</v>
      </c>
      <c r="M676" s="40"/>
      <c r="N676" s="40"/>
      <c r="O676" s="40"/>
      <c r="P676" s="40"/>
      <c r="Q676" s="7"/>
      <c r="R676" s="7"/>
      <c r="S676" s="7"/>
      <c r="T676" s="35">
        <f t="shared" si="34"/>
        <v>0</v>
      </c>
      <c r="U676" s="7"/>
    </row>
    <row r="677" spans="1:21" x14ac:dyDescent="0.25">
      <c r="A677" s="7" t="s">
        <v>3109</v>
      </c>
      <c r="B677" s="8">
        <v>44628.639548611114</v>
      </c>
      <c r="C677" s="8">
        <v>44660</v>
      </c>
      <c r="D677" s="9">
        <v>51900</v>
      </c>
      <c r="E677" s="7" t="e">
        <f>VLOOKUP(A677,DEVOLUCIONES!A$1:A$231,1,0)</f>
        <v>#N/A</v>
      </c>
      <c r="F677" s="7" t="e">
        <f>VLOOKUP(A677,'GLOSAS X CONCILIAR'!$A$1:$A$37,1,0)</f>
        <v>#N/A</v>
      </c>
      <c r="G677" s="7" t="e">
        <f>VLOOKUP(A677,'TODAS LAS P'!A:A,1,0)</f>
        <v>#N/A</v>
      </c>
      <c r="H677" s="7" t="e">
        <f>VLOOKUP(A677,PAGOS!A711:$A$1553,1,0)</f>
        <v>#N/A</v>
      </c>
      <c r="I677" s="40"/>
      <c r="J677" s="40"/>
      <c r="K677" s="40"/>
      <c r="L677" s="40">
        <f t="shared" si="37"/>
        <v>51900</v>
      </c>
      <c r="M677" s="40"/>
      <c r="N677" s="40"/>
      <c r="O677" s="40"/>
      <c r="P677" s="40"/>
      <c r="Q677" s="7"/>
      <c r="R677" s="7"/>
      <c r="S677" s="7"/>
      <c r="T677" s="35">
        <f t="shared" si="34"/>
        <v>0</v>
      </c>
      <c r="U677" s="7"/>
    </row>
    <row r="678" spans="1:21" x14ac:dyDescent="0.25">
      <c r="A678" s="7" t="s">
        <v>3110</v>
      </c>
      <c r="B678" s="8">
        <v>44628.681550925925</v>
      </c>
      <c r="C678" s="8">
        <v>44660</v>
      </c>
      <c r="D678" s="9">
        <v>88107</v>
      </c>
      <c r="E678" s="7" t="e">
        <f>VLOOKUP(A678,DEVOLUCIONES!A$1:A$231,1,0)</f>
        <v>#N/A</v>
      </c>
      <c r="F678" s="7" t="e">
        <f>VLOOKUP(A678,'GLOSAS X CONCILIAR'!$A$1:$A$37,1,0)</f>
        <v>#N/A</v>
      </c>
      <c r="G678" s="7" t="e">
        <f>VLOOKUP(A678,'TODAS LAS P'!A:A,1,0)</f>
        <v>#N/A</v>
      </c>
      <c r="H678" s="7" t="e">
        <f>VLOOKUP(A678,PAGOS!A712:$A$1553,1,0)</f>
        <v>#N/A</v>
      </c>
      <c r="I678" s="40"/>
      <c r="J678" s="40"/>
      <c r="K678" s="40"/>
      <c r="L678" s="40">
        <f t="shared" si="37"/>
        <v>88107</v>
      </c>
      <c r="M678" s="40"/>
      <c r="N678" s="40"/>
      <c r="O678" s="40"/>
      <c r="P678" s="40"/>
      <c r="Q678" s="7"/>
      <c r="R678" s="7"/>
      <c r="S678" s="7"/>
      <c r="T678" s="35">
        <f t="shared" si="34"/>
        <v>0</v>
      </c>
      <c r="U678" s="7"/>
    </row>
    <row r="679" spans="1:21" x14ac:dyDescent="0.25">
      <c r="A679" s="7" t="s">
        <v>3111</v>
      </c>
      <c r="B679" s="8">
        <v>44628.692824074074</v>
      </c>
      <c r="C679" s="8">
        <v>44660</v>
      </c>
      <c r="D679" s="9">
        <v>782743</v>
      </c>
      <c r="E679" s="7" t="e">
        <f>VLOOKUP(A679,DEVOLUCIONES!A$1:A$231,1,0)</f>
        <v>#N/A</v>
      </c>
      <c r="F679" s="7" t="e">
        <f>VLOOKUP(A679,'GLOSAS X CONCILIAR'!$A$1:$A$37,1,0)</f>
        <v>#N/A</v>
      </c>
      <c r="G679" s="7" t="e">
        <f>VLOOKUP(A679,'TODAS LAS P'!A:A,1,0)</f>
        <v>#N/A</v>
      </c>
      <c r="H679" s="7" t="e">
        <f>VLOOKUP(A679,PAGOS!A713:$A$1553,1,0)</f>
        <v>#N/A</v>
      </c>
      <c r="I679" s="40"/>
      <c r="J679" s="40"/>
      <c r="K679" s="40"/>
      <c r="L679" s="40">
        <f t="shared" si="37"/>
        <v>782743</v>
      </c>
      <c r="M679" s="40"/>
      <c r="N679" s="40"/>
      <c r="O679" s="40"/>
      <c r="P679" s="40"/>
      <c r="Q679" s="7"/>
      <c r="R679" s="7"/>
      <c r="S679" s="7"/>
      <c r="T679" s="35">
        <f t="shared" si="34"/>
        <v>0</v>
      </c>
      <c r="U679" s="7"/>
    </row>
    <row r="680" spans="1:21" x14ac:dyDescent="0.25">
      <c r="A680" s="7" t="s">
        <v>3112</v>
      </c>
      <c r="B680" s="8">
        <v>44629.344907407409</v>
      </c>
      <c r="C680" s="8">
        <v>44660</v>
      </c>
      <c r="D680" s="9">
        <v>628719</v>
      </c>
      <c r="E680" s="7" t="e">
        <f>VLOOKUP(A680,DEVOLUCIONES!A$1:A$231,1,0)</f>
        <v>#N/A</v>
      </c>
      <c r="F680" s="7" t="e">
        <f>VLOOKUP(A680,'GLOSAS X CONCILIAR'!$A$1:$A$37,1,0)</f>
        <v>#N/A</v>
      </c>
      <c r="G680" s="7" t="e">
        <f>VLOOKUP(A680,'TODAS LAS P'!A:A,1,0)</f>
        <v>#N/A</v>
      </c>
      <c r="H680" s="7" t="e">
        <f>VLOOKUP(A680,PAGOS!A714:$A$1553,1,0)</f>
        <v>#N/A</v>
      </c>
      <c r="I680" s="40"/>
      <c r="J680" s="40"/>
      <c r="K680" s="40"/>
      <c r="L680" s="40">
        <f t="shared" si="37"/>
        <v>628719</v>
      </c>
      <c r="M680" s="40"/>
      <c r="N680" s="40"/>
      <c r="O680" s="40"/>
      <c r="P680" s="40"/>
      <c r="Q680" s="7"/>
      <c r="R680" s="7"/>
      <c r="S680" s="7"/>
      <c r="T680" s="35">
        <f t="shared" si="34"/>
        <v>0</v>
      </c>
      <c r="U680" s="7"/>
    </row>
    <row r="681" spans="1:21" x14ac:dyDescent="0.25">
      <c r="A681" s="7" t="s">
        <v>3113</v>
      </c>
      <c r="B681" s="8">
        <v>44629.871111111112</v>
      </c>
      <c r="C681" s="8">
        <v>44660</v>
      </c>
      <c r="D681" s="9">
        <v>618724</v>
      </c>
      <c r="E681" s="7" t="e">
        <f>VLOOKUP(A681,DEVOLUCIONES!A$1:A$231,1,0)</f>
        <v>#N/A</v>
      </c>
      <c r="F681" s="7" t="e">
        <f>VLOOKUP(A681,'GLOSAS X CONCILIAR'!$A$1:$A$37,1,0)</f>
        <v>#N/A</v>
      </c>
      <c r="G681" s="7" t="e">
        <f>VLOOKUP(A681,'TODAS LAS P'!A:A,1,0)</f>
        <v>#N/A</v>
      </c>
      <c r="H681" s="7" t="e">
        <f>VLOOKUP(A681,PAGOS!A715:$A$1553,1,0)</f>
        <v>#N/A</v>
      </c>
      <c r="I681" s="40"/>
      <c r="J681" s="40"/>
      <c r="K681" s="40"/>
      <c r="L681" s="40">
        <f t="shared" si="37"/>
        <v>618724</v>
      </c>
      <c r="M681" s="40"/>
      <c r="N681" s="40"/>
      <c r="O681" s="40"/>
      <c r="P681" s="40"/>
      <c r="Q681" s="7"/>
      <c r="R681" s="7"/>
      <c r="S681" s="7"/>
      <c r="T681" s="35">
        <f t="shared" si="34"/>
        <v>0</v>
      </c>
      <c r="U681" s="7"/>
    </row>
    <row r="682" spans="1:21" x14ac:dyDescent="0.25">
      <c r="A682" s="7" t="s">
        <v>3114</v>
      </c>
      <c r="B682" s="8">
        <v>44630.327326388891</v>
      </c>
      <c r="C682" s="8">
        <v>44660</v>
      </c>
      <c r="D682" s="9">
        <v>24600</v>
      </c>
      <c r="E682" s="7" t="e">
        <f>VLOOKUP(A682,DEVOLUCIONES!A$1:A$231,1,0)</f>
        <v>#N/A</v>
      </c>
      <c r="F682" s="7" t="e">
        <f>VLOOKUP(A682,'GLOSAS X CONCILIAR'!$A$1:$A$37,1,0)</f>
        <v>#N/A</v>
      </c>
      <c r="G682" s="7" t="e">
        <f>VLOOKUP(A682,'TODAS LAS P'!A:A,1,0)</f>
        <v>#N/A</v>
      </c>
      <c r="H682" s="7" t="e">
        <f>VLOOKUP(A682,PAGOS!A716:$A$1553,1,0)</f>
        <v>#N/A</v>
      </c>
      <c r="I682" s="40"/>
      <c r="J682" s="40"/>
      <c r="K682" s="40"/>
      <c r="L682" s="40">
        <f t="shared" si="37"/>
        <v>24600</v>
      </c>
      <c r="M682" s="40"/>
      <c r="N682" s="40"/>
      <c r="O682" s="40"/>
      <c r="P682" s="40"/>
      <c r="Q682" s="7"/>
      <c r="R682" s="7"/>
      <c r="S682" s="7"/>
      <c r="T682" s="35">
        <f t="shared" si="34"/>
        <v>0</v>
      </c>
      <c r="U682" s="7"/>
    </row>
    <row r="683" spans="1:21" x14ac:dyDescent="0.25">
      <c r="A683" s="7" t="s">
        <v>3115</v>
      </c>
      <c r="B683" s="8">
        <v>44630.389201388891</v>
      </c>
      <c r="C683" s="8">
        <v>44660</v>
      </c>
      <c r="D683" s="9">
        <v>10700</v>
      </c>
      <c r="E683" s="7" t="e">
        <f>VLOOKUP(A683,DEVOLUCIONES!A$1:A$231,1,0)</f>
        <v>#N/A</v>
      </c>
      <c r="F683" s="7" t="e">
        <f>VLOOKUP(A683,'GLOSAS X CONCILIAR'!$A$1:$A$37,1,0)</f>
        <v>#N/A</v>
      </c>
      <c r="G683" s="7" t="e">
        <f>VLOOKUP(A683,'TODAS LAS P'!A:A,1,0)</f>
        <v>#N/A</v>
      </c>
      <c r="H683" s="7" t="e">
        <f>VLOOKUP(A683,PAGOS!A717:$A$1553,1,0)</f>
        <v>#N/A</v>
      </c>
      <c r="I683" s="40"/>
      <c r="J683" s="40"/>
      <c r="K683" s="40"/>
      <c r="L683" s="40">
        <f t="shared" si="37"/>
        <v>10700</v>
      </c>
      <c r="M683" s="40"/>
      <c r="N683" s="40"/>
      <c r="O683" s="40"/>
      <c r="P683" s="40"/>
      <c r="Q683" s="7"/>
      <c r="R683" s="7"/>
      <c r="S683" s="7"/>
      <c r="T683" s="35">
        <f t="shared" si="34"/>
        <v>0</v>
      </c>
      <c r="U683" s="7"/>
    </row>
    <row r="684" spans="1:21" x14ac:dyDescent="0.25">
      <c r="A684" s="7" t="s">
        <v>3116</v>
      </c>
      <c r="B684" s="8">
        <v>44630.489270833335</v>
      </c>
      <c r="C684" s="8">
        <v>44660</v>
      </c>
      <c r="D684" s="9">
        <v>51900</v>
      </c>
      <c r="E684" s="7" t="e">
        <f>VLOOKUP(A684,DEVOLUCIONES!A$1:A$231,1,0)</f>
        <v>#N/A</v>
      </c>
      <c r="F684" s="7" t="e">
        <f>VLOOKUP(A684,'GLOSAS X CONCILIAR'!$A$1:$A$37,1,0)</f>
        <v>#N/A</v>
      </c>
      <c r="G684" s="7" t="e">
        <f>VLOOKUP(A684,'TODAS LAS P'!A:A,1,0)</f>
        <v>#N/A</v>
      </c>
      <c r="H684" s="7" t="e">
        <f>VLOOKUP(A684,PAGOS!A718:$A$1553,1,0)</f>
        <v>#N/A</v>
      </c>
      <c r="I684" s="40"/>
      <c r="J684" s="40"/>
      <c r="K684" s="40"/>
      <c r="L684" s="40">
        <f t="shared" si="37"/>
        <v>51900</v>
      </c>
      <c r="M684" s="40"/>
      <c r="N684" s="40"/>
      <c r="O684" s="40"/>
      <c r="P684" s="40"/>
      <c r="Q684" s="7"/>
      <c r="R684" s="7"/>
      <c r="S684" s="7"/>
      <c r="T684" s="35">
        <f t="shared" si="34"/>
        <v>0</v>
      </c>
      <c r="U684" s="7"/>
    </row>
    <row r="685" spans="1:21" x14ac:dyDescent="0.25">
      <c r="A685" s="7" t="s">
        <v>3117</v>
      </c>
      <c r="B685" s="8">
        <v>44630.638935185183</v>
      </c>
      <c r="C685" s="8">
        <v>44660</v>
      </c>
      <c r="D685" s="9">
        <v>57600</v>
      </c>
      <c r="E685" s="7" t="e">
        <f>VLOOKUP(A685,DEVOLUCIONES!A$1:A$231,1,0)</f>
        <v>#N/A</v>
      </c>
      <c r="F685" s="7" t="e">
        <f>VLOOKUP(A685,'GLOSAS X CONCILIAR'!$A$1:$A$37,1,0)</f>
        <v>#N/A</v>
      </c>
      <c r="G685" s="7" t="e">
        <f>VLOOKUP(A685,'TODAS LAS P'!A:A,1,0)</f>
        <v>#N/A</v>
      </c>
      <c r="H685" s="7" t="e">
        <f>VLOOKUP(A685,PAGOS!A719:$A$1553,1,0)</f>
        <v>#N/A</v>
      </c>
      <c r="I685" s="40"/>
      <c r="J685" s="40"/>
      <c r="K685" s="40"/>
      <c r="L685" s="40">
        <f t="shared" si="37"/>
        <v>57600</v>
      </c>
      <c r="M685" s="40"/>
      <c r="N685" s="40"/>
      <c r="O685" s="40"/>
      <c r="P685" s="40"/>
      <c r="Q685" s="7"/>
      <c r="R685" s="7"/>
      <c r="S685" s="7"/>
      <c r="T685" s="35">
        <f t="shared" si="34"/>
        <v>0</v>
      </c>
      <c r="U685" s="7"/>
    </row>
    <row r="686" spans="1:21" x14ac:dyDescent="0.25">
      <c r="A686" s="7" t="s">
        <v>3118</v>
      </c>
      <c r="B686" s="8">
        <v>44630.698564814818</v>
      </c>
      <c r="C686" s="8">
        <v>44660</v>
      </c>
      <c r="D686" s="9">
        <v>60124</v>
      </c>
      <c r="E686" s="7" t="e">
        <f>VLOOKUP(A686,DEVOLUCIONES!A$1:A$231,1,0)</f>
        <v>#N/A</v>
      </c>
      <c r="F686" s="7" t="e">
        <f>VLOOKUP(A686,'GLOSAS X CONCILIAR'!$A$1:$A$37,1,0)</f>
        <v>#N/A</v>
      </c>
      <c r="G686" s="7" t="e">
        <f>VLOOKUP(A686,'TODAS LAS P'!A:A,1,0)</f>
        <v>#N/A</v>
      </c>
      <c r="H686" s="7" t="e">
        <f>VLOOKUP(A686,PAGOS!A720:$A$1553,1,0)</f>
        <v>#N/A</v>
      </c>
      <c r="I686" s="40"/>
      <c r="J686" s="40"/>
      <c r="K686" s="40"/>
      <c r="L686" s="40">
        <f t="shared" si="37"/>
        <v>60124</v>
      </c>
      <c r="M686" s="40"/>
      <c r="N686" s="40"/>
      <c r="O686" s="40"/>
      <c r="P686" s="40"/>
      <c r="Q686" s="7"/>
      <c r="R686" s="7"/>
      <c r="S686" s="7"/>
      <c r="T686" s="35">
        <f t="shared" si="34"/>
        <v>0</v>
      </c>
      <c r="U686" s="7"/>
    </row>
    <row r="687" spans="1:21" x14ac:dyDescent="0.25">
      <c r="A687" s="7" t="s">
        <v>3119</v>
      </c>
      <c r="B687" s="8">
        <v>44631.305671296293</v>
      </c>
      <c r="C687" s="8">
        <v>44660</v>
      </c>
      <c r="D687" s="9">
        <v>362319</v>
      </c>
      <c r="E687" s="7" t="e">
        <f>VLOOKUP(A687,DEVOLUCIONES!A$1:A$231,1,0)</f>
        <v>#N/A</v>
      </c>
      <c r="F687" s="7" t="e">
        <f>VLOOKUP(A687,'GLOSAS X CONCILIAR'!$A$1:$A$37,1,0)</f>
        <v>#N/A</v>
      </c>
      <c r="G687" s="7" t="e">
        <f>VLOOKUP(A687,'TODAS LAS P'!A:A,1,0)</f>
        <v>#N/A</v>
      </c>
      <c r="H687" s="7" t="e">
        <f>VLOOKUP(A687,PAGOS!A721:$A$1553,1,0)</f>
        <v>#N/A</v>
      </c>
      <c r="I687" s="40"/>
      <c r="J687" s="40"/>
      <c r="K687" s="40"/>
      <c r="L687" s="40">
        <f t="shared" si="37"/>
        <v>362319</v>
      </c>
      <c r="M687" s="40"/>
      <c r="N687" s="40"/>
      <c r="O687" s="40"/>
      <c r="P687" s="40"/>
      <c r="Q687" s="7"/>
      <c r="R687" s="7"/>
      <c r="S687" s="7"/>
      <c r="T687" s="35">
        <f t="shared" si="34"/>
        <v>0</v>
      </c>
      <c r="U687" s="7"/>
    </row>
    <row r="688" spans="1:21" x14ac:dyDescent="0.25">
      <c r="A688" s="7" t="s">
        <v>3120</v>
      </c>
      <c r="B688" s="8">
        <v>44631.417071759257</v>
      </c>
      <c r="C688" s="8">
        <v>44660</v>
      </c>
      <c r="D688" s="9">
        <v>51900</v>
      </c>
      <c r="E688" s="7" t="e">
        <f>VLOOKUP(A688,DEVOLUCIONES!A$1:A$231,1,0)</f>
        <v>#N/A</v>
      </c>
      <c r="F688" s="7" t="e">
        <f>VLOOKUP(A688,'GLOSAS X CONCILIAR'!$A$1:$A$37,1,0)</f>
        <v>#N/A</v>
      </c>
      <c r="G688" s="7" t="e">
        <f>VLOOKUP(A688,'TODAS LAS P'!A:A,1,0)</f>
        <v>#N/A</v>
      </c>
      <c r="H688" s="7" t="e">
        <f>VLOOKUP(A688,PAGOS!A722:$A$1553,1,0)</f>
        <v>#N/A</v>
      </c>
      <c r="I688" s="40"/>
      <c r="J688" s="40"/>
      <c r="K688" s="40"/>
      <c r="L688" s="40">
        <f t="shared" si="37"/>
        <v>51900</v>
      </c>
      <c r="M688" s="40"/>
      <c r="N688" s="40"/>
      <c r="O688" s="40"/>
      <c r="P688" s="40"/>
      <c r="Q688" s="7"/>
      <c r="R688" s="7"/>
      <c r="S688" s="7"/>
      <c r="T688" s="35">
        <f t="shared" si="34"/>
        <v>0</v>
      </c>
      <c r="U688" s="7"/>
    </row>
    <row r="689" spans="1:21" x14ac:dyDescent="0.25">
      <c r="A689" s="7" t="s">
        <v>3121</v>
      </c>
      <c r="B689" s="8">
        <v>44631.456296296295</v>
      </c>
      <c r="C689" s="8">
        <v>44660</v>
      </c>
      <c r="D689" s="9">
        <v>26100</v>
      </c>
      <c r="E689" s="7" t="e">
        <f>VLOOKUP(A689,DEVOLUCIONES!A$1:A$231,1,0)</f>
        <v>#N/A</v>
      </c>
      <c r="F689" s="7" t="e">
        <f>VLOOKUP(A689,'GLOSAS X CONCILIAR'!$A$1:$A$37,1,0)</f>
        <v>#N/A</v>
      </c>
      <c r="G689" s="7" t="e">
        <f>VLOOKUP(A689,'TODAS LAS P'!A:A,1,0)</f>
        <v>#N/A</v>
      </c>
      <c r="H689" s="7" t="e">
        <f>VLOOKUP(A689,PAGOS!A723:$A$1553,1,0)</f>
        <v>#N/A</v>
      </c>
      <c r="I689" s="40"/>
      <c r="J689" s="40"/>
      <c r="K689" s="40"/>
      <c r="L689" s="40">
        <f t="shared" si="37"/>
        <v>26100</v>
      </c>
      <c r="M689" s="40"/>
      <c r="N689" s="40"/>
      <c r="O689" s="40"/>
      <c r="P689" s="40"/>
      <c r="Q689" s="7"/>
      <c r="R689" s="7"/>
      <c r="S689" s="7"/>
      <c r="T689" s="35">
        <f t="shared" si="34"/>
        <v>0</v>
      </c>
      <c r="U689" s="7"/>
    </row>
    <row r="690" spans="1:21" x14ac:dyDescent="0.25">
      <c r="A690" s="7" t="s">
        <v>3122</v>
      </c>
      <c r="B690" s="8">
        <v>44631.552199074074</v>
      </c>
      <c r="C690" s="8">
        <v>44660</v>
      </c>
      <c r="D690" s="9">
        <v>31000</v>
      </c>
      <c r="E690" s="7" t="e">
        <f>VLOOKUP(A690,DEVOLUCIONES!A$1:A$231,1,0)</f>
        <v>#N/A</v>
      </c>
      <c r="F690" s="7" t="e">
        <f>VLOOKUP(A690,'GLOSAS X CONCILIAR'!$A$1:$A$37,1,0)</f>
        <v>#N/A</v>
      </c>
      <c r="G690" s="7" t="e">
        <f>VLOOKUP(A690,'TODAS LAS P'!A:A,1,0)</f>
        <v>#N/A</v>
      </c>
      <c r="H690" s="7" t="e">
        <f>VLOOKUP(A690,PAGOS!A724:$A$1553,1,0)</f>
        <v>#N/A</v>
      </c>
      <c r="I690" s="40"/>
      <c r="J690" s="40"/>
      <c r="K690" s="40"/>
      <c r="L690" s="40">
        <f t="shared" si="37"/>
        <v>31000</v>
      </c>
      <c r="M690" s="40"/>
      <c r="N690" s="40"/>
      <c r="O690" s="40"/>
      <c r="P690" s="40"/>
      <c r="Q690" s="7"/>
      <c r="R690" s="7"/>
      <c r="S690" s="7"/>
      <c r="T690" s="35">
        <f t="shared" si="34"/>
        <v>0</v>
      </c>
      <c r="U690" s="7"/>
    </row>
    <row r="691" spans="1:21" x14ac:dyDescent="0.25">
      <c r="A691" s="7" t="s">
        <v>3123</v>
      </c>
      <c r="B691" s="8">
        <v>44631.55846064815</v>
      </c>
      <c r="C691" s="8">
        <v>44660</v>
      </c>
      <c r="D691" s="9">
        <v>36000</v>
      </c>
      <c r="E691" s="7" t="e">
        <f>VLOOKUP(A691,DEVOLUCIONES!A$1:A$231,1,0)</f>
        <v>#N/A</v>
      </c>
      <c r="F691" s="7" t="e">
        <f>VLOOKUP(A691,'GLOSAS X CONCILIAR'!$A$1:$A$37,1,0)</f>
        <v>#N/A</v>
      </c>
      <c r="G691" s="7" t="e">
        <f>VLOOKUP(A691,'TODAS LAS P'!A:A,1,0)</f>
        <v>#N/A</v>
      </c>
      <c r="H691" s="7" t="e">
        <f>VLOOKUP(A691,PAGOS!A725:$A$1553,1,0)</f>
        <v>#N/A</v>
      </c>
      <c r="I691" s="40"/>
      <c r="J691" s="40"/>
      <c r="K691" s="40"/>
      <c r="L691" s="40">
        <f t="shared" si="37"/>
        <v>36000</v>
      </c>
      <c r="M691" s="40"/>
      <c r="N691" s="40"/>
      <c r="O691" s="40"/>
      <c r="P691" s="40"/>
      <c r="Q691" s="7"/>
      <c r="R691" s="7"/>
      <c r="S691" s="7"/>
      <c r="T691" s="35">
        <f t="shared" si="34"/>
        <v>0</v>
      </c>
      <c r="U691" s="7"/>
    </row>
    <row r="692" spans="1:21" x14ac:dyDescent="0.25">
      <c r="A692" s="7" t="s">
        <v>3124</v>
      </c>
      <c r="B692" s="8">
        <v>44631.628668981481</v>
      </c>
      <c r="C692" s="8">
        <v>44660</v>
      </c>
      <c r="D692" s="9">
        <v>32300</v>
      </c>
      <c r="E692" s="7" t="e">
        <f>VLOOKUP(A692,DEVOLUCIONES!A$1:A$231,1,0)</f>
        <v>#N/A</v>
      </c>
      <c r="F692" s="7" t="e">
        <f>VLOOKUP(A692,'GLOSAS X CONCILIAR'!$A$1:$A$37,1,0)</f>
        <v>#N/A</v>
      </c>
      <c r="G692" s="7" t="e">
        <f>VLOOKUP(A692,'TODAS LAS P'!A:A,1,0)</f>
        <v>#N/A</v>
      </c>
      <c r="H692" s="7" t="e">
        <f>VLOOKUP(A692,PAGOS!A726:$A$1553,1,0)</f>
        <v>#N/A</v>
      </c>
      <c r="I692" s="40"/>
      <c r="J692" s="40"/>
      <c r="K692" s="40"/>
      <c r="L692" s="40">
        <f t="shared" si="37"/>
        <v>32300</v>
      </c>
      <c r="M692" s="40"/>
      <c r="N692" s="40"/>
      <c r="O692" s="40"/>
      <c r="P692" s="40"/>
      <c r="Q692" s="7"/>
      <c r="R692" s="7"/>
      <c r="S692" s="7"/>
      <c r="T692" s="35">
        <f t="shared" si="34"/>
        <v>0</v>
      </c>
      <c r="U692" s="7"/>
    </row>
    <row r="693" spans="1:21" x14ac:dyDescent="0.25">
      <c r="A693" s="7" t="s">
        <v>3125</v>
      </c>
      <c r="B693" s="8">
        <v>44631.744444444441</v>
      </c>
      <c r="C693" s="8">
        <v>44660</v>
      </c>
      <c r="D693" s="9">
        <v>221400</v>
      </c>
      <c r="E693" s="7" t="e">
        <f>VLOOKUP(A693,DEVOLUCIONES!A$1:A$231,1,0)</f>
        <v>#N/A</v>
      </c>
      <c r="F693" s="7" t="e">
        <f>VLOOKUP(A693,'GLOSAS X CONCILIAR'!$A$1:$A$37,1,0)</f>
        <v>#N/A</v>
      </c>
      <c r="G693" s="7" t="e">
        <f>VLOOKUP(A693,'TODAS LAS P'!A:A,1,0)</f>
        <v>#N/A</v>
      </c>
      <c r="H693" s="7" t="e">
        <f>VLOOKUP(A693,PAGOS!A727:$A$1553,1,0)</f>
        <v>#N/A</v>
      </c>
      <c r="I693" s="40"/>
      <c r="J693" s="40"/>
      <c r="K693" s="40"/>
      <c r="L693" s="40">
        <f t="shared" si="37"/>
        <v>221400</v>
      </c>
      <c r="M693" s="40"/>
      <c r="N693" s="40"/>
      <c r="O693" s="40"/>
      <c r="P693" s="40"/>
      <c r="Q693" s="7"/>
      <c r="R693" s="7"/>
      <c r="S693" s="7"/>
      <c r="T693" s="35">
        <f t="shared" si="34"/>
        <v>0</v>
      </c>
      <c r="U693" s="7"/>
    </row>
    <row r="694" spans="1:21" x14ac:dyDescent="0.25">
      <c r="A694" s="7" t="s">
        <v>3126</v>
      </c>
      <c r="B694" s="8">
        <v>44631.896793981483</v>
      </c>
      <c r="C694" s="8">
        <v>44660</v>
      </c>
      <c r="D694" s="9">
        <v>60180</v>
      </c>
      <c r="E694" s="7" t="e">
        <f>VLOOKUP(A694,DEVOLUCIONES!A$1:A$231,1,0)</f>
        <v>#N/A</v>
      </c>
      <c r="F694" s="7" t="e">
        <f>VLOOKUP(A694,'GLOSAS X CONCILIAR'!$A$1:$A$37,1,0)</f>
        <v>#N/A</v>
      </c>
      <c r="G694" s="7" t="e">
        <f>VLOOKUP(A694,'TODAS LAS P'!A:A,1,0)</f>
        <v>#N/A</v>
      </c>
      <c r="H694" s="7" t="e">
        <f>VLOOKUP(A694,PAGOS!A728:$A$1553,1,0)</f>
        <v>#N/A</v>
      </c>
      <c r="I694" s="40"/>
      <c r="J694" s="40"/>
      <c r="K694" s="40"/>
      <c r="L694" s="40">
        <f t="shared" si="37"/>
        <v>60180</v>
      </c>
      <c r="M694" s="40"/>
      <c r="N694" s="40"/>
      <c r="O694" s="40"/>
      <c r="P694" s="40"/>
      <c r="Q694" s="7"/>
      <c r="R694" s="7"/>
      <c r="S694" s="7"/>
      <c r="T694" s="35">
        <f t="shared" si="34"/>
        <v>0</v>
      </c>
      <c r="U694" s="7"/>
    </row>
    <row r="695" spans="1:21" x14ac:dyDescent="0.25">
      <c r="A695" s="7" t="s">
        <v>3127</v>
      </c>
      <c r="B695" s="8">
        <v>44632.652280092596</v>
      </c>
      <c r="C695" s="8">
        <v>44660</v>
      </c>
      <c r="D695" s="9">
        <v>1466244</v>
      </c>
      <c r="E695" s="7" t="e">
        <f>VLOOKUP(A695,DEVOLUCIONES!A$1:A$231,1,0)</f>
        <v>#N/A</v>
      </c>
      <c r="F695" s="7" t="e">
        <f>VLOOKUP(A695,'GLOSAS X CONCILIAR'!$A$1:$A$37,1,0)</f>
        <v>#N/A</v>
      </c>
      <c r="G695" s="7" t="e">
        <f>VLOOKUP(A695,'TODAS LAS P'!A:A,1,0)</f>
        <v>#N/A</v>
      </c>
      <c r="H695" s="7" t="e">
        <f>VLOOKUP(A695,PAGOS!A729:$A$1553,1,0)</f>
        <v>#N/A</v>
      </c>
      <c r="I695" s="40"/>
      <c r="J695" s="40"/>
      <c r="K695" s="40"/>
      <c r="L695" s="40">
        <f t="shared" si="37"/>
        <v>1466244</v>
      </c>
      <c r="M695" s="40"/>
      <c r="N695" s="40"/>
      <c r="O695" s="40"/>
      <c r="P695" s="40"/>
      <c r="Q695" s="7"/>
      <c r="R695" s="7"/>
      <c r="S695" s="7"/>
      <c r="T695" s="35">
        <f t="shared" si="34"/>
        <v>0</v>
      </c>
      <c r="U695" s="7"/>
    </row>
    <row r="696" spans="1:21" x14ac:dyDescent="0.25">
      <c r="A696" s="7" t="s">
        <v>3128</v>
      </c>
      <c r="B696" s="8">
        <v>44632.769259259258</v>
      </c>
      <c r="C696" s="8">
        <v>44660</v>
      </c>
      <c r="D696" s="9">
        <v>462229</v>
      </c>
      <c r="E696" s="7" t="e">
        <f>VLOOKUP(A696,DEVOLUCIONES!A$1:A$231,1,0)</f>
        <v>#N/A</v>
      </c>
      <c r="F696" s="7" t="e">
        <f>VLOOKUP(A696,'GLOSAS X CONCILIAR'!$A$1:$A$37,1,0)</f>
        <v>#N/A</v>
      </c>
      <c r="G696" s="7" t="e">
        <f>VLOOKUP(A696,'TODAS LAS P'!A:A,1,0)</f>
        <v>#N/A</v>
      </c>
      <c r="H696" s="7" t="e">
        <f>VLOOKUP(A696,PAGOS!A730:$A$1553,1,0)</f>
        <v>#N/A</v>
      </c>
      <c r="I696" s="40"/>
      <c r="J696" s="40"/>
      <c r="K696" s="40"/>
      <c r="L696" s="40">
        <f t="shared" si="37"/>
        <v>462229</v>
      </c>
      <c r="M696" s="40"/>
      <c r="N696" s="40"/>
      <c r="O696" s="40"/>
      <c r="P696" s="40"/>
      <c r="Q696" s="7"/>
      <c r="R696" s="7"/>
      <c r="S696" s="7"/>
      <c r="T696" s="35">
        <f t="shared" si="34"/>
        <v>0</v>
      </c>
      <c r="U696" s="7"/>
    </row>
    <row r="697" spans="1:21" x14ac:dyDescent="0.25">
      <c r="A697" s="7" t="s">
        <v>3129</v>
      </c>
      <c r="B697" s="8">
        <v>44634.391030092593</v>
      </c>
      <c r="C697" s="8">
        <v>44660</v>
      </c>
      <c r="D697" s="9">
        <v>36000</v>
      </c>
      <c r="E697" s="7" t="e">
        <f>VLOOKUP(A697,DEVOLUCIONES!A$1:A$231,1,0)</f>
        <v>#N/A</v>
      </c>
      <c r="F697" s="7" t="e">
        <f>VLOOKUP(A697,'GLOSAS X CONCILIAR'!$A$1:$A$37,1,0)</f>
        <v>#N/A</v>
      </c>
      <c r="G697" s="7" t="e">
        <f>VLOOKUP(A697,'TODAS LAS P'!A:A,1,0)</f>
        <v>#N/A</v>
      </c>
      <c r="H697" s="7" t="e">
        <f>VLOOKUP(A697,PAGOS!A731:$A$1553,1,0)</f>
        <v>#N/A</v>
      </c>
      <c r="I697" s="40"/>
      <c r="J697" s="40"/>
      <c r="K697" s="40"/>
      <c r="L697" s="40">
        <f t="shared" si="37"/>
        <v>36000</v>
      </c>
      <c r="M697" s="40"/>
      <c r="N697" s="40"/>
      <c r="O697" s="40"/>
      <c r="P697" s="40"/>
      <c r="Q697" s="7"/>
      <c r="R697" s="7"/>
      <c r="S697" s="7"/>
      <c r="T697" s="35">
        <f t="shared" si="34"/>
        <v>0</v>
      </c>
      <c r="U697" s="7"/>
    </row>
    <row r="698" spans="1:21" x14ac:dyDescent="0.25">
      <c r="A698" s="7" t="s">
        <v>3130</v>
      </c>
      <c r="B698" s="8">
        <v>44634.786504629628</v>
      </c>
      <c r="C698" s="8">
        <v>44660</v>
      </c>
      <c r="D698" s="9">
        <v>182400</v>
      </c>
      <c r="E698" s="7" t="e">
        <f>VLOOKUP(A698,DEVOLUCIONES!A$1:A$231,1,0)</f>
        <v>#N/A</v>
      </c>
      <c r="F698" s="7" t="e">
        <f>VLOOKUP(A698,'GLOSAS X CONCILIAR'!$A$1:$A$37,1,0)</f>
        <v>#N/A</v>
      </c>
      <c r="G698" s="7" t="e">
        <f>VLOOKUP(A698,'TODAS LAS P'!A:A,1,0)</f>
        <v>#N/A</v>
      </c>
      <c r="H698" s="7" t="e">
        <f>VLOOKUP(A698,PAGOS!A732:$A$1553,1,0)</f>
        <v>#N/A</v>
      </c>
      <c r="I698" s="40"/>
      <c r="J698" s="40"/>
      <c r="K698" s="40"/>
      <c r="L698" s="40">
        <f t="shared" si="37"/>
        <v>182400</v>
      </c>
      <c r="M698" s="40"/>
      <c r="N698" s="40"/>
      <c r="O698" s="40"/>
      <c r="P698" s="40"/>
      <c r="Q698" s="7"/>
      <c r="R698" s="7"/>
      <c r="S698" s="7"/>
      <c r="T698" s="35">
        <f t="shared" si="34"/>
        <v>0</v>
      </c>
      <c r="U698" s="7"/>
    </row>
    <row r="699" spans="1:21" x14ac:dyDescent="0.25">
      <c r="A699" s="7" t="s">
        <v>3131</v>
      </c>
      <c r="B699" s="8">
        <v>44635.302395833336</v>
      </c>
      <c r="C699" s="8">
        <v>44660</v>
      </c>
      <c r="D699" s="9">
        <v>32300</v>
      </c>
      <c r="E699" s="7" t="e">
        <f>VLOOKUP(A699,DEVOLUCIONES!A$1:A$231,1,0)</f>
        <v>#N/A</v>
      </c>
      <c r="F699" s="7" t="e">
        <f>VLOOKUP(A699,'GLOSAS X CONCILIAR'!$A$1:$A$37,1,0)</f>
        <v>#N/A</v>
      </c>
      <c r="G699" s="7" t="e">
        <f>VLOOKUP(A699,'TODAS LAS P'!A:A,1,0)</f>
        <v>#N/A</v>
      </c>
      <c r="H699" s="7" t="e">
        <f>VLOOKUP(A699,PAGOS!A733:$A$1553,1,0)</f>
        <v>#N/A</v>
      </c>
      <c r="I699" s="40"/>
      <c r="J699" s="40"/>
      <c r="K699" s="40"/>
      <c r="L699" s="40">
        <f t="shared" si="37"/>
        <v>32300</v>
      </c>
      <c r="M699" s="40"/>
      <c r="N699" s="40"/>
      <c r="O699" s="40"/>
      <c r="P699" s="40"/>
      <c r="Q699" s="7"/>
      <c r="R699" s="7"/>
      <c r="S699" s="7"/>
      <c r="T699" s="35">
        <f t="shared" si="34"/>
        <v>0</v>
      </c>
      <c r="U699" s="7"/>
    </row>
    <row r="700" spans="1:21" x14ac:dyDescent="0.25">
      <c r="A700" s="7" t="s">
        <v>3132</v>
      </c>
      <c r="B700" s="8">
        <v>44635.373472222222</v>
      </c>
      <c r="C700" s="8">
        <v>44660</v>
      </c>
      <c r="D700" s="9">
        <v>24600</v>
      </c>
      <c r="E700" s="7" t="e">
        <f>VLOOKUP(A700,DEVOLUCIONES!A$1:A$231,1,0)</f>
        <v>#N/A</v>
      </c>
      <c r="F700" s="7" t="e">
        <f>VLOOKUP(A700,'GLOSAS X CONCILIAR'!$A$1:$A$37,1,0)</f>
        <v>#N/A</v>
      </c>
      <c r="G700" s="7" t="e">
        <f>VLOOKUP(A700,'TODAS LAS P'!A:A,1,0)</f>
        <v>#N/A</v>
      </c>
      <c r="H700" s="7" t="e">
        <f>VLOOKUP(A700,PAGOS!A734:$A$1553,1,0)</f>
        <v>#N/A</v>
      </c>
      <c r="I700" s="40"/>
      <c r="J700" s="40"/>
      <c r="K700" s="40"/>
      <c r="L700" s="40">
        <f t="shared" si="37"/>
        <v>24600</v>
      </c>
      <c r="M700" s="40"/>
      <c r="N700" s="40"/>
      <c r="O700" s="40"/>
      <c r="P700" s="40"/>
      <c r="Q700" s="7"/>
      <c r="R700" s="7"/>
      <c r="S700" s="7"/>
      <c r="T700" s="35">
        <f t="shared" si="34"/>
        <v>0</v>
      </c>
      <c r="U700" s="7"/>
    </row>
    <row r="701" spans="1:21" x14ac:dyDescent="0.25">
      <c r="A701" s="7" t="s">
        <v>3133</v>
      </c>
      <c r="B701" s="8">
        <v>44635.411539351851</v>
      </c>
      <c r="C701" s="8">
        <v>44660</v>
      </c>
      <c r="D701" s="9">
        <v>36000</v>
      </c>
      <c r="E701" s="7" t="e">
        <f>VLOOKUP(A701,DEVOLUCIONES!A$1:A$231,1,0)</f>
        <v>#N/A</v>
      </c>
      <c r="F701" s="7" t="e">
        <f>VLOOKUP(A701,'GLOSAS X CONCILIAR'!$A$1:$A$37,1,0)</f>
        <v>#N/A</v>
      </c>
      <c r="G701" s="7" t="e">
        <f>VLOOKUP(A701,'TODAS LAS P'!A:A,1,0)</f>
        <v>#N/A</v>
      </c>
      <c r="H701" s="7" t="e">
        <f>VLOOKUP(A701,PAGOS!A735:$A$1553,1,0)</f>
        <v>#N/A</v>
      </c>
      <c r="I701" s="40"/>
      <c r="J701" s="40"/>
      <c r="K701" s="40"/>
      <c r="L701" s="40">
        <f t="shared" si="37"/>
        <v>36000</v>
      </c>
      <c r="M701" s="40"/>
      <c r="N701" s="40"/>
      <c r="O701" s="40"/>
      <c r="P701" s="40"/>
      <c r="Q701" s="7"/>
      <c r="R701" s="7"/>
      <c r="S701" s="7"/>
      <c r="T701" s="35">
        <f t="shared" si="34"/>
        <v>0</v>
      </c>
      <c r="U701" s="7"/>
    </row>
    <row r="702" spans="1:21" x14ac:dyDescent="0.25">
      <c r="A702" s="7" t="s">
        <v>3134</v>
      </c>
      <c r="B702" s="8">
        <v>44635.413483796299</v>
      </c>
      <c r="C702" s="8">
        <v>44660</v>
      </c>
      <c r="D702" s="9">
        <v>36000</v>
      </c>
      <c r="E702" s="7" t="e">
        <f>VLOOKUP(A702,DEVOLUCIONES!A$1:A$231,1,0)</f>
        <v>#N/A</v>
      </c>
      <c r="F702" s="7" t="e">
        <f>VLOOKUP(A702,'GLOSAS X CONCILIAR'!$A$1:$A$37,1,0)</f>
        <v>#N/A</v>
      </c>
      <c r="G702" s="7" t="e">
        <f>VLOOKUP(A702,'TODAS LAS P'!A:A,1,0)</f>
        <v>#N/A</v>
      </c>
      <c r="H702" s="7" t="e">
        <f>VLOOKUP(A702,PAGOS!A736:$A$1553,1,0)</f>
        <v>#N/A</v>
      </c>
      <c r="I702" s="40"/>
      <c r="J702" s="40"/>
      <c r="K702" s="40"/>
      <c r="L702" s="40">
        <f t="shared" si="37"/>
        <v>36000</v>
      </c>
      <c r="M702" s="40"/>
      <c r="N702" s="40"/>
      <c r="O702" s="40"/>
      <c r="P702" s="40"/>
      <c r="Q702" s="7"/>
      <c r="R702" s="7"/>
      <c r="S702" s="7"/>
      <c r="T702" s="35">
        <f t="shared" si="34"/>
        <v>0</v>
      </c>
      <c r="U702" s="7"/>
    </row>
    <row r="703" spans="1:21" x14ac:dyDescent="0.25">
      <c r="A703" s="7" t="s">
        <v>3135</v>
      </c>
      <c r="B703" s="8">
        <v>44635.469837962963</v>
      </c>
      <c r="C703" s="8">
        <v>44660</v>
      </c>
      <c r="D703" s="9">
        <v>24600</v>
      </c>
      <c r="E703" s="7" t="e">
        <f>VLOOKUP(A703,DEVOLUCIONES!A$1:A$231,1,0)</f>
        <v>#N/A</v>
      </c>
      <c r="F703" s="7" t="e">
        <f>VLOOKUP(A703,'GLOSAS X CONCILIAR'!$A$1:$A$37,1,0)</f>
        <v>#N/A</v>
      </c>
      <c r="G703" s="7" t="e">
        <f>VLOOKUP(A703,'TODAS LAS P'!A:A,1,0)</f>
        <v>#N/A</v>
      </c>
      <c r="H703" s="7" t="e">
        <f>VLOOKUP(A703,PAGOS!A737:$A$1553,1,0)</f>
        <v>#N/A</v>
      </c>
      <c r="I703" s="40"/>
      <c r="J703" s="40"/>
      <c r="K703" s="40"/>
      <c r="L703" s="40">
        <f t="shared" si="37"/>
        <v>24600</v>
      </c>
      <c r="M703" s="40"/>
      <c r="N703" s="40"/>
      <c r="O703" s="40"/>
      <c r="P703" s="40"/>
      <c r="Q703" s="7"/>
      <c r="R703" s="7"/>
      <c r="S703" s="7"/>
      <c r="T703" s="35">
        <f t="shared" si="34"/>
        <v>0</v>
      </c>
      <c r="U703" s="7"/>
    </row>
    <row r="704" spans="1:21" x14ac:dyDescent="0.25">
      <c r="A704" s="7" t="s">
        <v>3136</v>
      </c>
      <c r="B704" s="8">
        <v>44635.474386574075</v>
      </c>
      <c r="C704" s="8">
        <v>44660</v>
      </c>
      <c r="D704" s="9">
        <v>24600</v>
      </c>
      <c r="E704" s="7" t="e">
        <f>VLOOKUP(A704,DEVOLUCIONES!A$1:A$231,1,0)</f>
        <v>#N/A</v>
      </c>
      <c r="F704" s="7" t="e">
        <f>VLOOKUP(A704,'GLOSAS X CONCILIAR'!$A$1:$A$37,1,0)</f>
        <v>#N/A</v>
      </c>
      <c r="G704" s="7" t="e">
        <f>VLOOKUP(A704,'TODAS LAS P'!A:A,1,0)</f>
        <v>#N/A</v>
      </c>
      <c r="H704" s="7" t="e">
        <f>VLOOKUP(A704,PAGOS!A738:$A$1553,1,0)</f>
        <v>#N/A</v>
      </c>
      <c r="I704" s="40"/>
      <c r="J704" s="40"/>
      <c r="K704" s="40"/>
      <c r="L704" s="40">
        <f t="shared" si="37"/>
        <v>24600</v>
      </c>
      <c r="M704" s="40"/>
      <c r="N704" s="40"/>
      <c r="O704" s="40"/>
      <c r="P704" s="40"/>
      <c r="Q704" s="7"/>
      <c r="R704" s="7"/>
      <c r="S704" s="7"/>
      <c r="T704" s="35">
        <f t="shared" si="34"/>
        <v>0</v>
      </c>
      <c r="U704" s="7"/>
    </row>
    <row r="705" spans="1:21" x14ac:dyDescent="0.25">
      <c r="A705" s="7" t="s">
        <v>3137</v>
      </c>
      <c r="B705" s="8">
        <v>44635.666226851848</v>
      </c>
      <c r="C705" s="8">
        <v>44660</v>
      </c>
      <c r="D705" s="9">
        <v>32300</v>
      </c>
      <c r="E705" s="7" t="e">
        <f>VLOOKUP(A705,DEVOLUCIONES!A$1:A$231,1,0)</f>
        <v>#N/A</v>
      </c>
      <c r="F705" s="7" t="e">
        <f>VLOOKUP(A705,'GLOSAS X CONCILIAR'!$A$1:$A$37,1,0)</f>
        <v>#N/A</v>
      </c>
      <c r="G705" s="7" t="e">
        <f>VLOOKUP(A705,'TODAS LAS P'!A:A,1,0)</f>
        <v>#N/A</v>
      </c>
      <c r="H705" s="7" t="e">
        <f>VLOOKUP(A705,PAGOS!A739:$A$1553,1,0)</f>
        <v>#N/A</v>
      </c>
      <c r="I705" s="40"/>
      <c r="J705" s="40"/>
      <c r="K705" s="40"/>
      <c r="L705" s="40">
        <f t="shared" si="37"/>
        <v>32300</v>
      </c>
      <c r="M705" s="40"/>
      <c r="N705" s="40"/>
      <c r="O705" s="40"/>
      <c r="P705" s="40"/>
      <c r="Q705" s="7"/>
      <c r="R705" s="7"/>
      <c r="S705" s="7"/>
      <c r="T705" s="35">
        <f t="shared" si="34"/>
        <v>0</v>
      </c>
      <c r="U705" s="7"/>
    </row>
    <row r="706" spans="1:21" x14ac:dyDescent="0.25">
      <c r="A706" s="7" t="s">
        <v>3138</v>
      </c>
      <c r="B706" s="8">
        <v>44636.392627314817</v>
      </c>
      <c r="C706" s="8">
        <v>44660</v>
      </c>
      <c r="D706" s="9">
        <v>59100</v>
      </c>
      <c r="E706" s="7" t="e">
        <f>VLOOKUP(A706,DEVOLUCIONES!A$1:A$231,1,0)</f>
        <v>#N/A</v>
      </c>
      <c r="F706" s="7" t="e">
        <f>VLOOKUP(A706,'GLOSAS X CONCILIAR'!$A$1:$A$37,1,0)</f>
        <v>#N/A</v>
      </c>
      <c r="G706" s="7" t="e">
        <f>VLOOKUP(A706,'TODAS LAS P'!A:A,1,0)</f>
        <v>#N/A</v>
      </c>
      <c r="H706" s="7" t="e">
        <f>VLOOKUP(A706,PAGOS!A740:$A$1553,1,0)</f>
        <v>#N/A</v>
      </c>
      <c r="I706" s="40"/>
      <c r="J706" s="40"/>
      <c r="K706" s="40"/>
      <c r="L706" s="40">
        <f t="shared" si="37"/>
        <v>59100</v>
      </c>
      <c r="M706" s="40"/>
      <c r="N706" s="40"/>
      <c r="O706" s="40"/>
      <c r="P706" s="40"/>
      <c r="Q706" s="7"/>
      <c r="R706" s="7"/>
      <c r="S706" s="7"/>
      <c r="T706" s="35">
        <f t="shared" si="34"/>
        <v>0</v>
      </c>
      <c r="U706" s="7"/>
    </row>
    <row r="707" spans="1:21" x14ac:dyDescent="0.25">
      <c r="A707" s="7" t="s">
        <v>3139</v>
      </c>
      <c r="B707" s="8">
        <v>44636.453819444447</v>
      </c>
      <c r="C707" s="8">
        <v>44660</v>
      </c>
      <c r="D707" s="9">
        <v>976285</v>
      </c>
      <c r="E707" s="7" t="e">
        <f>VLOOKUP(A707,DEVOLUCIONES!A$1:A$231,1,0)</f>
        <v>#N/A</v>
      </c>
      <c r="F707" s="7" t="e">
        <f>VLOOKUP(A707,'GLOSAS X CONCILIAR'!$A$1:$A$37,1,0)</f>
        <v>#N/A</v>
      </c>
      <c r="G707" s="7" t="e">
        <f>VLOOKUP(A707,'TODAS LAS P'!A:A,1,0)</f>
        <v>#N/A</v>
      </c>
      <c r="H707" s="7" t="e">
        <f>VLOOKUP(A707,PAGOS!A741:$A$1553,1,0)</f>
        <v>#N/A</v>
      </c>
      <c r="I707" s="40"/>
      <c r="J707" s="40"/>
      <c r="K707" s="40"/>
      <c r="L707" s="40">
        <f t="shared" si="37"/>
        <v>976285</v>
      </c>
      <c r="M707" s="40"/>
      <c r="N707" s="40"/>
      <c r="O707" s="40"/>
      <c r="P707" s="40"/>
      <c r="Q707" s="7"/>
      <c r="R707" s="7"/>
      <c r="S707" s="7"/>
      <c r="T707" s="35">
        <f t="shared" ref="T707:T770" si="38">D707-SUM(I707:Q707)</f>
        <v>0</v>
      </c>
      <c r="U707" s="7"/>
    </row>
    <row r="708" spans="1:21" x14ac:dyDescent="0.25">
      <c r="A708" s="7" t="s">
        <v>3140</v>
      </c>
      <c r="B708" s="8">
        <v>44637.302928240744</v>
      </c>
      <c r="C708" s="8">
        <v>44660</v>
      </c>
      <c r="D708" s="9">
        <v>36000</v>
      </c>
      <c r="E708" s="7" t="e">
        <f>VLOOKUP(A708,DEVOLUCIONES!A$1:A$231,1,0)</f>
        <v>#N/A</v>
      </c>
      <c r="F708" s="7" t="e">
        <f>VLOOKUP(A708,'GLOSAS X CONCILIAR'!$A$1:$A$37,1,0)</f>
        <v>#N/A</v>
      </c>
      <c r="G708" s="7" t="e">
        <f>VLOOKUP(A708,'TODAS LAS P'!A:A,1,0)</f>
        <v>#N/A</v>
      </c>
      <c r="H708" s="7" t="e">
        <f>VLOOKUP(A708,PAGOS!A742:$A$1553,1,0)</f>
        <v>#N/A</v>
      </c>
      <c r="I708" s="40"/>
      <c r="J708" s="40"/>
      <c r="K708" s="40"/>
      <c r="L708" s="40">
        <f t="shared" si="37"/>
        <v>36000</v>
      </c>
      <c r="M708" s="40"/>
      <c r="N708" s="40"/>
      <c r="O708" s="40"/>
      <c r="P708" s="40"/>
      <c r="Q708" s="7"/>
      <c r="R708" s="7"/>
      <c r="S708" s="7"/>
      <c r="T708" s="35">
        <f t="shared" si="38"/>
        <v>0</v>
      </c>
      <c r="U708" s="7"/>
    </row>
    <row r="709" spans="1:21" x14ac:dyDescent="0.25">
      <c r="A709" s="7" t="s">
        <v>3141</v>
      </c>
      <c r="B709" s="8">
        <v>44637.309305555558</v>
      </c>
      <c r="C709" s="8">
        <v>44660</v>
      </c>
      <c r="D709" s="9">
        <v>24600</v>
      </c>
      <c r="E709" s="7" t="e">
        <f>VLOOKUP(A709,DEVOLUCIONES!A$1:A$231,1,0)</f>
        <v>#N/A</v>
      </c>
      <c r="F709" s="7" t="e">
        <f>VLOOKUP(A709,'GLOSAS X CONCILIAR'!$A$1:$A$37,1,0)</f>
        <v>#N/A</v>
      </c>
      <c r="G709" s="7" t="e">
        <f>VLOOKUP(A709,'TODAS LAS P'!A:A,1,0)</f>
        <v>#N/A</v>
      </c>
      <c r="H709" s="7" t="e">
        <f>VLOOKUP(A709,PAGOS!A743:$A$1553,1,0)</f>
        <v>#N/A</v>
      </c>
      <c r="I709" s="40"/>
      <c r="J709" s="40"/>
      <c r="K709" s="40"/>
      <c r="L709" s="40">
        <f t="shared" si="37"/>
        <v>24600</v>
      </c>
      <c r="M709" s="40"/>
      <c r="N709" s="40"/>
      <c r="O709" s="40"/>
      <c r="P709" s="40"/>
      <c r="Q709" s="7"/>
      <c r="R709" s="7"/>
      <c r="S709" s="7"/>
      <c r="T709" s="35">
        <f t="shared" si="38"/>
        <v>0</v>
      </c>
      <c r="U709" s="7"/>
    </row>
    <row r="710" spans="1:21" x14ac:dyDescent="0.25">
      <c r="A710" s="7" t="s">
        <v>3142</v>
      </c>
      <c r="B710" s="8">
        <v>44637.312280092592</v>
      </c>
      <c r="C710" s="8">
        <v>44660</v>
      </c>
      <c r="D710" s="9">
        <v>24600</v>
      </c>
      <c r="E710" s="7" t="e">
        <f>VLOOKUP(A710,DEVOLUCIONES!A$1:A$231,1,0)</f>
        <v>#N/A</v>
      </c>
      <c r="F710" s="7" t="e">
        <f>VLOOKUP(A710,'GLOSAS X CONCILIAR'!$A$1:$A$37,1,0)</f>
        <v>#N/A</v>
      </c>
      <c r="G710" s="7" t="e">
        <f>VLOOKUP(A710,'TODAS LAS P'!A:A,1,0)</f>
        <v>#N/A</v>
      </c>
      <c r="H710" s="7" t="e">
        <f>VLOOKUP(A710,PAGOS!A744:$A$1553,1,0)</f>
        <v>#N/A</v>
      </c>
      <c r="I710" s="40"/>
      <c r="J710" s="40"/>
      <c r="K710" s="40"/>
      <c r="L710" s="40">
        <f t="shared" si="37"/>
        <v>24600</v>
      </c>
      <c r="M710" s="40"/>
      <c r="N710" s="40"/>
      <c r="O710" s="40"/>
      <c r="P710" s="40"/>
      <c r="Q710" s="7"/>
      <c r="R710" s="7"/>
      <c r="S710" s="7"/>
      <c r="T710" s="35">
        <f t="shared" si="38"/>
        <v>0</v>
      </c>
      <c r="U710" s="7"/>
    </row>
    <row r="711" spans="1:21" x14ac:dyDescent="0.25">
      <c r="A711" s="7" t="s">
        <v>3143</v>
      </c>
      <c r="B711" s="8">
        <v>44637.382141203707</v>
      </c>
      <c r="C711" s="8">
        <v>44660</v>
      </c>
      <c r="D711" s="9">
        <v>103500</v>
      </c>
      <c r="E711" s="7" t="e">
        <f>VLOOKUP(A711,DEVOLUCIONES!A$1:A$231,1,0)</f>
        <v>#N/A</v>
      </c>
      <c r="F711" s="7" t="e">
        <f>VLOOKUP(A711,'GLOSAS X CONCILIAR'!$A$1:$A$37,1,0)</f>
        <v>#N/A</v>
      </c>
      <c r="G711" s="7" t="e">
        <f>VLOOKUP(A711,'TODAS LAS P'!A:A,1,0)</f>
        <v>#N/A</v>
      </c>
      <c r="H711" s="7" t="e">
        <f>VLOOKUP(A711,PAGOS!A745:$A$1553,1,0)</f>
        <v>#N/A</v>
      </c>
      <c r="I711" s="40"/>
      <c r="J711" s="40"/>
      <c r="K711" s="40"/>
      <c r="L711" s="40">
        <f t="shared" si="37"/>
        <v>103500</v>
      </c>
      <c r="M711" s="40"/>
      <c r="N711" s="40"/>
      <c r="O711" s="40"/>
      <c r="P711" s="40"/>
      <c r="Q711" s="7"/>
      <c r="R711" s="7"/>
      <c r="S711" s="7"/>
      <c r="T711" s="35">
        <f t="shared" si="38"/>
        <v>0</v>
      </c>
      <c r="U711" s="7"/>
    </row>
    <row r="712" spans="1:21" x14ac:dyDescent="0.25">
      <c r="A712" s="7" t="s">
        <v>3144</v>
      </c>
      <c r="B712" s="8">
        <v>44638.358749999999</v>
      </c>
      <c r="C712" s="8">
        <v>44660</v>
      </c>
      <c r="D712" s="9">
        <v>615000</v>
      </c>
      <c r="E712" s="7" t="e">
        <f>VLOOKUP(A712,DEVOLUCIONES!A$1:A$231,1,0)</f>
        <v>#N/A</v>
      </c>
      <c r="F712" s="7" t="e">
        <f>VLOOKUP(A712,'GLOSAS X CONCILIAR'!$A$1:$A$37,1,0)</f>
        <v>#N/A</v>
      </c>
      <c r="G712" s="7" t="e">
        <f>VLOOKUP(A712,'TODAS LAS P'!A:A,1,0)</f>
        <v>#N/A</v>
      </c>
      <c r="H712" s="7" t="e">
        <f>VLOOKUP(A712,PAGOS!A746:$A$1553,1,0)</f>
        <v>#N/A</v>
      </c>
      <c r="I712" s="40"/>
      <c r="J712" s="40"/>
      <c r="K712" s="40"/>
      <c r="L712" s="40">
        <f t="shared" si="37"/>
        <v>615000</v>
      </c>
      <c r="M712" s="40"/>
      <c r="N712" s="40"/>
      <c r="O712" s="40"/>
      <c r="P712" s="40"/>
      <c r="Q712" s="7"/>
      <c r="R712" s="7"/>
      <c r="S712" s="7"/>
      <c r="T712" s="35">
        <f t="shared" si="38"/>
        <v>0</v>
      </c>
      <c r="U712" s="7"/>
    </row>
    <row r="713" spans="1:21" x14ac:dyDescent="0.25">
      <c r="A713" s="7" t="s">
        <v>3145</v>
      </c>
      <c r="B713" s="8">
        <v>44638.366064814814</v>
      </c>
      <c r="C713" s="8">
        <v>44660</v>
      </c>
      <c r="D713" s="9">
        <v>547500</v>
      </c>
      <c r="E713" s="7" t="e">
        <f>VLOOKUP(A713,DEVOLUCIONES!A$1:A$231,1,0)</f>
        <v>#N/A</v>
      </c>
      <c r="F713" s="7" t="e">
        <f>VLOOKUP(A713,'GLOSAS X CONCILIAR'!$A$1:$A$37,1,0)</f>
        <v>#N/A</v>
      </c>
      <c r="G713" s="7" t="e">
        <f>VLOOKUP(A713,'TODAS LAS P'!A:A,1,0)</f>
        <v>#N/A</v>
      </c>
      <c r="H713" s="7" t="e">
        <f>VLOOKUP(A713,PAGOS!A747:$A$1553,1,0)</f>
        <v>#N/A</v>
      </c>
      <c r="I713" s="40"/>
      <c r="J713" s="40"/>
      <c r="K713" s="40"/>
      <c r="L713" s="40">
        <f t="shared" si="37"/>
        <v>547500</v>
      </c>
      <c r="M713" s="40"/>
      <c r="N713" s="40"/>
      <c r="O713" s="40"/>
      <c r="P713" s="40"/>
      <c r="Q713" s="7"/>
      <c r="R713" s="7"/>
      <c r="S713" s="7"/>
      <c r="T713" s="35">
        <f t="shared" si="38"/>
        <v>0</v>
      </c>
      <c r="U713" s="7"/>
    </row>
    <row r="714" spans="1:21" x14ac:dyDescent="0.25">
      <c r="A714" s="7" t="s">
        <v>3146</v>
      </c>
      <c r="B714" s="8">
        <v>44638.433148148149</v>
      </c>
      <c r="C714" s="8">
        <v>44660</v>
      </c>
      <c r="D714" s="9">
        <v>473144</v>
      </c>
      <c r="E714" s="7" t="e">
        <f>VLOOKUP(A714,DEVOLUCIONES!A$1:A$231,1,0)</f>
        <v>#N/A</v>
      </c>
      <c r="F714" s="7" t="e">
        <f>VLOOKUP(A714,'GLOSAS X CONCILIAR'!$A$1:$A$37,1,0)</f>
        <v>#N/A</v>
      </c>
      <c r="G714" s="7" t="e">
        <f>VLOOKUP(A714,'TODAS LAS P'!A:A,1,0)</f>
        <v>#N/A</v>
      </c>
      <c r="H714" s="7" t="e">
        <f>VLOOKUP(A714,PAGOS!A748:$A$1553,1,0)</f>
        <v>#N/A</v>
      </c>
      <c r="I714" s="40"/>
      <c r="J714" s="40"/>
      <c r="K714" s="40"/>
      <c r="L714" s="40">
        <f t="shared" si="37"/>
        <v>473144</v>
      </c>
      <c r="M714" s="40"/>
      <c r="N714" s="40"/>
      <c r="O714" s="40"/>
      <c r="P714" s="40"/>
      <c r="Q714" s="7"/>
      <c r="R714" s="7"/>
      <c r="S714" s="7"/>
      <c r="T714" s="35">
        <f t="shared" si="38"/>
        <v>0</v>
      </c>
      <c r="U714" s="7"/>
    </row>
    <row r="715" spans="1:21" x14ac:dyDescent="0.25">
      <c r="A715" s="7" t="s">
        <v>3147</v>
      </c>
      <c r="B715" s="8">
        <v>44638.590613425928</v>
      </c>
      <c r="C715" s="8">
        <v>44660</v>
      </c>
      <c r="D715" s="9">
        <v>32300</v>
      </c>
      <c r="E715" s="7" t="e">
        <f>VLOOKUP(A715,DEVOLUCIONES!A$1:A$231,1,0)</f>
        <v>#N/A</v>
      </c>
      <c r="F715" s="7" t="e">
        <f>VLOOKUP(A715,'GLOSAS X CONCILIAR'!$A$1:$A$37,1,0)</f>
        <v>#N/A</v>
      </c>
      <c r="G715" s="7" t="e">
        <f>VLOOKUP(A715,'TODAS LAS P'!A:A,1,0)</f>
        <v>#N/A</v>
      </c>
      <c r="H715" s="7" t="e">
        <f>VLOOKUP(A715,PAGOS!A749:$A$1553,1,0)</f>
        <v>#N/A</v>
      </c>
      <c r="I715" s="40"/>
      <c r="J715" s="40"/>
      <c r="K715" s="40"/>
      <c r="L715" s="40">
        <f t="shared" si="37"/>
        <v>32300</v>
      </c>
      <c r="M715" s="40"/>
      <c r="N715" s="40"/>
      <c r="O715" s="40"/>
      <c r="P715" s="40"/>
      <c r="Q715" s="7"/>
      <c r="R715" s="7"/>
      <c r="S715" s="7"/>
      <c r="T715" s="35">
        <f t="shared" si="38"/>
        <v>0</v>
      </c>
      <c r="U715" s="7"/>
    </row>
    <row r="716" spans="1:21" x14ac:dyDescent="0.25">
      <c r="A716" s="7" t="s">
        <v>3148</v>
      </c>
      <c r="B716" s="8">
        <v>44639.828657407408</v>
      </c>
      <c r="C716" s="8">
        <v>44660</v>
      </c>
      <c r="D716" s="9">
        <v>125757</v>
      </c>
      <c r="E716" s="7" t="e">
        <f>VLOOKUP(A716,DEVOLUCIONES!A$1:A$231,1,0)</f>
        <v>#N/A</v>
      </c>
      <c r="F716" s="7" t="e">
        <f>VLOOKUP(A716,'GLOSAS X CONCILIAR'!$A$1:$A$37,1,0)</f>
        <v>#N/A</v>
      </c>
      <c r="G716" s="7" t="e">
        <f>VLOOKUP(A716,'TODAS LAS P'!A:A,1,0)</f>
        <v>#N/A</v>
      </c>
      <c r="H716" s="7" t="e">
        <f>VLOOKUP(A716,PAGOS!A750:$A$1553,1,0)</f>
        <v>#N/A</v>
      </c>
      <c r="I716" s="40"/>
      <c r="J716" s="40"/>
      <c r="K716" s="40"/>
      <c r="L716" s="40">
        <f t="shared" si="37"/>
        <v>125757</v>
      </c>
      <c r="M716" s="40"/>
      <c r="N716" s="40"/>
      <c r="O716" s="40"/>
      <c r="P716" s="40"/>
      <c r="Q716" s="7"/>
      <c r="R716" s="7"/>
      <c r="S716" s="7"/>
      <c r="T716" s="35">
        <f t="shared" si="38"/>
        <v>0</v>
      </c>
      <c r="U716" s="7"/>
    </row>
    <row r="717" spans="1:21" x14ac:dyDescent="0.25">
      <c r="A717" s="7" t="s">
        <v>3149</v>
      </c>
      <c r="B717" s="8">
        <v>44640.71802083333</v>
      </c>
      <c r="C717" s="8">
        <v>44660</v>
      </c>
      <c r="D717" s="9">
        <v>77162</v>
      </c>
      <c r="E717" s="7" t="e">
        <f>VLOOKUP(A717,DEVOLUCIONES!A$1:A$231,1,0)</f>
        <v>#N/A</v>
      </c>
      <c r="F717" s="7" t="e">
        <f>VLOOKUP(A717,'GLOSAS X CONCILIAR'!$A$1:$A$37,1,0)</f>
        <v>#N/A</v>
      </c>
      <c r="G717" s="7" t="e">
        <f>VLOOKUP(A717,'TODAS LAS P'!A:A,1,0)</f>
        <v>#N/A</v>
      </c>
      <c r="H717" s="7" t="e">
        <f>VLOOKUP(A717,PAGOS!A751:$A$1553,1,0)</f>
        <v>#N/A</v>
      </c>
      <c r="I717" s="40"/>
      <c r="J717" s="40"/>
      <c r="K717" s="40"/>
      <c r="L717" s="40">
        <f t="shared" si="37"/>
        <v>77162</v>
      </c>
      <c r="M717" s="40"/>
      <c r="N717" s="40"/>
      <c r="O717" s="40"/>
      <c r="P717" s="40"/>
      <c r="Q717" s="7"/>
      <c r="R717" s="7"/>
      <c r="S717" s="7"/>
      <c r="T717" s="35">
        <f t="shared" si="38"/>
        <v>0</v>
      </c>
      <c r="U717" s="7"/>
    </row>
    <row r="718" spans="1:21" x14ac:dyDescent="0.25">
      <c r="A718" s="7" t="s">
        <v>3150</v>
      </c>
      <c r="B718" s="8">
        <v>44641.824247685188</v>
      </c>
      <c r="C718" s="8">
        <v>44660</v>
      </c>
      <c r="D718" s="9">
        <v>130461</v>
      </c>
      <c r="E718" s="7" t="e">
        <f>VLOOKUP(A718,DEVOLUCIONES!A$1:A$231,1,0)</f>
        <v>#N/A</v>
      </c>
      <c r="F718" s="7" t="e">
        <f>VLOOKUP(A718,'GLOSAS X CONCILIAR'!$A$1:$A$37,1,0)</f>
        <v>#N/A</v>
      </c>
      <c r="G718" s="7" t="e">
        <f>VLOOKUP(A718,'TODAS LAS P'!A:A,1,0)</f>
        <v>#N/A</v>
      </c>
      <c r="H718" s="7" t="e">
        <f>VLOOKUP(A718,PAGOS!A752:$A$1553,1,0)</f>
        <v>#N/A</v>
      </c>
      <c r="I718" s="40"/>
      <c r="J718" s="40"/>
      <c r="K718" s="40"/>
      <c r="L718" s="40">
        <f t="shared" si="37"/>
        <v>130461</v>
      </c>
      <c r="M718" s="40"/>
      <c r="N718" s="40"/>
      <c r="O718" s="40"/>
      <c r="P718" s="40"/>
      <c r="Q718" s="7"/>
      <c r="R718" s="7"/>
      <c r="S718" s="7"/>
      <c r="T718" s="35">
        <f t="shared" si="38"/>
        <v>0</v>
      </c>
      <c r="U718" s="7"/>
    </row>
    <row r="719" spans="1:21" x14ac:dyDescent="0.25">
      <c r="A719" s="7" t="s">
        <v>3151</v>
      </c>
      <c r="B719" s="8">
        <v>44641.93478009259</v>
      </c>
      <c r="C719" s="8">
        <v>44660</v>
      </c>
      <c r="D719" s="9">
        <v>139678</v>
      </c>
      <c r="E719" s="7" t="e">
        <f>VLOOKUP(A719,DEVOLUCIONES!A$1:A$231,1,0)</f>
        <v>#N/A</v>
      </c>
      <c r="F719" s="7" t="e">
        <f>VLOOKUP(A719,'GLOSAS X CONCILIAR'!$A$1:$A$37,1,0)</f>
        <v>#N/A</v>
      </c>
      <c r="G719" s="7" t="e">
        <f>VLOOKUP(A719,'TODAS LAS P'!A:A,1,0)</f>
        <v>#N/A</v>
      </c>
      <c r="H719" s="7" t="e">
        <f>VLOOKUP(A719,PAGOS!A753:$A$1553,1,0)</f>
        <v>#N/A</v>
      </c>
      <c r="I719" s="40"/>
      <c r="J719" s="40"/>
      <c r="K719" s="40"/>
      <c r="L719" s="40">
        <f t="shared" si="37"/>
        <v>139678</v>
      </c>
      <c r="M719" s="40"/>
      <c r="N719" s="40"/>
      <c r="O719" s="40"/>
      <c r="P719" s="40"/>
      <c r="Q719" s="7"/>
      <c r="R719" s="7"/>
      <c r="S719" s="7"/>
      <c r="T719" s="35">
        <f t="shared" si="38"/>
        <v>0</v>
      </c>
      <c r="U719" s="7"/>
    </row>
    <row r="720" spans="1:21" x14ac:dyDescent="0.25">
      <c r="A720" s="7" t="s">
        <v>3152</v>
      </c>
      <c r="B720" s="8">
        <v>44642.298032407409</v>
      </c>
      <c r="C720" s="8">
        <v>44660</v>
      </c>
      <c r="D720" s="9">
        <v>36000</v>
      </c>
      <c r="E720" s="7" t="e">
        <f>VLOOKUP(A720,DEVOLUCIONES!A$1:A$231,1,0)</f>
        <v>#N/A</v>
      </c>
      <c r="F720" s="7" t="e">
        <f>VLOOKUP(A720,'GLOSAS X CONCILIAR'!$A$1:$A$37,1,0)</f>
        <v>#N/A</v>
      </c>
      <c r="G720" s="7" t="e">
        <f>VLOOKUP(A720,'TODAS LAS P'!A:A,1,0)</f>
        <v>#N/A</v>
      </c>
      <c r="H720" s="7" t="e">
        <f>VLOOKUP(A720,PAGOS!A754:$A$1553,1,0)</f>
        <v>#N/A</v>
      </c>
      <c r="I720" s="40"/>
      <c r="J720" s="40"/>
      <c r="K720" s="40"/>
      <c r="L720" s="40">
        <f t="shared" si="37"/>
        <v>36000</v>
      </c>
      <c r="M720" s="40"/>
      <c r="N720" s="40"/>
      <c r="O720" s="40"/>
      <c r="P720" s="40"/>
      <c r="Q720" s="7"/>
      <c r="R720" s="7"/>
      <c r="S720" s="7"/>
      <c r="T720" s="35">
        <f t="shared" si="38"/>
        <v>0</v>
      </c>
      <c r="U720" s="7"/>
    </row>
    <row r="721" spans="1:21" x14ac:dyDescent="0.25">
      <c r="A721" s="7" t="s">
        <v>3153</v>
      </c>
      <c r="B721" s="8">
        <v>44642.368171296293</v>
      </c>
      <c r="C721" s="8">
        <v>44660</v>
      </c>
      <c r="D721" s="9">
        <v>40900</v>
      </c>
      <c r="E721" s="7" t="e">
        <f>VLOOKUP(A721,DEVOLUCIONES!A$1:A$231,1,0)</f>
        <v>#N/A</v>
      </c>
      <c r="F721" s="7" t="e">
        <f>VLOOKUP(A721,'GLOSAS X CONCILIAR'!$A$1:$A$37,1,0)</f>
        <v>#N/A</v>
      </c>
      <c r="G721" s="7" t="e">
        <f>VLOOKUP(A721,'TODAS LAS P'!A:A,1,0)</f>
        <v>#N/A</v>
      </c>
      <c r="H721" s="7" t="e">
        <f>VLOOKUP(A721,PAGOS!A755:$A$1553,1,0)</f>
        <v>#N/A</v>
      </c>
      <c r="I721" s="40"/>
      <c r="J721" s="40"/>
      <c r="K721" s="40"/>
      <c r="L721" s="40">
        <f t="shared" si="37"/>
        <v>40900</v>
      </c>
      <c r="M721" s="40"/>
      <c r="N721" s="40"/>
      <c r="O721" s="40"/>
      <c r="P721" s="40"/>
      <c r="Q721" s="7"/>
      <c r="R721" s="7"/>
      <c r="S721" s="7"/>
      <c r="T721" s="35">
        <f t="shared" si="38"/>
        <v>0</v>
      </c>
      <c r="U721" s="7"/>
    </row>
    <row r="722" spans="1:21" x14ac:dyDescent="0.25">
      <c r="A722" s="7" t="s">
        <v>3154</v>
      </c>
      <c r="B722" s="8">
        <v>44642.386655092596</v>
      </c>
      <c r="C722" s="8">
        <v>44660</v>
      </c>
      <c r="D722" s="9">
        <v>51900</v>
      </c>
      <c r="E722" s="7" t="e">
        <f>VLOOKUP(A722,DEVOLUCIONES!A$1:A$231,1,0)</f>
        <v>#N/A</v>
      </c>
      <c r="F722" s="7" t="e">
        <f>VLOOKUP(A722,'GLOSAS X CONCILIAR'!$A$1:$A$37,1,0)</f>
        <v>#N/A</v>
      </c>
      <c r="G722" s="7" t="e">
        <f>VLOOKUP(A722,'TODAS LAS P'!A:A,1,0)</f>
        <v>#N/A</v>
      </c>
      <c r="H722" s="7" t="e">
        <f>VLOOKUP(A722,PAGOS!A756:$A$1553,1,0)</f>
        <v>#N/A</v>
      </c>
      <c r="I722" s="40"/>
      <c r="J722" s="40"/>
      <c r="K722" s="40"/>
      <c r="L722" s="40">
        <f t="shared" si="37"/>
        <v>51900</v>
      </c>
      <c r="M722" s="40"/>
      <c r="N722" s="40"/>
      <c r="O722" s="40"/>
      <c r="P722" s="40"/>
      <c r="Q722" s="7"/>
      <c r="R722" s="7"/>
      <c r="S722" s="7"/>
      <c r="T722" s="35">
        <f t="shared" si="38"/>
        <v>0</v>
      </c>
      <c r="U722" s="7"/>
    </row>
    <row r="723" spans="1:21" x14ac:dyDescent="0.25">
      <c r="A723" s="7" t="s">
        <v>3155</v>
      </c>
      <c r="B723" s="8">
        <v>44642.420138888891</v>
      </c>
      <c r="C723" s="8">
        <v>44660</v>
      </c>
      <c r="D723" s="9">
        <v>48200</v>
      </c>
      <c r="E723" s="7" t="e">
        <f>VLOOKUP(A723,DEVOLUCIONES!A$1:A$231,1,0)</f>
        <v>#N/A</v>
      </c>
      <c r="F723" s="7" t="e">
        <f>VLOOKUP(A723,'GLOSAS X CONCILIAR'!$A$1:$A$37,1,0)</f>
        <v>#N/A</v>
      </c>
      <c r="G723" s="7" t="e">
        <f>VLOOKUP(A723,'TODAS LAS P'!A:A,1,0)</f>
        <v>#N/A</v>
      </c>
      <c r="H723" s="7" t="e">
        <f>VLOOKUP(A723,PAGOS!A757:$A$1553,1,0)</f>
        <v>#N/A</v>
      </c>
      <c r="I723" s="40"/>
      <c r="J723" s="40"/>
      <c r="K723" s="40"/>
      <c r="L723" s="40">
        <f t="shared" si="37"/>
        <v>48200</v>
      </c>
      <c r="M723" s="40"/>
      <c r="N723" s="40"/>
      <c r="O723" s="40"/>
      <c r="P723" s="40"/>
      <c r="Q723" s="7"/>
      <c r="R723" s="7"/>
      <c r="S723" s="7"/>
      <c r="T723" s="35">
        <f t="shared" si="38"/>
        <v>0</v>
      </c>
      <c r="U723" s="7"/>
    </row>
    <row r="724" spans="1:21" x14ac:dyDescent="0.25">
      <c r="A724" s="7" t="s">
        <v>3156</v>
      </c>
      <c r="B724" s="8">
        <v>44642.636712962965</v>
      </c>
      <c r="C724" s="8">
        <v>44660</v>
      </c>
      <c r="D724" s="9">
        <v>36000</v>
      </c>
      <c r="E724" s="7" t="e">
        <f>VLOOKUP(A724,DEVOLUCIONES!A$1:A$231,1,0)</f>
        <v>#N/A</v>
      </c>
      <c r="F724" s="7" t="e">
        <f>VLOOKUP(A724,'GLOSAS X CONCILIAR'!$A$1:$A$37,1,0)</f>
        <v>#N/A</v>
      </c>
      <c r="G724" s="7" t="e">
        <f>VLOOKUP(A724,'TODAS LAS P'!A:A,1,0)</f>
        <v>#N/A</v>
      </c>
      <c r="H724" s="7" t="e">
        <f>VLOOKUP(A724,PAGOS!A758:$A$1553,1,0)</f>
        <v>#N/A</v>
      </c>
      <c r="I724" s="40"/>
      <c r="J724" s="40"/>
      <c r="K724" s="40"/>
      <c r="L724" s="40">
        <f t="shared" si="37"/>
        <v>36000</v>
      </c>
      <c r="M724" s="40"/>
      <c r="N724" s="40"/>
      <c r="O724" s="40"/>
      <c r="P724" s="40"/>
      <c r="Q724" s="7"/>
      <c r="R724" s="7"/>
      <c r="S724" s="7"/>
      <c r="T724" s="35">
        <f t="shared" si="38"/>
        <v>0</v>
      </c>
      <c r="U724" s="7"/>
    </row>
    <row r="725" spans="1:21" x14ac:dyDescent="0.25">
      <c r="A725" s="7" t="s">
        <v>3157</v>
      </c>
      <c r="B725" s="8">
        <v>44642.734432870369</v>
      </c>
      <c r="C725" s="8">
        <v>44660</v>
      </c>
      <c r="D725" s="9">
        <v>115778</v>
      </c>
      <c r="E725" s="7" t="e">
        <f>VLOOKUP(A725,DEVOLUCIONES!A$1:A$231,1,0)</f>
        <v>#N/A</v>
      </c>
      <c r="F725" s="7" t="e">
        <f>VLOOKUP(A725,'GLOSAS X CONCILIAR'!$A$1:$A$37,1,0)</f>
        <v>#N/A</v>
      </c>
      <c r="G725" s="7" t="e">
        <f>VLOOKUP(A725,'TODAS LAS P'!A:A,1,0)</f>
        <v>#N/A</v>
      </c>
      <c r="H725" s="7" t="e">
        <f>VLOOKUP(A725,PAGOS!A759:$A$1553,1,0)</f>
        <v>#N/A</v>
      </c>
      <c r="I725" s="40"/>
      <c r="J725" s="40"/>
      <c r="K725" s="40"/>
      <c r="L725" s="40">
        <f t="shared" si="37"/>
        <v>115778</v>
      </c>
      <c r="M725" s="40"/>
      <c r="N725" s="40"/>
      <c r="O725" s="40"/>
      <c r="P725" s="40"/>
      <c r="Q725" s="7"/>
      <c r="R725" s="7"/>
      <c r="S725" s="7"/>
      <c r="T725" s="35">
        <f t="shared" si="38"/>
        <v>0</v>
      </c>
      <c r="U725" s="7"/>
    </row>
    <row r="726" spans="1:21" x14ac:dyDescent="0.25">
      <c r="A726" s="7" t="s">
        <v>3158</v>
      </c>
      <c r="B726" s="8">
        <v>44642.898055555554</v>
      </c>
      <c r="C726" s="8">
        <v>44660</v>
      </c>
      <c r="D726" s="9">
        <v>59100</v>
      </c>
      <c r="E726" s="7" t="e">
        <f>VLOOKUP(A726,DEVOLUCIONES!A$1:A$231,1,0)</f>
        <v>#N/A</v>
      </c>
      <c r="F726" s="7" t="e">
        <f>VLOOKUP(A726,'GLOSAS X CONCILIAR'!$A$1:$A$37,1,0)</f>
        <v>#N/A</v>
      </c>
      <c r="G726" s="7" t="e">
        <f>VLOOKUP(A726,'TODAS LAS P'!A:A,1,0)</f>
        <v>#N/A</v>
      </c>
      <c r="H726" s="7" t="e">
        <f>VLOOKUP(A726,PAGOS!A760:$A$1553,1,0)</f>
        <v>#N/A</v>
      </c>
      <c r="I726" s="40"/>
      <c r="J726" s="40"/>
      <c r="K726" s="40"/>
      <c r="L726" s="40">
        <f t="shared" si="37"/>
        <v>59100</v>
      </c>
      <c r="M726" s="40"/>
      <c r="N726" s="40"/>
      <c r="O726" s="40"/>
      <c r="P726" s="40"/>
      <c r="Q726" s="7"/>
      <c r="R726" s="7"/>
      <c r="S726" s="7"/>
      <c r="T726" s="35">
        <f t="shared" si="38"/>
        <v>0</v>
      </c>
      <c r="U726" s="7"/>
    </row>
    <row r="727" spans="1:21" x14ac:dyDescent="0.25">
      <c r="A727" s="7" t="s">
        <v>3159</v>
      </c>
      <c r="B727" s="8">
        <v>44643.390104166669</v>
      </c>
      <c r="C727" s="8">
        <v>44660</v>
      </c>
      <c r="D727" s="9">
        <v>48200</v>
      </c>
      <c r="E727" s="7" t="e">
        <f>VLOOKUP(A727,DEVOLUCIONES!A$1:A$231,1,0)</f>
        <v>#N/A</v>
      </c>
      <c r="F727" s="7" t="e">
        <f>VLOOKUP(A727,'GLOSAS X CONCILIAR'!$A$1:$A$37,1,0)</f>
        <v>#N/A</v>
      </c>
      <c r="G727" s="7" t="e">
        <f>VLOOKUP(A727,'TODAS LAS P'!A:A,1,0)</f>
        <v>#N/A</v>
      </c>
      <c r="H727" s="7" t="e">
        <f>VLOOKUP(A727,PAGOS!A761:$A$1553,1,0)</f>
        <v>#N/A</v>
      </c>
      <c r="I727" s="40"/>
      <c r="J727" s="40"/>
      <c r="K727" s="40"/>
      <c r="L727" s="40">
        <f t="shared" si="37"/>
        <v>48200</v>
      </c>
      <c r="M727" s="40"/>
      <c r="N727" s="40"/>
      <c r="O727" s="40"/>
      <c r="P727" s="40"/>
      <c r="Q727" s="7"/>
      <c r="R727" s="7"/>
      <c r="S727" s="7"/>
      <c r="T727" s="35">
        <f t="shared" si="38"/>
        <v>0</v>
      </c>
      <c r="U727" s="7"/>
    </row>
    <row r="728" spans="1:21" x14ac:dyDescent="0.25">
      <c r="A728" s="7" t="s">
        <v>3160</v>
      </c>
      <c r="B728" s="8">
        <v>44643.527430555558</v>
      </c>
      <c r="C728" s="8">
        <v>44660</v>
      </c>
      <c r="D728" s="9">
        <v>164900</v>
      </c>
      <c r="E728" s="7" t="e">
        <f>VLOOKUP(A728,DEVOLUCIONES!A$1:A$231,1,0)</f>
        <v>#N/A</v>
      </c>
      <c r="F728" s="7" t="e">
        <f>VLOOKUP(A728,'GLOSAS X CONCILIAR'!$A$1:$A$37,1,0)</f>
        <v>#N/A</v>
      </c>
      <c r="G728" s="7" t="e">
        <f>VLOOKUP(A728,'TODAS LAS P'!A:A,1,0)</f>
        <v>#N/A</v>
      </c>
      <c r="H728" s="7" t="e">
        <f>VLOOKUP(A728,PAGOS!A762:$A$1553,1,0)</f>
        <v>#N/A</v>
      </c>
      <c r="I728" s="40"/>
      <c r="J728" s="40"/>
      <c r="K728" s="40"/>
      <c r="L728" s="40">
        <f t="shared" si="37"/>
        <v>164900</v>
      </c>
      <c r="M728" s="40"/>
      <c r="N728" s="40"/>
      <c r="O728" s="40"/>
      <c r="P728" s="40"/>
      <c r="Q728" s="7"/>
      <c r="R728" s="7"/>
      <c r="S728" s="7"/>
      <c r="T728" s="35">
        <f t="shared" si="38"/>
        <v>0</v>
      </c>
      <c r="U728" s="7"/>
    </row>
    <row r="729" spans="1:21" x14ac:dyDescent="0.25">
      <c r="A729" s="7" t="s">
        <v>3161</v>
      </c>
      <c r="B729" s="8">
        <v>44643.533032407409</v>
      </c>
      <c r="C729" s="8">
        <v>44660</v>
      </c>
      <c r="D729" s="9">
        <v>36000</v>
      </c>
      <c r="E729" s="7" t="e">
        <f>VLOOKUP(A729,DEVOLUCIONES!A$1:A$231,1,0)</f>
        <v>#N/A</v>
      </c>
      <c r="F729" s="7" t="e">
        <f>VLOOKUP(A729,'GLOSAS X CONCILIAR'!$A$1:$A$37,1,0)</f>
        <v>#N/A</v>
      </c>
      <c r="G729" s="7" t="e">
        <f>VLOOKUP(A729,'TODAS LAS P'!A:A,1,0)</f>
        <v>#N/A</v>
      </c>
      <c r="H729" s="7" t="e">
        <f>VLOOKUP(A729,PAGOS!A763:$A$1553,1,0)</f>
        <v>#N/A</v>
      </c>
      <c r="I729" s="40"/>
      <c r="J729" s="40"/>
      <c r="K729" s="40"/>
      <c r="L729" s="40">
        <f t="shared" si="37"/>
        <v>36000</v>
      </c>
      <c r="M729" s="40"/>
      <c r="N729" s="40"/>
      <c r="O729" s="40"/>
      <c r="P729" s="40"/>
      <c r="Q729" s="7"/>
      <c r="R729" s="7"/>
      <c r="S729" s="7"/>
      <c r="T729" s="35">
        <f t="shared" si="38"/>
        <v>0</v>
      </c>
      <c r="U729" s="7"/>
    </row>
    <row r="730" spans="1:21" x14ac:dyDescent="0.25">
      <c r="A730" s="7" t="s">
        <v>3162</v>
      </c>
      <c r="B730" s="8">
        <v>44643.553900462961</v>
      </c>
      <c r="C730" s="8">
        <v>44660</v>
      </c>
      <c r="D730" s="9">
        <v>36000</v>
      </c>
      <c r="E730" s="7" t="e">
        <f>VLOOKUP(A730,DEVOLUCIONES!A$1:A$231,1,0)</f>
        <v>#N/A</v>
      </c>
      <c r="F730" s="7" t="e">
        <f>VLOOKUP(A730,'GLOSAS X CONCILIAR'!$A$1:$A$37,1,0)</f>
        <v>#N/A</v>
      </c>
      <c r="G730" s="7" t="e">
        <f>VLOOKUP(A730,'TODAS LAS P'!A:A,1,0)</f>
        <v>#N/A</v>
      </c>
      <c r="H730" s="7" t="e">
        <f>VLOOKUP(A730,PAGOS!A764:$A$1553,1,0)</f>
        <v>#N/A</v>
      </c>
      <c r="I730" s="40"/>
      <c r="J730" s="40"/>
      <c r="K730" s="40"/>
      <c r="L730" s="40">
        <f t="shared" si="37"/>
        <v>36000</v>
      </c>
      <c r="M730" s="40"/>
      <c r="N730" s="40"/>
      <c r="O730" s="40"/>
      <c r="P730" s="40"/>
      <c r="Q730" s="7"/>
      <c r="R730" s="7"/>
      <c r="S730" s="7"/>
      <c r="T730" s="35">
        <f t="shared" si="38"/>
        <v>0</v>
      </c>
      <c r="U730" s="7"/>
    </row>
    <row r="731" spans="1:21" x14ac:dyDescent="0.25">
      <c r="A731" s="7" t="s">
        <v>3163</v>
      </c>
      <c r="B731" s="8">
        <v>44643.554710648146</v>
      </c>
      <c r="C731" s="8">
        <v>44660</v>
      </c>
      <c r="D731" s="9">
        <v>85500</v>
      </c>
      <c r="E731" s="7" t="e">
        <f>VLOOKUP(A731,DEVOLUCIONES!A$1:A$231,1,0)</f>
        <v>#N/A</v>
      </c>
      <c r="F731" s="7" t="e">
        <f>VLOOKUP(A731,'GLOSAS X CONCILIAR'!$A$1:$A$37,1,0)</f>
        <v>#N/A</v>
      </c>
      <c r="G731" s="7" t="e">
        <f>VLOOKUP(A731,'TODAS LAS P'!A:A,1,0)</f>
        <v>#N/A</v>
      </c>
      <c r="H731" s="7" t="e">
        <f>VLOOKUP(A731,PAGOS!A765:$A$1553,1,0)</f>
        <v>#N/A</v>
      </c>
      <c r="I731" s="40"/>
      <c r="J731" s="40"/>
      <c r="K731" s="40"/>
      <c r="L731" s="40">
        <f t="shared" si="37"/>
        <v>85500</v>
      </c>
      <c r="M731" s="40"/>
      <c r="N731" s="40"/>
      <c r="O731" s="40"/>
      <c r="P731" s="40"/>
      <c r="Q731" s="7"/>
      <c r="R731" s="7"/>
      <c r="S731" s="7"/>
      <c r="T731" s="35">
        <f t="shared" si="38"/>
        <v>0</v>
      </c>
      <c r="U731" s="7"/>
    </row>
    <row r="732" spans="1:21" x14ac:dyDescent="0.25">
      <c r="A732" s="7" t="s">
        <v>3164</v>
      </c>
      <c r="B732" s="8">
        <v>44643.690428240741</v>
      </c>
      <c r="C732" s="8">
        <v>44660</v>
      </c>
      <c r="D732" s="9">
        <v>237300</v>
      </c>
      <c r="E732" s="7" t="e">
        <f>VLOOKUP(A732,DEVOLUCIONES!A$1:A$231,1,0)</f>
        <v>#N/A</v>
      </c>
      <c r="F732" s="7" t="e">
        <f>VLOOKUP(A732,'GLOSAS X CONCILIAR'!$A$1:$A$37,1,0)</f>
        <v>#N/A</v>
      </c>
      <c r="G732" s="7" t="e">
        <f>VLOOKUP(A732,'TODAS LAS P'!A:A,1,0)</f>
        <v>#N/A</v>
      </c>
      <c r="H732" s="7" t="e">
        <f>VLOOKUP(A732,PAGOS!A766:$A$1553,1,0)</f>
        <v>#N/A</v>
      </c>
      <c r="I732" s="40"/>
      <c r="J732" s="40"/>
      <c r="K732" s="40"/>
      <c r="L732" s="40">
        <f t="shared" si="37"/>
        <v>237300</v>
      </c>
      <c r="M732" s="40"/>
      <c r="N732" s="40"/>
      <c r="O732" s="40"/>
      <c r="P732" s="40"/>
      <c r="Q732" s="7"/>
      <c r="R732" s="7"/>
      <c r="S732" s="7"/>
      <c r="T732" s="35">
        <f t="shared" si="38"/>
        <v>0</v>
      </c>
      <c r="U732" s="7"/>
    </row>
    <row r="733" spans="1:21" x14ac:dyDescent="0.25">
      <c r="A733" s="7" t="s">
        <v>3165</v>
      </c>
      <c r="B733" s="8">
        <v>44644.321539351855</v>
      </c>
      <c r="C733" s="8">
        <v>44660</v>
      </c>
      <c r="D733" s="9">
        <v>11100</v>
      </c>
      <c r="E733" s="7" t="e">
        <f>VLOOKUP(A733,DEVOLUCIONES!A$1:A$231,1,0)</f>
        <v>#N/A</v>
      </c>
      <c r="F733" s="7" t="e">
        <f>VLOOKUP(A733,'GLOSAS X CONCILIAR'!$A$1:$A$37,1,0)</f>
        <v>#N/A</v>
      </c>
      <c r="G733" s="7" t="e">
        <f>VLOOKUP(A733,'TODAS LAS P'!A:A,1,0)</f>
        <v>#N/A</v>
      </c>
      <c r="H733" s="7" t="e">
        <f>VLOOKUP(A733,PAGOS!A767:$A$1553,1,0)</f>
        <v>#N/A</v>
      </c>
      <c r="I733" s="40"/>
      <c r="J733" s="40"/>
      <c r="K733" s="40"/>
      <c r="L733" s="40">
        <f t="shared" ref="L733:L753" si="39">D733</f>
        <v>11100</v>
      </c>
      <c r="M733" s="40"/>
      <c r="N733" s="40"/>
      <c r="O733" s="40"/>
      <c r="P733" s="40"/>
      <c r="Q733" s="7"/>
      <c r="R733" s="7"/>
      <c r="S733" s="7"/>
      <c r="T733" s="35">
        <f t="shared" si="38"/>
        <v>0</v>
      </c>
      <c r="U733" s="7"/>
    </row>
    <row r="734" spans="1:21" x14ac:dyDescent="0.25">
      <c r="A734" s="7" t="s">
        <v>3166</v>
      </c>
      <c r="B734" s="8">
        <v>44644.343252314815</v>
      </c>
      <c r="C734" s="8">
        <v>44660</v>
      </c>
      <c r="D734" s="9">
        <v>76000</v>
      </c>
      <c r="E734" s="7" t="e">
        <f>VLOOKUP(A734,DEVOLUCIONES!A$1:A$231,1,0)</f>
        <v>#N/A</v>
      </c>
      <c r="F734" s="7" t="e">
        <f>VLOOKUP(A734,'GLOSAS X CONCILIAR'!$A$1:$A$37,1,0)</f>
        <v>#N/A</v>
      </c>
      <c r="G734" s="7" t="e">
        <f>VLOOKUP(A734,'TODAS LAS P'!A:A,1,0)</f>
        <v>#N/A</v>
      </c>
      <c r="H734" s="7" t="e">
        <f>VLOOKUP(A734,PAGOS!A768:$A$1553,1,0)</f>
        <v>#N/A</v>
      </c>
      <c r="I734" s="40"/>
      <c r="J734" s="40"/>
      <c r="K734" s="40"/>
      <c r="L734" s="40">
        <f t="shared" si="39"/>
        <v>76000</v>
      </c>
      <c r="M734" s="40"/>
      <c r="N734" s="40"/>
      <c r="O734" s="40"/>
      <c r="P734" s="40"/>
      <c r="Q734" s="7"/>
      <c r="R734" s="7"/>
      <c r="S734" s="7"/>
      <c r="T734" s="35">
        <f t="shared" si="38"/>
        <v>0</v>
      </c>
      <c r="U734" s="7"/>
    </row>
    <row r="735" spans="1:21" x14ac:dyDescent="0.25">
      <c r="A735" s="7" t="s">
        <v>3167</v>
      </c>
      <c r="B735" s="8">
        <v>44644.54996527778</v>
      </c>
      <c r="C735" s="8">
        <v>44660</v>
      </c>
      <c r="D735" s="9">
        <v>32300</v>
      </c>
      <c r="E735" s="7" t="e">
        <f>VLOOKUP(A735,DEVOLUCIONES!A$1:A$231,1,0)</f>
        <v>#N/A</v>
      </c>
      <c r="F735" s="7" t="e">
        <f>VLOOKUP(A735,'GLOSAS X CONCILIAR'!$A$1:$A$37,1,0)</f>
        <v>#N/A</v>
      </c>
      <c r="G735" s="7" t="e">
        <f>VLOOKUP(A735,'TODAS LAS P'!A:A,1,0)</f>
        <v>#N/A</v>
      </c>
      <c r="H735" s="7" t="e">
        <f>VLOOKUP(A735,PAGOS!A769:$A$1553,1,0)</f>
        <v>#N/A</v>
      </c>
      <c r="I735" s="40"/>
      <c r="J735" s="40"/>
      <c r="K735" s="40"/>
      <c r="L735" s="40">
        <f t="shared" si="39"/>
        <v>32300</v>
      </c>
      <c r="M735" s="40"/>
      <c r="N735" s="40"/>
      <c r="O735" s="40"/>
      <c r="P735" s="40"/>
      <c r="Q735" s="7"/>
      <c r="R735" s="7"/>
      <c r="S735" s="7"/>
      <c r="T735" s="35">
        <f t="shared" si="38"/>
        <v>0</v>
      </c>
      <c r="U735" s="7"/>
    </row>
    <row r="736" spans="1:21" x14ac:dyDescent="0.25">
      <c r="A736" s="7" t="s">
        <v>3168</v>
      </c>
      <c r="B736" s="8">
        <v>44644.655185185184</v>
      </c>
      <c r="C736" s="8">
        <v>44660</v>
      </c>
      <c r="D736" s="9">
        <v>23000</v>
      </c>
      <c r="E736" s="7" t="e">
        <f>VLOOKUP(A736,DEVOLUCIONES!A$1:A$231,1,0)</f>
        <v>#N/A</v>
      </c>
      <c r="F736" s="7" t="e">
        <f>VLOOKUP(A736,'GLOSAS X CONCILIAR'!$A$1:$A$37,1,0)</f>
        <v>#N/A</v>
      </c>
      <c r="G736" s="7" t="e">
        <f>VLOOKUP(A736,'TODAS LAS P'!A:A,1,0)</f>
        <v>#N/A</v>
      </c>
      <c r="H736" s="7" t="e">
        <f>VLOOKUP(A736,PAGOS!A770:$A$1553,1,0)</f>
        <v>#N/A</v>
      </c>
      <c r="I736" s="40"/>
      <c r="J736" s="40"/>
      <c r="K736" s="40"/>
      <c r="L736" s="40">
        <f t="shared" si="39"/>
        <v>23000</v>
      </c>
      <c r="M736" s="40"/>
      <c r="N736" s="40"/>
      <c r="O736" s="40"/>
      <c r="P736" s="40"/>
      <c r="Q736" s="7"/>
      <c r="R736" s="7"/>
      <c r="S736" s="7"/>
      <c r="T736" s="35">
        <f t="shared" si="38"/>
        <v>0</v>
      </c>
      <c r="U736" s="7"/>
    </row>
    <row r="737" spans="1:21" x14ac:dyDescent="0.25">
      <c r="A737" s="7" t="s">
        <v>3169</v>
      </c>
      <c r="B737" s="8">
        <v>44644.712777777779</v>
      </c>
      <c r="C737" s="8">
        <v>44660</v>
      </c>
      <c r="D737" s="9">
        <v>3094362</v>
      </c>
      <c r="E737" s="7" t="e">
        <f>VLOOKUP(A737,DEVOLUCIONES!A$1:A$231,1,0)</f>
        <v>#N/A</v>
      </c>
      <c r="F737" s="7" t="e">
        <f>VLOOKUP(A737,'GLOSAS X CONCILIAR'!$A$1:$A$37,1,0)</f>
        <v>#N/A</v>
      </c>
      <c r="G737" s="7" t="e">
        <f>VLOOKUP(A737,'TODAS LAS P'!A:A,1,0)</f>
        <v>#N/A</v>
      </c>
      <c r="H737" s="7" t="e">
        <f>VLOOKUP(A737,PAGOS!A771:$A$1553,1,0)</f>
        <v>#N/A</v>
      </c>
      <c r="I737" s="40"/>
      <c r="J737" s="40"/>
      <c r="K737" s="40"/>
      <c r="L737" s="40">
        <f t="shared" si="39"/>
        <v>3094362</v>
      </c>
      <c r="M737" s="40"/>
      <c r="N737" s="40"/>
      <c r="O737" s="40"/>
      <c r="P737" s="40"/>
      <c r="Q737" s="7"/>
      <c r="R737" s="7"/>
      <c r="S737" s="7"/>
      <c r="T737" s="35">
        <f t="shared" si="38"/>
        <v>0</v>
      </c>
      <c r="U737" s="7"/>
    </row>
    <row r="738" spans="1:21" x14ac:dyDescent="0.25">
      <c r="A738" s="7" t="s">
        <v>3170</v>
      </c>
      <c r="B738" s="8">
        <v>44645.294803240744</v>
      </c>
      <c r="C738" s="8">
        <v>44660</v>
      </c>
      <c r="D738" s="9">
        <v>896300</v>
      </c>
      <c r="E738" s="7" t="e">
        <f>VLOOKUP(A738,DEVOLUCIONES!A$1:A$231,1,0)</f>
        <v>#N/A</v>
      </c>
      <c r="F738" s="7" t="e">
        <f>VLOOKUP(A738,'GLOSAS X CONCILIAR'!$A$1:$A$37,1,0)</f>
        <v>#N/A</v>
      </c>
      <c r="G738" s="7" t="e">
        <f>VLOOKUP(A738,'TODAS LAS P'!A:A,1,0)</f>
        <v>#N/A</v>
      </c>
      <c r="H738" s="7" t="e">
        <f>VLOOKUP(A738,PAGOS!A772:$A$1553,1,0)</f>
        <v>#N/A</v>
      </c>
      <c r="I738" s="40"/>
      <c r="J738" s="40"/>
      <c r="K738" s="40"/>
      <c r="L738" s="40">
        <f t="shared" si="39"/>
        <v>896300</v>
      </c>
      <c r="M738" s="40"/>
      <c r="N738" s="40"/>
      <c r="O738" s="40"/>
      <c r="P738" s="40"/>
      <c r="Q738" s="7"/>
      <c r="R738" s="7"/>
      <c r="S738" s="7"/>
      <c r="T738" s="35">
        <f t="shared" si="38"/>
        <v>0</v>
      </c>
      <c r="U738" s="7"/>
    </row>
    <row r="739" spans="1:21" x14ac:dyDescent="0.25">
      <c r="A739" s="7" t="s">
        <v>3171</v>
      </c>
      <c r="B739" s="8">
        <v>44645.465439814812</v>
      </c>
      <c r="C739" s="8">
        <v>44660</v>
      </c>
      <c r="D739" s="9">
        <v>31000</v>
      </c>
      <c r="E739" s="7" t="e">
        <f>VLOOKUP(A739,DEVOLUCIONES!A$1:A$231,1,0)</f>
        <v>#N/A</v>
      </c>
      <c r="F739" s="7" t="e">
        <f>VLOOKUP(A739,'GLOSAS X CONCILIAR'!$A$1:$A$37,1,0)</f>
        <v>#N/A</v>
      </c>
      <c r="G739" s="7" t="e">
        <f>VLOOKUP(A739,'TODAS LAS P'!A:A,1,0)</f>
        <v>#N/A</v>
      </c>
      <c r="H739" s="7" t="e">
        <f>VLOOKUP(A739,PAGOS!A773:$A$1553,1,0)</f>
        <v>#N/A</v>
      </c>
      <c r="I739" s="40"/>
      <c r="J739" s="40"/>
      <c r="K739" s="40"/>
      <c r="L739" s="40">
        <f t="shared" si="39"/>
        <v>31000</v>
      </c>
      <c r="M739" s="40"/>
      <c r="N739" s="40"/>
      <c r="O739" s="40"/>
      <c r="P739" s="40"/>
      <c r="Q739" s="7"/>
      <c r="R739" s="7"/>
      <c r="S739" s="7"/>
      <c r="T739" s="35">
        <f t="shared" si="38"/>
        <v>0</v>
      </c>
      <c r="U739" s="7"/>
    </row>
    <row r="740" spans="1:21" x14ac:dyDescent="0.25">
      <c r="A740" s="7" t="s">
        <v>3172</v>
      </c>
      <c r="B740" s="8">
        <v>44645.481435185182</v>
      </c>
      <c r="C740" s="8">
        <v>44660</v>
      </c>
      <c r="D740" s="9">
        <v>112700</v>
      </c>
      <c r="E740" s="7" t="e">
        <f>VLOOKUP(A740,DEVOLUCIONES!A$1:A$231,1,0)</f>
        <v>#N/A</v>
      </c>
      <c r="F740" s="7" t="e">
        <f>VLOOKUP(A740,'GLOSAS X CONCILIAR'!$A$1:$A$37,1,0)</f>
        <v>#N/A</v>
      </c>
      <c r="G740" s="7" t="e">
        <f>VLOOKUP(A740,'TODAS LAS P'!A:A,1,0)</f>
        <v>#N/A</v>
      </c>
      <c r="H740" s="7" t="e">
        <f>VLOOKUP(A740,PAGOS!A774:$A$1553,1,0)</f>
        <v>#N/A</v>
      </c>
      <c r="I740" s="40"/>
      <c r="J740" s="40"/>
      <c r="K740" s="40"/>
      <c r="L740" s="40">
        <f t="shared" si="39"/>
        <v>112700</v>
      </c>
      <c r="M740" s="40"/>
      <c r="N740" s="40"/>
      <c r="O740" s="40"/>
      <c r="P740" s="40"/>
      <c r="Q740" s="7"/>
      <c r="R740" s="7"/>
      <c r="S740" s="7"/>
      <c r="T740" s="35">
        <f t="shared" si="38"/>
        <v>0</v>
      </c>
      <c r="U740" s="7"/>
    </row>
    <row r="741" spans="1:21" x14ac:dyDescent="0.25">
      <c r="A741" s="7" t="s">
        <v>3173</v>
      </c>
      <c r="B741" s="8">
        <v>44645.534212962964</v>
      </c>
      <c r="C741" s="8">
        <v>44660</v>
      </c>
      <c r="D741" s="9">
        <v>5029818</v>
      </c>
      <c r="E741" s="7" t="e">
        <f>VLOOKUP(A741,DEVOLUCIONES!A$1:A$231,1,0)</f>
        <v>#N/A</v>
      </c>
      <c r="F741" s="7" t="e">
        <f>VLOOKUP(A741,'GLOSAS X CONCILIAR'!$A$1:$A$37,1,0)</f>
        <v>#N/A</v>
      </c>
      <c r="G741" s="7" t="e">
        <f>VLOOKUP(A741,'TODAS LAS P'!A:A,1,0)</f>
        <v>#N/A</v>
      </c>
      <c r="H741" s="7" t="e">
        <f>VLOOKUP(A741,PAGOS!A775:$A$1553,1,0)</f>
        <v>#N/A</v>
      </c>
      <c r="I741" s="40"/>
      <c r="J741" s="40"/>
      <c r="K741" s="40"/>
      <c r="L741" s="40">
        <f t="shared" si="39"/>
        <v>5029818</v>
      </c>
      <c r="M741" s="40"/>
      <c r="N741" s="40"/>
      <c r="O741" s="40"/>
      <c r="P741" s="40"/>
      <c r="Q741" s="7"/>
      <c r="R741" s="7"/>
      <c r="S741" s="7"/>
      <c r="T741" s="35">
        <f t="shared" si="38"/>
        <v>0</v>
      </c>
      <c r="U741" s="7"/>
    </row>
    <row r="742" spans="1:21" x14ac:dyDescent="0.25">
      <c r="A742" s="7" t="s">
        <v>3174</v>
      </c>
      <c r="B742" s="8">
        <v>44646.079675925925</v>
      </c>
      <c r="C742" s="8">
        <v>44660</v>
      </c>
      <c r="D742" s="9">
        <v>71911</v>
      </c>
      <c r="E742" s="7" t="e">
        <f>VLOOKUP(A742,DEVOLUCIONES!A$1:A$231,1,0)</f>
        <v>#N/A</v>
      </c>
      <c r="F742" s="7" t="e">
        <f>VLOOKUP(A742,'GLOSAS X CONCILIAR'!$A$1:$A$37,1,0)</f>
        <v>#N/A</v>
      </c>
      <c r="G742" s="7" t="e">
        <f>VLOOKUP(A742,'TODAS LAS P'!A:A,1,0)</f>
        <v>#N/A</v>
      </c>
      <c r="H742" s="7" t="e">
        <f>VLOOKUP(A742,PAGOS!A776:$A$1553,1,0)</f>
        <v>#N/A</v>
      </c>
      <c r="I742" s="40"/>
      <c r="J742" s="40"/>
      <c r="K742" s="40"/>
      <c r="L742" s="40">
        <f t="shared" si="39"/>
        <v>71911</v>
      </c>
      <c r="M742" s="40"/>
      <c r="N742" s="40"/>
      <c r="O742" s="40"/>
      <c r="P742" s="40"/>
      <c r="Q742" s="7"/>
      <c r="R742" s="7"/>
      <c r="S742" s="7"/>
      <c r="T742" s="35">
        <f t="shared" si="38"/>
        <v>0</v>
      </c>
      <c r="U742" s="7"/>
    </row>
    <row r="743" spans="1:21" x14ac:dyDescent="0.25">
      <c r="A743" s="7" t="s">
        <v>3175</v>
      </c>
      <c r="B743" s="8">
        <v>44646.125601851854</v>
      </c>
      <c r="C743" s="8">
        <v>44660</v>
      </c>
      <c r="D743" s="9">
        <v>73575</v>
      </c>
      <c r="E743" s="7" t="e">
        <f>VLOOKUP(A743,DEVOLUCIONES!A$1:A$231,1,0)</f>
        <v>#N/A</v>
      </c>
      <c r="F743" s="7" t="e">
        <f>VLOOKUP(A743,'GLOSAS X CONCILIAR'!$A$1:$A$37,1,0)</f>
        <v>#N/A</v>
      </c>
      <c r="G743" s="7" t="e">
        <f>VLOOKUP(A743,'TODAS LAS P'!A:A,1,0)</f>
        <v>#N/A</v>
      </c>
      <c r="H743" s="7" t="e">
        <f>VLOOKUP(A743,PAGOS!A777:$A$1553,1,0)</f>
        <v>#N/A</v>
      </c>
      <c r="I743" s="40"/>
      <c r="J743" s="40"/>
      <c r="K743" s="40"/>
      <c r="L743" s="40">
        <f t="shared" si="39"/>
        <v>73575</v>
      </c>
      <c r="M743" s="40"/>
      <c r="N743" s="40"/>
      <c r="O743" s="40"/>
      <c r="P743" s="40"/>
      <c r="Q743" s="7"/>
      <c r="R743" s="7"/>
      <c r="S743" s="7"/>
      <c r="T743" s="35">
        <f t="shared" si="38"/>
        <v>0</v>
      </c>
      <c r="U743" s="7"/>
    </row>
    <row r="744" spans="1:21" x14ac:dyDescent="0.25">
      <c r="A744" s="7" t="s">
        <v>3176</v>
      </c>
      <c r="B744" s="8">
        <v>44647.665891203702</v>
      </c>
      <c r="C744" s="8">
        <v>44660</v>
      </c>
      <c r="D744" s="9">
        <v>59100</v>
      </c>
      <c r="E744" s="7" t="e">
        <f>VLOOKUP(A744,DEVOLUCIONES!A$1:A$231,1,0)</f>
        <v>#N/A</v>
      </c>
      <c r="F744" s="7" t="e">
        <f>VLOOKUP(A744,'GLOSAS X CONCILIAR'!$A$1:$A$37,1,0)</f>
        <v>#N/A</v>
      </c>
      <c r="G744" s="7" t="e">
        <f>VLOOKUP(A744,'TODAS LAS P'!A:A,1,0)</f>
        <v>#N/A</v>
      </c>
      <c r="H744" s="7" t="e">
        <f>VLOOKUP(A744,PAGOS!A778:$A$1553,1,0)</f>
        <v>#N/A</v>
      </c>
      <c r="I744" s="40"/>
      <c r="J744" s="40"/>
      <c r="K744" s="40"/>
      <c r="L744" s="40">
        <f t="shared" si="39"/>
        <v>59100</v>
      </c>
      <c r="M744" s="40"/>
      <c r="N744" s="40"/>
      <c r="O744" s="40"/>
      <c r="P744" s="40"/>
      <c r="Q744" s="7"/>
      <c r="R744" s="7"/>
      <c r="S744" s="7"/>
      <c r="T744" s="35">
        <f t="shared" si="38"/>
        <v>0</v>
      </c>
      <c r="U744" s="7"/>
    </row>
    <row r="745" spans="1:21" x14ac:dyDescent="0.25">
      <c r="A745" s="7" t="s">
        <v>3177</v>
      </c>
      <c r="B745" s="8">
        <v>44648.32402777778</v>
      </c>
      <c r="C745" s="8">
        <v>44660</v>
      </c>
      <c r="D745" s="9">
        <v>30800</v>
      </c>
      <c r="E745" s="7" t="e">
        <f>VLOOKUP(A745,DEVOLUCIONES!A$1:A$231,1,0)</f>
        <v>#N/A</v>
      </c>
      <c r="F745" s="7" t="e">
        <f>VLOOKUP(A745,'GLOSAS X CONCILIAR'!$A$1:$A$37,1,0)</f>
        <v>#N/A</v>
      </c>
      <c r="G745" s="7" t="e">
        <f>VLOOKUP(A745,'TODAS LAS P'!A:A,1,0)</f>
        <v>#N/A</v>
      </c>
      <c r="H745" s="7" t="e">
        <f>VLOOKUP(A745,PAGOS!A779:$A$1553,1,0)</f>
        <v>#N/A</v>
      </c>
      <c r="I745" s="40"/>
      <c r="J745" s="40"/>
      <c r="K745" s="40"/>
      <c r="L745" s="40">
        <f t="shared" si="39"/>
        <v>30800</v>
      </c>
      <c r="M745" s="40"/>
      <c r="N745" s="40"/>
      <c r="O745" s="40"/>
      <c r="P745" s="40"/>
      <c r="Q745" s="7"/>
      <c r="R745" s="7"/>
      <c r="S745" s="7"/>
      <c r="T745" s="35">
        <f t="shared" si="38"/>
        <v>0</v>
      </c>
      <c r="U745" s="7"/>
    </row>
    <row r="746" spans="1:21" x14ac:dyDescent="0.25">
      <c r="A746" s="7" t="s">
        <v>3178</v>
      </c>
      <c r="B746" s="8">
        <v>44648.326631944445</v>
      </c>
      <c r="C746" s="8">
        <v>44660</v>
      </c>
      <c r="D746" s="9">
        <v>48600</v>
      </c>
      <c r="E746" s="7" t="e">
        <f>VLOOKUP(A746,DEVOLUCIONES!A$1:A$231,1,0)</f>
        <v>#N/A</v>
      </c>
      <c r="F746" s="7" t="e">
        <f>VLOOKUP(A746,'GLOSAS X CONCILIAR'!$A$1:$A$37,1,0)</f>
        <v>#N/A</v>
      </c>
      <c r="G746" s="7" t="e">
        <f>VLOOKUP(A746,'TODAS LAS P'!A:A,1,0)</f>
        <v>#N/A</v>
      </c>
      <c r="H746" s="7" t="e">
        <f>VLOOKUP(A746,PAGOS!A780:$A$1553,1,0)</f>
        <v>#N/A</v>
      </c>
      <c r="I746" s="40"/>
      <c r="J746" s="40"/>
      <c r="K746" s="40"/>
      <c r="L746" s="40">
        <f t="shared" si="39"/>
        <v>48600</v>
      </c>
      <c r="M746" s="40"/>
      <c r="N746" s="40"/>
      <c r="O746" s="40"/>
      <c r="P746" s="40"/>
      <c r="Q746" s="7"/>
      <c r="R746" s="7"/>
      <c r="S746" s="7"/>
      <c r="T746" s="35">
        <f t="shared" si="38"/>
        <v>0</v>
      </c>
      <c r="U746" s="7"/>
    </row>
    <row r="747" spans="1:21" x14ac:dyDescent="0.25">
      <c r="A747" s="7" t="s">
        <v>3179</v>
      </c>
      <c r="B747" s="8">
        <v>44648.369340277779</v>
      </c>
      <c r="C747" s="8">
        <v>44660</v>
      </c>
      <c r="D747" s="9">
        <v>11100</v>
      </c>
      <c r="E747" s="7" t="e">
        <f>VLOOKUP(A747,DEVOLUCIONES!A$1:A$231,1,0)</f>
        <v>#N/A</v>
      </c>
      <c r="F747" s="7" t="e">
        <f>VLOOKUP(A747,'GLOSAS X CONCILIAR'!$A$1:$A$37,1,0)</f>
        <v>#N/A</v>
      </c>
      <c r="G747" s="7" t="e">
        <f>VLOOKUP(A747,'TODAS LAS P'!A:A,1,0)</f>
        <v>#N/A</v>
      </c>
      <c r="H747" s="7" t="e">
        <f>VLOOKUP(A747,PAGOS!A781:$A$1553,1,0)</f>
        <v>#N/A</v>
      </c>
      <c r="I747" s="40"/>
      <c r="J747" s="40"/>
      <c r="K747" s="40"/>
      <c r="L747" s="40">
        <f t="shared" si="39"/>
        <v>11100</v>
      </c>
      <c r="M747" s="40"/>
      <c r="N747" s="40"/>
      <c r="O747" s="40"/>
      <c r="P747" s="40"/>
      <c r="Q747" s="7"/>
      <c r="R747" s="7"/>
      <c r="S747" s="7"/>
      <c r="T747" s="35">
        <f t="shared" si="38"/>
        <v>0</v>
      </c>
      <c r="U747" s="7"/>
    </row>
    <row r="748" spans="1:21" x14ac:dyDescent="0.25">
      <c r="A748" s="7" t="s">
        <v>3180</v>
      </c>
      <c r="B748" s="8">
        <v>44648.415567129632</v>
      </c>
      <c r="C748" s="8">
        <v>44660</v>
      </c>
      <c r="D748" s="9">
        <v>51900</v>
      </c>
      <c r="E748" s="7" t="e">
        <f>VLOOKUP(A748,DEVOLUCIONES!A$1:A$231,1,0)</f>
        <v>#N/A</v>
      </c>
      <c r="F748" s="7" t="e">
        <f>VLOOKUP(A748,'GLOSAS X CONCILIAR'!$A$1:$A$37,1,0)</f>
        <v>#N/A</v>
      </c>
      <c r="G748" s="7" t="e">
        <f>VLOOKUP(A748,'TODAS LAS P'!A:A,1,0)</f>
        <v>#N/A</v>
      </c>
      <c r="H748" s="7" t="e">
        <f>VLOOKUP(A748,PAGOS!A782:$A$1553,1,0)</f>
        <v>#N/A</v>
      </c>
      <c r="I748" s="40"/>
      <c r="J748" s="40"/>
      <c r="K748" s="40"/>
      <c r="L748" s="40">
        <f t="shared" si="39"/>
        <v>51900</v>
      </c>
      <c r="M748" s="40"/>
      <c r="N748" s="40"/>
      <c r="O748" s="40"/>
      <c r="P748" s="40"/>
      <c r="Q748" s="7"/>
      <c r="R748" s="7"/>
      <c r="S748" s="7"/>
      <c r="T748" s="35">
        <f t="shared" si="38"/>
        <v>0</v>
      </c>
      <c r="U748" s="7"/>
    </row>
    <row r="749" spans="1:21" x14ac:dyDescent="0.25">
      <c r="A749" s="7" t="s">
        <v>3181</v>
      </c>
      <c r="B749" s="8">
        <v>44648.503645833334</v>
      </c>
      <c r="C749" s="8">
        <v>44660</v>
      </c>
      <c r="D749" s="9">
        <v>313100</v>
      </c>
      <c r="E749" s="7" t="e">
        <f>VLOOKUP(A749,DEVOLUCIONES!A$1:A$231,1,0)</f>
        <v>#N/A</v>
      </c>
      <c r="F749" s="7" t="e">
        <f>VLOOKUP(A749,'GLOSAS X CONCILIAR'!$A$1:$A$37,1,0)</f>
        <v>#N/A</v>
      </c>
      <c r="G749" s="7" t="e">
        <f>VLOOKUP(A749,'TODAS LAS P'!A:A,1,0)</f>
        <v>#N/A</v>
      </c>
      <c r="H749" s="7" t="e">
        <f>VLOOKUP(A749,PAGOS!A783:$A$1553,1,0)</f>
        <v>#N/A</v>
      </c>
      <c r="I749" s="40"/>
      <c r="J749" s="40"/>
      <c r="K749" s="40"/>
      <c r="L749" s="40">
        <f t="shared" si="39"/>
        <v>313100</v>
      </c>
      <c r="M749" s="40"/>
      <c r="N749" s="40"/>
      <c r="O749" s="40"/>
      <c r="P749" s="40"/>
      <c r="Q749" s="7"/>
      <c r="R749" s="7"/>
      <c r="S749" s="7"/>
      <c r="T749" s="35">
        <f t="shared" si="38"/>
        <v>0</v>
      </c>
      <c r="U749" s="7"/>
    </row>
    <row r="750" spans="1:21" x14ac:dyDescent="0.25">
      <c r="A750" s="7" t="s">
        <v>3182</v>
      </c>
      <c r="B750" s="8">
        <v>44648.584178240744</v>
      </c>
      <c r="C750" s="8">
        <v>44660</v>
      </c>
      <c r="D750" s="9">
        <v>476526</v>
      </c>
      <c r="E750" s="7" t="e">
        <f>VLOOKUP(A750,DEVOLUCIONES!A$1:A$231,1,0)</f>
        <v>#N/A</v>
      </c>
      <c r="F750" s="7" t="e">
        <f>VLOOKUP(A750,'GLOSAS X CONCILIAR'!$A$1:$A$37,1,0)</f>
        <v>#N/A</v>
      </c>
      <c r="G750" s="7" t="e">
        <f>VLOOKUP(A750,'TODAS LAS P'!A:A,1,0)</f>
        <v>#N/A</v>
      </c>
      <c r="H750" s="7" t="e">
        <f>VLOOKUP(A750,PAGOS!A784:$A$1553,1,0)</f>
        <v>#N/A</v>
      </c>
      <c r="I750" s="40"/>
      <c r="J750" s="40"/>
      <c r="K750" s="40"/>
      <c r="L750" s="40">
        <f t="shared" si="39"/>
        <v>476526</v>
      </c>
      <c r="M750" s="40"/>
      <c r="N750" s="40"/>
      <c r="O750" s="40"/>
      <c r="P750" s="40"/>
      <c r="Q750" s="7"/>
      <c r="R750" s="7"/>
      <c r="S750" s="7"/>
      <c r="T750" s="35">
        <f t="shared" si="38"/>
        <v>0</v>
      </c>
      <c r="U750" s="7"/>
    </row>
    <row r="751" spans="1:21" x14ac:dyDescent="0.25">
      <c r="A751" s="7" t="s">
        <v>3183</v>
      </c>
      <c r="B751" s="8">
        <v>44648.621215277781</v>
      </c>
      <c r="C751" s="8">
        <v>44660</v>
      </c>
      <c r="D751" s="9">
        <v>20900</v>
      </c>
      <c r="E751" s="7" t="e">
        <f>VLOOKUP(A751,DEVOLUCIONES!A$1:A$231,1,0)</f>
        <v>#N/A</v>
      </c>
      <c r="F751" s="7" t="e">
        <f>VLOOKUP(A751,'GLOSAS X CONCILIAR'!$A$1:$A$37,1,0)</f>
        <v>#N/A</v>
      </c>
      <c r="G751" s="7" t="e">
        <f>VLOOKUP(A751,'TODAS LAS P'!A:A,1,0)</f>
        <v>#N/A</v>
      </c>
      <c r="H751" s="7" t="e">
        <f>VLOOKUP(A751,PAGOS!A785:$A$1553,1,0)</f>
        <v>#N/A</v>
      </c>
      <c r="I751" s="40"/>
      <c r="J751" s="40"/>
      <c r="K751" s="40"/>
      <c r="L751" s="40">
        <f t="shared" si="39"/>
        <v>20900</v>
      </c>
      <c r="M751" s="40"/>
      <c r="N751" s="40"/>
      <c r="O751" s="40"/>
      <c r="P751" s="40"/>
      <c r="Q751" s="7"/>
      <c r="R751" s="7"/>
      <c r="S751" s="7"/>
      <c r="T751" s="35">
        <f t="shared" si="38"/>
        <v>0</v>
      </c>
      <c r="U751" s="7"/>
    </row>
    <row r="752" spans="1:21" x14ac:dyDescent="0.25">
      <c r="A752" s="7" t="s">
        <v>3184</v>
      </c>
      <c r="B752" s="8">
        <v>44648.623194444444</v>
      </c>
      <c r="C752" s="8">
        <v>44660</v>
      </c>
      <c r="D752" s="9">
        <v>31200</v>
      </c>
      <c r="E752" s="7" t="e">
        <f>VLOOKUP(A752,DEVOLUCIONES!A$1:A$231,1,0)</f>
        <v>#N/A</v>
      </c>
      <c r="F752" s="7" t="e">
        <f>VLOOKUP(A752,'GLOSAS X CONCILIAR'!$A$1:$A$37,1,0)</f>
        <v>#N/A</v>
      </c>
      <c r="G752" s="7" t="e">
        <f>VLOOKUP(A752,'TODAS LAS P'!A:A,1,0)</f>
        <v>#N/A</v>
      </c>
      <c r="H752" s="7" t="e">
        <f>VLOOKUP(A752,PAGOS!A786:$A$1553,1,0)</f>
        <v>#N/A</v>
      </c>
      <c r="I752" s="40"/>
      <c r="J752" s="40"/>
      <c r="K752" s="40"/>
      <c r="L752" s="40">
        <f t="shared" si="39"/>
        <v>31200</v>
      </c>
      <c r="M752" s="40"/>
      <c r="N752" s="40"/>
      <c r="O752" s="40"/>
      <c r="P752" s="40"/>
      <c r="Q752" s="7"/>
      <c r="R752" s="7"/>
      <c r="S752" s="7"/>
      <c r="T752" s="35">
        <f t="shared" si="38"/>
        <v>0</v>
      </c>
      <c r="U752" s="7"/>
    </row>
    <row r="753" spans="1:21" x14ac:dyDescent="0.25">
      <c r="A753" s="7" t="s">
        <v>3185</v>
      </c>
      <c r="B753" s="8">
        <v>44648.651944444442</v>
      </c>
      <c r="C753" s="8">
        <v>44660</v>
      </c>
      <c r="D753" s="9">
        <v>276472</v>
      </c>
      <c r="E753" s="7" t="e">
        <f>VLOOKUP(A753,DEVOLUCIONES!A$1:A$231,1,0)</f>
        <v>#N/A</v>
      </c>
      <c r="F753" s="7" t="e">
        <f>VLOOKUP(A753,'GLOSAS X CONCILIAR'!$A$1:$A$37,1,0)</f>
        <v>#N/A</v>
      </c>
      <c r="G753" s="7" t="e">
        <f>VLOOKUP(A753,'TODAS LAS P'!A:A,1,0)</f>
        <v>#N/A</v>
      </c>
      <c r="H753" s="7" t="e">
        <f>VLOOKUP(A753,PAGOS!A787:$A$1553,1,0)</f>
        <v>#N/A</v>
      </c>
      <c r="I753" s="40"/>
      <c r="J753" s="40"/>
      <c r="K753" s="40"/>
      <c r="L753" s="40">
        <f t="shared" si="39"/>
        <v>276472</v>
      </c>
      <c r="M753" s="40"/>
      <c r="N753" s="40"/>
      <c r="O753" s="40"/>
      <c r="P753" s="40"/>
      <c r="Q753" s="7"/>
      <c r="R753" s="7"/>
      <c r="S753" s="7"/>
      <c r="T753" s="35">
        <f t="shared" si="38"/>
        <v>0</v>
      </c>
      <c r="U753" s="7"/>
    </row>
    <row r="754" spans="1:21" x14ac:dyDescent="0.25">
      <c r="A754" s="7" t="s">
        <v>3186</v>
      </c>
      <c r="B754" s="8">
        <v>44648.653402777774</v>
      </c>
      <c r="C754" s="8">
        <v>44660</v>
      </c>
      <c r="D754" s="9">
        <v>80832</v>
      </c>
      <c r="E754" s="7" t="str">
        <f>VLOOKUP(A754,DEVOLUCIONES!A$1:A$231,1,0)</f>
        <v>FEHF276235</v>
      </c>
      <c r="F754" s="7" t="e">
        <f>VLOOKUP(A754,'GLOSAS X CONCILIAR'!$A$1:$A$37,1,0)</f>
        <v>#N/A</v>
      </c>
      <c r="G754" s="7" t="e">
        <f>VLOOKUP(A754,'TODAS LAS P'!A:A,1,0)</f>
        <v>#N/A</v>
      </c>
      <c r="H754" s="7" t="e">
        <f>VLOOKUP(A754,PAGOS!A788:$A$1553,1,0)</f>
        <v>#N/A</v>
      </c>
      <c r="I754" s="40"/>
      <c r="J754" s="40">
        <f>D754</f>
        <v>80832</v>
      </c>
      <c r="K754" s="40"/>
      <c r="L754" s="40"/>
      <c r="M754" s="40"/>
      <c r="N754" s="40"/>
      <c r="O754" s="40"/>
      <c r="P754" s="40"/>
      <c r="Q754" s="7" t="str">
        <f>VLOOKUP(A754,DEVOLUCIONES!A$1:B$231,2,0)</f>
        <v>DF-257654341031090</v>
      </c>
      <c r="R754" s="7"/>
      <c r="S754" s="7" t="str">
        <f>VLOOKUP(A754,DEVOLUCIONES!A$1:H$231,8,0)</f>
        <v>Se hace devolucion de factura ips NO ANEXA ARCHIVO EXCEL Y PDF SISMUESTRA exigidos por el adress para pruebas covid por lo anterior no es posible continuar con procesos subsanar motivo de devolucion y radicar nuevamente</v>
      </c>
      <c r="T754" s="35">
        <f t="shared" si="38"/>
        <v>0</v>
      </c>
      <c r="U754" s="7"/>
    </row>
    <row r="755" spans="1:21" x14ac:dyDescent="0.25">
      <c r="A755" s="7" t="s">
        <v>3187</v>
      </c>
      <c r="B755" s="8">
        <v>44648.656423611108</v>
      </c>
      <c r="C755" s="8">
        <v>44660</v>
      </c>
      <c r="D755" s="9">
        <v>125824</v>
      </c>
      <c r="E755" s="7" t="e">
        <f>VLOOKUP(A755,DEVOLUCIONES!A$1:A$231,1,0)</f>
        <v>#N/A</v>
      </c>
      <c r="F755" s="7" t="e">
        <f>VLOOKUP(A755,'GLOSAS X CONCILIAR'!$A$1:$A$37,1,0)</f>
        <v>#N/A</v>
      </c>
      <c r="G755" s="7" t="e">
        <f>VLOOKUP(A755,'TODAS LAS P'!A:A,1,0)</f>
        <v>#N/A</v>
      </c>
      <c r="H755" s="7" t="e">
        <f>VLOOKUP(A755,PAGOS!A789:$A$1553,1,0)</f>
        <v>#N/A</v>
      </c>
      <c r="I755" s="40"/>
      <c r="J755" s="40"/>
      <c r="K755" s="40"/>
      <c r="L755" s="40">
        <f t="shared" ref="L755:L771" si="40">D755</f>
        <v>125824</v>
      </c>
      <c r="M755" s="40"/>
      <c r="N755" s="40"/>
      <c r="O755" s="40"/>
      <c r="P755" s="40"/>
      <c r="Q755" s="7"/>
      <c r="R755" s="7"/>
      <c r="S755" s="7"/>
      <c r="T755" s="35">
        <f t="shared" si="38"/>
        <v>0</v>
      </c>
      <c r="U755" s="7"/>
    </row>
    <row r="756" spans="1:21" x14ac:dyDescent="0.25">
      <c r="A756" s="7" t="s">
        <v>3188</v>
      </c>
      <c r="B756" s="8">
        <v>44649.139351851853</v>
      </c>
      <c r="C756" s="8">
        <v>44660</v>
      </c>
      <c r="D756" s="9">
        <v>60638</v>
      </c>
      <c r="E756" s="7" t="e">
        <f>VLOOKUP(A756,DEVOLUCIONES!A$1:A$231,1,0)</f>
        <v>#N/A</v>
      </c>
      <c r="F756" s="7" t="e">
        <f>VLOOKUP(A756,'GLOSAS X CONCILIAR'!$A$1:$A$37,1,0)</f>
        <v>#N/A</v>
      </c>
      <c r="G756" s="7" t="e">
        <f>VLOOKUP(A756,'TODAS LAS P'!A:A,1,0)</f>
        <v>#N/A</v>
      </c>
      <c r="H756" s="7" t="e">
        <f>VLOOKUP(A756,PAGOS!A790:$A$1553,1,0)</f>
        <v>#N/A</v>
      </c>
      <c r="I756" s="40"/>
      <c r="J756" s="40"/>
      <c r="K756" s="40"/>
      <c r="L756" s="40">
        <f t="shared" si="40"/>
        <v>60638</v>
      </c>
      <c r="M756" s="40"/>
      <c r="N756" s="40"/>
      <c r="O756" s="40"/>
      <c r="P756" s="40"/>
      <c r="Q756" s="7"/>
      <c r="R756" s="7"/>
      <c r="S756" s="7"/>
      <c r="T756" s="35">
        <f t="shared" si="38"/>
        <v>0</v>
      </c>
      <c r="U756" s="7"/>
    </row>
    <row r="757" spans="1:21" x14ac:dyDescent="0.25">
      <c r="A757" s="7" t="s">
        <v>3189</v>
      </c>
      <c r="B757" s="8">
        <v>44649.171064814815</v>
      </c>
      <c r="C757" s="8">
        <v>44660</v>
      </c>
      <c r="D757" s="9">
        <v>951845</v>
      </c>
      <c r="E757" s="7" t="e">
        <f>VLOOKUP(A757,DEVOLUCIONES!A$1:A$231,1,0)</f>
        <v>#N/A</v>
      </c>
      <c r="F757" s="7" t="e">
        <f>VLOOKUP(A757,'GLOSAS X CONCILIAR'!$A$1:$A$37,1,0)</f>
        <v>#N/A</v>
      </c>
      <c r="G757" s="7" t="e">
        <f>VLOOKUP(A757,'TODAS LAS P'!A:A,1,0)</f>
        <v>#N/A</v>
      </c>
      <c r="H757" s="7" t="e">
        <f>VLOOKUP(A757,PAGOS!A791:$A$1553,1,0)</f>
        <v>#N/A</v>
      </c>
      <c r="I757" s="40"/>
      <c r="J757" s="40"/>
      <c r="K757" s="40"/>
      <c r="L757" s="40">
        <f t="shared" si="40"/>
        <v>951845</v>
      </c>
      <c r="M757" s="40"/>
      <c r="N757" s="40"/>
      <c r="O757" s="40"/>
      <c r="P757" s="40"/>
      <c r="Q757" s="7"/>
      <c r="R757" s="7"/>
      <c r="S757" s="7"/>
      <c r="T757" s="35">
        <f t="shared" si="38"/>
        <v>0</v>
      </c>
      <c r="U757" s="7"/>
    </row>
    <row r="758" spans="1:21" x14ac:dyDescent="0.25">
      <c r="A758" s="7" t="s">
        <v>3190</v>
      </c>
      <c r="B758" s="8">
        <v>44649.185162037036</v>
      </c>
      <c r="C758" s="8">
        <v>44660</v>
      </c>
      <c r="D758" s="9">
        <v>139342</v>
      </c>
      <c r="E758" s="7" t="e">
        <f>VLOOKUP(A758,DEVOLUCIONES!A$1:A$231,1,0)</f>
        <v>#N/A</v>
      </c>
      <c r="F758" s="7" t="e">
        <f>VLOOKUP(A758,'GLOSAS X CONCILIAR'!$A$1:$A$37,1,0)</f>
        <v>#N/A</v>
      </c>
      <c r="G758" s="7" t="e">
        <f>VLOOKUP(A758,'TODAS LAS P'!A:A,1,0)</f>
        <v>#N/A</v>
      </c>
      <c r="H758" s="7" t="e">
        <f>VLOOKUP(A758,PAGOS!A792:$A$1553,1,0)</f>
        <v>#N/A</v>
      </c>
      <c r="I758" s="40"/>
      <c r="J758" s="40"/>
      <c r="K758" s="40"/>
      <c r="L758" s="40">
        <f t="shared" si="40"/>
        <v>139342</v>
      </c>
      <c r="M758" s="40"/>
      <c r="N758" s="40"/>
      <c r="O758" s="40"/>
      <c r="P758" s="40"/>
      <c r="Q758" s="7"/>
      <c r="R758" s="7"/>
      <c r="S758" s="7"/>
      <c r="T758" s="35">
        <f t="shared" si="38"/>
        <v>0</v>
      </c>
      <c r="U758" s="7"/>
    </row>
    <row r="759" spans="1:21" x14ac:dyDescent="0.25">
      <c r="A759" s="7" t="s">
        <v>3191</v>
      </c>
      <c r="B759" s="8">
        <v>44649.295266203706</v>
      </c>
      <c r="C759" s="8">
        <v>44660</v>
      </c>
      <c r="D759" s="9">
        <v>114000</v>
      </c>
      <c r="E759" s="7" t="e">
        <f>VLOOKUP(A759,DEVOLUCIONES!A$1:A$231,1,0)</f>
        <v>#N/A</v>
      </c>
      <c r="F759" s="7" t="e">
        <f>VLOOKUP(A759,'GLOSAS X CONCILIAR'!$A$1:$A$37,1,0)</f>
        <v>#N/A</v>
      </c>
      <c r="G759" s="7" t="e">
        <f>VLOOKUP(A759,'TODAS LAS P'!A:A,1,0)</f>
        <v>#N/A</v>
      </c>
      <c r="H759" s="7" t="e">
        <f>VLOOKUP(A759,PAGOS!A793:$A$1553,1,0)</f>
        <v>#N/A</v>
      </c>
      <c r="I759" s="40"/>
      <c r="J759" s="40"/>
      <c r="K759" s="40"/>
      <c r="L759" s="40">
        <f t="shared" si="40"/>
        <v>114000</v>
      </c>
      <c r="M759" s="40"/>
      <c r="N759" s="40"/>
      <c r="O759" s="40"/>
      <c r="P759" s="40"/>
      <c r="Q759" s="7"/>
      <c r="R759" s="7"/>
      <c r="S759" s="7"/>
      <c r="T759" s="35">
        <f t="shared" si="38"/>
        <v>0</v>
      </c>
      <c r="U759" s="7"/>
    </row>
    <row r="760" spans="1:21" x14ac:dyDescent="0.25">
      <c r="A760" s="7" t="s">
        <v>3192</v>
      </c>
      <c r="B760" s="8">
        <v>44649.320532407408</v>
      </c>
      <c r="C760" s="8">
        <v>44660</v>
      </c>
      <c r="D760" s="9">
        <v>890200</v>
      </c>
      <c r="E760" s="7" t="e">
        <f>VLOOKUP(A760,DEVOLUCIONES!A$1:A$231,1,0)</f>
        <v>#N/A</v>
      </c>
      <c r="F760" s="7" t="e">
        <f>VLOOKUP(A760,'GLOSAS X CONCILIAR'!$A$1:$A$37,1,0)</f>
        <v>#N/A</v>
      </c>
      <c r="G760" s="7" t="e">
        <f>VLOOKUP(A760,'TODAS LAS P'!A:A,1,0)</f>
        <v>#N/A</v>
      </c>
      <c r="H760" s="7" t="e">
        <f>VLOOKUP(A760,PAGOS!A794:$A$1553,1,0)</f>
        <v>#N/A</v>
      </c>
      <c r="I760" s="40"/>
      <c r="J760" s="40"/>
      <c r="K760" s="40"/>
      <c r="L760" s="40">
        <f t="shared" si="40"/>
        <v>890200</v>
      </c>
      <c r="M760" s="40"/>
      <c r="N760" s="40"/>
      <c r="O760" s="40"/>
      <c r="P760" s="40"/>
      <c r="Q760" s="7"/>
      <c r="R760" s="7"/>
      <c r="S760" s="7"/>
      <c r="T760" s="35">
        <f t="shared" si="38"/>
        <v>0</v>
      </c>
      <c r="U760" s="7"/>
    </row>
    <row r="761" spans="1:21" x14ac:dyDescent="0.25">
      <c r="A761" s="7" t="s">
        <v>3193</v>
      </c>
      <c r="B761" s="8">
        <v>44649.345937500002</v>
      </c>
      <c r="C761" s="8">
        <v>44660</v>
      </c>
      <c r="D761" s="9">
        <v>20900</v>
      </c>
      <c r="E761" s="7" t="e">
        <f>VLOOKUP(A761,DEVOLUCIONES!A$1:A$231,1,0)</f>
        <v>#N/A</v>
      </c>
      <c r="F761" s="7" t="e">
        <f>VLOOKUP(A761,'GLOSAS X CONCILIAR'!$A$1:$A$37,1,0)</f>
        <v>#N/A</v>
      </c>
      <c r="G761" s="7" t="e">
        <f>VLOOKUP(A761,'TODAS LAS P'!A:A,1,0)</f>
        <v>#N/A</v>
      </c>
      <c r="H761" s="7" t="e">
        <f>VLOOKUP(A761,PAGOS!A795:$A$1553,1,0)</f>
        <v>#N/A</v>
      </c>
      <c r="I761" s="40"/>
      <c r="J761" s="40"/>
      <c r="K761" s="40"/>
      <c r="L761" s="40">
        <f t="shared" si="40"/>
        <v>20900</v>
      </c>
      <c r="M761" s="40"/>
      <c r="N761" s="40"/>
      <c r="O761" s="40"/>
      <c r="P761" s="40"/>
      <c r="Q761" s="7"/>
      <c r="R761" s="7"/>
      <c r="S761" s="7"/>
      <c r="T761" s="35">
        <f t="shared" si="38"/>
        <v>0</v>
      </c>
      <c r="U761" s="7"/>
    </row>
    <row r="762" spans="1:21" x14ac:dyDescent="0.25">
      <c r="A762" s="7" t="s">
        <v>3194</v>
      </c>
      <c r="B762" s="8">
        <v>44649.630486111113</v>
      </c>
      <c r="C762" s="8">
        <v>44660</v>
      </c>
      <c r="D762" s="9">
        <v>31200</v>
      </c>
      <c r="E762" s="7" t="e">
        <f>VLOOKUP(A762,DEVOLUCIONES!A$1:A$231,1,0)</f>
        <v>#N/A</v>
      </c>
      <c r="F762" s="7" t="e">
        <f>VLOOKUP(A762,'GLOSAS X CONCILIAR'!$A$1:$A$37,1,0)</f>
        <v>#N/A</v>
      </c>
      <c r="G762" s="7" t="e">
        <f>VLOOKUP(A762,'TODAS LAS P'!A:A,1,0)</f>
        <v>#N/A</v>
      </c>
      <c r="H762" s="7" t="e">
        <f>VLOOKUP(A762,PAGOS!A796:$A$1553,1,0)</f>
        <v>#N/A</v>
      </c>
      <c r="I762" s="40"/>
      <c r="J762" s="40"/>
      <c r="K762" s="40"/>
      <c r="L762" s="40">
        <f t="shared" si="40"/>
        <v>31200</v>
      </c>
      <c r="M762" s="40"/>
      <c r="N762" s="40"/>
      <c r="O762" s="40"/>
      <c r="P762" s="40"/>
      <c r="Q762" s="7"/>
      <c r="R762" s="7"/>
      <c r="S762" s="7"/>
      <c r="T762" s="35">
        <f t="shared" si="38"/>
        <v>0</v>
      </c>
      <c r="U762" s="7"/>
    </row>
    <row r="763" spans="1:21" x14ac:dyDescent="0.25">
      <c r="A763" s="7" t="s">
        <v>3195</v>
      </c>
      <c r="B763" s="8">
        <v>44649.757881944446</v>
      </c>
      <c r="C763" s="8">
        <v>44660</v>
      </c>
      <c r="D763" s="9">
        <v>121875</v>
      </c>
      <c r="E763" s="7" t="e">
        <f>VLOOKUP(A763,DEVOLUCIONES!A$1:A$231,1,0)</f>
        <v>#N/A</v>
      </c>
      <c r="F763" s="7" t="e">
        <f>VLOOKUP(A763,'GLOSAS X CONCILIAR'!$A$1:$A$37,1,0)</f>
        <v>#N/A</v>
      </c>
      <c r="G763" s="7" t="e">
        <f>VLOOKUP(A763,'TODAS LAS P'!A:A,1,0)</f>
        <v>#N/A</v>
      </c>
      <c r="H763" s="7" t="e">
        <f>VLOOKUP(A763,PAGOS!A797:$A$1553,1,0)</f>
        <v>#N/A</v>
      </c>
      <c r="I763" s="40"/>
      <c r="J763" s="40"/>
      <c r="K763" s="40"/>
      <c r="L763" s="40">
        <f t="shared" si="40"/>
        <v>121875</v>
      </c>
      <c r="M763" s="40"/>
      <c r="N763" s="40"/>
      <c r="O763" s="40"/>
      <c r="P763" s="40"/>
      <c r="Q763" s="7"/>
      <c r="R763" s="7"/>
      <c r="S763" s="7"/>
      <c r="T763" s="35">
        <f t="shared" si="38"/>
        <v>0</v>
      </c>
      <c r="U763" s="7"/>
    </row>
    <row r="764" spans="1:21" x14ac:dyDescent="0.25">
      <c r="A764" s="7" t="s">
        <v>3196</v>
      </c>
      <c r="B764" s="8">
        <v>44649.837245370371</v>
      </c>
      <c r="C764" s="8">
        <v>44660</v>
      </c>
      <c r="D764" s="9">
        <v>227372</v>
      </c>
      <c r="E764" s="7" t="e">
        <f>VLOOKUP(A764,DEVOLUCIONES!A$1:A$231,1,0)</f>
        <v>#N/A</v>
      </c>
      <c r="F764" s="7" t="e">
        <f>VLOOKUP(A764,'GLOSAS X CONCILIAR'!$A$1:$A$37,1,0)</f>
        <v>#N/A</v>
      </c>
      <c r="G764" s="7" t="e">
        <f>VLOOKUP(A764,'TODAS LAS P'!A:A,1,0)</f>
        <v>#N/A</v>
      </c>
      <c r="H764" s="7" t="e">
        <f>VLOOKUP(A764,PAGOS!A798:$A$1553,1,0)</f>
        <v>#N/A</v>
      </c>
      <c r="I764" s="40"/>
      <c r="J764" s="40"/>
      <c r="K764" s="40"/>
      <c r="L764" s="40">
        <f t="shared" si="40"/>
        <v>227372</v>
      </c>
      <c r="M764" s="40"/>
      <c r="N764" s="40"/>
      <c r="O764" s="40"/>
      <c r="P764" s="40"/>
      <c r="Q764" s="7"/>
      <c r="R764" s="7"/>
      <c r="S764" s="7"/>
      <c r="T764" s="35">
        <f t="shared" si="38"/>
        <v>0</v>
      </c>
      <c r="U764" s="7"/>
    </row>
    <row r="765" spans="1:21" x14ac:dyDescent="0.25">
      <c r="A765" s="7" t="s">
        <v>3197</v>
      </c>
      <c r="B765" s="8">
        <v>44650.291400462964</v>
      </c>
      <c r="C765" s="8">
        <v>44660</v>
      </c>
      <c r="D765" s="9">
        <v>291000</v>
      </c>
      <c r="E765" s="7" t="e">
        <f>VLOOKUP(A765,DEVOLUCIONES!A$1:A$231,1,0)</f>
        <v>#N/A</v>
      </c>
      <c r="F765" s="7" t="e">
        <f>VLOOKUP(A765,'GLOSAS X CONCILIAR'!$A$1:$A$37,1,0)</f>
        <v>#N/A</v>
      </c>
      <c r="G765" s="7" t="e">
        <f>VLOOKUP(A765,'TODAS LAS P'!A:A,1,0)</f>
        <v>#N/A</v>
      </c>
      <c r="H765" s="7" t="e">
        <f>VLOOKUP(A765,PAGOS!A799:$A$1553,1,0)</f>
        <v>#N/A</v>
      </c>
      <c r="I765" s="40"/>
      <c r="J765" s="40"/>
      <c r="K765" s="40"/>
      <c r="L765" s="40">
        <f t="shared" si="40"/>
        <v>291000</v>
      </c>
      <c r="M765" s="40"/>
      <c r="N765" s="40"/>
      <c r="O765" s="40"/>
      <c r="P765" s="40"/>
      <c r="Q765" s="7"/>
      <c r="R765" s="7"/>
      <c r="S765" s="7"/>
      <c r="T765" s="35">
        <f t="shared" si="38"/>
        <v>0</v>
      </c>
      <c r="U765" s="7"/>
    </row>
    <row r="766" spans="1:21" x14ac:dyDescent="0.25">
      <c r="A766" s="7" t="s">
        <v>3198</v>
      </c>
      <c r="B766" s="8">
        <v>44650.362442129626</v>
      </c>
      <c r="C766" s="8">
        <v>44660</v>
      </c>
      <c r="D766" s="9">
        <v>295200</v>
      </c>
      <c r="E766" s="7" t="e">
        <f>VLOOKUP(A766,DEVOLUCIONES!A$1:A$231,1,0)</f>
        <v>#N/A</v>
      </c>
      <c r="F766" s="7" t="e">
        <f>VLOOKUP(A766,'GLOSAS X CONCILIAR'!$A$1:$A$37,1,0)</f>
        <v>#N/A</v>
      </c>
      <c r="G766" s="7" t="e">
        <f>VLOOKUP(A766,'TODAS LAS P'!A:A,1,0)</f>
        <v>#N/A</v>
      </c>
      <c r="H766" s="7" t="e">
        <f>VLOOKUP(A766,PAGOS!A800:$A$1553,1,0)</f>
        <v>#N/A</v>
      </c>
      <c r="I766" s="40"/>
      <c r="J766" s="40"/>
      <c r="K766" s="40"/>
      <c r="L766" s="40">
        <f t="shared" si="40"/>
        <v>295200</v>
      </c>
      <c r="M766" s="40"/>
      <c r="N766" s="40"/>
      <c r="O766" s="40"/>
      <c r="P766" s="40"/>
      <c r="Q766" s="7"/>
      <c r="R766" s="7"/>
      <c r="S766" s="7"/>
      <c r="T766" s="35">
        <f t="shared" si="38"/>
        <v>0</v>
      </c>
      <c r="U766" s="7"/>
    </row>
    <row r="767" spans="1:21" x14ac:dyDescent="0.25">
      <c r="A767" s="7" t="s">
        <v>3199</v>
      </c>
      <c r="B767" s="8">
        <v>44650.374930555554</v>
      </c>
      <c r="C767" s="8">
        <v>44660</v>
      </c>
      <c r="D767" s="9">
        <v>51900</v>
      </c>
      <c r="E767" s="7" t="e">
        <f>VLOOKUP(A767,DEVOLUCIONES!A$1:A$231,1,0)</f>
        <v>#N/A</v>
      </c>
      <c r="F767" s="7" t="e">
        <f>VLOOKUP(A767,'GLOSAS X CONCILIAR'!$A$1:$A$37,1,0)</f>
        <v>#N/A</v>
      </c>
      <c r="G767" s="7" t="e">
        <f>VLOOKUP(A767,'TODAS LAS P'!A:A,1,0)</f>
        <v>#N/A</v>
      </c>
      <c r="H767" s="7" t="e">
        <f>VLOOKUP(A767,PAGOS!A801:$A$1553,1,0)</f>
        <v>#N/A</v>
      </c>
      <c r="I767" s="40"/>
      <c r="J767" s="40"/>
      <c r="K767" s="40"/>
      <c r="L767" s="40">
        <f t="shared" si="40"/>
        <v>51900</v>
      </c>
      <c r="M767" s="40"/>
      <c r="N767" s="40"/>
      <c r="O767" s="40"/>
      <c r="P767" s="40"/>
      <c r="Q767" s="7"/>
      <c r="R767" s="7"/>
      <c r="S767" s="7"/>
      <c r="T767" s="35">
        <f t="shared" si="38"/>
        <v>0</v>
      </c>
      <c r="U767" s="7"/>
    </row>
    <row r="768" spans="1:21" x14ac:dyDescent="0.25">
      <c r="A768" s="7" t="s">
        <v>3200</v>
      </c>
      <c r="B768" s="8">
        <v>44650.594224537039</v>
      </c>
      <c r="C768" s="8">
        <v>44660</v>
      </c>
      <c r="D768" s="9">
        <v>124400</v>
      </c>
      <c r="E768" s="7" t="e">
        <f>VLOOKUP(A768,DEVOLUCIONES!A$1:A$231,1,0)</f>
        <v>#N/A</v>
      </c>
      <c r="F768" s="7" t="e">
        <f>VLOOKUP(A768,'GLOSAS X CONCILIAR'!$A$1:$A$37,1,0)</f>
        <v>#N/A</v>
      </c>
      <c r="G768" s="7" t="e">
        <f>VLOOKUP(A768,'TODAS LAS P'!A:A,1,0)</f>
        <v>#N/A</v>
      </c>
      <c r="H768" s="7" t="e">
        <f>VLOOKUP(A768,PAGOS!A802:$A$1553,1,0)</f>
        <v>#N/A</v>
      </c>
      <c r="I768" s="40"/>
      <c r="J768" s="40"/>
      <c r="K768" s="40"/>
      <c r="L768" s="40">
        <f t="shared" si="40"/>
        <v>124400</v>
      </c>
      <c r="M768" s="40"/>
      <c r="N768" s="40"/>
      <c r="O768" s="40"/>
      <c r="P768" s="40"/>
      <c r="Q768" s="7"/>
      <c r="R768" s="7"/>
      <c r="S768" s="7"/>
      <c r="T768" s="35">
        <f t="shared" si="38"/>
        <v>0</v>
      </c>
      <c r="U768" s="7"/>
    </row>
    <row r="769" spans="1:21" x14ac:dyDescent="0.25">
      <c r="A769" s="7" t="s">
        <v>3201</v>
      </c>
      <c r="B769" s="8">
        <v>44651.310925925929</v>
      </c>
      <c r="C769" s="8">
        <v>44660</v>
      </c>
      <c r="D769" s="9">
        <v>48200</v>
      </c>
      <c r="E769" s="7" t="e">
        <f>VLOOKUP(A769,DEVOLUCIONES!A$1:A$231,1,0)</f>
        <v>#N/A</v>
      </c>
      <c r="F769" s="7" t="e">
        <f>VLOOKUP(A769,'GLOSAS X CONCILIAR'!$A$1:$A$37,1,0)</f>
        <v>#N/A</v>
      </c>
      <c r="G769" s="7" t="e">
        <f>VLOOKUP(A769,'TODAS LAS P'!A:A,1,0)</f>
        <v>#N/A</v>
      </c>
      <c r="H769" s="7" t="e">
        <f>VLOOKUP(A769,PAGOS!A803:$A$1553,1,0)</f>
        <v>#N/A</v>
      </c>
      <c r="I769" s="40"/>
      <c r="J769" s="40"/>
      <c r="K769" s="40"/>
      <c r="L769" s="40">
        <f t="shared" si="40"/>
        <v>48200</v>
      </c>
      <c r="M769" s="40"/>
      <c r="N769" s="40"/>
      <c r="O769" s="40"/>
      <c r="P769" s="40"/>
      <c r="Q769" s="7"/>
      <c r="R769" s="7"/>
      <c r="S769" s="7"/>
      <c r="T769" s="35">
        <f t="shared" si="38"/>
        <v>0</v>
      </c>
      <c r="U769" s="7"/>
    </row>
    <row r="770" spans="1:21" x14ac:dyDescent="0.25">
      <c r="A770" s="7" t="s">
        <v>3202</v>
      </c>
      <c r="B770" s="8">
        <v>44651.695821759262</v>
      </c>
      <c r="C770" s="8">
        <v>44660</v>
      </c>
      <c r="D770" s="9">
        <v>1735891</v>
      </c>
      <c r="E770" s="7" t="e">
        <f>VLOOKUP(A770,DEVOLUCIONES!A$1:A$231,1,0)</f>
        <v>#N/A</v>
      </c>
      <c r="F770" s="7" t="e">
        <f>VLOOKUP(A770,'GLOSAS X CONCILIAR'!$A$1:$A$37,1,0)</f>
        <v>#N/A</v>
      </c>
      <c r="G770" s="7" t="e">
        <f>VLOOKUP(A770,'TODAS LAS P'!A:A,1,0)</f>
        <v>#N/A</v>
      </c>
      <c r="H770" s="7" t="e">
        <f>VLOOKUP(A770,PAGOS!A804:$A$1553,1,0)</f>
        <v>#N/A</v>
      </c>
      <c r="I770" s="40"/>
      <c r="J770" s="40"/>
      <c r="K770" s="40"/>
      <c r="L770" s="40">
        <f t="shared" si="40"/>
        <v>1735891</v>
      </c>
      <c r="M770" s="40"/>
      <c r="N770" s="40"/>
      <c r="O770" s="40"/>
      <c r="P770" s="40"/>
      <c r="Q770" s="7"/>
      <c r="R770" s="7"/>
      <c r="S770" s="7"/>
      <c r="T770" s="35">
        <f t="shared" si="38"/>
        <v>0</v>
      </c>
      <c r="U770" s="7"/>
    </row>
    <row r="771" spans="1:21" x14ac:dyDescent="0.25">
      <c r="A771" s="7" t="s">
        <v>3203</v>
      </c>
      <c r="B771" s="8">
        <v>44651.724166666667</v>
      </c>
      <c r="C771" s="8">
        <v>44660</v>
      </c>
      <c r="D771" s="9">
        <v>237300</v>
      </c>
      <c r="E771" s="7" t="e">
        <f>VLOOKUP(A771,DEVOLUCIONES!A$1:A$231,1,0)</f>
        <v>#N/A</v>
      </c>
      <c r="F771" s="7" t="e">
        <f>VLOOKUP(A771,'GLOSAS X CONCILIAR'!$A$1:$A$37,1,0)</f>
        <v>#N/A</v>
      </c>
      <c r="G771" s="7" t="e">
        <f>VLOOKUP(A771,'TODAS LAS P'!A:A,1,0)</f>
        <v>#N/A</v>
      </c>
      <c r="H771" s="7" t="e">
        <f>VLOOKUP(A771,PAGOS!A805:$A$1553,1,0)</f>
        <v>#N/A</v>
      </c>
      <c r="I771" s="40"/>
      <c r="J771" s="40"/>
      <c r="K771" s="40"/>
      <c r="L771" s="40">
        <f t="shared" si="40"/>
        <v>237300</v>
      </c>
      <c r="M771" s="40"/>
      <c r="N771" s="40"/>
      <c r="O771" s="40"/>
      <c r="P771" s="40"/>
      <c r="Q771" s="7"/>
      <c r="R771" s="7"/>
      <c r="S771" s="7"/>
      <c r="T771" s="35">
        <f t="shared" ref="T771" si="41">D771-SUM(I771:Q771)</f>
        <v>0</v>
      </c>
      <c r="U771" s="7"/>
    </row>
    <row r="772" spans="1:21" x14ac:dyDescent="0.25">
      <c r="A772" s="7"/>
      <c r="B772" s="7"/>
      <c r="C772" s="7"/>
      <c r="D772" s="20">
        <f>SUM(D2:D771)</f>
        <v>627373677</v>
      </c>
      <c r="E772" s="7"/>
      <c r="F772" s="7"/>
      <c r="G772" s="7"/>
      <c r="H772" s="7"/>
      <c r="I772" s="41">
        <f t="shared" ref="I772:O772" si="42">SUM(I2:I771)</f>
        <v>0</v>
      </c>
      <c r="J772" s="41">
        <f t="shared" si="42"/>
        <v>117069893</v>
      </c>
      <c r="K772" s="41">
        <f t="shared" si="42"/>
        <v>0</v>
      </c>
      <c r="L772" s="41">
        <f t="shared" si="42"/>
        <v>311273854</v>
      </c>
      <c r="M772" s="41">
        <f t="shared" si="42"/>
        <v>0</v>
      </c>
      <c r="N772" s="41">
        <f t="shared" si="42"/>
        <v>54503571</v>
      </c>
      <c r="O772" s="41">
        <f t="shared" si="42"/>
        <v>145474529</v>
      </c>
      <c r="P772" s="41">
        <f>SUM(P2:P771)</f>
        <v>83794</v>
      </c>
      <c r="Q772" s="20"/>
      <c r="R772" s="20"/>
      <c r="S772" s="7"/>
      <c r="T772" s="20">
        <f>SUM(T2:T771)</f>
        <v>-1031964</v>
      </c>
      <c r="U772" s="20">
        <f>SUM(U2:U771)</f>
        <v>0</v>
      </c>
    </row>
    <row r="773" spans="1:21" x14ac:dyDescent="0.25">
      <c r="I773" s="42"/>
      <c r="J773" s="42"/>
      <c r="K773" s="42"/>
      <c r="L773" s="42"/>
      <c r="M773" s="42"/>
      <c r="N773" s="42"/>
      <c r="O773" s="42"/>
      <c r="P773" s="42"/>
    </row>
    <row r="774" spans="1:21" x14ac:dyDescent="0.25">
      <c r="I774" s="42"/>
      <c r="J774" s="42"/>
      <c r="K774" s="42"/>
      <c r="L774" s="42"/>
      <c r="M774" s="42"/>
      <c r="N774" s="42"/>
      <c r="O774" s="42"/>
      <c r="P774" s="42"/>
    </row>
    <row r="775" spans="1:21" x14ac:dyDescent="0.25">
      <c r="I775" s="42"/>
      <c r="J775" s="42"/>
      <c r="K775" s="42"/>
      <c r="L775" s="42"/>
      <c r="M775" s="42"/>
      <c r="N775" s="42"/>
      <c r="O775" s="42"/>
      <c r="P775" s="42"/>
    </row>
    <row r="776" spans="1:21" x14ac:dyDescent="0.25">
      <c r="I776" s="42"/>
      <c r="J776" s="42"/>
      <c r="K776" s="42"/>
      <c r="L776" s="42"/>
      <c r="M776" s="42"/>
      <c r="N776" s="42"/>
      <c r="O776" s="42"/>
      <c r="P776" s="42"/>
    </row>
    <row r="777" spans="1:21" x14ac:dyDescent="0.25">
      <c r="I777" s="42"/>
      <c r="J777" s="42"/>
      <c r="K777" s="42"/>
      <c r="L777" s="42"/>
      <c r="M777" s="42"/>
      <c r="N777" s="42"/>
      <c r="O777" s="42"/>
      <c r="P777" s="42"/>
    </row>
    <row r="778" spans="1:21" x14ac:dyDescent="0.25">
      <c r="I778" s="42"/>
      <c r="J778" s="42"/>
      <c r="K778" s="42"/>
      <c r="L778" s="42"/>
      <c r="M778" s="42"/>
      <c r="N778" s="42"/>
      <c r="O778" s="42"/>
      <c r="P778" s="42"/>
    </row>
    <row r="779" spans="1:21" x14ac:dyDescent="0.25">
      <c r="I779" s="42"/>
      <c r="J779" s="42"/>
      <c r="K779" s="42"/>
      <c r="L779" s="42"/>
      <c r="M779" s="42"/>
      <c r="N779" s="42"/>
      <c r="O779" s="42"/>
      <c r="P779" s="42"/>
    </row>
    <row r="780" spans="1:21" x14ac:dyDescent="0.25">
      <c r="I780" s="42"/>
      <c r="J780" s="42"/>
      <c r="K780" s="42"/>
      <c r="L780" s="42"/>
      <c r="M780" s="42"/>
      <c r="N780" s="42"/>
      <c r="O780" s="42"/>
      <c r="P780" s="42"/>
    </row>
    <row r="781" spans="1:21" x14ac:dyDescent="0.25">
      <c r="I781" s="42"/>
      <c r="J781" s="42"/>
      <c r="K781" s="42"/>
      <c r="L781" s="42"/>
      <c r="M781" s="42"/>
      <c r="N781" s="42"/>
      <c r="O781" s="42"/>
      <c r="P781" s="42"/>
    </row>
    <row r="782" spans="1:21" x14ac:dyDescent="0.25">
      <c r="I782" s="42"/>
      <c r="J782" s="42"/>
      <c r="K782" s="42"/>
      <c r="L782" s="42"/>
      <c r="M782" s="42"/>
      <c r="N782" s="42"/>
      <c r="O782" s="42"/>
      <c r="P782" s="42"/>
    </row>
    <row r="783" spans="1:21" x14ac:dyDescent="0.25">
      <c r="I783" s="42"/>
      <c r="J783" s="42"/>
      <c r="K783" s="42"/>
      <c r="L783" s="42"/>
      <c r="M783" s="42"/>
      <c r="N783" s="42"/>
      <c r="O783" s="42"/>
      <c r="P783" s="42"/>
    </row>
    <row r="784" spans="1:21" x14ac:dyDescent="0.25">
      <c r="I784" s="42"/>
      <c r="J784" s="42"/>
      <c r="K784" s="42"/>
      <c r="L784" s="42"/>
      <c r="M784" s="42"/>
      <c r="N784" s="42"/>
      <c r="O784" s="42"/>
      <c r="P784" s="42"/>
    </row>
    <row r="785" spans="9:16" x14ac:dyDescent="0.25">
      <c r="I785" s="42"/>
      <c r="J785" s="42"/>
      <c r="K785" s="42"/>
      <c r="L785" s="42"/>
      <c r="M785" s="42"/>
      <c r="N785" s="42"/>
      <c r="O785" s="42"/>
      <c r="P785" s="42"/>
    </row>
    <row r="786" spans="9:16" x14ac:dyDescent="0.25">
      <c r="I786" s="42"/>
      <c r="J786" s="42"/>
      <c r="K786" s="42"/>
      <c r="L786" s="42"/>
      <c r="M786" s="42"/>
      <c r="N786" s="42"/>
      <c r="O786" s="42"/>
      <c r="P786" s="42"/>
    </row>
    <row r="787" spans="9:16" x14ac:dyDescent="0.25">
      <c r="I787" s="42"/>
      <c r="J787" s="42"/>
      <c r="K787" s="42"/>
      <c r="L787" s="42"/>
      <c r="M787" s="42"/>
      <c r="N787" s="42"/>
      <c r="O787" s="42"/>
      <c r="P787" s="42"/>
    </row>
    <row r="788" spans="9:16" x14ac:dyDescent="0.25">
      <c r="I788" s="42"/>
      <c r="J788" s="42"/>
      <c r="K788" s="42"/>
      <c r="L788" s="42"/>
      <c r="M788" s="42"/>
      <c r="N788" s="42"/>
      <c r="O788" s="42"/>
      <c r="P788" s="42"/>
    </row>
    <row r="789" spans="9:16" x14ac:dyDescent="0.25">
      <c r="I789" s="42"/>
      <c r="J789" s="42"/>
      <c r="K789" s="42"/>
      <c r="L789" s="42"/>
      <c r="M789" s="42"/>
      <c r="N789" s="42"/>
      <c r="O789" s="42"/>
      <c r="P789" s="42"/>
    </row>
    <row r="790" spans="9:16" x14ac:dyDescent="0.25">
      <c r="I790" s="42"/>
      <c r="J790" s="42"/>
      <c r="K790" s="42"/>
      <c r="L790" s="42"/>
      <c r="M790" s="42"/>
      <c r="N790" s="42"/>
      <c r="O790" s="42"/>
      <c r="P790" s="42"/>
    </row>
    <row r="791" spans="9:16" x14ac:dyDescent="0.25">
      <c r="I791" s="42"/>
      <c r="J791" s="42"/>
      <c r="K791" s="42"/>
      <c r="L791" s="42"/>
      <c r="M791" s="42"/>
      <c r="N791" s="42"/>
      <c r="O791" s="42"/>
      <c r="P791" s="42"/>
    </row>
    <row r="792" spans="9:16" x14ac:dyDescent="0.25">
      <c r="I792" s="42"/>
      <c r="J792" s="42"/>
      <c r="K792" s="42"/>
      <c r="L792" s="42"/>
      <c r="M792" s="42"/>
      <c r="N792" s="42"/>
      <c r="O792" s="42"/>
      <c r="P792" s="42"/>
    </row>
    <row r="793" spans="9:16" x14ac:dyDescent="0.25">
      <c r="I793" s="42"/>
      <c r="J793" s="42"/>
      <c r="K793" s="42"/>
      <c r="L793" s="42"/>
      <c r="M793" s="42"/>
      <c r="N793" s="42"/>
      <c r="O793" s="42"/>
      <c r="P793" s="42"/>
    </row>
    <row r="794" spans="9:16" x14ac:dyDescent="0.25">
      <c r="I794" s="42"/>
      <c r="J794" s="42"/>
      <c r="K794" s="42"/>
      <c r="L794" s="42"/>
      <c r="M794" s="42"/>
      <c r="N794" s="42"/>
      <c r="O794" s="42"/>
      <c r="P794" s="42"/>
    </row>
    <row r="795" spans="9:16" x14ac:dyDescent="0.25">
      <c r="I795" s="42"/>
      <c r="J795" s="42"/>
      <c r="K795" s="42"/>
      <c r="L795" s="42"/>
      <c r="M795" s="42"/>
      <c r="N795" s="42"/>
      <c r="O795" s="42"/>
      <c r="P795" s="42"/>
    </row>
    <row r="796" spans="9:16" x14ac:dyDescent="0.25">
      <c r="I796" s="42"/>
      <c r="J796" s="42"/>
      <c r="K796" s="42"/>
      <c r="L796" s="42"/>
      <c r="M796" s="42"/>
      <c r="N796" s="42"/>
      <c r="O796" s="42"/>
      <c r="P796" s="42"/>
    </row>
    <row r="797" spans="9:16" x14ac:dyDescent="0.25">
      <c r="I797" s="42"/>
      <c r="J797" s="42"/>
      <c r="K797" s="42"/>
      <c r="L797" s="42"/>
      <c r="M797" s="42"/>
      <c r="N797" s="42"/>
      <c r="O797" s="42"/>
      <c r="P797" s="42"/>
    </row>
    <row r="798" spans="9:16" x14ac:dyDescent="0.25">
      <c r="I798" s="42"/>
      <c r="J798" s="42"/>
      <c r="K798" s="42"/>
      <c r="L798" s="42"/>
      <c r="M798" s="42"/>
      <c r="N798" s="42"/>
      <c r="O798" s="42"/>
      <c r="P798" s="42"/>
    </row>
    <row r="799" spans="9:16" x14ac:dyDescent="0.25">
      <c r="I799" s="42"/>
      <c r="J799" s="42"/>
      <c r="K799" s="42"/>
      <c r="L799" s="42"/>
      <c r="M799" s="42"/>
      <c r="N799" s="42"/>
      <c r="O799" s="42"/>
      <c r="P799" s="42"/>
    </row>
    <row r="800" spans="9:16" x14ac:dyDescent="0.25">
      <c r="I800" s="42"/>
      <c r="J800" s="42"/>
      <c r="K800" s="42"/>
      <c r="L800" s="42"/>
      <c r="M800" s="42"/>
      <c r="N800" s="42"/>
      <c r="O800" s="42"/>
      <c r="P800" s="42"/>
    </row>
    <row r="801" spans="9:16" x14ac:dyDescent="0.25">
      <c r="I801" s="42"/>
      <c r="J801" s="42"/>
      <c r="K801" s="42"/>
      <c r="L801" s="42"/>
      <c r="M801" s="42"/>
      <c r="N801" s="42"/>
      <c r="O801" s="42"/>
      <c r="P801" s="42"/>
    </row>
    <row r="802" spans="9:16" x14ac:dyDescent="0.25">
      <c r="I802" s="42"/>
      <c r="J802" s="42"/>
      <c r="K802" s="42"/>
      <c r="L802" s="42"/>
      <c r="M802" s="42"/>
      <c r="N802" s="42"/>
      <c r="O802" s="42"/>
      <c r="P802" s="42"/>
    </row>
    <row r="803" spans="9:16" x14ac:dyDescent="0.25">
      <c r="I803" s="42"/>
      <c r="J803" s="42"/>
      <c r="K803" s="42"/>
      <c r="L803" s="42"/>
      <c r="M803" s="42"/>
      <c r="N803" s="42"/>
      <c r="O803" s="42"/>
      <c r="P803" s="42"/>
    </row>
    <row r="804" spans="9:16" x14ac:dyDescent="0.25">
      <c r="I804" s="42"/>
      <c r="J804" s="42"/>
      <c r="K804" s="42"/>
      <c r="L804" s="42"/>
      <c r="M804" s="42"/>
      <c r="N804" s="42"/>
      <c r="O804" s="42"/>
      <c r="P804" s="42"/>
    </row>
    <row r="805" spans="9:16" x14ac:dyDescent="0.25">
      <c r="I805" s="42"/>
      <c r="J805" s="42"/>
      <c r="K805" s="42"/>
      <c r="L805" s="42"/>
      <c r="M805" s="42"/>
      <c r="N805" s="42"/>
      <c r="O805" s="42"/>
      <c r="P805" s="42"/>
    </row>
    <row r="806" spans="9:16" x14ac:dyDescent="0.25">
      <c r="I806" s="42"/>
      <c r="J806" s="42"/>
      <c r="K806" s="42"/>
      <c r="L806" s="42"/>
      <c r="M806" s="42"/>
      <c r="N806" s="42"/>
      <c r="O806" s="42"/>
      <c r="P806" s="42"/>
    </row>
    <row r="807" spans="9:16" x14ac:dyDescent="0.25">
      <c r="I807" s="42"/>
      <c r="J807" s="42"/>
      <c r="K807" s="42"/>
      <c r="L807" s="42"/>
      <c r="M807" s="42"/>
      <c r="N807" s="42"/>
      <c r="O807" s="42"/>
      <c r="P807" s="42"/>
    </row>
    <row r="808" spans="9:16" x14ac:dyDescent="0.25">
      <c r="I808" s="42"/>
      <c r="J808" s="42"/>
      <c r="K808" s="42"/>
      <c r="L808" s="42"/>
      <c r="M808" s="42"/>
      <c r="N808" s="42"/>
      <c r="O808" s="42"/>
      <c r="P808" s="42"/>
    </row>
    <row r="809" spans="9:16" x14ac:dyDescent="0.25">
      <c r="I809" s="42"/>
      <c r="J809" s="42"/>
      <c r="K809" s="42"/>
      <c r="L809" s="42"/>
      <c r="M809" s="42"/>
      <c r="N809" s="42"/>
      <c r="O809" s="42"/>
      <c r="P809" s="42"/>
    </row>
    <row r="810" spans="9:16" x14ac:dyDescent="0.25">
      <c r="I810" s="42"/>
      <c r="J810" s="42"/>
      <c r="K810" s="42"/>
      <c r="L810" s="42"/>
      <c r="M810" s="42"/>
      <c r="N810" s="42"/>
      <c r="O810" s="42"/>
      <c r="P810" s="42"/>
    </row>
    <row r="811" spans="9:16" x14ac:dyDescent="0.25">
      <c r="I811" s="42"/>
      <c r="J811" s="42"/>
      <c r="K811" s="42"/>
      <c r="L811" s="42"/>
      <c r="M811" s="42"/>
      <c r="N811" s="42"/>
      <c r="O811" s="42"/>
      <c r="P811" s="42"/>
    </row>
    <row r="812" spans="9:16" x14ac:dyDescent="0.25">
      <c r="I812" s="42"/>
      <c r="J812" s="42"/>
      <c r="K812" s="42"/>
      <c r="L812" s="42"/>
      <c r="M812" s="42"/>
      <c r="N812" s="42"/>
      <c r="O812" s="42"/>
      <c r="P812" s="42"/>
    </row>
    <row r="813" spans="9:16" x14ac:dyDescent="0.25">
      <c r="I813" s="42"/>
      <c r="J813" s="42"/>
      <c r="K813" s="42"/>
      <c r="L813" s="42"/>
      <c r="M813" s="42"/>
      <c r="N813" s="42"/>
      <c r="O813" s="42"/>
      <c r="P813" s="42"/>
    </row>
    <row r="814" spans="9:16" x14ac:dyDescent="0.25">
      <c r="I814" s="42"/>
      <c r="J814" s="42"/>
      <c r="K814" s="42"/>
      <c r="L814" s="42"/>
      <c r="M814" s="42"/>
      <c r="N814" s="42"/>
      <c r="O814" s="42"/>
      <c r="P814" s="42"/>
    </row>
    <row r="815" spans="9:16" x14ac:dyDescent="0.25">
      <c r="I815" s="42"/>
      <c r="J815" s="42"/>
      <c r="K815" s="42"/>
      <c r="L815" s="42"/>
      <c r="M815" s="42"/>
      <c r="N815" s="42"/>
      <c r="O815" s="42"/>
      <c r="P815" s="42"/>
    </row>
    <row r="816" spans="9:16" x14ac:dyDescent="0.25">
      <c r="I816" s="42"/>
      <c r="J816" s="42"/>
      <c r="K816" s="42"/>
      <c r="L816" s="42"/>
      <c r="M816" s="42"/>
      <c r="N816" s="42"/>
      <c r="O816" s="42"/>
      <c r="P816" s="42"/>
    </row>
    <row r="817" spans="9:16" x14ac:dyDescent="0.25">
      <c r="I817" s="42"/>
      <c r="J817" s="42"/>
      <c r="K817" s="42"/>
      <c r="L817" s="42"/>
      <c r="M817" s="42"/>
      <c r="N817" s="42"/>
      <c r="O817" s="42"/>
      <c r="P817" s="42"/>
    </row>
    <row r="818" spans="9:16" x14ac:dyDescent="0.25">
      <c r="I818" s="42"/>
      <c r="J818" s="42"/>
      <c r="K818" s="42"/>
      <c r="L818" s="42"/>
      <c r="M818" s="42"/>
      <c r="N818" s="42"/>
      <c r="O818" s="42"/>
      <c r="P818" s="42"/>
    </row>
    <row r="819" spans="9:16" x14ac:dyDescent="0.25">
      <c r="I819" s="42"/>
      <c r="J819" s="42"/>
      <c r="K819" s="42"/>
      <c r="L819" s="42"/>
      <c r="M819" s="42"/>
      <c r="N819" s="42"/>
      <c r="O819" s="42"/>
      <c r="P819" s="42"/>
    </row>
    <row r="820" spans="9:16" x14ac:dyDescent="0.25">
      <c r="I820" s="42"/>
      <c r="J820" s="42"/>
      <c r="K820" s="42"/>
      <c r="L820" s="42"/>
      <c r="M820" s="42"/>
      <c r="N820" s="42"/>
      <c r="O820" s="42"/>
      <c r="P820" s="42"/>
    </row>
    <row r="821" spans="9:16" x14ac:dyDescent="0.25">
      <c r="I821" s="42"/>
      <c r="J821" s="42"/>
      <c r="K821" s="42"/>
      <c r="L821" s="42"/>
      <c r="M821" s="42"/>
      <c r="N821" s="42"/>
      <c r="O821" s="42"/>
      <c r="P821" s="42"/>
    </row>
    <row r="822" spans="9:16" x14ac:dyDescent="0.25">
      <c r="I822" s="42"/>
      <c r="J822" s="42"/>
      <c r="K822" s="42"/>
      <c r="L822" s="42"/>
      <c r="M822" s="42"/>
      <c r="N822" s="42"/>
      <c r="O822" s="42"/>
      <c r="P822" s="42"/>
    </row>
    <row r="823" spans="9:16" x14ac:dyDescent="0.25">
      <c r="I823" s="42"/>
      <c r="J823" s="42"/>
      <c r="K823" s="42"/>
      <c r="L823" s="42"/>
      <c r="M823" s="42"/>
      <c r="N823" s="42"/>
      <c r="O823" s="42"/>
      <c r="P823" s="42"/>
    </row>
    <row r="824" spans="9:16" x14ac:dyDescent="0.25">
      <c r="I824" s="42"/>
      <c r="J824" s="42"/>
      <c r="K824" s="42"/>
      <c r="L824" s="42"/>
      <c r="M824" s="42"/>
      <c r="N824" s="42"/>
      <c r="O824" s="42"/>
      <c r="P824" s="42"/>
    </row>
    <row r="825" spans="9:16" x14ac:dyDescent="0.25">
      <c r="I825" s="42"/>
      <c r="J825" s="42"/>
      <c r="K825" s="42"/>
      <c r="L825" s="42"/>
      <c r="M825" s="42"/>
      <c r="N825" s="42"/>
      <c r="O825" s="42"/>
      <c r="P825" s="42"/>
    </row>
    <row r="826" spans="9:16" x14ac:dyDescent="0.25">
      <c r="I826" s="42"/>
      <c r="J826" s="42"/>
      <c r="K826" s="42"/>
      <c r="L826" s="42"/>
      <c r="M826" s="42"/>
      <c r="N826" s="42"/>
      <c r="O826" s="42"/>
      <c r="P826" s="42"/>
    </row>
    <row r="827" spans="9:16" x14ac:dyDescent="0.25">
      <c r="I827" s="42"/>
      <c r="J827" s="42"/>
      <c r="K827" s="42"/>
      <c r="L827" s="42"/>
      <c r="M827" s="42"/>
      <c r="N827" s="42"/>
      <c r="O827" s="42"/>
      <c r="P827" s="42"/>
    </row>
    <row r="828" spans="9:16" x14ac:dyDescent="0.25">
      <c r="I828" s="42"/>
      <c r="J828" s="42"/>
      <c r="K828" s="42"/>
      <c r="L828" s="42"/>
      <c r="M828" s="42"/>
      <c r="N828" s="42"/>
      <c r="O828" s="42"/>
      <c r="P828" s="42"/>
    </row>
    <row r="829" spans="9:16" x14ac:dyDescent="0.25">
      <c r="I829" s="42"/>
      <c r="J829" s="42"/>
      <c r="K829" s="42"/>
      <c r="L829" s="42"/>
      <c r="M829" s="42"/>
      <c r="N829" s="42"/>
      <c r="O829" s="42"/>
      <c r="P829" s="42"/>
    </row>
    <row r="830" spans="9:16" x14ac:dyDescent="0.25">
      <c r="I830" s="42"/>
      <c r="J830" s="42"/>
      <c r="K830" s="42"/>
      <c r="L830" s="42"/>
      <c r="M830" s="42"/>
      <c r="N830" s="42"/>
      <c r="O830" s="42"/>
      <c r="P830" s="42"/>
    </row>
    <row r="831" spans="9:16" x14ac:dyDescent="0.25">
      <c r="I831" s="42"/>
      <c r="J831" s="42"/>
      <c r="K831" s="42"/>
      <c r="L831" s="42"/>
      <c r="M831" s="42"/>
      <c r="N831" s="42"/>
      <c r="O831" s="42"/>
      <c r="P831" s="42"/>
    </row>
    <row r="832" spans="9:16" x14ac:dyDescent="0.25">
      <c r="I832" s="42"/>
      <c r="J832" s="42"/>
      <c r="K832" s="42"/>
      <c r="L832" s="42"/>
      <c r="M832" s="42"/>
      <c r="N832" s="42"/>
      <c r="O832" s="42"/>
      <c r="P832" s="42"/>
    </row>
    <row r="833" spans="9:16" x14ac:dyDescent="0.25">
      <c r="I833" s="42"/>
      <c r="J833" s="42"/>
      <c r="K833" s="42"/>
      <c r="L833" s="42"/>
      <c r="M833" s="42"/>
      <c r="N833" s="42"/>
      <c r="O833" s="42"/>
      <c r="P833" s="42"/>
    </row>
    <row r="834" spans="9:16" x14ac:dyDescent="0.25">
      <c r="I834" s="42"/>
      <c r="J834" s="42"/>
      <c r="K834" s="42"/>
      <c r="L834" s="42"/>
      <c r="M834" s="42"/>
      <c r="N834" s="42"/>
      <c r="O834" s="42"/>
      <c r="P834" s="42"/>
    </row>
    <row r="835" spans="9:16" x14ac:dyDescent="0.25">
      <c r="I835" s="42"/>
      <c r="J835" s="42"/>
      <c r="K835" s="42"/>
      <c r="L835" s="42"/>
      <c r="M835" s="42"/>
      <c r="N835" s="42"/>
      <c r="O835" s="42"/>
      <c r="P835" s="42"/>
    </row>
    <row r="836" spans="9:16" x14ac:dyDescent="0.25">
      <c r="I836" s="42"/>
      <c r="J836" s="42"/>
      <c r="K836" s="42"/>
      <c r="L836" s="42"/>
      <c r="M836" s="42"/>
      <c r="N836" s="42"/>
      <c r="O836" s="42"/>
      <c r="P836" s="42"/>
    </row>
    <row r="837" spans="9:16" x14ac:dyDescent="0.25">
      <c r="I837" s="42"/>
      <c r="J837" s="42"/>
      <c r="K837" s="42"/>
      <c r="L837" s="42"/>
      <c r="M837" s="42"/>
      <c r="N837" s="42"/>
      <c r="O837" s="42"/>
      <c r="P837" s="42"/>
    </row>
    <row r="838" spans="9:16" x14ac:dyDescent="0.25">
      <c r="I838" s="42"/>
      <c r="J838" s="42"/>
      <c r="K838" s="42"/>
      <c r="L838" s="42"/>
      <c r="M838" s="42"/>
      <c r="N838" s="42"/>
      <c r="O838" s="42"/>
      <c r="P838" s="42"/>
    </row>
    <row r="839" spans="9:16" x14ac:dyDescent="0.25">
      <c r="I839" s="42"/>
      <c r="J839" s="42"/>
      <c r="K839" s="42"/>
      <c r="L839" s="42"/>
      <c r="M839" s="42"/>
      <c r="N839" s="42"/>
      <c r="O839" s="42"/>
      <c r="P839" s="42"/>
    </row>
    <row r="840" spans="9:16" x14ac:dyDescent="0.25">
      <c r="I840" s="42"/>
      <c r="J840" s="42"/>
      <c r="K840" s="42"/>
      <c r="L840" s="42"/>
      <c r="M840" s="42"/>
      <c r="N840" s="42"/>
      <c r="O840" s="42"/>
      <c r="P840" s="42"/>
    </row>
    <row r="841" spans="9:16" x14ac:dyDescent="0.25">
      <c r="I841" s="42"/>
      <c r="J841" s="42"/>
      <c r="K841" s="42"/>
      <c r="L841" s="42"/>
      <c r="M841" s="42"/>
      <c r="N841" s="42"/>
      <c r="O841" s="42"/>
      <c r="P841" s="42"/>
    </row>
    <row r="842" spans="9:16" x14ac:dyDescent="0.25">
      <c r="I842" s="42"/>
      <c r="J842" s="42"/>
      <c r="K842" s="42"/>
      <c r="L842" s="42"/>
      <c r="M842" s="42"/>
      <c r="N842" s="42"/>
      <c r="O842" s="42"/>
      <c r="P842" s="42"/>
    </row>
    <row r="843" spans="9:16" x14ac:dyDescent="0.25">
      <c r="I843" s="42"/>
      <c r="J843" s="42"/>
      <c r="K843" s="42"/>
      <c r="L843" s="42"/>
      <c r="M843" s="42"/>
      <c r="N843" s="42"/>
      <c r="O843" s="42"/>
      <c r="P843" s="42"/>
    </row>
    <row r="844" spans="9:16" x14ac:dyDescent="0.25">
      <c r="I844" s="42"/>
      <c r="J844" s="42"/>
      <c r="K844" s="42"/>
      <c r="L844" s="42"/>
      <c r="M844" s="42"/>
      <c r="N844" s="42"/>
      <c r="O844" s="42"/>
      <c r="P844" s="42"/>
    </row>
    <row r="845" spans="9:16" x14ac:dyDescent="0.25">
      <c r="I845" s="42"/>
      <c r="J845" s="42"/>
      <c r="K845" s="42"/>
      <c r="L845" s="42"/>
      <c r="M845" s="42"/>
      <c r="N845" s="42"/>
      <c r="O845" s="42"/>
      <c r="P845" s="42"/>
    </row>
    <row r="846" spans="9:16" x14ac:dyDescent="0.25">
      <c r="I846" s="42"/>
      <c r="J846" s="42"/>
      <c r="K846" s="42"/>
      <c r="L846" s="42"/>
      <c r="M846" s="42"/>
      <c r="N846" s="42"/>
      <c r="O846" s="42"/>
      <c r="P846" s="42"/>
    </row>
    <row r="847" spans="9:16" x14ac:dyDescent="0.25">
      <c r="I847" s="42"/>
      <c r="J847" s="42"/>
      <c r="K847" s="42"/>
      <c r="L847" s="42"/>
      <c r="M847" s="42"/>
      <c r="N847" s="42"/>
      <c r="O847" s="42"/>
      <c r="P847" s="42"/>
    </row>
    <row r="848" spans="9:16" x14ac:dyDescent="0.25">
      <c r="I848" s="42"/>
      <c r="J848" s="42"/>
      <c r="K848" s="42"/>
      <c r="L848" s="42"/>
      <c r="M848" s="42"/>
      <c r="N848" s="42"/>
      <c r="O848" s="42"/>
      <c r="P848" s="42"/>
    </row>
    <row r="849" spans="9:16" x14ac:dyDescent="0.25">
      <c r="I849" s="42"/>
      <c r="J849" s="42"/>
      <c r="K849" s="42"/>
      <c r="L849" s="42"/>
      <c r="M849" s="42"/>
      <c r="N849" s="42"/>
      <c r="O849" s="42"/>
      <c r="P849" s="42"/>
    </row>
    <row r="850" spans="9:16" x14ac:dyDescent="0.25">
      <c r="I850" s="42"/>
      <c r="J850" s="42"/>
      <c r="K850" s="42"/>
      <c r="L850" s="42"/>
      <c r="M850" s="42"/>
      <c r="N850" s="42"/>
      <c r="O850" s="42"/>
      <c r="P850" s="42"/>
    </row>
    <row r="851" spans="9:16" x14ac:dyDescent="0.25">
      <c r="I851" s="42"/>
      <c r="J851" s="42"/>
      <c r="K851" s="42"/>
      <c r="L851" s="42"/>
      <c r="M851" s="42"/>
      <c r="N851" s="42"/>
      <c r="O851" s="42"/>
      <c r="P851" s="42"/>
    </row>
    <row r="852" spans="9:16" x14ac:dyDescent="0.25">
      <c r="I852" s="42"/>
      <c r="J852" s="42"/>
      <c r="K852" s="42"/>
      <c r="L852" s="42"/>
      <c r="M852" s="42"/>
      <c r="N852" s="42"/>
      <c r="O852" s="42"/>
      <c r="P852" s="42"/>
    </row>
    <row r="853" spans="9:16" x14ac:dyDescent="0.25">
      <c r="I853" s="42"/>
      <c r="J853" s="42"/>
      <c r="K853" s="42"/>
      <c r="L853" s="42"/>
      <c r="M853" s="42"/>
      <c r="N853" s="42"/>
      <c r="O853" s="42"/>
      <c r="P853" s="42"/>
    </row>
    <row r="854" spans="9:16" x14ac:dyDescent="0.25">
      <c r="I854" s="42"/>
      <c r="J854" s="42"/>
      <c r="K854" s="42"/>
      <c r="L854" s="42"/>
      <c r="M854" s="42"/>
      <c r="N854" s="42"/>
      <c r="O854" s="42"/>
      <c r="P854" s="42"/>
    </row>
    <row r="855" spans="9:16" x14ac:dyDescent="0.25">
      <c r="I855" s="42"/>
      <c r="J855" s="42"/>
      <c r="K855" s="42"/>
      <c r="L855" s="42"/>
      <c r="M855" s="42"/>
      <c r="N855" s="42"/>
      <c r="O855" s="42"/>
      <c r="P855" s="42"/>
    </row>
    <row r="856" spans="9:16" x14ac:dyDescent="0.25">
      <c r="I856" s="42"/>
      <c r="J856" s="42"/>
      <c r="K856" s="42"/>
      <c r="L856" s="42"/>
      <c r="M856" s="42"/>
      <c r="N856" s="42"/>
      <c r="O856" s="42"/>
      <c r="P856" s="42"/>
    </row>
    <row r="857" spans="9:16" x14ac:dyDescent="0.25">
      <c r="I857" s="42"/>
      <c r="J857" s="42"/>
      <c r="K857" s="42"/>
      <c r="L857" s="42"/>
      <c r="M857" s="42"/>
      <c r="N857" s="42"/>
      <c r="O857" s="42"/>
      <c r="P857" s="42"/>
    </row>
    <row r="858" spans="9:16" x14ac:dyDescent="0.25">
      <c r="I858" s="42"/>
      <c r="J858" s="42"/>
      <c r="K858" s="42"/>
      <c r="L858" s="42"/>
      <c r="M858" s="42"/>
      <c r="N858" s="42"/>
      <c r="O858" s="42"/>
      <c r="P858" s="42"/>
    </row>
    <row r="859" spans="9:16" x14ac:dyDescent="0.25">
      <c r="I859" s="42"/>
      <c r="J859" s="42"/>
      <c r="K859" s="42"/>
      <c r="L859" s="42"/>
      <c r="M859" s="42"/>
      <c r="N859" s="42"/>
      <c r="O859" s="42"/>
      <c r="P859" s="42"/>
    </row>
    <row r="860" spans="9:16" x14ac:dyDescent="0.25">
      <c r="I860" s="42"/>
      <c r="J860" s="42"/>
      <c r="K860" s="42"/>
      <c r="L860" s="42"/>
      <c r="M860" s="42"/>
      <c r="N860" s="42"/>
      <c r="O860" s="42"/>
      <c r="P860" s="42"/>
    </row>
    <row r="861" spans="9:16" x14ac:dyDescent="0.25">
      <c r="I861" s="42"/>
      <c r="J861" s="42"/>
      <c r="K861" s="42"/>
      <c r="L861" s="42"/>
      <c r="M861" s="42"/>
      <c r="N861" s="42"/>
      <c r="O861" s="42"/>
      <c r="P861" s="42"/>
    </row>
    <row r="862" spans="9:16" x14ac:dyDescent="0.25">
      <c r="I862" s="42"/>
      <c r="J862" s="42"/>
      <c r="K862" s="42"/>
      <c r="L862" s="42"/>
      <c r="M862" s="42"/>
      <c r="N862" s="42"/>
      <c r="O862" s="42"/>
      <c r="P862" s="42"/>
    </row>
    <row r="863" spans="9:16" x14ac:dyDescent="0.25">
      <c r="I863" s="42"/>
      <c r="J863" s="42"/>
      <c r="K863" s="42"/>
      <c r="L863" s="42"/>
      <c r="M863" s="42"/>
      <c r="N863" s="42"/>
      <c r="O863" s="42"/>
      <c r="P863" s="42"/>
    </row>
    <row r="864" spans="9:16" x14ac:dyDescent="0.25">
      <c r="I864" s="42"/>
      <c r="J864" s="42"/>
      <c r="K864" s="42"/>
      <c r="L864" s="42"/>
      <c r="M864" s="42"/>
      <c r="N864" s="42"/>
      <c r="O864" s="42"/>
      <c r="P864" s="42"/>
    </row>
    <row r="865" spans="9:16" x14ac:dyDescent="0.25">
      <c r="I865" s="42"/>
      <c r="J865" s="42"/>
      <c r="K865" s="42"/>
      <c r="L865" s="42"/>
      <c r="M865" s="42"/>
      <c r="N865" s="42"/>
      <c r="O865" s="42"/>
      <c r="P865" s="42"/>
    </row>
    <row r="866" spans="9:16" x14ac:dyDescent="0.25">
      <c r="I866" s="42"/>
      <c r="J866" s="42"/>
      <c r="K866" s="42"/>
      <c r="L866" s="42"/>
      <c r="M866" s="42"/>
      <c r="N866" s="42"/>
      <c r="O866" s="42"/>
      <c r="P866" s="42"/>
    </row>
    <row r="867" spans="9:16" x14ac:dyDescent="0.25">
      <c r="I867" s="42"/>
      <c r="J867" s="42"/>
      <c r="K867" s="42"/>
      <c r="L867" s="42"/>
      <c r="M867" s="42"/>
      <c r="N867" s="42"/>
      <c r="O867" s="42"/>
      <c r="P867" s="42"/>
    </row>
    <row r="868" spans="9:16" x14ac:dyDescent="0.25">
      <c r="I868" s="42"/>
      <c r="J868" s="42"/>
      <c r="K868" s="42"/>
      <c r="L868" s="42"/>
      <c r="M868" s="42"/>
      <c r="N868" s="42"/>
      <c r="O868" s="42"/>
      <c r="P868" s="42"/>
    </row>
    <row r="869" spans="9:16" x14ac:dyDescent="0.25">
      <c r="I869" s="42"/>
      <c r="J869" s="42"/>
      <c r="K869" s="42"/>
      <c r="L869" s="42"/>
      <c r="M869" s="42"/>
      <c r="N869" s="42"/>
      <c r="O869" s="42"/>
      <c r="P869" s="42"/>
    </row>
    <row r="870" spans="9:16" x14ac:dyDescent="0.25">
      <c r="I870" s="42"/>
      <c r="J870" s="42"/>
      <c r="K870" s="42"/>
      <c r="L870" s="42"/>
      <c r="M870" s="42"/>
      <c r="N870" s="42"/>
      <c r="O870" s="42"/>
      <c r="P870" s="42"/>
    </row>
    <row r="871" spans="9:16" x14ac:dyDescent="0.25">
      <c r="I871" s="42"/>
      <c r="J871" s="42"/>
      <c r="K871" s="42"/>
      <c r="L871" s="42"/>
      <c r="M871" s="42"/>
      <c r="N871" s="42"/>
      <c r="O871" s="42"/>
      <c r="P871" s="42"/>
    </row>
    <row r="872" spans="9:16" x14ac:dyDescent="0.25">
      <c r="I872" s="42"/>
      <c r="J872" s="42"/>
      <c r="K872" s="42"/>
      <c r="L872" s="42"/>
      <c r="M872" s="42"/>
      <c r="N872" s="42"/>
      <c r="O872" s="42"/>
      <c r="P872" s="42"/>
    </row>
    <row r="873" spans="9:16" x14ac:dyDescent="0.25">
      <c r="I873" s="42"/>
      <c r="J873" s="42"/>
      <c r="K873" s="42"/>
      <c r="L873" s="42"/>
      <c r="M873" s="42"/>
      <c r="N873" s="42"/>
      <c r="O873" s="42"/>
      <c r="P873" s="42"/>
    </row>
    <row r="874" spans="9:16" x14ac:dyDescent="0.25">
      <c r="I874" s="42"/>
      <c r="J874" s="42"/>
      <c r="K874" s="42"/>
      <c r="L874" s="42"/>
      <c r="M874" s="42"/>
      <c r="N874" s="42"/>
      <c r="O874" s="42"/>
      <c r="P874" s="42"/>
    </row>
    <row r="875" spans="9:16" x14ac:dyDescent="0.25">
      <c r="I875" s="42"/>
      <c r="J875" s="42"/>
      <c r="K875" s="42"/>
      <c r="L875" s="42"/>
      <c r="M875" s="42"/>
      <c r="N875" s="42"/>
      <c r="O875" s="42"/>
      <c r="P875" s="42"/>
    </row>
    <row r="876" spans="9:16" x14ac:dyDescent="0.25">
      <c r="I876" s="42"/>
      <c r="J876" s="42"/>
      <c r="K876" s="42"/>
      <c r="L876" s="42"/>
      <c r="M876" s="42"/>
      <c r="N876" s="42"/>
      <c r="O876" s="42"/>
      <c r="P876" s="42"/>
    </row>
    <row r="877" spans="9:16" x14ac:dyDescent="0.25">
      <c r="I877" s="42"/>
      <c r="J877" s="42"/>
      <c r="K877" s="42"/>
      <c r="L877" s="42"/>
      <c r="M877" s="42"/>
      <c r="N877" s="42"/>
      <c r="O877" s="42"/>
      <c r="P877" s="42"/>
    </row>
    <row r="878" spans="9:16" x14ac:dyDescent="0.25">
      <c r="I878" s="42"/>
      <c r="J878" s="42"/>
      <c r="K878" s="42"/>
      <c r="L878" s="42"/>
      <c r="M878" s="42"/>
      <c r="N878" s="42"/>
      <c r="O878" s="42"/>
      <c r="P878" s="42"/>
    </row>
    <row r="879" spans="9:16" x14ac:dyDescent="0.25">
      <c r="I879" s="42"/>
      <c r="J879" s="42"/>
      <c r="K879" s="42"/>
      <c r="L879" s="42"/>
      <c r="M879" s="42"/>
      <c r="N879" s="42"/>
      <c r="O879" s="42"/>
      <c r="P879" s="42"/>
    </row>
    <row r="880" spans="9:16" x14ac:dyDescent="0.25">
      <c r="I880" s="42"/>
      <c r="J880" s="42"/>
      <c r="K880" s="42"/>
      <c r="L880" s="42"/>
      <c r="M880" s="42"/>
      <c r="N880" s="42"/>
      <c r="O880" s="42"/>
      <c r="P880" s="42"/>
    </row>
    <row r="881" spans="9:16" x14ac:dyDescent="0.25">
      <c r="I881" s="42"/>
      <c r="J881" s="42"/>
      <c r="K881" s="42"/>
      <c r="L881" s="42"/>
      <c r="M881" s="42"/>
      <c r="N881" s="42"/>
      <c r="O881" s="42"/>
      <c r="P881" s="42"/>
    </row>
    <row r="882" spans="9:16" x14ac:dyDescent="0.25">
      <c r="I882" s="42"/>
      <c r="J882" s="42"/>
      <c r="K882" s="42"/>
      <c r="L882" s="42"/>
      <c r="M882" s="42"/>
      <c r="N882" s="42"/>
      <c r="O882" s="42"/>
      <c r="P882" s="42"/>
    </row>
    <row r="883" spans="9:16" x14ac:dyDescent="0.25">
      <c r="I883" s="42"/>
      <c r="J883" s="42"/>
      <c r="K883" s="42"/>
      <c r="L883" s="42"/>
      <c r="M883" s="42"/>
      <c r="N883" s="42"/>
      <c r="O883" s="42"/>
      <c r="P883" s="42"/>
    </row>
    <row r="884" spans="9:16" x14ac:dyDescent="0.25">
      <c r="I884" s="42"/>
      <c r="J884" s="42"/>
      <c r="K884" s="42"/>
      <c r="L884" s="42"/>
      <c r="M884" s="42"/>
      <c r="N884" s="42"/>
      <c r="O884" s="42"/>
      <c r="P884" s="42"/>
    </row>
    <row r="885" spans="9:16" x14ac:dyDescent="0.25">
      <c r="I885" s="42"/>
      <c r="J885" s="42"/>
      <c r="K885" s="42"/>
      <c r="L885" s="42"/>
      <c r="M885" s="42"/>
      <c r="N885" s="42"/>
      <c r="O885" s="42"/>
      <c r="P885" s="42"/>
    </row>
    <row r="886" spans="9:16" x14ac:dyDescent="0.25">
      <c r="I886" s="42"/>
      <c r="J886" s="42"/>
      <c r="K886" s="42"/>
      <c r="L886" s="42"/>
      <c r="M886" s="42"/>
      <c r="N886" s="42"/>
      <c r="O886" s="42"/>
      <c r="P886" s="42"/>
    </row>
    <row r="887" spans="9:16" x14ac:dyDescent="0.25">
      <c r="I887" s="42"/>
      <c r="J887" s="42"/>
      <c r="K887" s="42"/>
      <c r="L887" s="42"/>
      <c r="M887" s="42"/>
      <c r="N887" s="42"/>
      <c r="O887" s="42"/>
      <c r="P887" s="42"/>
    </row>
    <row r="888" spans="9:16" x14ac:dyDescent="0.25">
      <c r="I888" s="42"/>
      <c r="J888" s="42"/>
      <c r="K888" s="42"/>
      <c r="L888" s="42"/>
      <c r="M888" s="42"/>
      <c r="N888" s="42"/>
      <c r="O888" s="42"/>
      <c r="P888" s="42"/>
    </row>
    <row r="889" spans="9:16" x14ac:dyDescent="0.25">
      <c r="I889" s="42"/>
      <c r="J889" s="42"/>
      <c r="K889" s="42"/>
      <c r="L889" s="42"/>
      <c r="M889" s="42"/>
      <c r="N889" s="42"/>
      <c r="O889" s="42"/>
      <c r="P889" s="42"/>
    </row>
    <row r="890" spans="9:16" x14ac:dyDescent="0.25">
      <c r="I890" s="42"/>
      <c r="J890" s="42"/>
      <c r="K890" s="42"/>
      <c r="L890" s="42"/>
      <c r="M890" s="42"/>
      <c r="N890" s="42"/>
      <c r="O890" s="42"/>
      <c r="P890" s="42"/>
    </row>
    <row r="891" spans="9:16" x14ac:dyDescent="0.25">
      <c r="I891" s="42"/>
      <c r="J891" s="42"/>
      <c r="K891" s="42"/>
      <c r="L891" s="42"/>
      <c r="M891" s="42"/>
      <c r="N891" s="42"/>
      <c r="O891" s="42"/>
      <c r="P891" s="42"/>
    </row>
    <row r="892" spans="9:16" x14ac:dyDescent="0.25">
      <c r="I892" s="42"/>
      <c r="J892" s="42"/>
      <c r="K892" s="42"/>
      <c r="L892" s="42"/>
      <c r="M892" s="42"/>
      <c r="N892" s="42"/>
      <c r="O892" s="42"/>
      <c r="P892" s="42"/>
    </row>
    <row r="893" spans="9:16" x14ac:dyDescent="0.25">
      <c r="I893" s="42"/>
      <c r="J893" s="42"/>
      <c r="K893" s="42"/>
      <c r="L893" s="42"/>
      <c r="M893" s="42"/>
      <c r="N893" s="42"/>
      <c r="O893" s="42"/>
      <c r="P893" s="42"/>
    </row>
    <row r="894" spans="9:16" x14ac:dyDescent="0.25">
      <c r="I894" s="42"/>
      <c r="J894" s="42"/>
      <c r="K894" s="42"/>
      <c r="L894" s="42"/>
      <c r="M894" s="42"/>
      <c r="N894" s="42"/>
      <c r="O894" s="42"/>
      <c r="P894" s="42"/>
    </row>
    <row r="895" spans="9:16" x14ac:dyDescent="0.25">
      <c r="I895" s="42"/>
      <c r="J895" s="42"/>
      <c r="K895" s="42"/>
      <c r="L895" s="42"/>
      <c r="M895" s="42"/>
      <c r="N895" s="42"/>
      <c r="O895" s="42"/>
      <c r="P895" s="42"/>
    </row>
    <row r="896" spans="9:16" x14ac:dyDescent="0.25">
      <c r="I896" s="42"/>
      <c r="J896" s="42"/>
      <c r="K896" s="42"/>
      <c r="L896" s="42"/>
      <c r="M896" s="42"/>
      <c r="N896" s="42"/>
      <c r="O896" s="42"/>
      <c r="P896" s="42"/>
    </row>
    <row r="897" spans="9:16" x14ac:dyDescent="0.25">
      <c r="I897" s="42"/>
      <c r="J897" s="42"/>
      <c r="K897" s="42"/>
      <c r="L897" s="42"/>
      <c r="M897" s="42"/>
      <c r="N897" s="42"/>
      <c r="O897" s="42"/>
      <c r="P897" s="42"/>
    </row>
    <row r="898" spans="9:16" x14ac:dyDescent="0.25">
      <c r="I898" s="42"/>
      <c r="J898" s="42"/>
      <c r="K898" s="42"/>
      <c r="L898" s="42"/>
      <c r="M898" s="42"/>
      <c r="N898" s="42"/>
      <c r="O898" s="42"/>
      <c r="P898" s="42"/>
    </row>
    <row r="899" spans="9:16" x14ac:dyDescent="0.25">
      <c r="I899" s="42"/>
      <c r="J899" s="42"/>
      <c r="K899" s="42"/>
      <c r="L899" s="42"/>
      <c r="M899" s="42"/>
      <c r="N899" s="42"/>
      <c r="O899" s="42"/>
      <c r="P899" s="42"/>
    </row>
    <row r="900" spans="9:16" x14ac:dyDescent="0.25">
      <c r="I900" s="42"/>
      <c r="J900" s="42"/>
      <c r="K900" s="42"/>
      <c r="L900" s="42"/>
      <c r="M900" s="42"/>
      <c r="N900" s="42"/>
      <c r="O900" s="42"/>
      <c r="P900" s="42"/>
    </row>
    <row r="901" spans="9:16" x14ac:dyDescent="0.25">
      <c r="I901" s="42"/>
      <c r="J901" s="42"/>
      <c r="K901" s="42"/>
      <c r="L901" s="42"/>
      <c r="M901" s="42"/>
      <c r="N901" s="42"/>
      <c r="O901" s="42"/>
      <c r="P901" s="42"/>
    </row>
    <row r="902" spans="9:16" x14ac:dyDescent="0.25">
      <c r="I902" s="42"/>
      <c r="J902" s="42"/>
      <c r="K902" s="42"/>
      <c r="L902" s="42"/>
      <c r="M902" s="42"/>
      <c r="N902" s="42"/>
      <c r="O902" s="42"/>
      <c r="P902" s="42"/>
    </row>
    <row r="903" spans="9:16" x14ac:dyDescent="0.25">
      <c r="I903" s="42"/>
      <c r="J903" s="42"/>
      <c r="K903" s="42"/>
      <c r="L903" s="42"/>
      <c r="M903" s="42"/>
      <c r="N903" s="42"/>
      <c r="O903" s="42"/>
      <c r="P903" s="42"/>
    </row>
    <row r="904" spans="9:16" x14ac:dyDescent="0.25">
      <c r="I904" s="42"/>
      <c r="J904" s="42"/>
      <c r="K904" s="42"/>
      <c r="L904" s="42"/>
      <c r="M904" s="42"/>
      <c r="N904" s="42"/>
      <c r="O904" s="42"/>
      <c r="P904" s="42"/>
    </row>
    <row r="905" spans="9:16" x14ac:dyDescent="0.25">
      <c r="I905" s="42"/>
      <c r="J905" s="42"/>
      <c r="K905" s="42"/>
      <c r="L905" s="42"/>
      <c r="M905" s="42"/>
      <c r="N905" s="42"/>
      <c r="O905" s="42"/>
      <c r="P905" s="42"/>
    </row>
    <row r="906" spans="9:16" x14ac:dyDescent="0.25">
      <c r="I906" s="42"/>
      <c r="J906" s="42"/>
      <c r="K906" s="42"/>
      <c r="L906" s="42"/>
      <c r="M906" s="42"/>
      <c r="N906" s="42"/>
      <c r="O906" s="42"/>
      <c r="P906" s="42"/>
    </row>
    <row r="907" spans="9:16" x14ac:dyDescent="0.25">
      <c r="I907" s="42"/>
      <c r="J907" s="42"/>
      <c r="K907" s="42"/>
      <c r="L907" s="42"/>
      <c r="M907" s="42"/>
      <c r="N907" s="42"/>
      <c r="O907" s="42"/>
      <c r="P907" s="42"/>
    </row>
    <row r="908" spans="9:16" x14ac:dyDescent="0.25">
      <c r="I908" s="42"/>
      <c r="J908" s="42"/>
      <c r="K908" s="42"/>
      <c r="L908" s="42"/>
      <c r="M908" s="42"/>
      <c r="N908" s="42"/>
      <c r="O908" s="42"/>
      <c r="P908" s="42"/>
    </row>
    <row r="909" spans="9:16" x14ac:dyDescent="0.25">
      <c r="I909" s="42"/>
      <c r="J909" s="42"/>
      <c r="K909" s="42"/>
      <c r="L909" s="42"/>
      <c r="M909" s="42"/>
      <c r="N909" s="42"/>
      <c r="O909" s="42"/>
      <c r="P909" s="42"/>
    </row>
    <row r="910" spans="9:16" x14ac:dyDescent="0.25">
      <c r="I910" s="42"/>
      <c r="J910" s="42"/>
      <c r="K910" s="42"/>
      <c r="L910" s="42"/>
      <c r="M910" s="42"/>
      <c r="N910" s="42"/>
      <c r="O910" s="42"/>
      <c r="P910" s="42"/>
    </row>
    <row r="911" spans="9:16" x14ac:dyDescent="0.25">
      <c r="I911" s="42"/>
      <c r="J911" s="42"/>
      <c r="K911" s="42"/>
      <c r="L911" s="42"/>
      <c r="M911" s="42"/>
      <c r="N911" s="42"/>
      <c r="O911" s="42"/>
      <c r="P911" s="42"/>
    </row>
    <row r="912" spans="9:16" x14ac:dyDescent="0.25">
      <c r="I912" s="42"/>
      <c r="J912" s="42"/>
      <c r="K912" s="42"/>
      <c r="L912" s="42"/>
      <c r="M912" s="42"/>
      <c r="N912" s="42"/>
      <c r="O912" s="42"/>
      <c r="P912" s="42"/>
    </row>
    <row r="913" spans="9:16" x14ac:dyDescent="0.25">
      <c r="I913" s="42"/>
      <c r="J913" s="42"/>
      <c r="K913" s="42"/>
      <c r="L913" s="42"/>
      <c r="M913" s="42"/>
      <c r="N913" s="42"/>
      <c r="O913" s="42"/>
      <c r="P913" s="42"/>
    </row>
    <row r="914" spans="9:16" x14ac:dyDescent="0.25">
      <c r="I914" s="42"/>
      <c r="J914" s="42"/>
      <c r="K914" s="42"/>
      <c r="L914" s="42"/>
      <c r="M914" s="42"/>
      <c r="N914" s="42"/>
      <c r="O914" s="42"/>
      <c r="P914" s="42"/>
    </row>
    <row r="915" spans="9:16" x14ac:dyDescent="0.25">
      <c r="I915" s="42"/>
      <c r="J915" s="42"/>
      <c r="K915" s="42"/>
      <c r="L915" s="42"/>
      <c r="M915" s="42"/>
      <c r="N915" s="42"/>
      <c r="O915" s="42"/>
      <c r="P915" s="42"/>
    </row>
    <row r="916" spans="9:16" x14ac:dyDescent="0.25">
      <c r="I916" s="42"/>
      <c r="J916" s="42"/>
      <c r="K916" s="42"/>
      <c r="L916" s="42"/>
      <c r="M916" s="42"/>
      <c r="N916" s="42"/>
      <c r="O916" s="42"/>
      <c r="P916" s="42"/>
    </row>
    <row r="917" spans="9:16" x14ac:dyDescent="0.25">
      <c r="I917" s="42"/>
      <c r="J917" s="42"/>
      <c r="K917" s="42"/>
      <c r="L917" s="42"/>
      <c r="M917" s="42"/>
      <c r="N917" s="42"/>
      <c r="O917" s="42"/>
      <c r="P917" s="42"/>
    </row>
    <row r="918" spans="9:16" x14ac:dyDescent="0.25">
      <c r="I918" s="42"/>
      <c r="J918" s="42"/>
      <c r="K918" s="42"/>
      <c r="L918" s="42"/>
      <c r="M918" s="42"/>
      <c r="N918" s="42"/>
      <c r="O918" s="42"/>
      <c r="P918" s="42"/>
    </row>
    <row r="919" spans="9:16" x14ac:dyDescent="0.25">
      <c r="I919" s="42"/>
      <c r="J919" s="42"/>
      <c r="K919" s="42"/>
      <c r="L919" s="42"/>
      <c r="M919" s="42"/>
      <c r="N919" s="42"/>
      <c r="O919" s="42"/>
      <c r="P919" s="42"/>
    </row>
    <row r="920" spans="9:16" x14ac:dyDescent="0.25">
      <c r="I920" s="42"/>
      <c r="J920" s="42"/>
      <c r="K920" s="42"/>
      <c r="L920" s="42"/>
      <c r="M920" s="42"/>
      <c r="N920" s="42"/>
      <c r="O920" s="42"/>
      <c r="P920" s="42"/>
    </row>
    <row r="921" spans="9:16" x14ac:dyDescent="0.25">
      <c r="I921" s="42"/>
      <c r="J921" s="42"/>
      <c r="K921" s="42"/>
      <c r="L921" s="42"/>
      <c r="M921" s="42"/>
      <c r="N921" s="42"/>
      <c r="O921" s="42"/>
      <c r="P921" s="42"/>
    </row>
    <row r="922" spans="9:16" x14ac:dyDescent="0.25">
      <c r="I922" s="42"/>
      <c r="J922" s="42"/>
      <c r="K922" s="42"/>
      <c r="L922" s="42"/>
      <c r="M922" s="42"/>
      <c r="N922" s="42"/>
      <c r="O922" s="42"/>
      <c r="P922" s="42"/>
    </row>
    <row r="923" spans="9:16" x14ac:dyDescent="0.25">
      <c r="I923" s="42"/>
      <c r="J923" s="42"/>
      <c r="K923" s="42"/>
      <c r="L923" s="42"/>
      <c r="M923" s="42"/>
      <c r="N923" s="42"/>
      <c r="O923" s="42"/>
      <c r="P923" s="42"/>
    </row>
    <row r="924" spans="9:16" x14ac:dyDescent="0.25">
      <c r="I924" s="42"/>
      <c r="J924" s="42"/>
      <c r="K924" s="42"/>
      <c r="L924" s="42"/>
      <c r="M924" s="42"/>
      <c r="N924" s="42"/>
      <c r="O924" s="42"/>
      <c r="P924" s="42"/>
    </row>
    <row r="925" spans="9:16" x14ac:dyDescent="0.25">
      <c r="I925" s="42"/>
      <c r="J925" s="42"/>
      <c r="K925" s="42"/>
      <c r="L925" s="42"/>
      <c r="M925" s="42"/>
      <c r="N925" s="42"/>
      <c r="O925" s="42"/>
      <c r="P925" s="42"/>
    </row>
    <row r="926" spans="9:16" x14ac:dyDescent="0.25">
      <c r="I926" s="42"/>
      <c r="J926" s="42"/>
      <c r="K926" s="42"/>
      <c r="L926" s="42"/>
      <c r="M926" s="42"/>
      <c r="N926" s="42"/>
      <c r="O926" s="42"/>
      <c r="P926" s="42"/>
    </row>
    <row r="927" spans="9:16" x14ac:dyDescent="0.25">
      <c r="I927" s="42"/>
      <c r="J927" s="42"/>
      <c r="K927" s="42"/>
      <c r="L927" s="42"/>
      <c r="M927" s="42"/>
      <c r="N927" s="42"/>
      <c r="O927" s="42"/>
      <c r="P927" s="42"/>
    </row>
    <row r="928" spans="9:16" x14ac:dyDescent="0.25">
      <c r="I928" s="42"/>
      <c r="J928" s="42"/>
      <c r="K928" s="42"/>
      <c r="L928" s="42"/>
      <c r="M928" s="42"/>
      <c r="N928" s="42"/>
      <c r="O928" s="42"/>
      <c r="P928" s="42"/>
    </row>
    <row r="929" spans="9:16" x14ac:dyDescent="0.25">
      <c r="I929" s="42"/>
      <c r="J929" s="42"/>
      <c r="K929" s="42"/>
      <c r="L929" s="42"/>
      <c r="M929" s="42"/>
      <c r="N929" s="42"/>
      <c r="O929" s="42"/>
      <c r="P929" s="42"/>
    </row>
    <row r="930" spans="9:16" x14ac:dyDescent="0.25">
      <c r="I930" s="42"/>
      <c r="J930" s="42"/>
      <c r="K930" s="42"/>
      <c r="L930" s="42"/>
      <c r="M930" s="42"/>
      <c r="N930" s="42"/>
      <c r="O930" s="42"/>
      <c r="P930" s="42"/>
    </row>
    <row r="931" spans="9:16" x14ac:dyDescent="0.25">
      <c r="I931" s="42"/>
      <c r="J931" s="42"/>
      <c r="K931" s="42"/>
      <c r="L931" s="42"/>
      <c r="M931" s="42"/>
      <c r="N931" s="42"/>
      <c r="O931" s="42"/>
      <c r="P931" s="42"/>
    </row>
    <row r="932" spans="9:16" x14ac:dyDescent="0.25">
      <c r="I932" s="42"/>
      <c r="J932" s="42"/>
      <c r="K932" s="42"/>
      <c r="L932" s="42"/>
      <c r="M932" s="42"/>
      <c r="N932" s="42"/>
      <c r="O932" s="42"/>
      <c r="P932" s="42"/>
    </row>
    <row r="933" spans="9:16" x14ac:dyDescent="0.25">
      <c r="I933" s="42"/>
      <c r="J933" s="42"/>
      <c r="K933" s="42"/>
      <c r="L933" s="42"/>
      <c r="M933" s="42"/>
      <c r="N933" s="42"/>
      <c r="O933" s="42"/>
      <c r="P933" s="42"/>
    </row>
    <row r="934" spans="9:16" x14ac:dyDescent="0.25">
      <c r="I934" s="42"/>
      <c r="J934" s="42"/>
      <c r="K934" s="42"/>
      <c r="L934" s="42"/>
      <c r="M934" s="42"/>
      <c r="N934" s="42"/>
      <c r="O934" s="42"/>
      <c r="P934" s="42"/>
    </row>
    <row r="935" spans="9:16" x14ac:dyDescent="0.25">
      <c r="I935" s="42"/>
      <c r="J935" s="42"/>
      <c r="K935" s="42"/>
      <c r="L935" s="42"/>
      <c r="M935" s="42"/>
      <c r="N935" s="42"/>
      <c r="O935" s="42"/>
      <c r="P935" s="42"/>
    </row>
    <row r="936" spans="9:16" x14ac:dyDescent="0.25">
      <c r="I936" s="42"/>
      <c r="J936" s="42"/>
      <c r="K936" s="42"/>
      <c r="L936" s="42"/>
      <c r="M936" s="42"/>
      <c r="N936" s="42"/>
      <c r="O936" s="42"/>
      <c r="P936" s="42"/>
    </row>
    <row r="937" spans="9:16" x14ac:dyDescent="0.25">
      <c r="I937" s="42"/>
      <c r="J937" s="42"/>
      <c r="K937" s="42"/>
      <c r="L937" s="42"/>
      <c r="M937" s="42"/>
      <c r="N937" s="42"/>
      <c r="O937" s="42"/>
      <c r="P937" s="42"/>
    </row>
    <row r="938" spans="9:16" x14ac:dyDescent="0.25">
      <c r="I938" s="42"/>
      <c r="J938" s="42"/>
      <c r="K938" s="42"/>
      <c r="L938" s="42"/>
      <c r="M938" s="42"/>
      <c r="N938" s="42"/>
      <c r="O938" s="42"/>
      <c r="P938" s="42"/>
    </row>
    <row r="939" spans="9:16" x14ac:dyDescent="0.25">
      <c r="I939" s="42"/>
      <c r="J939" s="42"/>
      <c r="K939" s="42"/>
      <c r="L939" s="42"/>
      <c r="M939" s="42"/>
      <c r="N939" s="42"/>
      <c r="O939" s="42"/>
      <c r="P939" s="42"/>
    </row>
    <row r="940" spans="9:16" x14ac:dyDescent="0.25">
      <c r="I940" s="42"/>
      <c r="J940" s="42"/>
      <c r="K940" s="42"/>
      <c r="L940" s="42"/>
      <c r="M940" s="42"/>
      <c r="N940" s="42"/>
      <c r="O940" s="42"/>
      <c r="P940" s="42"/>
    </row>
    <row r="941" spans="9:16" x14ac:dyDescent="0.25">
      <c r="I941" s="42"/>
      <c r="J941" s="42"/>
      <c r="K941" s="42"/>
      <c r="L941" s="42"/>
      <c r="M941" s="42"/>
      <c r="N941" s="42"/>
      <c r="O941" s="42"/>
      <c r="P941" s="42"/>
    </row>
    <row r="942" spans="9:16" x14ac:dyDescent="0.25">
      <c r="I942" s="42"/>
      <c r="J942" s="42"/>
      <c r="K942" s="42"/>
      <c r="L942" s="42"/>
      <c r="M942" s="42"/>
      <c r="N942" s="42"/>
      <c r="O942" s="42"/>
      <c r="P942" s="42"/>
    </row>
    <row r="943" spans="9:16" x14ac:dyDescent="0.25">
      <c r="I943" s="42"/>
      <c r="J943" s="42"/>
      <c r="K943" s="42"/>
      <c r="L943" s="42"/>
      <c r="M943" s="42"/>
      <c r="N943" s="42"/>
      <c r="O943" s="42"/>
      <c r="P943" s="42"/>
    </row>
    <row r="944" spans="9:16" x14ac:dyDescent="0.25">
      <c r="I944" s="42"/>
      <c r="J944" s="42"/>
      <c r="K944" s="42"/>
      <c r="L944" s="42"/>
      <c r="M944" s="42"/>
      <c r="N944" s="42"/>
      <c r="O944" s="42"/>
      <c r="P944" s="42"/>
    </row>
    <row r="945" spans="9:16" x14ac:dyDescent="0.25">
      <c r="I945" s="42"/>
      <c r="J945" s="42"/>
      <c r="K945" s="42"/>
      <c r="L945" s="42"/>
      <c r="M945" s="42"/>
      <c r="N945" s="42"/>
      <c r="O945" s="42"/>
      <c r="P945" s="42"/>
    </row>
    <row r="946" spans="9:16" x14ac:dyDescent="0.25">
      <c r="I946" s="42"/>
      <c r="J946" s="42"/>
      <c r="K946" s="42"/>
      <c r="L946" s="42"/>
      <c r="M946" s="42"/>
      <c r="N946" s="42"/>
      <c r="O946" s="42"/>
      <c r="P946" s="42"/>
    </row>
    <row r="947" spans="9:16" x14ac:dyDescent="0.25">
      <c r="I947" s="42"/>
      <c r="J947" s="42"/>
      <c r="K947" s="42"/>
      <c r="L947" s="42"/>
      <c r="M947" s="42"/>
      <c r="N947" s="42"/>
      <c r="O947" s="42"/>
      <c r="P947" s="42"/>
    </row>
    <row r="948" spans="9:16" x14ac:dyDescent="0.25">
      <c r="I948" s="42"/>
      <c r="J948" s="42"/>
      <c r="K948" s="42"/>
      <c r="L948" s="42"/>
      <c r="M948" s="42"/>
      <c r="N948" s="42"/>
      <c r="O948" s="42"/>
      <c r="P948" s="42"/>
    </row>
    <row r="949" spans="9:16" x14ac:dyDescent="0.25">
      <c r="I949" s="42"/>
      <c r="J949" s="42"/>
      <c r="K949" s="42"/>
      <c r="L949" s="42"/>
      <c r="M949" s="42"/>
      <c r="N949" s="42"/>
      <c r="O949" s="42"/>
      <c r="P949" s="42"/>
    </row>
    <row r="950" spans="9:16" x14ac:dyDescent="0.25">
      <c r="I950" s="42"/>
      <c r="J950" s="42"/>
      <c r="K950" s="42"/>
      <c r="L950" s="42"/>
      <c r="M950" s="42"/>
      <c r="N950" s="42"/>
      <c r="O950" s="42"/>
      <c r="P950" s="42"/>
    </row>
    <row r="951" spans="9:16" x14ac:dyDescent="0.25">
      <c r="I951" s="42"/>
      <c r="J951" s="42"/>
      <c r="K951" s="42"/>
      <c r="L951" s="42"/>
      <c r="M951" s="42"/>
      <c r="N951" s="42"/>
      <c r="O951" s="42"/>
      <c r="P951" s="42"/>
    </row>
    <row r="952" spans="9:16" x14ac:dyDescent="0.25">
      <c r="I952" s="42"/>
      <c r="J952" s="42"/>
      <c r="K952" s="42"/>
      <c r="L952" s="42"/>
      <c r="M952" s="42"/>
      <c r="N952" s="42"/>
      <c r="O952" s="42"/>
      <c r="P952" s="42"/>
    </row>
    <row r="953" spans="9:16" x14ac:dyDescent="0.25">
      <c r="I953" s="42"/>
      <c r="J953" s="42"/>
      <c r="K953" s="42"/>
      <c r="L953" s="42"/>
      <c r="M953" s="42"/>
      <c r="N953" s="42"/>
      <c r="O953" s="42"/>
      <c r="P953" s="42"/>
    </row>
    <row r="954" spans="9:16" x14ac:dyDescent="0.25">
      <c r="I954" s="42"/>
      <c r="J954" s="42"/>
      <c r="K954" s="42"/>
      <c r="L954" s="42"/>
      <c r="M954" s="42"/>
      <c r="N954" s="42"/>
      <c r="O954" s="42"/>
      <c r="P954" s="42"/>
    </row>
    <row r="955" spans="9:16" x14ac:dyDescent="0.25">
      <c r="I955" s="42"/>
      <c r="J955" s="42"/>
      <c r="K955" s="42"/>
      <c r="L955" s="42"/>
      <c r="M955" s="42"/>
      <c r="N955" s="42"/>
      <c r="O955" s="42"/>
      <c r="P955" s="42"/>
    </row>
    <row r="956" spans="9:16" x14ac:dyDescent="0.25">
      <c r="I956" s="42"/>
      <c r="J956" s="42"/>
      <c r="K956" s="42"/>
      <c r="L956" s="42"/>
      <c r="M956" s="42"/>
      <c r="N956" s="42"/>
      <c r="O956" s="42"/>
      <c r="P956" s="42"/>
    </row>
    <row r="957" spans="9:16" x14ac:dyDescent="0.25">
      <c r="I957" s="42"/>
      <c r="J957" s="42"/>
      <c r="K957" s="42"/>
      <c r="L957" s="42"/>
      <c r="M957" s="42"/>
      <c r="N957" s="42"/>
      <c r="O957" s="42"/>
      <c r="P957" s="42"/>
    </row>
    <row r="958" spans="9:16" x14ac:dyDescent="0.25">
      <c r="I958" s="42"/>
      <c r="J958" s="42"/>
      <c r="K958" s="42"/>
      <c r="L958" s="42"/>
      <c r="M958" s="42"/>
      <c r="N958" s="42"/>
      <c r="O958" s="42"/>
      <c r="P958" s="42"/>
    </row>
    <row r="959" spans="9:16" x14ac:dyDescent="0.25">
      <c r="I959" s="42"/>
      <c r="J959" s="42"/>
      <c r="K959" s="42"/>
      <c r="L959" s="42"/>
      <c r="M959" s="42"/>
      <c r="N959" s="42"/>
      <c r="O959" s="42"/>
      <c r="P959" s="42"/>
    </row>
    <row r="960" spans="9:16" x14ac:dyDescent="0.25">
      <c r="I960" s="42"/>
      <c r="J960" s="42"/>
      <c r="K960" s="42"/>
      <c r="L960" s="42"/>
      <c r="M960" s="42"/>
      <c r="N960" s="42"/>
      <c r="O960" s="42"/>
      <c r="P960" s="42"/>
    </row>
    <row r="961" spans="9:16" x14ac:dyDescent="0.25">
      <c r="I961" s="42"/>
      <c r="J961" s="42"/>
      <c r="K961" s="42"/>
      <c r="L961" s="42"/>
      <c r="M961" s="42"/>
      <c r="N961" s="42"/>
      <c r="O961" s="42"/>
      <c r="P961" s="42"/>
    </row>
    <row r="962" spans="9:16" x14ac:dyDescent="0.25">
      <c r="I962" s="42"/>
      <c r="J962" s="42"/>
      <c r="K962" s="42"/>
      <c r="L962" s="42"/>
      <c r="M962" s="42"/>
      <c r="N962" s="42"/>
      <c r="O962" s="42"/>
      <c r="P962" s="42"/>
    </row>
    <row r="963" spans="9:16" x14ac:dyDescent="0.25">
      <c r="I963" s="42"/>
      <c r="J963" s="42"/>
      <c r="K963" s="42"/>
      <c r="L963" s="42"/>
      <c r="M963" s="42"/>
      <c r="N963" s="42"/>
      <c r="O963" s="42"/>
      <c r="P963" s="42"/>
    </row>
    <row r="964" spans="9:16" x14ac:dyDescent="0.25">
      <c r="I964" s="42"/>
      <c r="J964" s="42"/>
      <c r="K964" s="42"/>
      <c r="L964" s="42"/>
      <c r="M964" s="42"/>
      <c r="N964" s="42"/>
      <c r="O964" s="42"/>
      <c r="P964" s="42"/>
    </row>
    <row r="965" spans="9:16" x14ac:dyDescent="0.25">
      <c r="I965" s="42"/>
      <c r="J965" s="42"/>
      <c r="K965" s="42"/>
      <c r="L965" s="42"/>
      <c r="M965" s="42"/>
      <c r="N965" s="42"/>
      <c r="O965" s="42"/>
      <c r="P965" s="42"/>
    </row>
    <row r="966" spans="9:16" x14ac:dyDescent="0.25">
      <c r="I966" s="42"/>
      <c r="J966" s="42"/>
      <c r="K966" s="42"/>
      <c r="L966" s="42"/>
      <c r="M966" s="42"/>
      <c r="N966" s="42"/>
      <c r="O966" s="42"/>
      <c r="P966" s="42"/>
    </row>
    <row r="967" spans="9:16" x14ac:dyDescent="0.25">
      <c r="I967" s="42"/>
      <c r="J967" s="42"/>
      <c r="K967" s="42"/>
      <c r="L967" s="42"/>
      <c r="M967" s="42"/>
      <c r="N967" s="42"/>
      <c r="O967" s="42"/>
      <c r="P967" s="42"/>
    </row>
    <row r="968" spans="9:16" x14ac:dyDescent="0.25">
      <c r="I968" s="42"/>
      <c r="J968" s="42"/>
      <c r="K968" s="42"/>
      <c r="L968" s="42"/>
      <c r="M968" s="42"/>
      <c r="N968" s="42"/>
      <c r="O968" s="42"/>
      <c r="P968" s="42"/>
    </row>
    <row r="969" spans="9:16" x14ac:dyDescent="0.25">
      <c r="I969" s="42"/>
      <c r="J969" s="42"/>
      <c r="K969" s="42"/>
      <c r="L969" s="42"/>
      <c r="M969" s="42"/>
      <c r="N969" s="42"/>
      <c r="O969" s="42"/>
      <c r="P969" s="42"/>
    </row>
    <row r="970" spans="9:16" x14ac:dyDescent="0.25">
      <c r="I970" s="42"/>
      <c r="J970" s="42"/>
      <c r="K970" s="42"/>
      <c r="L970" s="42"/>
      <c r="M970" s="42"/>
      <c r="N970" s="42"/>
      <c r="O970" s="42"/>
      <c r="P970" s="42"/>
    </row>
    <row r="971" spans="9:16" x14ac:dyDescent="0.25">
      <c r="I971" s="42"/>
      <c r="J971" s="42"/>
      <c r="K971" s="42"/>
      <c r="L971" s="42"/>
      <c r="M971" s="42"/>
      <c r="N971" s="42"/>
      <c r="O971" s="42"/>
      <c r="P971" s="42"/>
    </row>
    <row r="972" spans="9:16" x14ac:dyDescent="0.25">
      <c r="I972" s="42"/>
      <c r="J972" s="42"/>
      <c r="K972" s="42"/>
      <c r="L972" s="42"/>
      <c r="M972" s="42"/>
      <c r="N972" s="42"/>
      <c r="O972" s="42"/>
      <c r="P972" s="42"/>
    </row>
    <row r="973" spans="9:16" x14ac:dyDescent="0.25">
      <c r="I973" s="42"/>
      <c r="J973" s="42"/>
      <c r="K973" s="42"/>
      <c r="L973" s="42"/>
      <c r="M973" s="42"/>
      <c r="N973" s="42"/>
      <c r="O973" s="42"/>
      <c r="P973" s="42"/>
    </row>
    <row r="974" spans="9:16" x14ac:dyDescent="0.25">
      <c r="I974" s="42"/>
      <c r="J974" s="42"/>
      <c r="K974" s="42"/>
      <c r="L974" s="42"/>
      <c r="M974" s="42"/>
      <c r="N974" s="42"/>
      <c r="O974" s="42"/>
      <c r="P974" s="42"/>
    </row>
    <row r="975" spans="9:16" x14ac:dyDescent="0.25">
      <c r="I975" s="42"/>
      <c r="J975" s="42"/>
      <c r="K975" s="42"/>
      <c r="L975" s="42"/>
      <c r="M975" s="42"/>
      <c r="N975" s="42"/>
      <c r="O975" s="42"/>
      <c r="P975" s="42"/>
    </row>
    <row r="976" spans="9:16" x14ac:dyDescent="0.25">
      <c r="I976" s="42"/>
      <c r="J976" s="42"/>
      <c r="K976" s="42"/>
      <c r="L976" s="42"/>
      <c r="M976" s="42"/>
      <c r="N976" s="42"/>
      <c r="O976" s="42"/>
      <c r="P976" s="42"/>
    </row>
    <row r="977" spans="9:16" x14ac:dyDescent="0.25">
      <c r="I977" s="42"/>
      <c r="J977" s="42"/>
      <c r="K977" s="42"/>
      <c r="L977" s="42"/>
      <c r="M977" s="42"/>
      <c r="N977" s="42"/>
      <c r="O977" s="42"/>
      <c r="P977" s="42"/>
    </row>
    <row r="978" spans="9:16" x14ac:dyDescent="0.25">
      <c r="I978" s="42"/>
      <c r="J978" s="42"/>
      <c r="K978" s="42"/>
      <c r="L978" s="42"/>
      <c r="M978" s="42"/>
      <c r="N978" s="42"/>
      <c r="O978" s="42"/>
      <c r="P978" s="42"/>
    </row>
    <row r="979" spans="9:16" x14ac:dyDescent="0.25">
      <c r="I979" s="42"/>
      <c r="J979" s="42"/>
      <c r="K979" s="42"/>
      <c r="L979" s="42"/>
      <c r="M979" s="42"/>
      <c r="N979" s="42"/>
      <c r="O979" s="42"/>
      <c r="P979" s="42"/>
    </row>
    <row r="980" spans="9:16" x14ac:dyDescent="0.25">
      <c r="I980" s="42"/>
      <c r="J980" s="42"/>
      <c r="K980" s="42"/>
      <c r="L980" s="42"/>
      <c r="M980" s="42"/>
      <c r="N980" s="42"/>
      <c r="O980" s="42"/>
      <c r="P980" s="42"/>
    </row>
    <row r="981" spans="9:16" x14ac:dyDescent="0.25">
      <c r="I981" s="42"/>
      <c r="J981" s="42"/>
      <c r="K981" s="42"/>
      <c r="L981" s="42"/>
      <c r="M981" s="42"/>
      <c r="N981" s="42"/>
      <c r="O981" s="42"/>
      <c r="P981" s="42"/>
    </row>
    <row r="982" spans="9:16" x14ac:dyDescent="0.25">
      <c r="I982" s="42"/>
      <c r="J982" s="42"/>
      <c r="K982" s="42"/>
      <c r="L982" s="42"/>
      <c r="M982" s="42"/>
      <c r="N982" s="42"/>
      <c r="O982" s="42"/>
      <c r="P982" s="42"/>
    </row>
    <row r="983" spans="9:16" x14ac:dyDescent="0.25">
      <c r="I983" s="42"/>
      <c r="J983" s="42"/>
      <c r="K983" s="42"/>
      <c r="L983" s="42"/>
      <c r="M983" s="42"/>
      <c r="N983" s="42"/>
      <c r="O983" s="42"/>
      <c r="P983" s="42"/>
    </row>
    <row r="984" spans="9:16" x14ac:dyDescent="0.25">
      <c r="I984" s="42"/>
      <c r="J984" s="42"/>
      <c r="K984" s="42"/>
      <c r="L984" s="42"/>
      <c r="M984" s="42"/>
      <c r="N984" s="42"/>
      <c r="O984" s="42"/>
      <c r="P984" s="42"/>
    </row>
    <row r="985" spans="9:16" x14ac:dyDescent="0.25">
      <c r="I985" s="42"/>
      <c r="J985" s="42"/>
      <c r="K985" s="42"/>
      <c r="L985" s="42"/>
      <c r="M985" s="42"/>
      <c r="N985" s="42"/>
      <c r="O985" s="42"/>
      <c r="P985" s="42"/>
    </row>
    <row r="986" spans="9:16" x14ac:dyDescent="0.25">
      <c r="I986" s="42"/>
      <c r="J986" s="42"/>
      <c r="K986" s="42"/>
      <c r="L986" s="42"/>
      <c r="M986" s="42"/>
      <c r="N986" s="42"/>
      <c r="O986" s="42"/>
      <c r="P986" s="42"/>
    </row>
    <row r="987" spans="9:16" x14ac:dyDescent="0.25">
      <c r="I987" s="42"/>
      <c r="J987" s="42"/>
      <c r="K987" s="42"/>
      <c r="L987" s="42"/>
      <c r="M987" s="42"/>
      <c r="N987" s="42"/>
      <c r="O987" s="42"/>
      <c r="P987" s="42"/>
    </row>
    <row r="988" spans="9:16" x14ac:dyDescent="0.25">
      <c r="I988" s="42"/>
      <c r="J988" s="42"/>
      <c r="K988" s="42"/>
      <c r="L988" s="42"/>
      <c r="M988" s="42"/>
      <c r="N988" s="42"/>
      <c r="O988" s="42"/>
      <c r="P988" s="42"/>
    </row>
    <row r="989" spans="9:16" x14ac:dyDescent="0.25">
      <c r="I989" s="42"/>
      <c r="J989" s="42"/>
      <c r="K989" s="42"/>
      <c r="L989" s="42"/>
      <c r="M989" s="42"/>
      <c r="N989" s="42"/>
      <c r="O989" s="42"/>
      <c r="P989" s="42"/>
    </row>
    <row r="990" spans="9:16" x14ac:dyDescent="0.25">
      <c r="I990" s="42"/>
      <c r="J990" s="42"/>
      <c r="K990" s="42"/>
      <c r="L990" s="42"/>
      <c r="M990" s="42"/>
      <c r="N990" s="42"/>
      <c r="O990" s="42"/>
      <c r="P990" s="42"/>
    </row>
    <row r="991" spans="9:16" x14ac:dyDescent="0.25">
      <c r="I991" s="42"/>
      <c r="J991" s="42"/>
      <c r="K991" s="42"/>
      <c r="L991" s="42"/>
      <c r="M991" s="42"/>
      <c r="N991" s="42"/>
      <c r="O991" s="42"/>
      <c r="P991" s="42"/>
    </row>
    <row r="992" spans="9:16" x14ac:dyDescent="0.25">
      <c r="I992" s="42"/>
      <c r="J992" s="42"/>
      <c r="K992" s="42"/>
      <c r="L992" s="42"/>
      <c r="M992" s="42"/>
      <c r="N992" s="42"/>
      <c r="O992" s="42"/>
      <c r="P992" s="42"/>
    </row>
    <row r="993" spans="9:16" x14ac:dyDescent="0.25">
      <c r="I993" s="42"/>
      <c r="J993" s="42"/>
      <c r="K993" s="42"/>
      <c r="L993" s="42"/>
      <c r="M993" s="42"/>
      <c r="N993" s="42"/>
      <c r="O993" s="42"/>
      <c r="P993" s="42"/>
    </row>
    <row r="994" spans="9:16" x14ac:dyDescent="0.25">
      <c r="I994" s="42"/>
      <c r="J994" s="42"/>
      <c r="K994" s="42"/>
      <c r="L994" s="42"/>
      <c r="M994" s="42"/>
      <c r="N994" s="42"/>
      <c r="O994" s="42"/>
      <c r="P994" s="42"/>
    </row>
    <row r="995" spans="9:16" x14ac:dyDescent="0.25">
      <c r="I995" s="42"/>
      <c r="J995" s="42"/>
      <c r="K995" s="42"/>
      <c r="L995" s="42"/>
      <c r="M995" s="42"/>
      <c r="N995" s="42"/>
      <c r="O995" s="42"/>
      <c r="P995" s="42"/>
    </row>
    <row r="996" spans="9:16" x14ac:dyDescent="0.25">
      <c r="I996" s="42"/>
      <c r="J996" s="42"/>
      <c r="K996" s="42"/>
      <c r="L996" s="42"/>
      <c r="M996" s="42"/>
      <c r="N996" s="42"/>
      <c r="O996" s="42"/>
      <c r="P996" s="42"/>
    </row>
    <row r="997" spans="9:16" x14ac:dyDescent="0.25">
      <c r="I997" s="42"/>
      <c r="J997" s="42"/>
      <c r="K997" s="42"/>
      <c r="L997" s="42"/>
      <c r="M997" s="42"/>
      <c r="N997" s="42"/>
      <c r="O997" s="42"/>
      <c r="P997" s="42"/>
    </row>
    <row r="998" spans="9:16" x14ac:dyDescent="0.25">
      <c r="I998" s="42"/>
      <c r="J998" s="42"/>
      <c r="K998" s="42"/>
      <c r="L998" s="42"/>
      <c r="M998" s="42"/>
      <c r="N998" s="42"/>
      <c r="O998" s="42"/>
      <c r="P998" s="42"/>
    </row>
    <row r="999" spans="9:16" x14ac:dyDescent="0.25">
      <c r="I999" s="42"/>
      <c r="J999" s="42"/>
      <c r="K999" s="42"/>
      <c r="L999" s="42"/>
      <c r="M999" s="42"/>
      <c r="N999" s="42"/>
      <c r="O999" s="42"/>
      <c r="P999" s="42"/>
    </row>
    <row r="1000" spans="9:16" x14ac:dyDescent="0.25">
      <c r="I1000" s="42"/>
      <c r="J1000" s="42"/>
      <c r="K1000" s="42"/>
      <c r="L1000" s="42"/>
      <c r="M1000" s="42"/>
      <c r="N1000" s="42"/>
      <c r="O1000" s="42"/>
      <c r="P1000" s="42"/>
    </row>
    <row r="1001" spans="9:16" x14ac:dyDescent="0.25">
      <c r="I1001" s="42"/>
      <c r="J1001" s="42"/>
      <c r="K1001" s="42"/>
      <c r="L1001" s="42"/>
      <c r="M1001" s="42"/>
      <c r="N1001" s="42"/>
      <c r="O1001" s="42"/>
      <c r="P1001" s="42"/>
    </row>
    <row r="1002" spans="9:16" x14ac:dyDescent="0.25">
      <c r="I1002" s="42"/>
      <c r="J1002" s="42"/>
      <c r="K1002" s="42"/>
      <c r="L1002" s="42"/>
      <c r="M1002" s="42"/>
      <c r="N1002" s="42"/>
      <c r="O1002" s="42"/>
      <c r="P1002" s="42"/>
    </row>
    <row r="1003" spans="9:16" x14ac:dyDescent="0.25">
      <c r="I1003" s="42"/>
      <c r="J1003" s="42"/>
      <c r="K1003" s="42"/>
      <c r="L1003" s="42"/>
      <c r="M1003" s="42"/>
      <c r="N1003" s="42"/>
      <c r="O1003" s="42"/>
      <c r="P1003" s="42"/>
    </row>
    <row r="1004" spans="9:16" x14ac:dyDescent="0.25">
      <c r="I1004" s="42"/>
      <c r="J1004" s="42"/>
      <c r="K1004" s="42"/>
      <c r="L1004" s="42"/>
      <c r="M1004" s="42"/>
      <c r="N1004" s="42"/>
      <c r="O1004" s="42"/>
      <c r="P1004" s="42"/>
    </row>
    <row r="1005" spans="9:16" x14ac:dyDescent="0.25">
      <c r="I1005" s="42"/>
      <c r="J1005" s="42"/>
      <c r="K1005" s="42"/>
      <c r="L1005" s="42"/>
      <c r="M1005" s="42"/>
      <c r="N1005" s="42"/>
      <c r="O1005" s="42"/>
      <c r="P1005" s="42"/>
    </row>
    <row r="1006" spans="9:16" x14ac:dyDescent="0.25">
      <c r="I1006" s="42"/>
      <c r="J1006" s="42"/>
      <c r="K1006" s="42"/>
      <c r="L1006" s="42"/>
      <c r="M1006" s="42"/>
      <c r="N1006" s="42"/>
      <c r="O1006" s="42"/>
      <c r="P1006" s="42"/>
    </row>
    <row r="1007" spans="9:16" x14ac:dyDescent="0.25">
      <c r="I1007" s="42"/>
      <c r="J1007" s="42"/>
      <c r="K1007" s="42"/>
      <c r="L1007" s="42"/>
      <c r="M1007" s="42"/>
      <c r="N1007" s="42"/>
      <c r="O1007" s="42"/>
      <c r="P1007" s="42"/>
    </row>
    <row r="1008" spans="9:16" x14ac:dyDescent="0.25">
      <c r="I1008" s="42"/>
      <c r="J1008" s="42"/>
      <c r="K1008" s="42"/>
      <c r="L1008" s="42"/>
      <c r="M1008" s="42"/>
      <c r="N1008" s="42"/>
      <c r="O1008" s="42"/>
      <c r="P1008" s="42"/>
    </row>
    <row r="1009" spans="9:16" x14ac:dyDescent="0.25">
      <c r="I1009" s="42"/>
      <c r="J1009" s="42"/>
      <c r="K1009" s="42"/>
      <c r="L1009" s="42"/>
      <c r="M1009" s="42"/>
      <c r="N1009" s="42"/>
      <c r="O1009" s="42"/>
      <c r="P1009" s="42"/>
    </row>
    <row r="1010" spans="9:16" x14ac:dyDescent="0.25">
      <c r="I1010" s="42"/>
      <c r="J1010" s="42"/>
      <c r="K1010" s="42"/>
      <c r="L1010" s="42"/>
      <c r="M1010" s="42"/>
      <c r="N1010" s="42"/>
      <c r="O1010" s="42"/>
      <c r="P1010" s="42"/>
    </row>
    <row r="1011" spans="9:16" x14ac:dyDescent="0.25">
      <c r="I1011" s="42"/>
      <c r="J1011" s="42"/>
      <c r="K1011" s="42"/>
      <c r="L1011" s="42"/>
      <c r="M1011" s="42"/>
      <c r="N1011" s="42"/>
      <c r="O1011" s="42"/>
      <c r="P1011" s="42"/>
    </row>
    <row r="1012" spans="9:16" x14ac:dyDescent="0.25">
      <c r="I1012" s="42"/>
      <c r="J1012" s="42"/>
      <c r="K1012" s="42"/>
      <c r="L1012" s="42"/>
      <c r="M1012" s="42"/>
      <c r="N1012" s="42"/>
      <c r="O1012" s="42"/>
      <c r="P1012" s="42"/>
    </row>
    <row r="1013" spans="9:16" x14ac:dyDescent="0.25">
      <c r="I1013" s="42"/>
      <c r="J1013" s="42"/>
      <c r="K1013" s="42"/>
      <c r="L1013" s="42"/>
      <c r="M1013" s="42"/>
      <c r="N1013" s="42"/>
      <c r="O1013" s="42"/>
      <c r="P1013" s="42"/>
    </row>
    <row r="1014" spans="9:16" x14ac:dyDescent="0.25">
      <c r="I1014" s="42"/>
      <c r="J1014" s="42"/>
      <c r="K1014" s="42"/>
      <c r="L1014" s="42"/>
      <c r="M1014" s="42"/>
      <c r="N1014" s="42"/>
      <c r="O1014" s="42"/>
      <c r="P1014" s="42"/>
    </row>
    <row r="1015" spans="9:16" x14ac:dyDescent="0.25">
      <c r="I1015" s="42"/>
      <c r="J1015" s="42"/>
      <c r="K1015" s="42"/>
      <c r="L1015" s="42"/>
      <c r="M1015" s="42"/>
      <c r="N1015" s="42"/>
      <c r="O1015" s="42"/>
      <c r="P1015" s="42"/>
    </row>
    <row r="1016" spans="9:16" x14ac:dyDescent="0.25">
      <c r="I1016" s="42"/>
      <c r="J1016" s="42"/>
      <c r="K1016" s="42"/>
      <c r="L1016" s="42"/>
      <c r="M1016" s="42"/>
      <c r="N1016" s="42"/>
      <c r="O1016" s="42"/>
      <c r="P1016" s="42"/>
    </row>
    <row r="1017" spans="9:16" x14ac:dyDescent="0.25">
      <c r="I1017" s="42"/>
      <c r="J1017" s="42"/>
      <c r="K1017" s="42"/>
      <c r="L1017" s="42"/>
      <c r="M1017" s="42"/>
      <c r="N1017" s="42"/>
      <c r="O1017" s="42"/>
      <c r="P1017" s="42"/>
    </row>
    <row r="1018" spans="9:16" x14ac:dyDescent="0.25">
      <c r="I1018" s="42"/>
      <c r="J1018" s="42"/>
      <c r="K1018" s="42"/>
      <c r="L1018" s="42"/>
      <c r="M1018" s="42"/>
      <c r="N1018" s="42"/>
      <c r="O1018" s="42"/>
      <c r="P1018" s="42"/>
    </row>
    <row r="1019" spans="9:16" x14ac:dyDescent="0.25">
      <c r="I1019" s="42"/>
      <c r="J1019" s="42"/>
      <c r="K1019" s="42"/>
      <c r="L1019" s="42"/>
      <c r="M1019" s="42"/>
      <c r="N1019" s="42"/>
      <c r="O1019" s="42"/>
      <c r="P1019" s="42"/>
    </row>
    <row r="1020" spans="9:16" x14ac:dyDescent="0.25">
      <c r="I1020" s="42"/>
      <c r="J1020" s="42"/>
      <c r="K1020" s="42"/>
      <c r="L1020" s="42"/>
      <c r="M1020" s="42"/>
      <c r="N1020" s="42"/>
      <c r="O1020" s="42"/>
      <c r="P1020" s="42"/>
    </row>
    <row r="1021" spans="9:16" x14ac:dyDescent="0.25">
      <c r="I1021" s="42"/>
      <c r="J1021" s="42"/>
      <c r="K1021" s="42"/>
      <c r="L1021" s="42"/>
      <c r="M1021" s="42"/>
      <c r="N1021" s="42"/>
      <c r="O1021" s="42"/>
      <c r="P1021" s="42"/>
    </row>
    <row r="1022" spans="9:16" x14ac:dyDescent="0.25">
      <c r="I1022" s="42"/>
      <c r="J1022" s="42"/>
      <c r="K1022" s="42"/>
      <c r="L1022" s="42"/>
      <c r="M1022" s="42"/>
      <c r="N1022" s="42"/>
      <c r="O1022" s="42"/>
      <c r="P1022" s="42"/>
    </row>
    <row r="1023" spans="9:16" x14ac:dyDescent="0.25">
      <c r="I1023" s="42"/>
      <c r="J1023" s="42"/>
      <c r="K1023" s="42"/>
      <c r="L1023" s="42"/>
      <c r="M1023" s="42"/>
      <c r="N1023" s="42"/>
      <c r="O1023" s="42"/>
      <c r="P1023" s="42"/>
    </row>
    <row r="1024" spans="9:16" x14ac:dyDescent="0.25">
      <c r="I1024" s="42"/>
      <c r="J1024" s="42"/>
      <c r="K1024" s="42"/>
      <c r="L1024" s="42"/>
      <c r="M1024" s="42"/>
      <c r="N1024" s="42"/>
      <c r="O1024" s="42"/>
      <c r="P1024" s="42"/>
    </row>
    <row r="1025" spans="9:16" x14ac:dyDescent="0.25">
      <c r="I1025" s="42"/>
      <c r="J1025" s="42"/>
      <c r="K1025" s="42"/>
      <c r="L1025" s="42"/>
      <c r="M1025" s="42"/>
      <c r="N1025" s="42"/>
      <c r="O1025" s="42"/>
      <c r="P1025" s="42"/>
    </row>
    <row r="1026" spans="9:16" x14ac:dyDescent="0.25">
      <c r="I1026" s="42"/>
      <c r="J1026" s="42"/>
      <c r="K1026" s="42"/>
      <c r="L1026" s="42"/>
      <c r="M1026" s="42"/>
      <c r="N1026" s="42"/>
      <c r="O1026" s="42"/>
      <c r="P1026" s="42"/>
    </row>
    <row r="1027" spans="9:16" x14ac:dyDescent="0.25">
      <c r="I1027" s="42"/>
      <c r="J1027" s="42"/>
      <c r="K1027" s="42"/>
      <c r="L1027" s="42"/>
      <c r="M1027" s="42"/>
      <c r="N1027" s="42"/>
      <c r="O1027" s="42"/>
      <c r="P1027" s="42"/>
    </row>
    <row r="1028" spans="9:16" x14ac:dyDescent="0.25">
      <c r="I1028" s="42"/>
      <c r="J1028" s="42"/>
      <c r="K1028" s="42"/>
      <c r="L1028" s="42"/>
      <c r="M1028" s="42"/>
      <c r="N1028" s="42"/>
      <c r="O1028" s="42"/>
      <c r="P1028" s="42"/>
    </row>
    <row r="1029" spans="9:16" x14ac:dyDescent="0.25">
      <c r="I1029" s="42"/>
      <c r="J1029" s="42"/>
      <c r="K1029" s="42"/>
      <c r="L1029" s="42"/>
      <c r="M1029" s="42"/>
      <c r="N1029" s="42"/>
      <c r="O1029" s="42"/>
      <c r="P1029" s="42"/>
    </row>
    <row r="1030" spans="9:16" x14ac:dyDescent="0.25">
      <c r="I1030" s="42"/>
      <c r="J1030" s="42"/>
      <c r="K1030" s="42"/>
      <c r="L1030" s="42"/>
      <c r="M1030" s="42"/>
      <c r="N1030" s="42"/>
      <c r="O1030" s="42"/>
      <c r="P1030" s="42"/>
    </row>
    <row r="1031" spans="9:16" x14ac:dyDescent="0.25">
      <c r="I1031" s="42"/>
      <c r="J1031" s="42"/>
      <c r="K1031" s="42"/>
      <c r="L1031" s="42"/>
      <c r="M1031" s="42"/>
      <c r="N1031" s="42"/>
      <c r="O1031" s="42"/>
      <c r="P1031" s="42"/>
    </row>
    <row r="1032" spans="9:16" x14ac:dyDescent="0.25">
      <c r="I1032" s="42"/>
      <c r="J1032" s="42"/>
      <c r="K1032" s="42"/>
      <c r="L1032" s="42"/>
      <c r="M1032" s="42"/>
      <c r="N1032" s="42"/>
      <c r="O1032" s="42"/>
      <c r="P1032" s="42"/>
    </row>
    <row r="1033" spans="9:16" x14ac:dyDescent="0.25">
      <c r="I1033" s="42"/>
      <c r="J1033" s="42"/>
      <c r="K1033" s="42"/>
      <c r="L1033" s="42"/>
      <c r="M1033" s="42"/>
      <c r="N1033" s="42"/>
      <c r="O1033" s="42"/>
      <c r="P1033" s="42"/>
    </row>
    <row r="1034" spans="9:16" x14ac:dyDescent="0.25">
      <c r="I1034" s="42"/>
      <c r="J1034" s="42"/>
      <c r="K1034" s="42"/>
      <c r="L1034" s="42"/>
      <c r="M1034" s="42"/>
      <c r="N1034" s="42"/>
      <c r="O1034" s="42"/>
      <c r="P1034" s="42"/>
    </row>
    <row r="1035" spans="9:16" x14ac:dyDescent="0.25">
      <c r="I1035" s="42"/>
      <c r="J1035" s="42"/>
      <c r="K1035" s="42"/>
      <c r="L1035" s="42"/>
      <c r="M1035" s="42"/>
      <c r="N1035" s="42"/>
      <c r="O1035" s="42"/>
      <c r="P1035" s="42"/>
    </row>
    <row r="1036" spans="9:16" x14ac:dyDescent="0.25">
      <c r="I1036" s="42"/>
      <c r="J1036" s="42"/>
      <c r="K1036" s="42"/>
      <c r="L1036" s="42"/>
      <c r="M1036" s="42"/>
      <c r="N1036" s="42"/>
      <c r="O1036" s="42"/>
      <c r="P1036" s="42"/>
    </row>
    <row r="1037" spans="9:16" x14ac:dyDescent="0.25">
      <c r="I1037" s="42"/>
      <c r="J1037" s="42"/>
      <c r="K1037" s="42"/>
      <c r="L1037" s="42"/>
      <c r="M1037" s="42"/>
      <c r="N1037" s="42"/>
      <c r="O1037" s="42"/>
      <c r="P1037" s="42"/>
    </row>
    <row r="1038" spans="9:16" x14ac:dyDescent="0.25">
      <c r="I1038" s="42"/>
      <c r="J1038" s="42"/>
      <c r="K1038" s="42"/>
      <c r="L1038" s="42"/>
      <c r="M1038" s="42"/>
      <c r="N1038" s="42"/>
      <c r="O1038" s="42"/>
      <c r="P1038" s="42"/>
    </row>
    <row r="1039" spans="9:16" x14ac:dyDescent="0.25">
      <c r="I1039" s="42"/>
      <c r="J1039" s="42"/>
      <c r="K1039" s="42"/>
      <c r="L1039" s="42"/>
      <c r="M1039" s="42"/>
      <c r="N1039" s="42"/>
      <c r="O1039" s="42"/>
      <c r="P1039" s="42"/>
    </row>
    <row r="1040" spans="9:16" x14ac:dyDescent="0.25">
      <c r="I1040" s="42"/>
      <c r="J1040" s="42"/>
      <c r="K1040" s="42"/>
      <c r="L1040" s="42"/>
      <c r="M1040" s="42"/>
      <c r="N1040" s="42"/>
      <c r="O1040" s="42"/>
      <c r="P1040" s="42"/>
    </row>
    <row r="1041" spans="9:16" x14ac:dyDescent="0.25">
      <c r="I1041" s="42"/>
      <c r="J1041" s="42"/>
      <c r="K1041" s="42"/>
      <c r="L1041" s="42"/>
      <c r="M1041" s="42"/>
      <c r="N1041" s="42"/>
      <c r="O1041" s="42"/>
      <c r="P1041" s="42"/>
    </row>
    <row r="1042" spans="9:16" x14ac:dyDescent="0.25">
      <c r="I1042" s="42"/>
      <c r="J1042" s="42"/>
      <c r="K1042" s="42"/>
      <c r="L1042" s="42"/>
      <c r="M1042" s="42"/>
      <c r="N1042" s="42"/>
      <c r="O1042" s="42"/>
      <c r="P1042" s="42"/>
    </row>
    <row r="1043" spans="9:16" x14ac:dyDescent="0.25">
      <c r="I1043" s="42"/>
      <c r="J1043" s="42"/>
      <c r="K1043" s="42"/>
      <c r="L1043" s="42"/>
      <c r="M1043" s="42"/>
      <c r="N1043" s="42"/>
      <c r="O1043" s="42"/>
      <c r="P1043" s="42"/>
    </row>
    <row r="1044" spans="9:16" x14ac:dyDescent="0.25">
      <c r="I1044" s="42"/>
      <c r="J1044" s="42"/>
      <c r="K1044" s="42"/>
      <c r="L1044" s="42"/>
      <c r="M1044" s="42"/>
      <c r="N1044" s="42"/>
      <c r="O1044" s="42"/>
      <c r="P1044" s="42"/>
    </row>
    <row r="1045" spans="9:16" x14ac:dyDescent="0.25">
      <c r="I1045" s="42"/>
      <c r="J1045" s="42"/>
      <c r="K1045" s="42"/>
      <c r="L1045" s="42"/>
      <c r="M1045" s="42"/>
      <c r="N1045" s="42"/>
      <c r="O1045" s="42"/>
      <c r="P1045" s="42"/>
    </row>
    <row r="1046" spans="9:16" x14ac:dyDescent="0.25">
      <c r="I1046" s="42"/>
      <c r="J1046" s="42"/>
      <c r="K1046" s="42"/>
      <c r="L1046" s="42"/>
      <c r="M1046" s="42"/>
      <c r="N1046" s="42"/>
      <c r="O1046" s="42"/>
      <c r="P1046" s="42"/>
    </row>
    <row r="1047" spans="9:16" x14ac:dyDescent="0.25">
      <c r="I1047" s="42"/>
      <c r="J1047" s="42"/>
      <c r="K1047" s="42"/>
      <c r="L1047" s="42"/>
      <c r="M1047" s="42"/>
      <c r="N1047" s="42"/>
      <c r="O1047" s="42"/>
      <c r="P1047" s="42"/>
    </row>
    <row r="1048" spans="9:16" x14ac:dyDescent="0.25">
      <c r="I1048" s="42"/>
      <c r="J1048" s="42"/>
      <c r="K1048" s="42"/>
      <c r="L1048" s="42"/>
      <c r="M1048" s="42"/>
      <c r="N1048" s="42"/>
      <c r="O1048" s="42"/>
      <c r="P1048" s="42"/>
    </row>
    <row r="1049" spans="9:16" x14ac:dyDescent="0.25">
      <c r="I1049" s="42"/>
      <c r="J1049" s="42"/>
      <c r="K1049" s="42"/>
      <c r="L1049" s="42"/>
      <c r="M1049" s="42"/>
      <c r="N1049" s="42"/>
      <c r="O1049" s="42"/>
      <c r="P1049" s="42"/>
    </row>
    <row r="1050" spans="9:16" x14ac:dyDescent="0.25">
      <c r="I1050" s="42"/>
      <c r="J1050" s="42"/>
      <c r="K1050" s="42"/>
      <c r="L1050" s="42"/>
      <c r="M1050" s="42"/>
      <c r="N1050" s="42"/>
      <c r="O1050" s="42"/>
      <c r="P1050" s="42"/>
    </row>
    <row r="1051" spans="9:16" x14ac:dyDescent="0.25">
      <c r="I1051" s="42"/>
      <c r="J1051" s="42"/>
      <c r="K1051" s="42"/>
      <c r="L1051" s="42"/>
      <c r="M1051" s="42"/>
      <c r="N1051" s="42"/>
      <c r="O1051" s="42"/>
      <c r="P1051" s="42"/>
    </row>
    <row r="1052" spans="9:16" x14ac:dyDescent="0.25">
      <c r="I1052" s="42"/>
      <c r="J1052" s="42"/>
      <c r="K1052" s="42"/>
      <c r="L1052" s="42"/>
      <c r="M1052" s="42"/>
      <c r="N1052" s="42"/>
      <c r="O1052" s="42"/>
      <c r="P1052" s="42"/>
    </row>
    <row r="1053" spans="9:16" x14ac:dyDescent="0.25">
      <c r="I1053" s="42"/>
      <c r="J1053" s="42"/>
      <c r="K1053" s="42"/>
      <c r="L1053" s="42"/>
      <c r="M1053" s="42"/>
      <c r="N1053" s="42"/>
      <c r="O1053" s="42"/>
      <c r="P1053" s="42"/>
    </row>
    <row r="1054" spans="9:16" x14ac:dyDescent="0.25">
      <c r="I1054" s="42"/>
      <c r="J1054" s="42"/>
      <c r="K1054" s="42"/>
      <c r="L1054" s="42"/>
      <c r="M1054" s="42"/>
      <c r="N1054" s="42"/>
      <c r="O1054" s="42"/>
      <c r="P1054" s="42"/>
    </row>
    <row r="1055" spans="9:16" x14ac:dyDescent="0.25">
      <c r="I1055" s="42"/>
      <c r="J1055" s="42"/>
      <c r="K1055" s="42"/>
      <c r="L1055" s="42"/>
      <c r="M1055" s="42"/>
      <c r="N1055" s="42"/>
      <c r="O1055" s="42"/>
      <c r="P1055" s="42"/>
    </row>
    <row r="1056" spans="9:16" x14ac:dyDescent="0.25">
      <c r="I1056" s="42"/>
      <c r="J1056" s="42"/>
      <c r="K1056" s="42"/>
      <c r="L1056" s="42"/>
      <c r="M1056" s="42"/>
      <c r="N1056" s="42"/>
      <c r="O1056" s="42"/>
      <c r="P1056" s="42"/>
    </row>
    <row r="1057" spans="9:16" x14ac:dyDescent="0.25">
      <c r="I1057" s="42"/>
      <c r="J1057" s="42"/>
      <c r="K1057" s="42"/>
      <c r="L1057" s="42"/>
      <c r="M1057" s="42"/>
      <c r="N1057" s="42"/>
      <c r="O1057" s="42"/>
      <c r="P1057" s="42"/>
    </row>
    <row r="1058" spans="9:16" x14ac:dyDescent="0.25">
      <c r="I1058" s="42"/>
      <c r="J1058" s="42"/>
      <c r="K1058" s="42"/>
      <c r="L1058" s="42"/>
      <c r="M1058" s="42"/>
      <c r="N1058" s="42"/>
      <c r="O1058" s="42"/>
      <c r="P1058" s="42"/>
    </row>
    <row r="1059" spans="9:16" x14ac:dyDescent="0.25">
      <c r="I1059" s="42"/>
      <c r="J1059" s="42"/>
      <c r="K1059" s="42"/>
      <c r="L1059" s="42"/>
      <c r="M1059" s="42"/>
      <c r="N1059" s="42"/>
      <c r="O1059" s="42"/>
      <c r="P1059" s="42"/>
    </row>
    <row r="1060" spans="9:16" x14ac:dyDescent="0.25">
      <c r="I1060" s="42"/>
      <c r="J1060" s="42"/>
      <c r="K1060" s="42"/>
      <c r="L1060" s="42"/>
      <c r="M1060" s="42"/>
      <c r="N1060" s="42"/>
      <c r="O1060" s="42"/>
      <c r="P1060" s="42"/>
    </row>
    <row r="1061" spans="9:16" x14ac:dyDescent="0.25">
      <c r="I1061" s="42"/>
      <c r="J1061" s="42"/>
      <c r="K1061" s="42"/>
      <c r="L1061" s="42"/>
      <c r="M1061" s="42"/>
      <c r="N1061" s="42"/>
      <c r="O1061" s="42"/>
      <c r="P1061" s="42"/>
    </row>
    <row r="1062" spans="9:16" x14ac:dyDescent="0.25">
      <c r="I1062" s="42"/>
      <c r="J1062" s="42"/>
      <c r="K1062" s="42"/>
      <c r="L1062" s="42"/>
      <c r="M1062" s="42"/>
      <c r="N1062" s="42"/>
      <c r="O1062" s="42"/>
      <c r="P1062" s="42"/>
    </row>
    <row r="1063" spans="9:16" x14ac:dyDescent="0.25">
      <c r="I1063" s="42"/>
      <c r="J1063" s="42"/>
      <c r="K1063" s="42"/>
      <c r="L1063" s="42"/>
      <c r="M1063" s="42"/>
      <c r="N1063" s="42"/>
      <c r="O1063" s="42"/>
      <c r="P1063" s="42"/>
    </row>
    <row r="1064" spans="9:16" x14ac:dyDescent="0.25">
      <c r="I1064" s="42"/>
      <c r="J1064" s="42"/>
      <c r="K1064" s="42"/>
      <c r="L1064" s="42"/>
      <c r="M1064" s="42"/>
      <c r="N1064" s="42"/>
      <c r="O1064" s="42"/>
      <c r="P1064" s="42"/>
    </row>
    <row r="1065" spans="9:16" x14ac:dyDescent="0.25">
      <c r="I1065" s="42"/>
      <c r="J1065" s="42"/>
      <c r="K1065" s="42"/>
      <c r="L1065" s="42"/>
      <c r="M1065" s="42"/>
      <c r="N1065" s="42"/>
      <c r="O1065" s="42"/>
      <c r="P1065" s="42"/>
    </row>
    <row r="1066" spans="9:16" x14ac:dyDescent="0.25">
      <c r="I1066" s="42"/>
      <c r="J1066" s="42"/>
      <c r="K1066" s="42"/>
      <c r="L1066" s="42"/>
      <c r="M1066" s="42"/>
      <c r="N1066" s="42"/>
      <c r="O1066" s="42"/>
      <c r="P1066" s="42"/>
    </row>
    <row r="1067" spans="9:16" x14ac:dyDescent="0.25">
      <c r="I1067" s="42"/>
      <c r="J1067" s="42"/>
      <c r="K1067" s="42"/>
      <c r="L1067" s="42"/>
      <c r="M1067" s="42"/>
      <c r="N1067" s="42"/>
      <c r="O1067" s="42"/>
      <c r="P1067" s="42"/>
    </row>
    <row r="1068" spans="9:16" x14ac:dyDescent="0.25">
      <c r="I1068" s="42"/>
      <c r="J1068" s="42"/>
      <c r="K1068" s="42"/>
      <c r="L1068" s="42"/>
      <c r="M1068" s="42"/>
      <c r="N1068" s="42"/>
      <c r="O1068" s="42"/>
      <c r="P1068" s="42"/>
    </row>
    <row r="1069" spans="9:16" x14ac:dyDescent="0.25">
      <c r="I1069" s="42"/>
      <c r="J1069" s="42"/>
      <c r="K1069" s="42"/>
      <c r="L1069" s="42"/>
      <c r="M1069" s="42"/>
      <c r="N1069" s="42"/>
      <c r="O1069" s="42"/>
      <c r="P1069" s="42"/>
    </row>
    <row r="1070" spans="9:16" x14ac:dyDescent="0.25">
      <c r="I1070" s="42"/>
      <c r="J1070" s="42"/>
      <c r="K1070" s="42"/>
      <c r="L1070" s="42"/>
      <c r="M1070" s="42"/>
      <c r="N1070" s="42"/>
      <c r="O1070" s="42"/>
      <c r="P1070" s="42"/>
    </row>
    <row r="1071" spans="9:16" x14ac:dyDescent="0.25">
      <c r="I1071" s="42"/>
      <c r="J1071" s="42"/>
      <c r="K1071" s="42"/>
      <c r="L1071" s="42"/>
      <c r="M1071" s="42"/>
      <c r="N1071" s="42"/>
      <c r="O1071" s="42"/>
      <c r="P1071" s="42"/>
    </row>
    <row r="1072" spans="9:16" x14ac:dyDescent="0.25">
      <c r="I1072" s="42"/>
      <c r="J1072" s="42"/>
      <c r="K1072" s="42"/>
      <c r="L1072" s="42"/>
      <c r="M1072" s="42"/>
      <c r="N1072" s="42"/>
      <c r="O1072" s="42"/>
      <c r="P1072" s="42"/>
    </row>
    <row r="1073" spans="9:16" x14ac:dyDescent="0.25">
      <c r="I1073" s="42"/>
      <c r="J1073" s="42"/>
      <c r="K1073" s="42"/>
      <c r="L1073" s="42"/>
      <c r="M1073" s="42"/>
      <c r="N1073" s="42"/>
      <c r="O1073" s="42"/>
      <c r="P1073" s="42"/>
    </row>
    <row r="1074" spans="9:16" x14ac:dyDescent="0.25">
      <c r="I1074" s="42"/>
      <c r="J1074" s="42"/>
      <c r="K1074" s="42"/>
      <c r="L1074" s="42"/>
      <c r="M1074" s="42"/>
      <c r="N1074" s="42"/>
      <c r="O1074" s="42"/>
      <c r="P1074" s="42"/>
    </row>
    <row r="1075" spans="9:16" x14ac:dyDescent="0.25">
      <c r="I1075" s="42"/>
      <c r="J1075" s="42"/>
      <c r="K1075" s="42"/>
      <c r="L1075" s="42"/>
      <c r="M1075" s="42"/>
      <c r="N1075" s="42"/>
      <c r="O1075" s="42"/>
      <c r="P1075" s="42"/>
    </row>
    <row r="1076" spans="9:16" x14ac:dyDescent="0.25">
      <c r="I1076" s="42"/>
      <c r="J1076" s="42"/>
      <c r="K1076" s="42"/>
      <c r="L1076" s="42"/>
      <c r="M1076" s="42"/>
      <c r="N1076" s="42"/>
      <c r="O1076" s="42"/>
      <c r="P1076" s="42"/>
    </row>
    <row r="1077" spans="9:16" x14ac:dyDescent="0.25">
      <c r="I1077" s="42"/>
      <c r="J1077" s="42"/>
      <c r="K1077" s="42"/>
      <c r="L1077" s="42"/>
      <c r="M1077" s="42"/>
      <c r="N1077" s="42"/>
      <c r="O1077" s="42"/>
      <c r="P1077" s="42"/>
    </row>
    <row r="1078" spans="9:16" x14ac:dyDescent="0.25">
      <c r="I1078" s="42"/>
      <c r="J1078" s="42"/>
      <c r="K1078" s="42"/>
      <c r="L1078" s="42"/>
      <c r="M1078" s="42"/>
      <c r="N1078" s="42"/>
      <c r="O1078" s="42"/>
      <c r="P1078" s="42"/>
    </row>
    <row r="1079" spans="9:16" x14ac:dyDescent="0.25">
      <c r="I1079" s="42"/>
      <c r="J1079" s="42"/>
      <c r="K1079" s="42"/>
      <c r="L1079" s="42"/>
      <c r="M1079" s="42"/>
      <c r="N1079" s="42"/>
      <c r="O1079" s="42"/>
      <c r="P1079" s="42"/>
    </row>
    <row r="1080" spans="9:16" x14ac:dyDescent="0.25">
      <c r="I1080" s="42"/>
      <c r="J1080" s="42"/>
      <c r="K1080" s="42"/>
      <c r="L1080" s="42"/>
      <c r="M1080" s="42"/>
      <c r="N1080" s="42"/>
      <c r="O1080" s="42"/>
      <c r="P1080" s="42"/>
    </row>
    <row r="1081" spans="9:16" x14ac:dyDescent="0.25">
      <c r="I1081" s="42"/>
      <c r="J1081" s="42"/>
      <c r="K1081" s="42"/>
      <c r="L1081" s="42"/>
      <c r="M1081" s="42"/>
      <c r="N1081" s="42"/>
      <c r="O1081" s="42"/>
      <c r="P1081" s="42"/>
    </row>
    <row r="1082" spans="9:16" x14ac:dyDescent="0.25">
      <c r="I1082" s="42"/>
      <c r="J1082" s="42"/>
      <c r="K1082" s="42"/>
      <c r="L1082" s="42"/>
      <c r="M1082" s="42"/>
      <c r="N1082" s="42"/>
      <c r="O1082" s="42"/>
      <c r="P1082" s="42"/>
    </row>
    <row r="1083" spans="9:16" x14ac:dyDescent="0.25">
      <c r="I1083" s="42"/>
      <c r="J1083" s="42"/>
      <c r="K1083" s="42"/>
      <c r="L1083" s="42"/>
      <c r="M1083" s="42"/>
      <c r="N1083" s="42"/>
      <c r="O1083" s="42"/>
      <c r="P1083" s="42"/>
    </row>
    <row r="1084" spans="9:16" x14ac:dyDescent="0.25">
      <c r="I1084" s="42"/>
      <c r="J1084" s="42"/>
      <c r="K1084" s="42"/>
      <c r="L1084" s="42"/>
      <c r="M1084" s="42"/>
      <c r="N1084" s="42"/>
      <c r="O1084" s="42"/>
      <c r="P1084" s="42"/>
    </row>
    <row r="1085" spans="9:16" x14ac:dyDescent="0.25">
      <c r="I1085" s="42"/>
      <c r="J1085" s="42"/>
      <c r="K1085" s="42"/>
      <c r="L1085" s="42"/>
      <c r="M1085" s="42"/>
      <c r="N1085" s="42"/>
      <c r="O1085" s="42"/>
      <c r="P1085" s="42"/>
    </row>
    <row r="1086" spans="9:16" x14ac:dyDescent="0.25">
      <c r="I1086" s="42"/>
      <c r="J1086" s="42"/>
      <c r="K1086" s="42"/>
      <c r="L1086" s="42"/>
      <c r="M1086" s="42"/>
      <c r="N1086" s="42"/>
      <c r="O1086" s="42"/>
      <c r="P1086" s="42"/>
    </row>
    <row r="1087" spans="9:16" x14ac:dyDescent="0.25">
      <c r="I1087" s="42"/>
      <c r="J1087" s="42"/>
      <c r="K1087" s="42"/>
      <c r="L1087" s="42"/>
      <c r="M1087" s="42"/>
      <c r="N1087" s="42"/>
      <c r="O1087" s="42"/>
      <c r="P1087" s="42"/>
    </row>
    <row r="1088" spans="9:16" x14ac:dyDescent="0.25">
      <c r="I1088" s="42"/>
      <c r="J1088" s="42"/>
      <c r="K1088" s="42"/>
      <c r="L1088" s="42"/>
      <c r="M1088" s="42"/>
      <c r="N1088" s="42"/>
      <c r="O1088" s="42"/>
      <c r="P1088" s="42"/>
    </row>
    <row r="1089" spans="9:16" x14ac:dyDescent="0.25">
      <c r="I1089" s="42"/>
      <c r="J1089" s="42"/>
      <c r="K1089" s="42"/>
      <c r="L1089" s="42"/>
      <c r="M1089" s="42"/>
      <c r="N1089" s="42"/>
      <c r="O1089" s="42"/>
      <c r="P1089" s="42"/>
    </row>
    <row r="1090" spans="9:16" x14ac:dyDescent="0.25">
      <c r="I1090" s="42"/>
      <c r="J1090" s="42"/>
      <c r="K1090" s="42"/>
      <c r="L1090" s="42"/>
      <c r="M1090" s="42"/>
      <c r="N1090" s="42"/>
      <c r="O1090" s="42"/>
      <c r="P1090" s="42"/>
    </row>
    <row r="1091" spans="9:16" x14ac:dyDescent="0.25">
      <c r="I1091" s="42"/>
      <c r="J1091" s="42"/>
      <c r="K1091" s="42"/>
      <c r="L1091" s="42"/>
      <c r="M1091" s="42"/>
      <c r="N1091" s="42"/>
      <c r="O1091" s="42"/>
      <c r="P1091" s="42"/>
    </row>
    <row r="1092" spans="9:16" x14ac:dyDescent="0.25">
      <c r="I1092" s="42"/>
      <c r="J1092" s="42"/>
      <c r="K1092" s="42"/>
      <c r="L1092" s="42"/>
      <c r="M1092" s="42"/>
      <c r="N1092" s="42"/>
      <c r="O1092" s="42"/>
      <c r="P1092" s="42"/>
    </row>
    <row r="1093" spans="9:16" x14ac:dyDescent="0.25">
      <c r="I1093" s="42"/>
      <c r="J1093" s="42"/>
      <c r="K1093" s="42"/>
      <c r="L1093" s="42"/>
      <c r="M1093" s="42"/>
      <c r="N1093" s="42"/>
      <c r="O1093" s="42"/>
      <c r="P1093" s="42"/>
    </row>
    <row r="1094" spans="9:16" x14ac:dyDescent="0.25">
      <c r="I1094" s="42"/>
      <c r="J1094" s="42"/>
      <c r="K1094" s="42"/>
      <c r="L1094" s="42"/>
      <c r="M1094" s="42"/>
      <c r="N1094" s="42"/>
      <c r="O1094" s="42"/>
      <c r="P1094" s="42"/>
    </row>
    <row r="1095" spans="9:16" x14ac:dyDescent="0.25">
      <c r="I1095" s="42"/>
      <c r="J1095" s="42"/>
      <c r="K1095" s="42"/>
      <c r="L1095" s="42"/>
      <c r="M1095" s="42"/>
      <c r="N1095" s="42"/>
      <c r="O1095" s="42"/>
      <c r="P1095" s="42"/>
    </row>
    <row r="1096" spans="9:16" x14ac:dyDescent="0.25">
      <c r="I1096" s="42"/>
      <c r="J1096" s="42"/>
      <c r="K1096" s="42"/>
      <c r="L1096" s="42"/>
      <c r="M1096" s="42"/>
      <c r="N1096" s="42"/>
      <c r="O1096" s="42"/>
      <c r="P1096" s="42"/>
    </row>
    <row r="1097" spans="9:16" x14ac:dyDescent="0.25">
      <c r="I1097" s="42"/>
      <c r="J1097" s="42"/>
      <c r="K1097" s="42"/>
      <c r="L1097" s="42"/>
      <c r="M1097" s="42"/>
      <c r="N1097" s="42"/>
      <c r="O1097" s="42"/>
      <c r="P1097" s="42"/>
    </row>
    <row r="1098" spans="9:16" x14ac:dyDescent="0.25">
      <c r="I1098" s="42"/>
      <c r="J1098" s="42"/>
      <c r="K1098" s="42"/>
      <c r="L1098" s="42"/>
      <c r="M1098" s="42"/>
      <c r="N1098" s="42"/>
      <c r="O1098" s="42"/>
      <c r="P1098" s="42"/>
    </row>
    <row r="1099" spans="9:16" x14ac:dyDescent="0.25">
      <c r="I1099" s="42"/>
      <c r="J1099" s="42"/>
      <c r="K1099" s="42"/>
      <c r="L1099" s="42"/>
      <c r="M1099" s="42"/>
      <c r="N1099" s="42"/>
      <c r="O1099" s="42"/>
      <c r="P1099" s="42"/>
    </row>
    <row r="1100" spans="9:16" x14ac:dyDescent="0.25">
      <c r="I1100" s="42"/>
      <c r="J1100" s="42"/>
      <c r="K1100" s="42"/>
      <c r="L1100" s="42"/>
      <c r="M1100" s="42"/>
      <c r="N1100" s="42"/>
      <c r="O1100" s="42"/>
      <c r="P1100" s="42"/>
    </row>
    <row r="1101" spans="9:16" x14ac:dyDescent="0.25">
      <c r="I1101" s="42"/>
      <c r="J1101" s="42"/>
      <c r="K1101" s="42"/>
      <c r="L1101" s="42"/>
      <c r="M1101" s="42"/>
      <c r="N1101" s="42"/>
      <c r="O1101" s="42"/>
      <c r="P1101" s="42"/>
    </row>
    <row r="1102" spans="9:16" x14ac:dyDescent="0.25">
      <c r="I1102" s="42"/>
      <c r="J1102" s="42"/>
      <c r="K1102" s="42"/>
      <c r="L1102" s="42"/>
      <c r="M1102" s="42"/>
      <c r="N1102" s="42"/>
      <c r="O1102" s="42"/>
      <c r="P1102" s="42"/>
    </row>
    <row r="1103" spans="9:16" x14ac:dyDescent="0.25">
      <c r="I1103" s="42"/>
      <c r="J1103" s="42"/>
      <c r="K1103" s="42"/>
      <c r="L1103" s="42"/>
      <c r="M1103" s="42"/>
      <c r="N1103" s="42"/>
      <c r="O1103" s="42"/>
      <c r="P1103" s="42"/>
    </row>
    <row r="1104" spans="9:16" x14ac:dyDescent="0.25">
      <c r="I1104" s="42"/>
      <c r="J1104" s="42"/>
      <c r="K1104" s="42"/>
      <c r="L1104" s="42"/>
      <c r="M1104" s="42"/>
      <c r="N1104" s="42"/>
      <c r="O1104" s="42"/>
      <c r="P1104" s="42"/>
    </row>
    <row r="1105" spans="9:16" x14ac:dyDescent="0.25">
      <c r="I1105" s="42"/>
      <c r="J1105" s="42"/>
      <c r="K1105" s="42"/>
      <c r="L1105" s="42"/>
      <c r="M1105" s="42"/>
      <c r="N1105" s="42"/>
      <c r="O1105" s="42"/>
      <c r="P1105" s="42"/>
    </row>
    <row r="1106" spans="9:16" x14ac:dyDescent="0.25">
      <c r="I1106" s="42"/>
      <c r="J1106" s="42"/>
      <c r="K1106" s="42"/>
      <c r="L1106" s="42"/>
      <c r="M1106" s="42"/>
      <c r="N1106" s="42"/>
      <c r="O1106" s="42"/>
      <c r="P1106" s="42"/>
    </row>
    <row r="1107" spans="9:16" x14ac:dyDescent="0.25">
      <c r="I1107" s="42"/>
      <c r="J1107" s="42"/>
      <c r="K1107" s="42"/>
      <c r="L1107" s="42"/>
      <c r="M1107" s="42"/>
      <c r="N1107" s="42"/>
      <c r="O1107" s="42"/>
      <c r="P1107" s="42"/>
    </row>
    <row r="1108" spans="9:16" x14ac:dyDescent="0.25">
      <c r="I1108" s="42"/>
      <c r="J1108" s="42"/>
      <c r="K1108" s="42"/>
      <c r="L1108" s="42"/>
      <c r="M1108" s="42"/>
      <c r="N1108" s="42"/>
      <c r="O1108" s="42"/>
      <c r="P1108" s="42"/>
    </row>
    <row r="1109" spans="9:16" x14ac:dyDescent="0.25">
      <c r="I1109" s="42"/>
      <c r="J1109" s="42"/>
      <c r="K1109" s="42"/>
      <c r="L1109" s="42"/>
      <c r="M1109" s="42"/>
      <c r="N1109" s="42"/>
      <c r="O1109" s="42"/>
      <c r="P1109" s="42"/>
    </row>
    <row r="1110" spans="9:16" x14ac:dyDescent="0.25">
      <c r="I1110" s="42"/>
      <c r="J1110" s="42"/>
      <c r="K1110" s="42"/>
      <c r="L1110" s="42"/>
      <c r="M1110" s="42"/>
      <c r="N1110" s="42"/>
      <c r="O1110" s="42"/>
      <c r="P1110" s="42"/>
    </row>
    <row r="1111" spans="9:16" x14ac:dyDescent="0.25">
      <c r="I1111" s="42"/>
      <c r="J1111" s="42"/>
      <c r="K1111" s="42"/>
      <c r="L1111" s="42"/>
      <c r="M1111" s="42"/>
      <c r="N1111" s="42"/>
      <c r="O1111" s="42"/>
      <c r="P1111" s="42"/>
    </row>
    <row r="1112" spans="9:16" x14ac:dyDescent="0.25">
      <c r="I1112" s="42"/>
      <c r="J1112" s="42"/>
      <c r="K1112" s="42"/>
      <c r="L1112" s="42"/>
      <c r="M1112" s="42"/>
      <c r="N1112" s="42"/>
      <c r="O1112" s="42"/>
      <c r="P1112" s="42"/>
    </row>
    <row r="1113" spans="9:16" x14ac:dyDescent="0.25">
      <c r="I1113" s="42"/>
      <c r="J1113" s="42"/>
      <c r="K1113" s="42"/>
      <c r="L1113" s="42"/>
      <c r="M1113" s="42"/>
      <c r="N1113" s="42"/>
      <c r="O1113" s="42"/>
      <c r="P1113" s="42"/>
    </row>
    <row r="1114" spans="9:16" x14ac:dyDescent="0.25">
      <c r="I1114" s="42"/>
      <c r="J1114" s="42"/>
      <c r="K1114" s="42"/>
      <c r="L1114" s="42"/>
      <c r="M1114" s="42"/>
      <c r="N1114" s="42"/>
      <c r="O1114" s="42"/>
      <c r="P1114" s="42"/>
    </row>
    <row r="1115" spans="9:16" x14ac:dyDescent="0.25">
      <c r="I1115" s="42"/>
      <c r="J1115" s="42"/>
      <c r="K1115" s="42"/>
      <c r="L1115" s="42"/>
      <c r="M1115" s="42"/>
      <c r="N1115" s="42"/>
      <c r="O1115" s="42"/>
      <c r="P1115" s="42"/>
    </row>
    <row r="1116" spans="9:16" x14ac:dyDescent="0.25">
      <c r="I1116" s="42"/>
      <c r="J1116" s="42"/>
      <c r="K1116" s="42"/>
      <c r="L1116" s="42"/>
      <c r="M1116" s="42"/>
      <c r="N1116" s="42"/>
      <c r="O1116" s="42"/>
      <c r="P1116" s="42"/>
    </row>
    <row r="1117" spans="9:16" x14ac:dyDescent="0.25">
      <c r="I1117" s="42"/>
      <c r="J1117" s="42"/>
      <c r="K1117" s="42"/>
      <c r="L1117" s="42"/>
      <c r="M1117" s="42"/>
      <c r="N1117" s="42"/>
      <c r="O1117" s="42"/>
      <c r="P1117" s="42"/>
    </row>
    <row r="1118" spans="9:16" x14ac:dyDescent="0.25">
      <c r="I1118" s="42"/>
      <c r="J1118" s="42"/>
      <c r="K1118" s="42"/>
      <c r="L1118" s="42"/>
      <c r="M1118" s="42"/>
      <c r="N1118" s="42"/>
      <c r="O1118" s="42"/>
      <c r="P1118" s="42"/>
    </row>
    <row r="1119" spans="9:16" x14ac:dyDescent="0.25">
      <c r="I1119" s="42"/>
      <c r="J1119" s="42"/>
      <c r="K1119" s="42"/>
      <c r="L1119" s="42"/>
      <c r="M1119" s="42"/>
      <c r="N1119" s="42"/>
      <c r="O1119" s="42"/>
      <c r="P1119" s="42"/>
    </row>
    <row r="1120" spans="9:16" x14ac:dyDescent="0.25">
      <c r="I1120" s="42"/>
      <c r="J1120" s="42"/>
      <c r="K1120" s="42"/>
      <c r="L1120" s="42"/>
      <c r="M1120" s="42"/>
      <c r="N1120" s="42"/>
      <c r="O1120" s="42"/>
      <c r="P1120" s="42"/>
    </row>
    <row r="1121" spans="9:16" x14ac:dyDescent="0.25">
      <c r="I1121" s="42"/>
      <c r="J1121" s="42"/>
      <c r="K1121" s="42"/>
      <c r="L1121" s="42"/>
      <c r="M1121" s="42"/>
      <c r="N1121" s="42"/>
      <c r="O1121" s="42"/>
      <c r="P1121" s="42"/>
    </row>
    <row r="1122" spans="9:16" x14ac:dyDescent="0.25">
      <c r="I1122" s="42"/>
      <c r="J1122" s="42"/>
      <c r="K1122" s="42"/>
      <c r="L1122" s="42"/>
      <c r="M1122" s="42"/>
      <c r="N1122" s="42"/>
      <c r="O1122" s="42"/>
      <c r="P1122" s="42"/>
    </row>
    <row r="1123" spans="9:16" x14ac:dyDescent="0.25">
      <c r="I1123" s="42"/>
      <c r="J1123" s="42"/>
      <c r="K1123" s="42"/>
      <c r="L1123" s="42"/>
      <c r="M1123" s="42"/>
      <c r="N1123" s="42"/>
      <c r="O1123" s="42"/>
      <c r="P1123" s="42"/>
    </row>
    <row r="1124" spans="9:16" x14ac:dyDescent="0.25">
      <c r="I1124" s="42"/>
      <c r="J1124" s="42"/>
      <c r="K1124" s="42"/>
      <c r="L1124" s="42"/>
      <c r="M1124" s="42"/>
      <c r="N1124" s="42"/>
      <c r="O1124" s="42"/>
      <c r="P1124" s="42"/>
    </row>
    <row r="1125" spans="9:16" x14ac:dyDescent="0.25">
      <c r="I1125" s="42"/>
      <c r="J1125" s="42"/>
      <c r="K1125" s="42"/>
      <c r="L1125" s="42"/>
      <c r="M1125" s="42"/>
      <c r="N1125" s="42"/>
      <c r="O1125" s="42"/>
      <c r="P1125" s="42"/>
    </row>
    <row r="1126" spans="9:16" x14ac:dyDescent="0.25">
      <c r="I1126" s="42"/>
      <c r="J1126" s="42"/>
      <c r="K1126" s="42"/>
      <c r="L1126" s="42"/>
      <c r="M1126" s="42"/>
      <c r="N1126" s="42"/>
      <c r="O1126" s="42"/>
      <c r="P1126" s="42"/>
    </row>
    <row r="1127" spans="9:16" x14ac:dyDescent="0.25">
      <c r="I1127" s="42"/>
      <c r="J1127" s="42"/>
      <c r="K1127" s="42"/>
      <c r="L1127" s="42"/>
      <c r="M1127" s="42"/>
      <c r="N1127" s="42"/>
      <c r="O1127" s="42"/>
      <c r="P1127" s="42"/>
    </row>
    <row r="1128" spans="9:16" x14ac:dyDescent="0.25">
      <c r="I1128" s="42"/>
      <c r="J1128" s="42"/>
      <c r="K1128" s="42"/>
      <c r="L1128" s="42"/>
      <c r="M1128" s="42"/>
      <c r="N1128" s="42"/>
      <c r="O1128" s="42"/>
      <c r="P1128" s="42"/>
    </row>
    <row r="1129" spans="9:16" x14ac:dyDescent="0.25">
      <c r="I1129" s="42"/>
      <c r="J1129" s="42"/>
      <c r="K1129" s="42"/>
      <c r="L1129" s="42"/>
      <c r="M1129" s="42"/>
      <c r="N1129" s="42"/>
      <c r="O1129" s="42"/>
      <c r="P1129" s="42"/>
    </row>
    <row r="1130" spans="9:16" x14ac:dyDescent="0.25">
      <c r="I1130" s="42"/>
      <c r="J1130" s="42"/>
      <c r="K1130" s="42"/>
      <c r="L1130" s="42"/>
      <c r="M1130" s="42"/>
      <c r="N1130" s="42"/>
      <c r="O1130" s="42"/>
      <c r="P1130" s="42"/>
    </row>
    <row r="1131" spans="9:16" x14ac:dyDescent="0.25">
      <c r="I1131" s="42"/>
      <c r="J1131" s="42"/>
      <c r="K1131" s="42"/>
      <c r="L1131" s="42"/>
      <c r="M1131" s="42"/>
      <c r="N1131" s="42"/>
      <c r="O1131" s="42"/>
      <c r="P1131" s="42"/>
    </row>
    <row r="1132" spans="9:16" x14ac:dyDescent="0.25">
      <c r="I1132" s="42"/>
      <c r="J1132" s="42"/>
      <c r="K1132" s="42"/>
      <c r="L1132" s="42"/>
      <c r="M1132" s="42"/>
      <c r="N1132" s="42"/>
      <c r="O1132" s="42"/>
      <c r="P1132" s="42"/>
    </row>
    <row r="1133" spans="9:16" x14ac:dyDescent="0.25">
      <c r="I1133" s="42"/>
      <c r="J1133" s="42"/>
      <c r="K1133" s="42"/>
      <c r="L1133" s="42"/>
      <c r="M1133" s="42"/>
      <c r="N1133" s="42"/>
      <c r="O1133" s="42"/>
      <c r="P1133" s="42"/>
    </row>
    <row r="1134" spans="9:16" x14ac:dyDescent="0.25">
      <c r="I1134" s="42"/>
      <c r="J1134" s="42"/>
      <c r="K1134" s="42"/>
      <c r="L1134" s="42"/>
      <c r="M1134" s="42"/>
      <c r="N1134" s="42"/>
      <c r="O1134" s="42"/>
      <c r="P1134" s="42"/>
    </row>
    <row r="1135" spans="9:16" x14ac:dyDescent="0.25">
      <c r="I1135" s="42"/>
      <c r="J1135" s="42"/>
      <c r="K1135" s="42"/>
      <c r="L1135" s="42"/>
      <c r="M1135" s="42"/>
      <c r="N1135" s="42"/>
      <c r="O1135" s="42"/>
      <c r="P1135" s="42"/>
    </row>
    <row r="1136" spans="9:16" x14ac:dyDescent="0.25">
      <c r="I1136" s="42"/>
      <c r="J1136" s="42"/>
      <c r="K1136" s="42"/>
      <c r="L1136" s="42"/>
      <c r="M1136" s="42"/>
      <c r="N1136" s="42"/>
      <c r="O1136" s="42"/>
      <c r="P1136" s="42"/>
    </row>
    <row r="1137" spans="9:16" x14ac:dyDescent="0.25">
      <c r="I1137" s="42"/>
      <c r="J1137" s="42"/>
      <c r="K1137" s="42"/>
      <c r="L1137" s="42"/>
      <c r="M1137" s="42"/>
      <c r="N1137" s="42"/>
      <c r="O1137" s="42"/>
      <c r="P1137" s="42"/>
    </row>
    <row r="1138" spans="9:16" x14ac:dyDescent="0.25">
      <c r="I1138" s="42"/>
      <c r="J1138" s="42"/>
      <c r="K1138" s="42"/>
      <c r="L1138" s="42"/>
      <c r="M1138" s="42"/>
      <c r="N1138" s="42"/>
      <c r="O1138" s="42"/>
      <c r="P1138" s="42"/>
    </row>
    <row r="1139" spans="9:16" x14ac:dyDescent="0.25">
      <c r="I1139" s="42"/>
      <c r="J1139" s="42"/>
      <c r="K1139" s="42"/>
      <c r="L1139" s="42"/>
      <c r="M1139" s="42"/>
      <c r="N1139" s="42"/>
      <c r="O1139" s="42"/>
      <c r="P1139" s="42"/>
    </row>
    <row r="1140" spans="9:16" x14ac:dyDescent="0.25">
      <c r="I1140" s="42"/>
      <c r="J1140" s="42"/>
      <c r="K1140" s="42"/>
      <c r="L1140" s="42"/>
      <c r="M1140" s="42"/>
      <c r="N1140" s="42"/>
      <c r="O1140" s="42"/>
      <c r="P1140" s="42"/>
    </row>
    <row r="1141" spans="9:16" x14ac:dyDescent="0.25">
      <c r="I1141" s="42"/>
      <c r="J1141" s="42"/>
      <c r="K1141" s="42"/>
      <c r="L1141" s="42"/>
      <c r="M1141" s="42"/>
      <c r="N1141" s="42"/>
      <c r="O1141" s="42"/>
      <c r="P1141" s="42"/>
    </row>
    <row r="1142" spans="9:16" x14ac:dyDescent="0.25">
      <c r="I1142" s="42"/>
      <c r="J1142" s="42"/>
      <c r="K1142" s="42"/>
      <c r="L1142" s="42"/>
      <c r="M1142" s="42"/>
      <c r="N1142" s="42"/>
      <c r="O1142" s="42"/>
      <c r="P1142" s="42"/>
    </row>
    <row r="1143" spans="9:16" x14ac:dyDescent="0.25">
      <c r="I1143" s="42"/>
      <c r="J1143" s="42"/>
      <c r="K1143" s="42"/>
      <c r="L1143" s="42"/>
      <c r="M1143" s="42"/>
      <c r="N1143" s="42"/>
      <c r="O1143" s="42"/>
      <c r="P1143" s="42"/>
    </row>
    <row r="1144" spans="9:16" x14ac:dyDescent="0.25">
      <c r="I1144" s="42"/>
      <c r="J1144" s="42"/>
      <c r="K1144" s="42"/>
      <c r="L1144" s="42"/>
      <c r="M1144" s="42"/>
      <c r="N1144" s="42"/>
      <c r="O1144" s="42"/>
      <c r="P1144" s="42"/>
    </row>
    <row r="1145" spans="9:16" x14ac:dyDescent="0.25">
      <c r="I1145" s="42"/>
      <c r="J1145" s="42"/>
      <c r="K1145" s="42"/>
      <c r="L1145" s="42"/>
      <c r="M1145" s="42"/>
      <c r="N1145" s="42"/>
      <c r="O1145" s="42"/>
      <c r="P1145" s="42"/>
    </row>
    <row r="1146" spans="9:16" x14ac:dyDescent="0.25">
      <c r="I1146" s="42"/>
      <c r="J1146" s="42"/>
      <c r="K1146" s="42"/>
      <c r="L1146" s="42"/>
      <c r="M1146" s="42"/>
      <c r="N1146" s="42"/>
      <c r="O1146" s="42"/>
      <c r="P1146" s="42"/>
    </row>
    <row r="1147" spans="9:16" x14ac:dyDescent="0.25">
      <c r="I1147" s="42"/>
      <c r="J1147" s="42"/>
      <c r="K1147" s="42"/>
      <c r="L1147" s="42"/>
      <c r="M1147" s="42"/>
      <c r="N1147" s="42"/>
      <c r="O1147" s="42"/>
      <c r="P1147" s="42"/>
    </row>
    <row r="1148" spans="9:16" x14ac:dyDescent="0.25">
      <c r="I1148" s="42"/>
      <c r="J1148" s="42"/>
      <c r="K1148" s="42"/>
      <c r="L1148" s="42"/>
      <c r="M1148" s="42"/>
      <c r="N1148" s="42"/>
      <c r="O1148" s="42"/>
      <c r="P1148" s="42"/>
    </row>
    <row r="1149" spans="9:16" x14ac:dyDescent="0.25">
      <c r="I1149" s="42"/>
      <c r="J1149" s="42"/>
      <c r="K1149" s="42"/>
      <c r="L1149" s="42"/>
      <c r="M1149" s="42"/>
      <c r="N1149" s="42"/>
      <c r="O1149" s="42"/>
      <c r="P1149" s="42"/>
    </row>
    <row r="1150" spans="9:16" x14ac:dyDescent="0.25">
      <c r="I1150" s="42"/>
      <c r="J1150" s="42"/>
      <c r="K1150" s="42"/>
      <c r="L1150" s="42"/>
      <c r="M1150" s="42"/>
      <c r="N1150" s="42"/>
      <c r="O1150" s="42"/>
      <c r="P1150" s="42"/>
    </row>
    <row r="1151" spans="9:16" x14ac:dyDescent="0.25">
      <c r="I1151" s="42"/>
      <c r="J1151" s="42"/>
      <c r="K1151" s="42"/>
      <c r="L1151" s="42"/>
      <c r="M1151" s="42"/>
      <c r="N1151" s="42"/>
      <c r="O1151" s="42"/>
      <c r="P1151" s="42"/>
    </row>
    <row r="1152" spans="9:16" x14ac:dyDescent="0.25">
      <c r="I1152" s="42"/>
      <c r="J1152" s="42"/>
      <c r="K1152" s="42"/>
      <c r="L1152" s="42"/>
      <c r="M1152" s="42"/>
      <c r="N1152" s="42"/>
      <c r="O1152" s="42"/>
      <c r="P1152" s="42"/>
    </row>
    <row r="1153" spans="9:16" x14ac:dyDescent="0.25">
      <c r="I1153" s="42"/>
      <c r="J1153" s="42"/>
      <c r="K1153" s="42"/>
      <c r="L1153" s="42"/>
      <c r="M1153" s="42"/>
      <c r="N1153" s="42"/>
      <c r="O1153" s="42"/>
      <c r="P1153" s="42"/>
    </row>
    <row r="1154" spans="9:16" x14ac:dyDescent="0.25">
      <c r="I1154" s="42"/>
      <c r="J1154" s="42"/>
      <c r="K1154" s="42"/>
      <c r="L1154" s="42"/>
      <c r="M1154" s="42"/>
      <c r="N1154" s="42"/>
      <c r="O1154" s="42"/>
      <c r="P1154" s="42"/>
    </row>
    <row r="1155" spans="9:16" x14ac:dyDescent="0.25">
      <c r="I1155" s="42"/>
      <c r="J1155" s="42"/>
      <c r="K1155" s="42"/>
      <c r="L1155" s="42"/>
      <c r="M1155" s="42"/>
      <c r="N1155" s="42"/>
      <c r="O1155" s="42"/>
      <c r="P1155" s="42"/>
    </row>
    <row r="1156" spans="9:16" x14ac:dyDescent="0.25">
      <c r="I1156" s="42"/>
      <c r="J1156" s="42"/>
      <c r="K1156" s="42"/>
      <c r="L1156" s="42"/>
      <c r="M1156" s="42"/>
      <c r="N1156" s="42"/>
      <c r="O1156" s="42"/>
      <c r="P1156" s="42"/>
    </row>
    <row r="1157" spans="9:16" x14ac:dyDescent="0.25">
      <c r="I1157" s="42"/>
      <c r="J1157" s="42"/>
      <c r="K1157" s="42"/>
      <c r="L1157" s="42"/>
      <c r="M1157" s="42"/>
      <c r="N1157" s="42"/>
      <c r="O1157" s="42"/>
      <c r="P1157" s="42"/>
    </row>
    <row r="1158" spans="9:16" x14ac:dyDescent="0.25">
      <c r="I1158" s="42"/>
      <c r="J1158" s="42"/>
      <c r="K1158" s="42"/>
      <c r="L1158" s="42"/>
      <c r="M1158" s="42"/>
      <c r="N1158" s="42"/>
      <c r="O1158" s="42"/>
      <c r="P1158" s="42"/>
    </row>
    <row r="1159" spans="9:16" x14ac:dyDescent="0.25">
      <c r="I1159" s="42"/>
      <c r="J1159" s="42"/>
      <c r="K1159" s="42"/>
      <c r="L1159" s="42"/>
      <c r="M1159" s="42"/>
      <c r="N1159" s="42"/>
      <c r="O1159" s="42"/>
      <c r="P1159" s="42"/>
    </row>
    <row r="1160" spans="9:16" x14ac:dyDescent="0.25">
      <c r="I1160" s="42"/>
      <c r="J1160" s="42"/>
      <c r="K1160" s="42"/>
      <c r="L1160" s="42"/>
      <c r="M1160" s="42"/>
      <c r="N1160" s="42"/>
      <c r="O1160" s="42"/>
      <c r="P1160" s="42"/>
    </row>
    <row r="1161" spans="9:16" x14ac:dyDescent="0.25">
      <c r="I1161" s="42"/>
      <c r="J1161" s="42"/>
      <c r="K1161" s="42"/>
      <c r="L1161" s="42"/>
      <c r="M1161" s="42"/>
      <c r="N1161" s="42"/>
      <c r="O1161" s="42"/>
      <c r="P1161" s="42"/>
    </row>
    <row r="1162" spans="9:16" x14ac:dyDescent="0.25">
      <c r="I1162" s="42"/>
      <c r="J1162" s="42"/>
      <c r="K1162" s="42"/>
      <c r="L1162" s="42"/>
      <c r="M1162" s="42"/>
      <c r="N1162" s="42"/>
      <c r="O1162" s="42"/>
      <c r="P1162" s="42"/>
    </row>
    <row r="1163" spans="9:16" x14ac:dyDescent="0.25">
      <c r="I1163" s="42"/>
      <c r="J1163" s="42"/>
      <c r="K1163" s="42"/>
      <c r="L1163" s="42"/>
      <c r="M1163" s="42"/>
      <c r="N1163" s="42"/>
      <c r="O1163" s="42"/>
      <c r="P1163" s="42"/>
    </row>
    <row r="1164" spans="9:16" x14ac:dyDescent="0.25">
      <c r="I1164" s="42"/>
      <c r="J1164" s="42"/>
      <c r="K1164" s="42"/>
      <c r="L1164" s="42"/>
      <c r="M1164" s="42"/>
      <c r="N1164" s="42"/>
      <c r="O1164" s="42"/>
      <c r="P1164" s="42"/>
    </row>
    <row r="1165" spans="9:16" x14ac:dyDescent="0.25">
      <c r="I1165" s="42"/>
      <c r="J1165" s="42"/>
      <c r="K1165" s="42"/>
      <c r="L1165" s="42"/>
      <c r="M1165" s="42"/>
      <c r="N1165" s="42"/>
      <c r="O1165" s="42"/>
      <c r="P1165" s="42"/>
    </row>
    <row r="1166" spans="9:16" x14ac:dyDescent="0.25">
      <c r="I1166" s="42"/>
      <c r="J1166" s="42"/>
      <c r="K1166" s="42"/>
      <c r="L1166" s="42"/>
      <c r="M1166" s="42"/>
      <c r="N1166" s="42"/>
      <c r="O1166" s="42"/>
      <c r="P1166" s="42"/>
    </row>
    <row r="1167" spans="9:16" x14ac:dyDescent="0.25">
      <c r="I1167" s="42"/>
      <c r="J1167" s="42"/>
      <c r="K1167" s="42"/>
      <c r="L1167" s="42"/>
      <c r="M1167" s="42"/>
      <c r="N1167" s="42"/>
      <c r="O1167" s="42"/>
      <c r="P1167" s="42"/>
    </row>
    <row r="1168" spans="9:16" x14ac:dyDescent="0.25">
      <c r="I1168" s="42"/>
      <c r="J1168" s="42"/>
      <c r="K1168" s="42"/>
      <c r="L1168" s="42"/>
      <c r="M1168" s="42"/>
      <c r="N1168" s="42"/>
      <c r="O1168" s="42"/>
      <c r="P1168" s="42"/>
    </row>
    <row r="1169" spans="9:16" x14ac:dyDescent="0.25">
      <c r="I1169" s="42"/>
      <c r="J1169" s="42"/>
      <c r="K1169" s="42"/>
      <c r="L1169" s="42"/>
      <c r="M1169" s="42"/>
      <c r="N1169" s="42"/>
      <c r="O1169" s="42"/>
      <c r="P1169" s="42"/>
    </row>
    <row r="1170" spans="9:16" x14ac:dyDescent="0.25">
      <c r="I1170" s="42"/>
      <c r="J1170" s="42"/>
      <c r="K1170" s="42"/>
      <c r="L1170" s="42"/>
      <c r="M1170" s="42"/>
      <c r="N1170" s="42"/>
      <c r="O1170" s="42"/>
      <c r="P1170" s="42"/>
    </row>
    <row r="1171" spans="9:16" x14ac:dyDescent="0.25">
      <c r="I1171" s="42"/>
      <c r="J1171" s="42"/>
      <c r="K1171" s="42"/>
      <c r="L1171" s="42"/>
      <c r="M1171" s="42"/>
      <c r="N1171" s="42"/>
      <c r="O1171" s="42"/>
      <c r="P1171" s="42"/>
    </row>
    <row r="1172" spans="9:16" x14ac:dyDescent="0.25">
      <c r="I1172" s="42"/>
      <c r="J1172" s="42"/>
      <c r="K1172" s="42"/>
      <c r="L1172" s="42"/>
      <c r="M1172" s="42"/>
      <c r="N1172" s="42"/>
      <c r="O1172" s="42"/>
      <c r="P1172" s="42"/>
    </row>
    <row r="1173" spans="9:16" x14ac:dyDescent="0.25">
      <c r="I1173" s="42"/>
      <c r="J1173" s="42"/>
      <c r="K1173" s="42"/>
      <c r="L1173" s="42"/>
      <c r="M1173" s="42"/>
      <c r="N1173" s="42"/>
      <c r="O1173" s="42"/>
      <c r="P1173" s="42"/>
    </row>
    <row r="1174" spans="9:16" x14ac:dyDescent="0.25">
      <c r="I1174" s="42"/>
      <c r="J1174" s="42"/>
      <c r="K1174" s="42"/>
      <c r="L1174" s="42"/>
      <c r="M1174" s="42"/>
      <c r="N1174" s="42"/>
      <c r="O1174" s="42"/>
      <c r="P1174" s="42"/>
    </row>
    <row r="1175" spans="9:16" x14ac:dyDescent="0.25">
      <c r="I1175" s="42"/>
      <c r="J1175" s="42"/>
      <c r="K1175" s="42"/>
      <c r="L1175" s="42"/>
      <c r="M1175" s="42"/>
      <c r="N1175" s="42"/>
      <c r="O1175" s="42"/>
      <c r="P1175" s="42"/>
    </row>
    <row r="1176" spans="9:16" x14ac:dyDescent="0.25">
      <c r="I1176" s="42"/>
      <c r="J1176" s="42"/>
      <c r="K1176" s="42"/>
      <c r="L1176" s="42"/>
      <c r="M1176" s="42"/>
      <c r="N1176" s="42"/>
      <c r="O1176" s="42"/>
      <c r="P1176" s="42"/>
    </row>
    <row r="1177" spans="9:16" x14ac:dyDescent="0.25">
      <c r="I1177" s="42"/>
      <c r="J1177" s="42"/>
      <c r="K1177" s="42"/>
      <c r="L1177" s="42"/>
      <c r="M1177" s="42"/>
      <c r="N1177" s="42"/>
      <c r="O1177" s="42"/>
      <c r="P1177" s="42"/>
    </row>
    <row r="1178" spans="9:16" x14ac:dyDescent="0.25">
      <c r="I1178" s="42"/>
      <c r="J1178" s="42"/>
      <c r="K1178" s="42"/>
      <c r="L1178" s="42"/>
      <c r="M1178" s="42"/>
      <c r="N1178" s="42"/>
      <c r="O1178" s="42"/>
      <c r="P1178" s="42"/>
    </row>
    <row r="1179" spans="9:16" x14ac:dyDescent="0.25">
      <c r="I1179" s="42"/>
      <c r="J1179" s="42"/>
      <c r="K1179" s="42"/>
      <c r="L1179" s="42"/>
      <c r="M1179" s="42"/>
      <c r="N1179" s="42"/>
      <c r="O1179" s="42"/>
      <c r="P1179" s="42"/>
    </row>
    <row r="1180" spans="9:16" x14ac:dyDescent="0.25">
      <c r="I1180" s="42"/>
      <c r="J1180" s="42"/>
      <c r="K1180" s="42"/>
      <c r="L1180" s="42"/>
      <c r="M1180" s="42"/>
      <c r="N1180" s="42"/>
      <c r="O1180" s="42"/>
      <c r="P1180" s="42"/>
    </row>
    <row r="1181" spans="9:16" x14ac:dyDescent="0.25">
      <c r="I1181" s="42"/>
      <c r="J1181" s="42"/>
      <c r="K1181" s="42"/>
      <c r="L1181" s="42"/>
      <c r="M1181" s="42"/>
      <c r="N1181" s="42"/>
      <c r="O1181" s="42"/>
      <c r="P1181" s="42"/>
    </row>
    <row r="1182" spans="9:16" x14ac:dyDescent="0.25">
      <c r="I1182" s="42"/>
      <c r="J1182" s="42"/>
      <c r="K1182" s="42"/>
      <c r="L1182" s="42"/>
      <c r="M1182" s="42"/>
      <c r="N1182" s="42"/>
      <c r="O1182" s="42"/>
      <c r="P1182" s="42"/>
    </row>
    <row r="1183" spans="9:16" x14ac:dyDescent="0.25">
      <c r="I1183" s="42"/>
      <c r="J1183" s="42"/>
      <c r="K1183" s="42"/>
      <c r="L1183" s="42"/>
      <c r="M1183" s="42"/>
      <c r="N1183" s="42"/>
      <c r="O1183" s="42"/>
      <c r="P1183" s="42"/>
    </row>
    <row r="1184" spans="9:16" x14ac:dyDescent="0.25">
      <c r="I1184" s="42"/>
      <c r="J1184" s="42"/>
      <c r="K1184" s="42"/>
      <c r="L1184" s="42"/>
      <c r="M1184" s="42"/>
      <c r="N1184" s="42"/>
      <c r="O1184" s="42"/>
      <c r="P1184" s="42"/>
    </row>
    <row r="1185" spans="9:16" x14ac:dyDescent="0.25">
      <c r="I1185" s="42"/>
      <c r="J1185" s="42"/>
      <c r="K1185" s="42"/>
      <c r="L1185" s="42"/>
      <c r="M1185" s="42"/>
      <c r="N1185" s="42"/>
      <c r="O1185" s="42"/>
      <c r="P1185" s="42"/>
    </row>
    <row r="1186" spans="9:16" x14ac:dyDescent="0.25">
      <c r="I1186" s="42"/>
      <c r="J1186" s="42"/>
      <c r="K1186" s="42"/>
      <c r="L1186" s="42"/>
      <c r="M1186" s="42"/>
      <c r="N1186" s="42"/>
      <c r="O1186" s="42"/>
      <c r="P1186" s="42"/>
    </row>
    <row r="1187" spans="9:16" x14ac:dyDescent="0.25">
      <c r="I1187" s="42"/>
      <c r="J1187" s="42"/>
      <c r="K1187" s="42"/>
      <c r="L1187" s="42"/>
      <c r="M1187" s="42"/>
      <c r="N1187" s="42"/>
      <c r="O1187" s="42"/>
      <c r="P1187" s="42"/>
    </row>
    <row r="1188" spans="9:16" x14ac:dyDescent="0.25">
      <c r="I1188" s="42"/>
      <c r="J1188" s="42"/>
      <c r="K1188" s="42"/>
      <c r="L1188" s="42"/>
      <c r="M1188" s="42"/>
      <c r="N1188" s="42"/>
      <c r="O1188" s="42"/>
      <c r="P1188" s="42"/>
    </row>
    <row r="1189" spans="9:16" x14ac:dyDescent="0.25">
      <c r="I1189" s="42"/>
      <c r="J1189" s="42"/>
      <c r="K1189" s="42"/>
      <c r="L1189" s="42"/>
      <c r="M1189" s="42"/>
      <c r="N1189" s="42"/>
      <c r="O1189" s="42"/>
      <c r="P1189" s="42"/>
    </row>
    <row r="1190" spans="9:16" x14ac:dyDescent="0.25">
      <c r="I1190" s="42"/>
      <c r="J1190" s="42"/>
      <c r="K1190" s="42"/>
      <c r="L1190" s="42"/>
      <c r="M1190" s="42"/>
      <c r="N1190" s="42"/>
      <c r="O1190" s="42"/>
      <c r="P1190" s="42"/>
    </row>
    <row r="1191" spans="9:16" x14ac:dyDescent="0.25">
      <c r="I1191" s="42"/>
      <c r="J1191" s="42"/>
      <c r="K1191" s="42"/>
      <c r="L1191" s="42"/>
      <c r="M1191" s="42"/>
      <c r="N1191" s="42"/>
      <c r="O1191" s="42"/>
      <c r="P1191" s="42"/>
    </row>
    <row r="1192" spans="9:16" x14ac:dyDescent="0.25">
      <c r="I1192" s="42"/>
      <c r="J1192" s="42"/>
      <c r="K1192" s="42"/>
      <c r="L1192" s="42"/>
      <c r="M1192" s="42"/>
      <c r="N1192" s="42"/>
      <c r="O1192" s="42"/>
      <c r="P1192" s="42"/>
    </row>
    <row r="1193" spans="9:16" x14ac:dyDescent="0.25">
      <c r="I1193" s="42"/>
      <c r="J1193" s="42"/>
      <c r="K1193" s="42"/>
      <c r="L1193" s="42"/>
      <c r="M1193" s="42"/>
      <c r="N1193" s="42"/>
      <c r="O1193" s="42"/>
      <c r="P1193" s="42"/>
    </row>
    <row r="1194" spans="9:16" x14ac:dyDescent="0.25">
      <c r="I1194" s="42"/>
      <c r="J1194" s="42"/>
      <c r="K1194" s="42"/>
      <c r="L1194" s="42"/>
      <c r="M1194" s="42"/>
      <c r="N1194" s="42"/>
      <c r="O1194" s="42"/>
      <c r="P1194" s="42"/>
    </row>
    <row r="1195" spans="9:16" x14ac:dyDescent="0.25">
      <c r="I1195" s="42"/>
      <c r="J1195" s="42"/>
      <c r="K1195" s="42"/>
      <c r="L1195" s="42"/>
      <c r="M1195" s="42"/>
      <c r="N1195" s="42"/>
      <c r="O1195" s="42"/>
      <c r="P1195" s="42"/>
    </row>
    <row r="1196" spans="9:16" x14ac:dyDescent="0.25">
      <c r="I1196" s="42"/>
      <c r="J1196" s="42"/>
      <c r="K1196" s="42"/>
      <c r="L1196" s="42"/>
      <c r="M1196" s="42"/>
      <c r="N1196" s="42"/>
      <c r="O1196" s="42"/>
      <c r="P1196" s="42"/>
    </row>
    <row r="1197" spans="9:16" x14ac:dyDescent="0.25">
      <c r="I1197" s="42"/>
      <c r="J1197" s="42"/>
      <c r="K1197" s="42"/>
      <c r="L1197" s="42"/>
      <c r="M1197" s="42"/>
      <c r="N1197" s="42"/>
      <c r="O1197" s="42"/>
      <c r="P1197" s="42"/>
    </row>
    <row r="1198" spans="9:16" x14ac:dyDescent="0.25">
      <c r="I1198" s="42"/>
      <c r="J1198" s="42"/>
      <c r="K1198" s="42"/>
      <c r="L1198" s="42"/>
      <c r="M1198" s="42"/>
      <c r="N1198" s="42"/>
      <c r="O1198" s="42"/>
      <c r="P1198" s="42"/>
    </row>
    <row r="1199" spans="9:16" x14ac:dyDescent="0.25">
      <c r="I1199" s="42"/>
      <c r="J1199" s="42"/>
      <c r="K1199" s="42"/>
      <c r="L1199" s="42"/>
      <c r="M1199" s="42"/>
      <c r="N1199" s="42"/>
      <c r="O1199" s="42"/>
      <c r="P1199" s="42"/>
    </row>
    <row r="1200" spans="9:16" x14ac:dyDescent="0.25">
      <c r="I1200" s="42"/>
      <c r="J1200" s="42"/>
      <c r="K1200" s="42"/>
      <c r="L1200" s="42"/>
      <c r="M1200" s="42"/>
      <c r="N1200" s="42"/>
      <c r="O1200" s="42"/>
      <c r="P1200" s="42"/>
    </row>
    <row r="1201" spans="9:16" x14ac:dyDescent="0.25">
      <c r="I1201" s="42"/>
      <c r="J1201" s="42"/>
      <c r="K1201" s="42"/>
      <c r="L1201" s="42"/>
      <c r="M1201" s="42"/>
      <c r="N1201" s="42"/>
      <c r="O1201" s="42"/>
      <c r="P1201" s="42"/>
    </row>
    <row r="1202" spans="9:16" x14ac:dyDescent="0.25">
      <c r="I1202" s="42"/>
      <c r="J1202" s="42"/>
      <c r="K1202" s="42"/>
      <c r="L1202" s="42"/>
      <c r="M1202" s="42"/>
      <c r="N1202" s="42"/>
      <c r="O1202" s="42"/>
      <c r="P1202" s="42"/>
    </row>
    <row r="1203" spans="9:16" x14ac:dyDescent="0.25">
      <c r="I1203" s="42"/>
      <c r="J1203" s="42"/>
      <c r="K1203" s="42"/>
      <c r="L1203" s="42"/>
      <c r="M1203" s="42"/>
      <c r="N1203" s="42"/>
      <c r="O1203" s="42"/>
      <c r="P1203" s="42"/>
    </row>
    <row r="1204" spans="9:16" x14ac:dyDescent="0.25">
      <c r="I1204" s="42"/>
      <c r="J1204" s="42"/>
      <c r="K1204" s="42"/>
      <c r="L1204" s="42"/>
      <c r="M1204" s="42"/>
      <c r="N1204" s="42"/>
      <c r="O1204" s="42"/>
      <c r="P1204" s="42"/>
    </row>
    <row r="1205" spans="9:16" x14ac:dyDescent="0.25">
      <c r="I1205" s="42"/>
      <c r="J1205" s="42"/>
      <c r="K1205" s="42"/>
      <c r="L1205" s="42"/>
      <c r="M1205" s="42"/>
      <c r="N1205" s="42"/>
      <c r="O1205" s="42"/>
      <c r="P1205" s="42"/>
    </row>
    <row r="1206" spans="9:16" x14ac:dyDescent="0.25">
      <c r="I1206" s="42"/>
      <c r="J1206" s="42"/>
      <c r="K1206" s="42"/>
      <c r="L1206" s="42"/>
      <c r="M1206" s="42"/>
      <c r="N1206" s="42"/>
      <c r="O1206" s="42"/>
      <c r="P1206" s="42"/>
    </row>
    <row r="1207" spans="9:16" x14ac:dyDescent="0.25">
      <c r="I1207" s="42"/>
      <c r="J1207" s="42"/>
      <c r="K1207" s="42"/>
      <c r="L1207" s="42"/>
      <c r="M1207" s="42"/>
      <c r="N1207" s="42"/>
      <c r="O1207" s="42"/>
      <c r="P1207" s="42"/>
    </row>
    <row r="1208" spans="9:16" x14ac:dyDescent="0.25">
      <c r="I1208" s="42"/>
      <c r="J1208" s="42"/>
      <c r="K1208" s="42"/>
      <c r="L1208" s="42"/>
      <c r="M1208" s="42"/>
      <c r="N1208" s="42"/>
      <c r="O1208" s="42"/>
      <c r="P1208" s="42"/>
    </row>
    <row r="1209" spans="9:16" x14ac:dyDescent="0.25">
      <c r="I1209" s="42"/>
      <c r="J1209" s="42"/>
      <c r="K1209" s="42"/>
      <c r="L1209" s="42"/>
      <c r="M1209" s="42"/>
      <c r="N1209" s="42"/>
      <c r="O1209" s="42"/>
      <c r="P1209" s="42"/>
    </row>
    <row r="1210" spans="9:16" x14ac:dyDescent="0.25">
      <c r="I1210" s="42"/>
      <c r="J1210" s="42"/>
      <c r="K1210" s="42"/>
      <c r="L1210" s="42"/>
      <c r="M1210" s="42"/>
      <c r="N1210" s="42"/>
      <c r="O1210" s="42"/>
      <c r="P1210" s="42"/>
    </row>
    <row r="1211" spans="9:16" x14ac:dyDescent="0.25">
      <c r="I1211" s="42"/>
      <c r="J1211" s="42"/>
      <c r="K1211" s="42"/>
      <c r="L1211" s="42"/>
      <c r="M1211" s="42"/>
      <c r="N1211" s="42"/>
      <c r="O1211" s="42"/>
      <c r="P1211" s="42"/>
    </row>
    <row r="1212" spans="9:16" x14ac:dyDescent="0.25">
      <c r="I1212" s="42"/>
      <c r="J1212" s="42"/>
      <c r="K1212" s="42"/>
      <c r="L1212" s="42"/>
      <c r="M1212" s="42"/>
      <c r="N1212" s="42"/>
      <c r="O1212" s="42"/>
      <c r="P1212" s="42"/>
    </row>
    <row r="1213" spans="9:16" x14ac:dyDescent="0.25">
      <c r="I1213" s="42"/>
      <c r="J1213" s="42"/>
      <c r="K1213" s="42"/>
      <c r="L1213" s="42"/>
      <c r="M1213" s="42"/>
      <c r="N1213" s="42"/>
      <c r="O1213" s="42"/>
      <c r="P1213" s="42"/>
    </row>
    <row r="1214" spans="9:16" x14ac:dyDescent="0.25">
      <c r="I1214" s="42"/>
      <c r="J1214" s="42"/>
      <c r="K1214" s="42"/>
      <c r="L1214" s="42"/>
      <c r="M1214" s="42"/>
      <c r="N1214" s="42"/>
      <c r="O1214" s="42"/>
      <c r="P1214" s="42"/>
    </row>
    <row r="1215" spans="9:16" x14ac:dyDescent="0.25">
      <c r="I1215" s="42"/>
      <c r="J1215" s="42"/>
      <c r="K1215" s="42"/>
      <c r="L1215" s="42"/>
      <c r="M1215" s="42"/>
      <c r="N1215" s="42"/>
      <c r="O1215" s="42"/>
      <c r="P1215" s="42"/>
    </row>
    <row r="1216" spans="9:16" x14ac:dyDescent="0.25">
      <c r="I1216" s="42"/>
      <c r="J1216" s="42"/>
      <c r="K1216" s="42"/>
      <c r="L1216" s="42"/>
      <c r="M1216" s="42"/>
      <c r="N1216" s="42"/>
      <c r="O1216" s="42"/>
      <c r="P1216" s="42"/>
    </row>
    <row r="1217" spans="9:16" x14ac:dyDescent="0.25">
      <c r="I1217" s="42"/>
      <c r="J1217" s="42"/>
      <c r="K1217" s="42"/>
      <c r="L1217" s="42"/>
      <c r="M1217" s="42"/>
      <c r="N1217" s="42"/>
      <c r="O1217" s="42"/>
      <c r="P1217" s="42"/>
    </row>
    <row r="1218" spans="9:16" x14ac:dyDescent="0.25">
      <c r="I1218" s="42"/>
      <c r="J1218" s="42"/>
      <c r="K1218" s="42"/>
      <c r="L1218" s="42"/>
      <c r="M1218" s="42"/>
      <c r="N1218" s="42"/>
      <c r="O1218" s="42"/>
      <c r="P1218" s="42"/>
    </row>
    <row r="1219" spans="9:16" x14ac:dyDescent="0.25">
      <c r="I1219" s="42"/>
      <c r="J1219" s="42"/>
      <c r="K1219" s="42"/>
      <c r="L1219" s="42"/>
      <c r="M1219" s="42"/>
      <c r="N1219" s="42"/>
      <c r="O1219" s="42"/>
      <c r="P1219" s="42"/>
    </row>
    <row r="1220" spans="9:16" x14ac:dyDescent="0.25">
      <c r="I1220" s="42"/>
      <c r="J1220" s="42"/>
      <c r="K1220" s="42"/>
      <c r="L1220" s="42"/>
      <c r="M1220" s="42"/>
      <c r="N1220" s="42"/>
      <c r="O1220" s="42"/>
      <c r="P1220" s="42"/>
    </row>
    <row r="1221" spans="9:16" x14ac:dyDescent="0.25">
      <c r="I1221" s="42"/>
      <c r="J1221" s="42"/>
      <c r="K1221" s="42"/>
      <c r="L1221" s="42"/>
      <c r="M1221" s="42"/>
      <c r="N1221" s="42"/>
      <c r="O1221" s="42"/>
      <c r="P1221" s="42"/>
    </row>
    <row r="1222" spans="9:16" x14ac:dyDescent="0.25">
      <c r="I1222" s="42"/>
      <c r="J1222" s="42"/>
      <c r="K1222" s="42"/>
      <c r="L1222" s="42"/>
      <c r="M1222" s="42"/>
      <c r="N1222" s="42"/>
      <c r="O1222" s="42"/>
      <c r="P1222" s="42"/>
    </row>
    <row r="1223" spans="9:16" x14ac:dyDescent="0.25">
      <c r="I1223" s="42"/>
      <c r="J1223" s="42"/>
      <c r="K1223" s="42"/>
      <c r="L1223" s="42"/>
      <c r="M1223" s="42"/>
      <c r="N1223" s="42"/>
      <c r="O1223" s="42"/>
      <c r="P1223" s="42"/>
    </row>
    <row r="1224" spans="9:16" x14ac:dyDescent="0.25">
      <c r="I1224" s="42"/>
      <c r="J1224" s="42"/>
      <c r="K1224" s="42"/>
      <c r="L1224" s="42"/>
      <c r="M1224" s="42"/>
      <c r="N1224" s="42"/>
      <c r="O1224" s="42"/>
      <c r="P1224" s="42"/>
    </row>
    <row r="1225" spans="9:16" x14ac:dyDescent="0.25">
      <c r="I1225" s="42"/>
      <c r="J1225" s="42"/>
      <c r="K1225" s="42"/>
      <c r="L1225" s="42"/>
      <c r="M1225" s="42"/>
      <c r="N1225" s="42"/>
      <c r="O1225" s="42"/>
      <c r="P1225" s="42"/>
    </row>
    <row r="1226" spans="9:16" x14ac:dyDescent="0.25">
      <c r="I1226" s="42"/>
      <c r="J1226" s="42"/>
      <c r="K1226" s="42"/>
      <c r="L1226" s="42"/>
      <c r="M1226" s="42"/>
      <c r="N1226" s="42"/>
      <c r="O1226" s="42"/>
      <c r="P1226" s="42"/>
    </row>
    <row r="1227" spans="9:16" x14ac:dyDescent="0.25">
      <c r="I1227" s="42"/>
      <c r="J1227" s="42"/>
      <c r="K1227" s="42"/>
      <c r="L1227" s="42"/>
      <c r="M1227" s="42"/>
      <c r="N1227" s="42"/>
      <c r="O1227" s="42"/>
      <c r="P1227" s="42"/>
    </row>
    <row r="1228" spans="9:16" x14ac:dyDescent="0.25">
      <c r="I1228" s="42"/>
      <c r="J1228" s="42"/>
      <c r="K1228" s="42"/>
      <c r="L1228" s="42"/>
      <c r="M1228" s="42"/>
      <c r="N1228" s="42"/>
      <c r="O1228" s="42"/>
      <c r="P1228" s="42"/>
    </row>
    <row r="1229" spans="9:16" x14ac:dyDescent="0.25">
      <c r="I1229" s="42"/>
      <c r="J1229" s="42"/>
      <c r="K1229" s="42"/>
      <c r="L1229" s="42"/>
      <c r="M1229" s="42"/>
      <c r="N1229" s="42"/>
      <c r="O1229" s="42"/>
      <c r="P1229" s="42"/>
    </row>
    <row r="1230" spans="9:16" x14ac:dyDescent="0.25">
      <c r="I1230" s="42"/>
      <c r="J1230" s="42"/>
      <c r="K1230" s="42"/>
      <c r="L1230" s="42"/>
      <c r="M1230" s="42"/>
      <c r="N1230" s="42"/>
      <c r="O1230" s="42"/>
      <c r="P1230" s="42"/>
    </row>
    <row r="1231" spans="9:16" x14ac:dyDescent="0.25">
      <c r="I1231" s="42"/>
      <c r="J1231" s="42"/>
      <c r="K1231" s="42"/>
      <c r="L1231" s="42"/>
      <c r="M1231" s="42"/>
      <c r="N1231" s="42"/>
      <c r="O1231" s="42"/>
      <c r="P1231" s="42"/>
    </row>
    <row r="1232" spans="9:16" x14ac:dyDescent="0.25">
      <c r="I1232" s="42"/>
      <c r="J1232" s="42"/>
      <c r="K1232" s="42"/>
      <c r="L1232" s="42"/>
      <c r="M1232" s="42"/>
      <c r="N1232" s="42"/>
      <c r="O1232" s="42"/>
      <c r="P1232" s="42"/>
    </row>
    <row r="1233" spans="9:16" x14ac:dyDescent="0.25">
      <c r="I1233" s="42"/>
      <c r="J1233" s="42"/>
      <c r="K1233" s="42"/>
      <c r="L1233" s="42"/>
      <c r="M1233" s="42"/>
      <c r="N1233" s="42"/>
      <c r="O1233" s="42"/>
      <c r="P1233" s="42"/>
    </row>
    <row r="1234" spans="9:16" x14ac:dyDescent="0.25">
      <c r="I1234" s="42"/>
      <c r="J1234" s="42"/>
      <c r="K1234" s="42"/>
      <c r="L1234" s="42"/>
      <c r="M1234" s="42"/>
      <c r="N1234" s="42"/>
      <c r="O1234" s="42"/>
      <c r="P1234" s="42"/>
    </row>
    <row r="1235" spans="9:16" x14ac:dyDescent="0.25">
      <c r="I1235" s="42"/>
      <c r="J1235" s="42"/>
      <c r="K1235" s="42"/>
      <c r="L1235" s="42"/>
      <c r="M1235" s="42"/>
      <c r="N1235" s="42"/>
      <c r="O1235" s="42"/>
      <c r="P1235" s="42"/>
    </row>
    <row r="1236" spans="9:16" x14ac:dyDescent="0.25">
      <c r="I1236" s="42"/>
      <c r="J1236" s="42"/>
      <c r="K1236" s="42"/>
      <c r="L1236" s="42"/>
      <c r="M1236" s="42"/>
      <c r="N1236" s="42"/>
      <c r="O1236" s="42"/>
      <c r="P1236" s="42"/>
    </row>
    <row r="1237" spans="9:16" x14ac:dyDescent="0.25">
      <c r="I1237" s="42"/>
      <c r="J1237" s="42"/>
      <c r="K1237" s="42"/>
      <c r="L1237" s="42"/>
      <c r="M1237" s="42"/>
      <c r="N1237" s="42"/>
      <c r="O1237" s="42"/>
      <c r="P1237" s="42"/>
    </row>
    <row r="1238" spans="9:16" x14ac:dyDescent="0.25">
      <c r="I1238" s="42"/>
      <c r="J1238" s="42"/>
      <c r="K1238" s="42"/>
      <c r="L1238" s="42"/>
      <c r="M1238" s="42"/>
      <c r="N1238" s="42"/>
      <c r="O1238" s="42"/>
      <c r="P1238" s="42"/>
    </row>
    <row r="1239" spans="9:16" x14ac:dyDescent="0.25">
      <c r="I1239" s="42"/>
      <c r="J1239" s="42"/>
      <c r="K1239" s="42"/>
      <c r="L1239" s="42"/>
      <c r="M1239" s="42"/>
      <c r="N1239" s="42"/>
      <c r="O1239" s="42"/>
      <c r="P1239" s="42"/>
    </row>
    <row r="1240" spans="9:16" x14ac:dyDescent="0.25">
      <c r="I1240" s="42"/>
      <c r="J1240" s="42"/>
      <c r="K1240" s="42"/>
      <c r="L1240" s="42"/>
      <c r="M1240" s="42"/>
      <c r="N1240" s="42"/>
      <c r="O1240" s="42"/>
      <c r="P1240" s="42"/>
    </row>
    <row r="1241" spans="9:16" x14ac:dyDescent="0.25">
      <c r="I1241" s="42"/>
      <c r="J1241" s="42"/>
      <c r="K1241" s="42"/>
      <c r="L1241" s="42"/>
      <c r="M1241" s="42"/>
      <c r="N1241" s="42"/>
      <c r="O1241" s="42"/>
      <c r="P1241" s="42"/>
    </row>
    <row r="1242" spans="9:16" x14ac:dyDescent="0.25">
      <c r="I1242" s="42"/>
      <c r="J1242" s="42"/>
      <c r="K1242" s="42"/>
      <c r="L1242" s="42"/>
      <c r="M1242" s="42"/>
      <c r="N1242" s="42"/>
      <c r="O1242" s="42"/>
      <c r="P1242" s="42"/>
    </row>
    <row r="1243" spans="9:16" x14ac:dyDescent="0.25">
      <c r="I1243" s="42"/>
      <c r="J1243" s="42"/>
      <c r="K1243" s="42"/>
      <c r="L1243" s="42"/>
      <c r="M1243" s="42"/>
      <c r="N1243" s="42"/>
      <c r="O1243" s="42"/>
      <c r="P1243" s="42"/>
    </row>
    <row r="1244" spans="9:16" x14ac:dyDescent="0.25">
      <c r="I1244" s="42"/>
      <c r="J1244" s="42"/>
      <c r="K1244" s="42"/>
      <c r="L1244" s="42"/>
      <c r="M1244" s="42"/>
      <c r="N1244" s="42"/>
      <c r="O1244" s="42"/>
      <c r="P1244" s="42"/>
    </row>
    <row r="1245" spans="9:16" x14ac:dyDescent="0.25">
      <c r="I1245" s="42"/>
      <c r="J1245" s="42"/>
      <c r="K1245" s="42"/>
      <c r="L1245" s="42"/>
      <c r="M1245" s="42"/>
      <c r="N1245" s="42"/>
      <c r="O1245" s="42"/>
      <c r="P1245" s="42"/>
    </row>
    <row r="1246" spans="9:16" x14ac:dyDescent="0.25">
      <c r="I1246" s="42"/>
      <c r="J1246" s="42"/>
      <c r="K1246" s="42"/>
      <c r="L1246" s="42"/>
      <c r="M1246" s="42"/>
      <c r="N1246" s="42"/>
      <c r="O1246" s="42"/>
      <c r="P1246" s="42"/>
    </row>
    <row r="1247" spans="9:16" x14ac:dyDescent="0.25">
      <c r="I1247" s="42"/>
      <c r="J1247" s="42"/>
      <c r="K1247" s="42"/>
      <c r="L1247" s="42"/>
      <c r="M1247" s="42"/>
      <c r="N1247" s="42"/>
      <c r="O1247" s="42"/>
      <c r="P1247" s="42"/>
    </row>
    <row r="1248" spans="9:16" x14ac:dyDescent="0.25">
      <c r="I1248" s="42"/>
      <c r="J1248" s="42"/>
      <c r="K1248" s="42"/>
      <c r="L1248" s="42"/>
      <c r="M1248" s="42"/>
      <c r="N1248" s="42"/>
      <c r="O1248" s="42"/>
      <c r="P1248" s="42"/>
    </row>
    <row r="1249" spans="9:16" x14ac:dyDescent="0.25">
      <c r="I1249" s="42"/>
      <c r="J1249" s="42"/>
      <c r="K1249" s="42"/>
      <c r="L1249" s="42"/>
      <c r="M1249" s="42"/>
      <c r="N1249" s="42"/>
      <c r="O1249" s="42"/>
      <c r="P1249" s="42"/>
    </row>
    <row r="1250" spans="9:16" x14ac:dyDescent="0.25">
      <c r="I1250" s="42"/>
      <c r="J1250" s="42"/>
      <c r="K1250" s="42"/>
      <c r="L1250" s="42"/>
      <c r="M1250" s="42"/>
      <c r="N1250" s="42"/>
      <c r="O1250" s="42"/>
      <c r="P1250" s="42"/>
    </row>
    <row r="1251" spans="9:16" x14ac:dyDescent="0.25">
      <c r="I1251" s="42"/>
      <c r="J1251" s="42"/>
      <c r="K1251" s="42"/>
      <c r="L1251" s="42"/>
      <c r="M1251" s="42"/>
      <c r="N1251" s="42"/>
      <c r="O1251" s="42"/>
      <c r="P1251" s="42"/>
    </row>
    <row r="1252" spans="9:16" x14ac:dyDescent="0.25">
      <c r="I1252" s="42"/>
      <c r="J1252" s="42"/>
      <c r="K1252" s="42"/>
      <c r="L1252" s="42"/>
      <c r="M1252" s="42"/>
      <c r="N1252" s="42"/>
      <c r="O1252" s="42"/>
      <c r="P1252" s="42"/>
    </row>
    <row r="1253" spans="9:16" x14ac:dyDescent="0.25">
      <c r="I1253" s="42"/>
      <c r="J1253" s="42"/>
      <c r="K1253" s="42"/>
      <c r="L1253" s="42"/>
      <c r="M1253" s="42"/>
      <c r="N1253" s="42"/>
      <c r="O1253" s="42"/>
      <c r="P1253" s="42"/>
    </row>
    <row r="1254" spans="9:16" x14ac:dyDescent="0.25">
      <c r="I1254" s="42"/>
      <c r="J1254" s="42"/>
      <c r="K1254" s="42"/>
      <c r="L1254" s="42"/>
      <c r="M1254" s="42"/>
      <c r="N1254" s="42"/>
      <c r="O1254" s="42"/>
      <c r="P1254" s="42"/>
    </row>
    <row r="1255" spans="9:16" x14ac:dyDescent="0.25">
      <c r="I1255" s="42"/>
      <c r="J1255" s="42"/>
      <c r="K1255" s="42"/>
      <c r="L1255" s="42"/>
      <c r="M1255" s="42"/>
      <c r="N1255" s="42"/>
      <c r="O1255" s="42"/>
      <c r="P1255" s="42"/>
    </row>
    <row r="1256" spans="9:16" x14ac:dyDescent="0.25">
      <c r="I1256" s="42"/>
      <c r="J1256" s="42"/>
      <c r="K1256" s="42"/>
      <c r="L1256" s="42"/>
      <c r="M1256" s="42"/>
      <c r="N1256" s="42"/>
      <c r="O1256" s="42"/>
      <c r="P1256" s="42"/>
    </row>
    <row r="1257" spans="9:16" x14ac:dyDescent="0.25">
      <c r="I1257" s="42"/>
      <c r="J1257" s="42"/>
      <c r="K1257" s="42"/>
      <c r="L1257" s="42"/>
      <c r="M1257" s="42"/>
      <c r="N1257" s="42"/>
      <c r="O1257" s="42"/>
      <c r="P1257" s="42"/>
    </row>
    <row r="1258" spans="9:16" x14ac:dyDescent="0.25">
      <c r="I1258" s="42"/>
      <c r="J1258" s="42"/>
      <c r="K1258" s="42"/>
      <c r="L1258" s="42"/>
      <c r="M1258" s="42"/>
      <c r="N1258" s="42"/>
      <c r="O1258" s="42"/>
      <c r="P1258" s="42"/>
    </row>
    <row r="1259" spans="9:16" x14ac:dyDescent="0.25">
      <c r="I1259" s="42"/>
      <c r="J1259" s="42"/>
      <c r="K1259" s="42"/>
      <c r="L1259" s="42"/>
      <c r="M1259" s="42"/>
      <c r="N1259" s="42"/>
      <c r="O1259" s="42"/>
      <c r="P1259" s="42"/>
    </row>
    <row r="1260" spans="9:16" x14ac:dyDescent="0.25">
      <c r="I1260" s="42"/>
      <c r="J1260" s="42"/>
      <c r="K1260" s="42"/>
      <c r="L1260" s="42"/>
      <c r="M1260" s="42"/>
      <c r="N1260" s="42"/>
      <c r="O1260" s="42"/>
      <c r="P1260" s="42"/>
    </row>
    <row r="1261" spans="9:16" x14ac:dyDescent="0.25">
      <c r="I1261" s="42"/>
      <c r="J1261" s="42"/>
      <c r="K1261" s="42"/>
      <c r="L1261" s="42"/>
      <c r="M1261" s="42"/>
      <c r="N1261" s="42"/>
      <c r="O1261" s="42"/>
      <c r="P1261" s="42"/>
    </row>
    <row r="1262" spans="9:16" x14ac:dyDescent="0.25">
      <c r="I1262" s="42"/>
      <c r="J1262" s="42"/>
      <c r="K1262" s="42"/>
      <c r="L1262" s="42"/>
      <c r="M1262" s="42"/>
      <c r="N1262" s="42"/>
      <c r="O1262" s="42"/>
      <c r="P1262" s="42"/>
    </row>
    <row r="1263" spans="9:16" x14ac:dyDescent="0.25">
      <c r="I1263" s="42"/>
      <c r="J1263" s="42"/>
      <c r="K1263" s="42"/>
      <c r="L1263" s="42"/>
      <c r="M1263" s="42"/>
      <c r="N1263" s="42"/>
      <c r="O1263" s="42"/>
      <c r="P1263" s="42"/>
    </row>
    <row r="1264" spans="9:16" x14ac:dyDescent="0.25">
      <c r="I1264" s="42"/>
      <c r="J1264" s="42"/>
      <c r="K1264" s="42"/>
      <c r="L1264" s="42"/>
      <c r="M1264" s="42"/>
      <c r="N1264" s="42"/>
      <c r="O1264" s="42"/>
      <c r="P1264" s="42"/>
    </row>
    <row r="1265" spans="9:16" x14ac:dyDescent="0.25">
      <c r="I1265" s="42"/>
      <c r="J1265" s="42"/>
      <c r="K1265" s="42"/>
      <c r="L1265" s="42"/>
      <c r="M1265" s="42"/>
      <c r="N1265" s="42"/>
      <c r="O1265" s="42"/>
      <c r="P1265" s="42"/>
    </row>
    <row r="1266" spans="9:16" x14ac:dyDescent="0.25">
      <c r="I1266" s="42"/>
      <c r="J1266" s="42"/>
      <c r="K1266" s="42"/>
      <c r="L1266" s="42"/>
      <c r="M1266" s="42"/>
      <c r="N1266" s="42"/>
      <c r="O1266" s="42"/>
      <c r="P1266" s="42"/>
    </row>
    <row r="1267" spans="9:16" x14ac:dyDescent="0.25">
      <c r="I1267" s="42"/>
      <c r="J1267" s="42"/>
      <c r="K1267" s="42"/>
      <c r="L1267" s="42"/>
      <c r="M1267" s="42"/>
      <c r="N1267" s="42"/>
      <c r="O1267" s="42"/>
      <c r="P1267" s="42"/>
    </row>
    <row r="1268" spans="9:16" x14ac:dyDescent="0.25">
      <c r="I1268" s="42"/>
      <c r="J1268" s="42"/>
      <c r="K1268" s="42"/>
      <c r="L1268" s="42"/>
      <c r="M1268" s="42"/>
      <c r="N1268" s="42"/>
      <c r="O1268" s="42"/>
      <c r="P1268" s="42"/>
    </row>
    <row r="1269" spans="9:16" x14ac:dyDescent="0.25">
      <c r="I1269" s="42"/>
      <c r="J1269" s="42"/>
      <c r="K1269" s="42"/>
      <c r="L1269" s="42"/>
      <c r="M1269" s="42"/>
      <c r="N1269" s="42"/>
      <c r="O1269" s="42"/>
      <c r="P1269" s="42"/>
    </row>
    <row r="1270" spans="9:16" x14ac:dyDescent="0.25">
      <c r="I1270" s="42"/>
      <c r="J1270" s="42"/>
      <c r="K1270" s="42"/>
      <c r="L1270" s="42"/>
      <c r="M1270" s="42"/>
      <c r="N1270" s="42"/>
      <c r="O1270" s="42"/>
      <c r="P1270" s="42"/>
    </row>
    <row r="1271" spans="9:16" x14ac:dyDescent="0.25">
      <c r="I1271" s="42"/>
      <c r="J1271" s="42"/>
      <c r="K1271" s="42"/>
      <c r="L1271" s="42"/>
      <c r="M1271" s="42"/>
      <c r="N1271" s="42"/>
      <c r="O1271" s="42"/>
      <c r="P1271" s="42"/>
    </row>
    <row r="1272" spans="9:16" x14ac:dyDescent="0.25">
      <c r="I1272" s="42"/>
      <c r="J1272" s="42"/>
      <c r="K1272" s="42"/>
      <c r="L1272" s="42"/>
      <c r="M1272" s="42"/>
      <c r="N1272" s="42"/>
      <c r="O1272" s="42"/>
      <c r="P1272" s="42"/>
    </row>
    <row r="1273" spans="9:16" x14ac:dyDescent="0.25">
      <c r="I1273" s="42"/>
      <c r="J1273" s="42"/>
      <c r="K1273" s="42"/>
      <c r="L1273" s="42"/>
      <c r="M1273" s="42"/>
      <c r="N1273" s="42"/>
      <c r="O1273" s="42"/>
      <c r="P1273" s="42"/>
    </row>
    <row r="1274" spans="9:16" x14ac:dyDescent="0.25">
      <c r="I1274" s="42"/>
      <c r="J1274" s="42"/>
      <c r="K1274" s="42"/>
      <c r="L1274" s="42"/>
      <c r="M1274" s="42"/>
      <c r="N1274" s="42"/>
      <c r="O1274" s="42"/>
      <c r="P1274" s="42"/>
    </row>
    <row r="1275" spans="9:16" x14ac:dyDescent="0.25">
      <c r="I1275" s="42"/>
      <c r="J1275" s="42"/>
      <c r="K1275" s="42"/>
      <c r="L1275" s="42"/>
      <c r="M1275" s="42"/>
      <c r="N1275" s="42"/>
      <c r="O1275" s="42"/>
      <c r="P1275" s="42"/>
    </row>
    <row r="1276" spans="9:16" x14ac:dyDescent="0.25">
      <c r="I1276" s="42"/>
      <c r="J1276" s="42"/>
      <c r="K1276" s="42"/>
      <c r="L1276" s="42"/>
      <c r="M1276" s="42"/>
      <c r="N1276" s="42"/>
      <c r="O1276" s="42"/>
      <c r="P1276" s="42"/>
    </row>
    <row r="1277" spans="9:16" x14ac:dyDescent="0.25">
      <c r="I1277" s="42"/>
      <c r="J1277" s="42"/>
      <c r="K1277" s="42"/>
      <c r="L1277" s="42"/>
      <c r="M1277" s="42"/>
      <c r="N1277" s="42"/>
      <c r="O1277" s="42"/>
      <c r="P1277" s="42"/>
    </row>
    <row r="1278" spans="9:16" x14ac:dyDescent="0.25">
      <c r="I1278" s="42"/>
      <c r="J1278" s="42"/>
      <c r="K1278" s="42"/>
      <c r="L1278" s="42"/>
      <c r="M1278" s="42"/>
      <c r="N1278" s="42"/>
      <c r="O1278" s="42"/>
      <c r="P1278" s="42"/>
    </row>
    <row r="1279" spans="9:16" x14ac:dyDescent="0.25">
      <c r="I1279" s="42"/>
      <c r="J1279" s="42"/>
      <c r="K1279" s="42"/>
      <c r="L1279" s="42"/>
      <c r="M1279" s="42"/>
      <c r="N1279" s="42"/>
      <c r="O1279" s="42"/>
      <c r="P1279" s="42"/>
    </row>
    <row r="1280" spans="9:16" x14ac:dyDescent="0.25">
      <c r="I1280" s="42"/>
      <c r="J1280" s="42"/>
      <c r="K1280" s="42"/>
      <c r="L1280" s="42"/>
      <c r="M1280" s="42"/>
      <c r="N1280" s="42"/>
      <c r="O1280" s="42"/>
      <c r="P1280" s="42"/>
    </row>
    <row r="1281" spans="9:16" x14ac:dyDescent="0.25">
      <c r="I1281" s="42"/>
      <c r="J1281" s="42"/>
      <c r="K1281" s="42"/>
      <c r="L1281" s="42"/>
      <c r="M1281" s="42"/>
      <c r="N1281" s="42"/>
      <c r="O1281" s="42"/>
      <c r="P1281" s="42"/>
    </row>
    <row r="1282" spans="9:16" x14ac:dyDescent="0.25">
      <c r="I1282" s="42"/>
      <c r="J1282" s="42"/>
      <c r="K1282" s="42"/>
      <c r="L1282" s="42"/>
      <c r="M1282" s="42"/>
      <c r="N1282" s="42"/>
      <c r="O1282" s="42"/>
      <c r="P1282" s="42"/>
    </row>
    <row r="1283" spans="9:16" x14ac:dyDescent="0.25">
      <c r="I1283" s="42"/>
      <c r="J1283" s="42"/>
      <c r="K1283" s="42"/>
      <c r="L1283" s="42"/>
      <c r="M1283" s="42"/>
      <c r="N1283" s="42"/>
      <c r="O1283" s="42"/>
      <c r="P1283" s="42"/>
    </row>
    <row r="1284" spans="9:16" x14ac:dyDescent="0.25">
      <c r="I1284" s="42"/>
      <c r="J1284" s="42"/>
      <c r="K1284" s="42"/>
      <c r="L1284" s="42"/>
      <c r="M1284" s="42"/>
      <c r="N1284" s="42"/>
      <c r="O1284" s="42"/>
      <c r="P1284" s="42"/>
    </row>
    <row r="1285" spans="9:16" x14ac:dyDescent="0.25">
      <c r="I1285" s="42"/>
      <c r="J1285" s="42"/>
      <c r="K1285" s="42"/>
      <c r="L1285" s="42"/>
      <c r="M1285" s="42"/>
      <c r="N1285" s="42"/>
      <c r="O1285" s="42"/>
      <c r="P1285" s="42"/>
    </row>
    <row r="1286" spans="9:16" x14ac:dyDescent="0.25">
      <c r="I1286" s="42"/>
      <c r="J1286" s="42"/>
      <c r="K1286" s="42"/>
      <c r="L1286" s="42"/>
      <c r="M1286" s="42"/>
      <c r="N1286" s="42"/>
      <c r="O1286" s="42"/>
      <c r="P1286" s="42"/>
    </row>
    <row r="1287" spans="9:16" x14ac:dyDescent="0.25">
      <c r="I1287" s="42"/>
      <c r="J1287" s="42"/>
      <c r="K1287" s="42"/>
      <c r="L1287" s="42"/>
      <c r="M1287" s="42"/>
      <c r="N1287" s="42"/>
      <c r="O1287" s="42"/>
      <c r="P1287" s="42"/>
    </row>
    <row r="1288" spans="9:16" x14ac:dyDescent="0.25">
      <c r="I1288" s="42"/>
      <c r="J1288" s="42"/>
      <c r="K1288" s="42"/>
      <c r="L1288" s="42"/>
      <c r="M1288" s="42"/>
      <c r="N1288" s="42"/>
      <c r="O1288" s="42"/>
      <c r="P1288" s="42"/>
    </row>
    <row r="1289" spans="9:16" x14ac:dyDescent="0.25">
      <c r="I1289" s="42"/>
      <c r="J1289" s="42"/>
      <c r="K1289" s="42"/>
      <c r="L1289" s="42"/>
      <c r="M1289" s="42"/>
      <c r="N1289" s="42"/>
      <c r="O1289" s="42"/>
      <c r="P1289" s="42"/>
    </row>
    <row r="1290" spans="9:16" x14ac:dyDescent="0.25">
      <c r="I1290" s="42"/>
      <c r="J1290" s="42"/>
      <c r="K1290" s="42"/>
      <c r="L1290" s="42"/>
      <c r="M1290" s="42"/>
      <c r="N1290" s="42"/>
      <c r="O1290" s="42"/>
      <c r="P1290" s="42"/>
    </row>
    <row r="1291" spans="9:16" x14ac:dyDescent="0.25">
      <c r="I1291" s="42"/>
      <c r="J1291" s="42"/>
      <c r="K1291" s="42"/>
      <c r="L1291" s="42"/>
      <c r="M1291" s="42"/>
      <c r="N1291" s="42"/>
      <c r="O1291" s="42"/>
      <c r="P1291" s="42"/>
    </row>
    <row r="1292" spans="9:16" x14ac:dyDescent="0.25">
      <c r="I1292" s="42"/>
      <c r="J1292" s="42"/>
      <c r="K1292" s="42"/>
      <c r="L1292" s="42"/>
      <c r="M1292" s="42"/>
      <c r="N1292" s="42"/>
      <c r="O1292" s="42"/>
      <c r="P1292" s="42"/>
    </row>
    <row r="1293" spans="9:16" x14ac:dyDescent="0.25">
      <c r="I1293" s="42"/>
      <c r="J1293" s="42"/>
      <c r="K1293" s="42"/>
      <c r="L1293" s="42"/>
      <c r="M1293" s="42"/>
      <c r="N1293" s="42"/>
      <c r="O1293" s="42"/>
      <c r="P1293" s="42"/>
    </row>
    <row r="1294" spans="9:16" x14ac:dyDescent="0.25">
      <c r="I1294" s="42"/>
      <c r="J1294" s="42"/>
      <c r="K1294" s="42"/>
      <c r="L1294" s="42"/>
      <c r="M1294" s="42"/>
      <c r="N1294" s="42"/>
      <c r="O1294" s="42"/>
      <c r="P1294" s="42"/>
    </row>
    <row r="1295" spans="9:16" x14ac:dyDescent="0.25">
      <c r="I1295" s="42"/>
      <c r="J1295" s="42"/>
      <c r="K1295" s="42"/>
      <c r="L1295" s="42"/>
      <c r="M1295" s="42"/>
      <c r="N1295" s="42"/>
      <c r="O1295" s="42"/>
      <c r="P1295" s="42"/>
    </row>
    <row r="1296" spans="9:16" x14ac:dyDescent="0.25">
      <c r="I1296" s="42"/>
      <c r="J1296" s="42"/>
      <c r="K1296" s="42"/>
      <c r="L1296" s="42"/>
      <c r="M1296" s="42"/>
      <c r="N1296" s="42"/>
      <c r="O1296" s="42"/>
      <c r="P1296" s="42"/>
    </row>
    <row r="1297" spans="9:16" x14ac:dyDescent="0.25">
      <c r="I1297" s="42"/>
      <c r="J1297" s="42"/>
      <c r="K1297" s="42"/>
      <c r="L1297" s="42"/>
      <c r="M1297" s="42"/>
      <c r="N1297" s="42"/>
      <c r="O1297" s="42"/>
      <c r="P1297" s="42"/>
    </row>
    <row r="1298" spans="9:16" x14ac:dyDescent="0.25">
      <c r="I1298" s="42"/>
      <c r="J1298" s="42"/>
      <c r="K1298" s="42"/>
      <c r="L1298" s="42"/>
      <c r="M1298" s="42"/>
      <c r="N1298" s="42"/>
      <c r="O1298" s="42"/>
      <c r="P1298" s="42"/>
    </row>
    <row r="1299" spans="9:16" x14ac:dyDescent="0.25">
      <c r="I1299" s="42"/>
      <c r="J1299" s="42"/>
      <c r="K1299" s="42"/>
      <c r="L1299" s="42"/>
      <c r="M1299" s="42"/>
      <c r="N1299" s="42"/>
      <c r="O1299" s="42"/>
      <c r="P1299" s="42"/>
    </row>
    <row r="1300" spans="9:16" x14ac:dyDescent="0.25">
      <c r="I1300" s="42"/>
      <c r="J1300" s="42"/>
      <c r="K1300" s="42"/>
      <c r="L1300" s="42"/>
      <c r="M1300" s="42"/>
      <c r="N1300" s="42"/>
      <c r="O1300" s="42"/>
      <c r="P1300" s="42"/>
    </row>
    <row r="1301" spans="9:16" x14ac:dyDescent="0.25">
      <c r="I1301" s="42"/>
      <c r="J1301" s="42"/>
      <c r="K1301" s="42"/>
      <c r="L1301" s="42"/>
      <c r="M1301" s="42"/>
      <c r="N1301" s="42"/>
      <c r="O1301" s="42"/>
      <c r="P1301" s="42"/>
    </row>
    <row r="1302" spans="9:16" x14ac:dyDescent="0.25">
      <c r="I1302" s="42"/>
      <c r="J1302" s="42"/>
      <c r="K1302" s="42"/>
      <c r="L1302" s="42"/>
      <c r="M1302" s="42"/>
      <c r="N1302" s="42"/>
      <c r="O1302" s="42"/>
      <c r="P1302" s="42"/>
    </row>
    <row r="1303" spans="9:16" x14ac:dyDescent="0.25">
      <c r="I1303" s="42"/>
      <c r="J1303" s="42"/>
      <c r="K1303" s="42"/>
      <c r="L1303" s="42"/>
      <c r="M1303" s="42"/>
      <c r="N1303" s="42"/>
      <c r="O1303" s="42"/>
      <c r="P1303" s="42"/>
    </row>
    <row r="1304" spans="9:16" x14ac:dyDescent="0.25">
      <c r="I1304" s="42"/>
      <c r="J1304" s="42"/>
      <c r="K1304" s="42"/>
      <c r="L1304" s="42"/>
      <c r="M1304" s="42"/>
      <c r="N1304" s="42"/>
      <c r="O1304" s="42"/>
      <c r="P1304" s="42"/>
    </row>
    <row r="1305" spans="9:16" x14ac:dyDescent="0.25">
      <c r="I1305" s="42"/>
      <c r="J1305" s="42"/>
      <c r="K1305" s="42"/>
      <c r="L1305" s="42"/>
      <c r="M1305" s="42"/>
      <c r="N1305" s="42"/>
      <c r="O1305" s="42"/>
      <c r="P1305" s="42"/>
    </row>
    <row r="1306" spans="9:16" x14ac:dyDescent="0.25">
      <c r="I1306" s="42"/>
      <c r="J1306" s="42"/>
      <c r="K1306" s="42"/>
      <c r="L1306" s="42"/>
      <c r="M1306" s="42"/>
      <c r="N1306" s="42"/>
      <c r="O1306" s="42"/>
      <c r="P1306" s="42"/>
    </row>
    <row r="1307" spans="9:16" x14ac:dyDescent="0.25">
      <c r="I1307" s="42"/>
      <c r="J1307" s="42"/>
      <c r="K1307" s="42"/>
      <c r="L1307" s="42"/>
      <c r="M1307" s="42"/>
      <c r="N1307" s="42"/>
      <c r="O1307" s="42"/>
      <c r="P1307" s="42"/>
    </row>
    <row r="1308" spans="9:16" x14ac:dyDescent="0.25">
      <c r="I1308" s="42"/>
      <c r="J1308" s="42"/>
      <c r="K1308" s="42"/>
      <c r="L1308" s="42"/>
      <c r="M1308" s="42"/>
      <c r="N1308" s="42"/>
      <c r="O1308" s="42"/>
      <c r="P1308" s="42"/>
    </row>
    <row r="1309" spans="9:16" x14ac:dyDescent="0.25">
      <c r="I1309" s="42"/>
      <c r="J1309" s="42"/>
      <c r="K1309" s="42"/>
      <c r="L1309" s="42"/>
      <c r="M1309" s="42"/>
      <c r="N1309" s="42"/>
      <c r="O1309" s="42"/>
      <c r="P1309" s="42"/>
    </row>
    <row r="1310" spans="9:16" x14ac:dyDescent="0.25">
      <c r="I1310" s="42"/>
      <c r="J1310" s="42"/>
      <c r="K1310" s="42"/>
      <c r="L1310" s="42"/>
      <c r="M1310" s="42"/>
      <c r="N1310" s="42"/>
      <c r="O1310" s="42"/>
      <c r="P1310" s="42"/>
    </row>
    <row r="1311" spans="9:16" x14ac:dyDescent="0.25">
      <c r="I1311" s="42"/>
      <c r="J1311" s="42"/>
      <c r="K1311" s="42"/>
      <c r="L1311" s="42"/>
      <c r="M1311" s="42"/>
      <c r="N1311" s="42"/>
      <c r="O1311" s="42"/>
      <c r="P1311" s="42"/>
    </row>
    <row r="1312" spans="9:16" x14ac:dyDescent="0.25">
      <c r="I1312" s="42"/>
      <c r="J1312" s="42"/>
      <c r="K1312" s="42"/>
      <c r="L1312" s="42"/>
      <c r="M1312" s="42"/>
      <c r="N1312" s="42"/>
      <c r="O1312" s="42"/>
      <c r="P1312" s="42"/>
    </row>
    <row r="1313" spans="9:16" x14ac:dyDescent="0.25">
      <c r="I1313" s="42"/>
      <c r="J1313" s="42"/>
      <c r="K1313" s="42"/>
      <c r="L1313" s="42"/>
      <c r="M1313" s="42"/>
      <c r="N1313" s="42"/>
      <c r="O1313" s="42"/>
      <c r="P1313" s="42"/>
    </row>
    <row r="1314" spans="9:16" x14ac:dyDescent="0.25">
      <c r="I1314" s="42"/>
      <c r="J1314" s="42"/>
      <c r="K1314" s="42"/>
      <c r="L1314" s="42"/>
      <c r="M1314" s="42"/>
      <c r="N1314" s="42"/>
      <c r="O1314" s="42"/>
      <c r="P1314" s="42"/>
    </row>
    <row r="1315" spans="9:16" x14ac:dyDescent="0.25">
      <c r="I1315" s="42"/>
      <c r="J1315" s="42"/>
      <c r="K1315" s="42"/>
      <c r="L1315" s="42"/>
      <c r="M1315" s="42"/>
      <c r="N1315" s="42"/>
      <c r="O1315" s="42"/>
      <c r="P1315" s="42"/>
    </row>
    <row r="1316" spans="9:16" x14ac:dyDescent="0.25">
      <c r="I1316" s="42"/>
      <c r="J1316" s="42"/>
      <c r="K1316" s="42"/>
      <c r="L1316" s="42"/>
      <c r="M1316" s="42"/>
      <c r="N1316" s="42"/>
      <c r="O1316" s="42"/>
      <c r="P1316" s="42"/>
    </row>
    <row r="1317" spans="9:16" x14ac:dyDescent="0.25">
      <c r="I1317" s="42"/>
      <c r="J1317" s="42"/>
      <c r="K1317" s="42"/>
      <c r="L1317" s="42"/>
      <c r="M1317" s="42"/>
      <c r="N1317" s="42"/>
      <c r="O1317" s="42"/>
      <c r="P1317" s="42"/>
    </row>
    <row r="1318" spans="9:16" x14ac:dyDescent="0.25">
      <c r="I1318" s="42"/>
      <c r="J1318" s="42"/>
      <c r="K1318" s="42"/>
      <c r="L1318" s="42"/>
      <c r="M1318" s="42"/>
      <c r="N1318" s="42"/>
      <c r="O1318" s="42"/>
      <c r="P1318" s="42"/>
    </row>
    <row r="1319" spans="9:16" x14ac:dyDescent="0.25">
      <c r="I1319" s="42"/>
      <c r="J1319" s="42"/>
      <c r="K1319" s="42"/>
      <c r="L1319" s="42"/>
      <c r="M1319" s="42"/>
      <c r="N1319" s="42"/>
      <c r="O1319" s="42"/>
      <c r="P1319" s="42"/>
    </row>
    <row r="1320" spans="9:16" x14ac:dyDescent="0.25">
      <c r="I1320" s="42"/>
      <c r="J1320" s="42"/>
      <c r="K1320" s="42"/>
      <c r="L1320" s="42"/>
      <c r="M1320" s="42"/>
      <c r="N1320" s="42"/>
      <c r="O1320" s="42"/>
      <c r="P1320" s="42"/>
    </row>
    <row r="1321" spans="9:16" x14ac:dyDescent="0.25">
      <c r="I1321" s="42"/>
      <c r="J1321" s="42"/>
      <c r="K1321" s="42"/>
      <c r="L1321" s="42"/>
      <c r="M1321" s="42"/>
      <c r="N1321" s="42"/>
      <c r="O1321" s="42"/>
      <c r="P1321" s="42"/>
    </row>
    <row r="1322" spans="9:16" x14ac:dyDescent="0.25">
      <c r="I1322" s="42"/>
      <c r="J1322" s="42"/>
      <c r="K1322" s="42"/>
      <c r="L1322" s="42"/>
      <c r="M1322" s="42"/>
      <c r="N1322" s="42"/>
      <c r="O1322" s="42"/>
      <c r="P1322" s="42"/>
    </row>
    <row r="1323" spans="9:16" x14ac:dyDescent="0.25">
      <c r="I1323" s="42"/>
      <c r="J1323" s="42"/>
      <c r="K1323" s="42"/>
      <c r="L1323" s="42"/>
      <c r="M1323" s="42"/>
      <c r="N1323" s="42"/>
      <c r="O1323" s="42"/>
      <c r="P1323" s="42"/>
    </row>
    <row r="1324" spans="9:16" x14ac:dyDescent="0.25">
      <c r="I1324" s="42"/>
      <c r="J1324" s="42"/>
      <c r="K1324" s="42"/>
      <c r="L1324" s="42"/>
      <c r="M1324" s="42"/>
      <c r="N1324" s="42"/>
      <c r="O1324" s="42"/>
      <c r="P1324" s="42"/>
    </row>
    <row r="1325" spans="9:16" x14ac:dyDescent="0.25">
      <c r="I1325" s="42"/>
      <c r="J1325" s="42"/>
      <c r="K1325" s="42"/>
      <c r="L1325" s="42"/>
      <c r="M1325" s="42"/>
      <c r="N1325" s="42"/>
      <c r="O1325" s="42"/>
      <c r="P1325" s="42"/>
    </row>
    <row r="1326" spans="9:16" x14ac:dyDescent="0.25">
      <c r="I1326" s="42"/>
      <c r="J1326" s="42"/>
      <c r="K1326" s="42"/>
      <c r="L1326" s="42"/>
      <c r="M1326" s="42"/>
      <c r="N1326" s="42"/>
      <c r="O1326" s="42"/>
      <c r="P1326" s="42"/>
    </row>
    <row r="1327" spans="9:16" x14ac:dyDescent="0.25">
      <c r="I1327" s="42"/>
      <c r="J1327" s="42"/>
      <c r="K1327" s="42"/>
      <c r="L1327" s="42"/>
      <c r="M1327" s="42"/>
      <c r="N1327" s="42"/>
      <c r="O1327" s="42"/>
      <c r="P1327" s="42"/>
    </row>
    <row r="1328" spans="9:16" x14ac:dyDescent="0.25">
      <c r="I1328" s="42"/>
      <c r="J1328" s="42"/>
      <c r="K1328" s="42"/>
      <c r="L1328" s="42"/>
      <c r="M1328" s="42"/>
      <c r="N1328" s="42"/>
      <c r="O1328" s="42"/>
      <c r="P1328" s="42"/>
    </row>
    <row r="1329" spans="9:16" x14ac:dyDescent="0.25">
      <c r="I1329" s="42"/>
      <c r="J1329" s="42"/>
      <c r="K1329" s="42"/>
      <c r="L1329" s="42"/>
      <c r="M1329" s="42"/>
      <c r="N1329" s="42"/>
      <c r="O1329" s="42"/>
      <c r="P1329" s="42"/>
    </row>
    <row r="1330" spans="9:16" x14ac:dyDescent="0.25">
      <c r="I1330" s="42"/>
      <c r="J1330" s="42"/>
      <c r="K1330" s="42"/>
      <c r="L1330" s="42"/>
      <c r="M1330" s="42"/>
      <c r="N1330" s="42"/>
      <c r="O1330" s="42"/>
      <c r="P1330" s="42"/>
    </row>
    <row r="1331" spans="9:16" x14ac:dyDescent="0.25">
      <c r="I1331" s="42"/>
      <c r="J1331" s="42"/>
      <c r="K1331" s="42"/>
      <c r="L1331" s="42"/>
      <c r="M1331" s="42"/>
      <c r="N1331" s="42"/>
      <c r="O1331" s="42"/>
      <c r="P1331" s="42"/>
    </row>
    <row r="1332" spans="9:16" x14ac:dyDescent="0.25">
      <c r="I1332" s="42"/>
      <c r="J1332" s="42"/>
      <c r="K1332" s="42"/>
      <c r="L1332" s="42"/>
      <c r="M1332" s="42"/>
      <c r="N1332" s="42"/>
      <c r="O1332" s="42"/>
      <c r="P1332" s="42"/>
    </row>
    <row r="1333" spans="9:16" x14ac:dyDescent="0.25">
      <c r="I1333" s="42"/>
      <c r="J1333" s="42"/>
      <c r="K1333" s="42"/>
      <c r="L1333" s="42"/>
      <c r="M1333" s="42"/>
      <c r="N1333" s="42"/>
      <c r="O1333" s="42"/>
      <c r="P1333" s="42"/>
    </row>
    <row r="1334" spans="9:16" x14ac:dyDescent="0.25">
      <c r="I1334" s="42"/>
      <c r="J1334" s="42"/>
      <c r="K1334" s="42"/>
      <c r="L1334" s="42"/>
      <c r="M1334" s="42"/>
      <c r="N1334" s="42"/>
      <c r="O1334" s="42"/>
      <c r="P1334" s="42"/>
    </row>
    <row r="1335" spans="9:16" x14ac:dyDescent="0.25">
      <c r="I1335" s="42"/>
      <c r="J1335" s="42"/>
      <c r="K1335" s="42"/>
      <c r="L1335" s="42"/>
      <c r="M1335" s="42"/>
      <c r="N1335" s="42"/>
      <c r="O1335" s="42"/>
      <c r="P1335" s="42"/>
    </row>
    <row r="1336" spans="9:16" x14ac:dyDescent="0.25">
      <c r="I1336" s="42"/>
      <c r="J1336" s="42"/>
      <c r="K1336" s="42"/>
      <c r="L1336" s="42"/>
      <c r="M1336" s="42"/>
      <c r="N1336" s="42"/>
      <c r="O1336" s="42"/>
      <c r="P1336" s="42"/>
    </row>
    <row r="1337" spans="9:16" x14ac:dyDescent="0.25">
      <c r="I1337" s="42"/>
      <c r="J1337" s="42"/>
      <c r="K1337" s="42"/>
      <c r="L1337" s="42"/>
      <c r="M1337" s="42"/>
      <c r="N1337" s="42"/>
      <c r="O1337" s="42"/>
      <c r="P1337" s="42"/>
    </row>
    <row r="1338" spans="9:16" x14ac:dyDescent="0.25">
      <c r="I1338" s="42"/>
      <c r="J1338" s="42"/>
      <c r="K1338" s="42"/>
      <c r="L1338" s="42"/>
      <c r="M1338" s="42"/>
      <c r="N1338" s="42"/>
      <c r="O1338" s="42"/>
      <c r="P1338" s="42"/>
    </row>
    <row r="1339" spans="9:16" x14ac:dyDescent="0.25">
      <c r="I1339" s="42"/>
      <c r="J1339" s="42"/>
      <c r="K1339" s="42"/>
      <c r="L1339" s="42"/>
      <c r="M1339" s="42"/>
      <c r="N1339" s="42"/>
      <c r="O1339" s="42"/>
      <c r="P1339" s="42"/>
    </row>
    <row r="1340" spans="9:16" x14ac:dyDescent="0.25">
      <c r="I1340" s="42"/>
      <c r="J1340" s="42"/>
      <c r="K1340" s="42"/>
      <c r="L1340" s="42"/>
      <c r="M1340" s="42"/>
      <c r="N1340" s="42"/>
      <c r="O1340" s="42"/>
      <c r="P1340" s="42"/>
    </row>
    <row r="1341" spans="9:16" x14ac:dyDescent="0.25">
      <c r="I1341" s="42"/>
      <c r="J1341" s="42"/>
      <c r="K1341" s="42"/>
      <c r="L1341" s="42"/>
      <c r="M1341" s="42"/>
      <c r="N1341" s="42"/>
      <c r="O1341" s="42"/>
      <c r="P1341" s="42"/>
    </row>
    <row r="1342" spans="9:16" x14ac:dyDescent="0.25">
      <c r="I1342" s="42"/>
      <c r="J1342" s="42"/>
      <c r="K1342" s="42"/>
      <c r="L1342" s="42"/>
      <c r="M1342" s="42"/>
      <c r="N1342" s="42"/>
      <c r="O1342" s="42"/>
      <c r="P1342" s="42"/>
    </row>
    <row r="1343" spans="9:16" x14ac:dyDescent="0.25">
      <c r="I1343" s="42"/>
      <c r="J1343" s="42"/>
      <c r="K1343" s="42"/>
      <c r="L1343" s="42"/>
      <c r="M1343" s="42"/>
      <c r="N1343" s="42"/>
      <c r="O1343" s="42"/>
      <c r="P1343" s="42"/>
    </row>
    <row r="1344" spans="9:16" x14ac:dyDescent="0.25">
      <c r="I1344" s="42"/>
      <c r="J1344" s="42"/>
      <c r="K1344" s="42"/>
      <c r="L1344" s="42"/>
      <c r="M1344" s="42"/>
      <c r="N1344" s="42"/>
      <c r="O1344" s="42"/>
      <c r="P1344" s="42"/>
    </row>
    <row r="1345" spans="9:16" x14ac:dyDescent="0.25">
      <c r="I1345" s="42"/>
      <c r="J1345" s="42"/>
      <c r="K1345" s="42"/>
      <c r="L1345" s="42"/>
      <c r="M1345" s="42"/>
      <c r="N1345" s="42"/>
      <c r="O1345" s="42"/>
      <c r="P1345" s="42"/>
    </row>
    <row r="1346" spans="9:16" x14ac:dyDescent="0.25">
      <c r="I1346" s="42"/>
      <c r="J1346" s="42"/>
      <c r="K1346" s="42"/>
      <c r="L1346" s="42"/>
      <c r="M1346" s="42"/>
      <c r="N1346" s="42"/>
      <c r="O1346" s="42"/>
      <c r="P1346" s="42"/>
    </row>
    <row r="1347" spans="9:16" x14ac:dyDescent="0.25">
      <c r="I1347" s="42"/>
      <c r="J1347" s="42"/>
      <c r="K1347" s="42"/>
      <c r="L1347" s="42"/>
      <c r="M1347" s="42"/>
      <c r="N1347" s="42"/>
      <c r="O1347" s="42"/>
      <c r="P1347" s="42"/>
    </row>
    <row r="1348" spans="9:16" x14ac:dyDescent="0.25">
      <c r="I1348" s="42"/>
      <c r="J1348" s="42"/>
      <c r="K1348" s="42"/>
      <c r="L1348" s="42"/>
      <c r="M1348" s="42"/>
      <c r="N1348" s="42"/>
      <c r="O1348" s="42"/>
      <c r="P1348" s="42"/>
    </row>
    <row r="1349" spans="9:16" x14ac:dyDescent="0.25">
      <c r="I1349" s="42"/>
      <c r="J1349" s="42"/>
      <c r="K1349" s="42"/>
      <c r="L1349" s="42"/>
      <c r="M1349" s="42"/>
      <c r="N1349" s="42"/>
      <c r="O1349" s="42"/>
      <c r="P1349" s="42"/>
    </row>
    <row r="1350" spans="9:16" x14ac:dyDescent="0.25">
      <c r="I1350" s="42"/>
      <c r="J1350" s="42"/>
      <c r="K1350" s="42"/>
      <c r="L1350" s="42"/>
      <c r="M1350" s="42"/>
      <c r="N1350" s="42"/>
      <c r="O1350" s="42"/>
      <c r="P1350" s="42"/>
    </row>
    <row r="1351" spans="9:16" x14ac:dyDescent="0.25">
      <c r="I1351" s="42"/>
      <c r="J1351" s="42"/>
      <c r="K1351" s="42"/>
      <c r="L1351" s="42"/>
      <c r="M1351" s="42"/>
      <c r="N1351" s="42"/>
      <c r="O1351" s="42"/>
      <c r="P1351" s="42"/>
    </row>
    <row r="1352" spans="9:16" x14ac:dyDescent="0.25">
      <c r="I1352" s="42"/>
      <c r="J1352" s="42"/>
      <c r="K1352" s="42"/>
      <c r="L1352" s="42"/>
      <c r="M1352" s="42"/>
      <c r="N1352" s="42"/>
      <c r="O1352" s="42"/>
      <c r="P1352" s="42"/>
    </row>
    <row r="1353" spans="9:16" x14ac:dyDescent="0.25">
      <c r="I1353" s="42"/>
      <c r="J1353" s="42"/>
      <c r="K1353" s="42"/>
      <c r="L1353" s="42"/>
      <c r="M1353" s="42"/>
      <c r="N1353" s="42"/>
      <c r="O1353" s="42"/>
      <c r="P1353" s="42"/>
    </row>
    <row r="1354" spans="9:16" x14ac:dyDescent="0.25">
      <c r="I1354" s="42"/>
      <c r="J1354" s="42"/>
      <c r="K1354" s="42"/>
      <c r="L1354" s="42"/>
      <c r="M1354" s="42"/>
      <c r="N1354" s="42"/>
      <c r="O1354" s="42"/>
      <c r="P1354" s="42"/>
    </row>
    <row r="1355" spans="9:16" x14ac:dyDescent="0.25">
      <c r="I1355" s="42"/>
      <c r="J1355" s="42"/>
      <c r="K1355" s="42"/>
      <c r="L1355" s="42"/>
      <c r="M1355" s="42"/>
      <c r="N1355" s="42"/>
      <c r="O1355" s="42"/>
      <c r="P1355" s="42"/>
    </row>
    <row r="1356" spans="9:16" x14ac:dyDescent="0.25">
      <c r="I1356" s="42"/>
      <c r="J1356" s="42"/>
      <c r="K1356" s="42"/>
      <c r="L1356" s="42"/>
      <c r="M1356" s="42"/>
      <c r="N1356" s="42"/>
      <c r="O1356" s="42"/>
      <c r="P1356" s="42"/>
    </row>
    <row r="1357" spans="9:16" x14ac:dyDescent="0.25">
      <c r="I1357" s="42"/>
      <c r="J1357" s="42"/>
      <c r="K1357" s="42"/>
      <c r="L1357" s="42"/>
      <c r="M1357" s="42"/>
      <c r="N1357" s="42"/>
      <c r="O1357" s="42"/>
      <c r="P1357" s="42"/>
    </row>
    <row r="1358" spans="9:16" x14ac:dyDescent="0.25">
      <c r="I1358" s="42"/>
      <c r="J1358" s="42"/>
      <c r="K1358" s="42"/>
      <c r="L1358" s="42"/>
      <c r="M1358" s="42"/>
      <c r="N1358" s="42"/>
      <c r="O1358" s="42"/>
      <c r="P1358" s="42"/>
    </row>
    <row r="1359" spans="9:16" x14ac:dyDescent="0.25">
      <c r="I1359" s="42"/>
      <c r="J1359" s="42"/>
      <c r="K1359" s="42"/>
      <c r="L1359" s="42"/>
      <c r="M1359" s="42"/>
      <c r="N1359" s="42"/>
      <c r="O1359" s="42"/>
      <c r="P1359" s="42"/>
    </row>
    <row r="1360" spans="9:16" x14ac:dyDescent="0.25">
      <c r="I1360" s="42"/>
      <c r="J1360" s="42"/>
      <c r="K1360" s="42"/>
      <c r="L1360" s="42"/>
      <c r="M1360" s="42"/>
      <c r="N1360" s="42"/>
      <c r="O1360" s="42"/>
      <c r="P1360" s="42"/>
    </row>
    <row r="1361" spans="9:16" x14ac:dyDescent="0.25">
      <c r="I1361" s="42"/>
      <c r="J1361" s="42"/>
      <c r="K1361" s="42"/>
      <c r="L1361" s="42"/>
      <c r="M1361" s="42"/>
      <c r="N1361" s="42"/>
      <c r="O1361" s="42"/>
      <c r="P1361" s="42"/>
    </row>
    <row r="1362" spans="9:16" x14ac:dyDescent="0.25">
      <c r="I1362" s="42"/>
      <c r="J1362" s="42"/>
      <c r="K1362" s="42"/>
      <c r="L1362" s="42"/>
      <c r="M1362" s="42"/>
      <c r="N1362" s="42"/>
      <c r="O1362" s="42"/>
      <c r="P1362" s="42"/>
    </row>
    <row r="1363" spans="9:16" x14ac:dyDescent="0.25">
      <c r="I1363" s="42"/>
      <c r="J1363" s="42"/>
      <c r="K1363" s="42"/>
      <c r="L1363" s="42"/>
      <c r="M1363" s="42"/>
      <c r="N1363" s="42"/>
      <c r="O1363" s="42"/>
      <c r="P1363" s="42"/>
    </row>
    <row r="1364" spans="9:16" x14ac:dyDescent="0.25">
      <c r="I1364" s="42"/>
      <c r="J1364" s="42"/>
      <c r="K1364" s="42"/>
      <c r="L1364" s="42"/>
      <c r="M1364" s="42"/>
      <c r="N1364" s="42"/>
      <c r="O1364" s="42"/>
      <c r="P1364" s="42"/>
    </row>
    <row r="1365" spans="9:16" x14ac:dyDescent="0.25">
      <c r="I1365" s="42"/>
      <c r="J1365" s="42"/>
      <c r="K1365" s="42"/>
      <c r="L1365" s="42"/>
      <c r="M1365" s="42"/>
      <c r="N1365" s="42"/>
      <c r="O1365" s="42"/>
      <c r="P1365" s="42"/>
    </row>
    <row r="1366" spans="9:16" x14ac:dyDescent="0.25">
      <c r="I1366" s="42"/>
      <c r="J1366" s="42"/>
      <c r="K1366" s="42"/>
      <c r="L1366" s="42"/>
      <c r="M1366" s="42"/>
      <c r="N1366" s="42"/>
      <c r="O1366" s="42"/>
      <c r="P1366" s="42"/>
    </row>
    <row r="1367" spans="9:16" x14ac:dyDescent="0.25">
      <c r="I1367" s="42"/>
      <c r="J1367" s="42"/>
      <c r="K1367" s="42"/>
      <c r="L1367" s="42"/>
      <c r="M1367" s="42"/>
      <c r="N1367" s="42"/>
      <c r="O1367" s="42"/>
      <c r="P1367" s="42"/>
    </row>
    <row r="1368" spans="9:16" x14ac:dyDescent="0.25">
      <c r="I1368" s="42"/>
      <c r="J1368" s="42"/>
      <c r="K1368" s="42"/>
      <c r="L1368" s="42"/>
      <c r="M1368" s="42"/>
      <c r="N1368" s="42"/>
      <c r="O1368" s="42"/>
      <c r="P1368" s="42"/>
    </row>
    <row r="1369" spans="9:16" x14ac:dyDescent="0.25">
      <c r="I1369" s="42"/>
      <c r="J1369" s="42"/>
      <c r="K1369" s="42"/>
      <c r="L1369" s="42"/>
      <c r="M1369" s="42"/>
      <c r="N1369" s="42"/>
      <c r="O1369" s="42"/>
      <c r="P1369" s="42"/>
    </row>
    <row r="1370" spans="9:16" x14ac:dyDescent="0.25">
      <c r="I1370" s="42"/>
      <c r="J1370" s="42"/>
      <c r="K1370" s="42"/>
      <c r="L1370" s="42"/>
      <c r="M1370" s="42"/>
      <c r="N1370" s="42"/>
      <c r="O1370" s="42"/>
      <c r="P1370" s="42"/>
    </row>
    <row r="1371" spans="9:16" x14ac:dyDescent="0.25">
      <c r="I1371" s="42"/>
      <c r="J1371" s="42"/>
      <c r="K1371" s="42"/>
      <c r="L1371" s="42"/>
      <c r="M1371" s="42"/>
      <c r="N1371" s="42"/>
      <c r="O1371" s="42"/>
      <c r="P1371" s="42"/>
    </row>
    <row r="1372" spans="9:16" x14ac:dyDescent="0.25">
      <c r="I1372" s="42"/>
      <c r="J1372" s="42"/>
      <c r="K1372" s="42"/>
      <c r="L1372" s="42"/>
      <c r="M1372" s="42"/>
      <c r="N1372" s="42"/>
      <c r="O1372" s="42"/>
      <c r="P1372" s="42"/>
    </row>
    <row r="1373" spans="9:16" x14ac:dyDescent="0.25">
      <c r="I1373" s="42"/>
      <c r="J1373" s="42"/>
      <c r="K1373" s="42"/>
      <c r="L1373" s="42"/>
      <c r="M1373" s="42"/>
      <c r="N1373" s="42"/>
      <c r="O1373" s="42"/>
      <c r="P1373" s="42"/>
    </row>
    <row r="1374" spans="9:16" x14ac:dyDescent="0.25">
      <c r="I1374" s="42"/>
      <c r="J1374" s="42"/>
      <c r="K1374" s="42"/>
      <c r="L1374" s="42"/>
      <c r="M1374" s="42"/>
      <c r="N1374" s="42"/>
      <c r="O1374" s="42"/>
      <c r="P1374" s="42"/>
    </row>
    <row r="1375" spans="9:16" x14ac:dyDescent="0.25">
      <c r="I1375" s="42"/>
      <c r="J1375" s="42"/>
      <c r="K1375" s="42"/>
      <c r="L1375" s="42"/>
      <c r="M1375" s="42"/>
      <c r="N1375" s="42"/>
      <c r="O1375" s="42"/>
      <c r="P1375" s="42"/>
    </row>
    <row r="1376" spans="9:16" x14ac:dyDescent="0.25">
      <c r="I1376" s="42"/>
      <c r="J1376" s="42"/>
      <c r="K1376" s="42"/>
      <c r="L1376" s="42"/>
      <c r="M1376" s="42"/>
      <c r="N1376" s="42"/>
      <c r="O1376" s="42"/>
      <c r="P1376" s="42"/>
    </row>
    <row r="1377" spans="9:16" x14ac:dyDescent="0.25">
      <c r="I1377" s="42"/>
      <c r="J1377" s="42"/>
      <c r="K1377" s="42"/>
      <c r="L1377" s="42"/>
      <c r="M1377" s="42"/>
      <c r="N1377" s="42"/>
      <c r="O1377" s="42"/>
      <c r="P1377" s="42"/>
    </row>
    <row r="1378" spans="9:16" x14ac:dyDescent="0.25">
      <c r="I1378" s="42"/>
      <c r="J1378" s="42"/>
      <c r="K1378" s="42"/>
      <c r="L1378" s="42"/>
      <c r="M1378" s="42"/>
      <c r="N1378" s="42"/>
      <c r="O1378" s="42"/>
      <c r="P1378" s="42"/>
    </row>
    <row r="1379" spans="9:16" x14ac:dyDescent="0.25">
      <c r="I1379" s="42"/>
      <c r="J1379" s="42"/>
      <c r="K1379" s="42"/>
      <c r="L1379" s="42"/>
      <c r="M1379" s="42"/>
      <c r="N1379" s="42"/>
      <c r="O1379" s="42"/>
      <c r="P1379" s="4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tabSelected="1" workbookViewId="0">
      <selection activeCell="D13" sqref="D13"/>
    </sheetView>
  </sheetViews>
  <sheetFormatPr baseColWidth="10" defaultRowHeight="15" x14ac:dyDescent="0.25"/>
  <cols>
    <col min="2" max="2" width="63.7109375" bestFit="1" customWidth="1"/>
    <col min="3" max="3" width="25.5703125" bestFit="1" customWidth="1"/>
  </cols>
  <sheetData>
    <row r="1" spans="1:3" ht="15.75" x14ac:dyDescent="0.25">
      <c r="A1" s="2"/>
      <c r="B1" s="25" t="s">
        <v>3431</v>
      </c>
      <c r="C1" s="26"/>
    </row>
    <row r="2" spans="1:3" ht="33.75" customHeight="1" x14ac:dyDescent="0.25">
      <c r="A2" s="2"/>
      <c r="B2" s="27" t="s">
        <v>3432</v>
      </c>
      <c r="C2" s="26"/>
    </row>
    <row r="3" spans="1:3" x14ac:dyDescent="0.25">
      <c r="A3" s="2"/>
      <c r="C3" s="26"/>
    </row>
    <row r="4" spans="1:3" x14ac:dyDescent="0.25">
      <c r="A4" s="28"/>
      <c r="B4" s="29" t="s">
        <v>3433</v>
      </c>
      <c r="C4" s="44" t="s">
        <v>3449</v>
      </c>
    </row>
    <row r="5" spans="1:3" x14ac:dyDescent="0.25">
      <c r="A5" s="2"/>
      <c r="C5" s="26"/>
    </row>
    <row r="6" spans="1:3" x14ac:dyDescent="0.25">
      <c r="A6" s="2" t="s">
        <v>3434</v>
      </c>
      <c r="B6" s="30" t="s">
        <v>3435</v>
      </c>
      <c r="C6" s="31">
        <f>'CRUCE COOSALUD'!D772</f>
        <v>627373677</v>
      </c>
    </row>
    <row r="7" spans="1:3" x14ac:dyDescent="0.25">
      <c r="A7" s="2"/>
      <c r="C7" s="26"/>
    </row>
    <row r="8" spans="1:3" x14ac:dyDescent="0.25">
      <c r="A8" s="2" t="s">
        <v>3436</v>
      </c>
      <c r="B8" t="s">
        <v>3437</v>
      </c>
      <c r="C8" s="26">
        <f>'CRUCE COOSALUD'!L772</f>
        <v>311273854</v>
      </c>
    </row>
    <row r="9" spans="1:3" x14ac:dyDescent="0.25">
      <c r="A9" s="2" t="s">
        <v>3436</v>
      </c>
      <c r="B9" t="s">
        <v>3438</v>
      </c>
      <c r="C9" s="26">
        <f>'CRUCE COOSALUD'!J772</f>
        <v>117069893</v>
      </c>
    </row>
    <row r="10" spans="1:3" x14ac:dyDescent="0.25">
      <c r="A10" s="2" t="s">
        <v>3436</v>
      </c>
      <c r="B10" t="s">
        <v>3439</v>
      </c>
      <c r="C10" s="26">
        <f>'CRUCE COOSALUD'!O772</f>
        <v>145474529</v>
      </c>
    </row>
    <row r="11" spans="1:3" x14ac:dyDescent="0.25">
      <c r="A11" s="2" t="s">
        <v>3436</v>
      </c>
      <c r="B11" t="s">
        <v>3440</v>
      </c>
      <c r="C11" s="26">
        <f>'CRUCE COOSALUD'!P772</f>
        <v>83794</v>
      </c>
    </row>
    <row r="12" spans="1:3" x14ac:dyDescent="0.25">
      <c r="A12" s="2" t="s">
        <v>3436</v>
      </c>
      <c r="B12" t="s">
        <v>3441</v>
      </c>
      <c r="C12" s="26">
        <f>'CRUCE COOSALUD'!N772</f>
        <v>54503571</v>
      </c>
    </row>
    <row r="13" spans="1:3" x14ac:dyDescent="0.25">
      <c r="A13" s="2" t="s">
        <v>3442</v>
      </c>
      <c r="B13" t="s">
        <v>3443</v>
      </c>
      <c r="C13" s="26"/>
    </row>
    <row r="14" spans="1:3" x14ac:dyDescent="0.25">
      <c r="A14" s="2" t="s">
        <v>3436</v>
      </c>
      <c r="B14" t="s">
        <v>3444</v>
      </c>
      <c r="C14" s="26">
        <f>'CRUCE COOSALUD'!T772</f>
        <v>-1031964</v>
      </c>
    </row>
    <row r="15" spans="1:3" x14ac:dyDescent="0.25">
      <c r="A15" s="2"/>
      <c r="C15" s="26"/>
    </row>
    <row r="16" spans="1:3" x14ac:dyDescent="0.25">
      <c r="A16" s="2" t="s">
        <v>3434</v>
      </c>
      <c r="B16" s="30" t="s">
        <v>3445</v>
      </c>
      <c r="C16" s="31">
        <f>+C6-C8-C9-C10-C11-C12-C13-C14</f>
        <v>0</v>
      </c>
    </row>
    <row r="17" spans="1:3" x14ac:dyDescent="0.25">
      <c r="A17" s="2"/>
      <c r="B17" t="s">
        <v>3446</v>
      </c>
      <c r="C17" s="32">
        <v>0</v>
      </c>
    </row>
    <row r="18" spans="1:3" x14ac:dyDescent="0.25">
      <c r="A18" s="2" t="s">
        <v>3434</v>
      </c>
      <c r="B18" s="30" t="s">
        <v>3447</v>
      </c>
      <c r="C18" s="31">
        <f>+C16-C17</f>
        <v>0</v>
      </c>
    </row>
    <row r="19" spans="1:3" x14ac:dyDescent="0.25">
      <c r="A19" s="2"/>
      <c r="C19" s="26"/>
    </row>
    <row r="20" spans="1:3" x14ac:dyDescent="0.25">
      <c r="A20" s="2" t="s">
        <v>3436</v>
      </c>
      <c r="B20" t="s">
        <v>3448</v>
      </c>
      <c r="C20" s="33">
        <f>'PAGOS X DES'!D6</f>
        <v>70190111</v>
      </c>
    </row>
    <row r="21" spans="1:3" x14ac:dyDescent="0.25">
      <c r="A21" s="2" t="s">
        <v>3436</v>
      </c>
      <c r="C21" s="26"/>
    </row>
    <row r="22" spans="1:3" x14ac:dyDescent="0.25">
      <c r="A22" s="2" t="s">
        <v>3434</v>
      </c>
      <c r="B22" s="30" t="s">
        <v>7915</v>
      </c>
      <c r="C22" s="34">
        <f>+C18-C20</f>
        <v>-70190111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31"/>
  <sheetViews>
    <sheetView workbookViewId="0">
      <selection activeCell="D4" sqref="D4"/>
    </sheetView>
  </sheetViews>
  <sheetFormatPr baseColWidth="10" defaultRowHeight="15" x14ac:dyDescent="0.25"/>
  <sheetData>
    <row r="1" spans="1:21" x14ac:dyDescent="0.25">
      <c r="A1" t="s">
        <v>3456</v>
      </c>
      <c r="B1" t="s">
        <v>3450</v>
      </c>
      <c r="C1" t="s">
        <v>3451</v>
      </c>
      <c r="D1" t="s">
        <v>3452</v>
      </c>
      <c r="E1" t="s">
        <v>3453</v>
      </c>
      <c r="F1" t="s">
        <v>3454</v>
      </c>
      <c r="G1" t="s">
        <v>3455</v>
      </c>
      <c r="H1" t="s">
        <v>3457</v>
      </c>
      <c r="I1" t="s">
        <v>3458</v>
      </c>
      <c r="J1" t="s">
        <v>3459</v>
      </c>
      <c r="K1" t="s">
        <v>3460</v>
      </c>
      <c r="L1" t="s">
        <v>3461</v>
      </c>
      <c r="M1" t="s">
        <v>3462</v>
      </c>
      <c r="N1" t="s">
        <v>3463</v>
      </c>
      <c r="O1" t="s">
        <v>3464</v>
      </c>
      <c r="P1" t="s">
        <v>3465</v>
      </c>
      <c r="Q1" t="s">
        <v>3466</v>
      </c>
      <c r="R1" t="s">
        <v>3467</v>
      </c>
      <c r="S1" t="s">
        <v>3468</v>
      </c>
      <c r="T1" t="s">
        <v>3469</v>
      </c>
      <c r="U1" t="s">
        <v>3470</v>
      </c>
    </row>
    <row r="2" spans="1:21" x14ac:dyDescent="0.25">
      <c r="A2" t="s">
        <v>4371</v>
      </c>
      <c r="B2" t="s">
        <v>3471</v>
      </c>
      <c r="C2" t="s">
        <v>3472</v>
      </c>
      <c r="D2" t="s">
        <v>3473</v>
      </c>
      <c r="E2" t="s">
        <v>3474</v>
      </c>
      <c r="F2" t="s">
        <v>3475</v>
      </c>
      <c r="G2" t="s">
        <v>3476</v>
      </c>
      <c r="H2" t="s">
        <v>3477</v>
      </c>
      <c r="I2" t="s">
        <v>3478</v>
      </c>
      <c r="J2" t="s">
        <v>3479</v>
      </c>
      <c r="K2" t="s">
        <v>3480</v>
      </c>
      <c r="L2" t="s">
        <v>3481</v>
      </c>
      <c r="M2" t="s">
        <v>3482</v>
      </c>
      <c r="N2" t="s">
        <v>3483</v>
      </c>
      <c r="O2" t="s">
        <v>3484</v>
      </c>
      <c r="P2" t="s">
        <v>3484</v>
      </c>
      <c r="Q2" t="s">
        <v>3484</v>
      </c>
      <c r="R2" t="s">
        <v>3485</v>
      </c>
      <c r="S2" t="s">
        <v>3486</v>
      </c>
      <c r="T2" t="s">
        <v>3478</v>
      </c>
      <c r="U2" t="s">
        <v>3478</v>
      </c>
    </row>
    <row r="3" spans="1:21" x14ac:dyDescent="0.25">
      <c r="A3" t="s">
        <v>4372</v>
      </c>
      <c r="B3" t="s">
        <v>3487</v>
      </c>
      <c r="C3" t="s">
        <v>3472</v>
      </c>
      <c r="D3" t="s">
        <v>3473</v>
      </c>
      <c r="E3" t="s">
        <v>3474</v>
      </c>
      <c r="F3" t="s">
        <v>3475</v>
      </c>
      <c r="G3" t="s">
        <v>3476</v>
      </c>
      <c r="H3" t="s">
        <v>3488</v>
      </c>
      <c r="I3" t="s">
        <v>3478</v>
      </c>
      <c r="J3" t="s">
        <v>3489</v>
      </c>
      <c r="K3" t="s">
        <v>3480</v>
      </c>
      <c r="L3" t="s">
        <v>3481</v>
      </c>
      <c r="M3" t="s">
        <v>3482</v>
      </c>
      <c r="N3" t="s">
        <v>3490</v>
      </c>
      <c r="O3" t="s">
        <v>3491</v>
      </c>
      <c r="P3" t="s">
        <v>3491</v>
      </c>
      <c r="Q3" t="s">
        <v>3491</v>
      </c>
      <c r="R3" t="s">
        <v>3492</v>
      </c>
      <c r="S3" t="s">
        <v>3493</v>
      </c>
      <c r="T3" t="s">
        <v>3478</v>
      </c>
      <c r="U3" t="s">
        <v>3478</v>
      </c>
    </row>
    <row r="4" spans="1:21" x14ac:dyDescent="0.25">
      <c r="A4" t="s">
        <v>4372</v>
      </c>
      <c r="B4" t="s">
        <v>3494</v>
      </c>
      <c r="C4" t="s">
        <v>3472</v>
      </c>
      <c r="D4" t="s">
        <v>3473</v>
      </c>
      <c r="E4" t="s">
        <v>3474</v>
      </c>
      <c r="F4" t="s">
        <v>3475</v>
      </c>
      <c r="G4" t="s">
        <v>3476</v>
      </c>
      <c r="H4" t="s">
        <v>3495</v>
      </c>
      <c r="I4" t="s">
        <v>3496</v>
      </c>
      <c r="J4" t="s">
        <v>3497</v>
      </c>
      <c r="K4" t="s">
        <v>3480</v>
      </c>
      <c r="L4" t="s">
        <v>3481</v>
      </c>
      <c r="M4" t="s">
        <v>3482</v>
      </c>
      <c r="N4" t="s">
        <v>3498</v>
      </c>
      <c r="O4" t="s">
        <v>3499</v>
      </c>
      <c r="P4" t="s">
        <v>3499</v>
      </c>
      <c r="Q4" t="s">
        <v>3499</v>
      </c>
      <c r="R4" t="s">
        <v>3492</v>
      </c>
      <c r="S4" t="s">
        <v>3493</v>
      </c>
      <c r="T4" t="s">
        <v>3478</v>
      </c>
      <c r="U4" t="s">
        <v>3496</v>
      </c>
    </row>
    <row r="5" spans="1:21" x14ac:dyDescent="0.25">
      <c r="A5" t="s">
        <v>4373</v>
      </c>
      <c r="B5" t="s">
        <v>3500</v>
      </c>
      <c r="C5" t="s">
        <v>3472</v>
      </c>
      <c r="D5" t="s">
        <v>3473</v>
      </c>
      <c r="E5" t="s">
        <v>3474</v>
      </c>
      <c r="F5" t="s">
        <v>3475</v>
      </c>
      <c r="G5" t="s">
        <v>3476</v>
      </c>
      <c r="H5" t="s">
        <v>3501</v>
      </c>
      <c r="I5" t="s">
        <v>3502</v>
      </c>
      <c r="J5" t="s">
        <v>3503</v>
      </c>
      <c r="K5" t="s">
        <v>3504</v>
      </c>
      <c r="L5" t="s">
        <v>3481</v>
      </c>
      <c r="M5" t="s">
        <v>3482</v>
      </c>
      <c r="N5" t="s">
        <v>3505</v>
      </c>
      <c r="O5" t="s">
        <v>3506</v>
      </c>
      <c r="P5" t="s">
        <v>3506</v>
      </c>
      <c r="Q5" t="s">
        <v>3506</v>
      </c>
      <c r="R5" t="s">
        <v>3492</v>
      </c>
      <c r="S5" t="s">
        <v>3493</v>
      </c>
      <c r="T5" t="s">
        <v>3478</v>
      </c>
      <c r="U5" t="s">
        <v>3502</v>
      </c>
    </row>
    <row r="6" spans="1:21" x14ac:dyDescent="0.25">
      <c r="A6" t="s">
        <v>4373</v>
      </c>
      <c r="B6" t="s">
        <v>3507</v>
      </c>
      <c r="C6" t="s">
        <v>3472</v>
      </c>
      <c r="D6" t="s">
        <v>3473</v>
      </c>
      <c r="E6" t="s">
        <v>3474</v>
      </c>
      <c r="F6" t="s">
        <v>3475</v>
      </c>
      <c r="G6" t="s">
        <v>3476</v>
      </c>
      <c r="H6" t="s">
        <v>3508</v>
      </c>
      <c r="I6" t="s">
        <v>3496</v>
      </c>
      <c r="J6" t="s">
        <v>3503</v>
      </c>
      <c r="K6" t="s">
        <v>3504</v>
      </c>
      <c r="L6" t="s">
        <v>3481</v>
      </c>
      <c r="M6" t="s">
        <v>3482</v>
      </c>
      <c r="N6" t="s">
        <v>3509</v>
      </c>
      <c r="O6" t="s">
        <v>3510</v>
      </c>
      <c r="P6" t="s">
        <v>3511</v>
      </c>
      <c r="Q6" t="s">
        <v>3510</v>
      </c>
      <c r="R6" t="s">
        <v>3485</v>
      </c>
      <c r="S6" t="s">
        <v>3486</v>
      </c>
      <c r="T6" t="s">
        <v>3478</v>
      </c>
      <c r="U6" t="s">
        <v>3496</v>
      </c>
    </row>
    <row r="7" spans="1:21" x14ac:dyDescent="0.25">
      <c r="A7" t="s">
        <v>4374</v>
      </c>
      <c r="B7" t="s">
        <v>3512</v>
      </c>
      <c r="C7" t="s">
        <v>3472</v>
      </c>
      <c r="D7" t="s">
        <v>3473</v>
      </c>
      <c r="E7" t="s">
        <v>3474</v>
      </c>
      <c r="F7" t="s">
        <v>3475</v>
      </c>
      <c r="G7" t="s">
        <v>3476</v>
      </c>
      <c r="H7" t="s">
        <v>3513</v>
      </c>
      <c r="I7" t="s">
        <v>3502</v>
      </c>
      <c r="J7" t="s">
        <v>3514</v>
      </c>
      <c r="K7" t="s">
        <v>3504</v>
      </c>
      <c r="L7" t="s">
        <v>3481</v>
      </c>
      <c r="M7" t="s">
        <v>3482</v>
      </c>
      <c r="N7" t="s">
        <v>3515</v>
      </c>
      <c r="O7" t="s">
        <v>3516</v>
      </c>
      <c r="P7" t="s">
        <v>3516</v>
      </c>
      <c r="Q7" t="s">
        <v>3516</v>
      </c>
      <c r="R7" t="s">
        <v>3485</v>
      </c>
      <c r="S7" t="s">
        <v>3486</v>
      </c>
      <c r="T7" t="s">
        <v>3478</v>
      </c>
      <c r="U7" t="s">
        <v>3502</v>
      </c>
    </row>
    <row r="8" spans="1:21" x14ac:dyDescent="0.25">
      <c r="A8" t="s">
        <v>4373</v>
      </c>
      <c r="B8" t="s">
        <v>3517</v>
      </c>
      <c r="C8" t="s">
        <v>3472</v>
      </c>
      <c r="D8" t="s">
        <v>3473</v>
      </c>
      <c r="E8" t="s">
        <v>3474</v>
      </c>
      <c r="F8" t="s">
        <v>3475</v>
      </c>
      <c r="G8" t="s">
        <v>3476</v>
      </c>
      <c r="H8" t="s">
        <v>3518</v>
      </c>
      <c r="I8" t="s">
        <v>3478</v>
      </c>
      <c r="J8" t="s">
        <v>3503</v>
      </c>
      <c r="K8" t="s">
        <v>3504</v>
      </c>
      <c r="L8" t="s">
        <v>3481</v>
      </c>
      <c r="M8" t="s">
        <v>3482</v>
      </c>
      <c r="N8" t="s">
        <v>3519</v>
      </c>
      <c r="O8" t="s">
        <v>3520</v>
      </c>
      <c r="P8" t="s">
        <v>3521</v>
      </c>
      <c r="Q8" t="s">
        <v>3520</v>
      </c>
      <c r="R8" t="s">
        <v>3492</v>
      </c>
      <c r="S8" t="s">
        <v>3493</v>
      </c>
      <c r="T8" t="s">
        <v>3478</v>
      </c>
      <c r="U8" t="s">
        <v>3478</v>
      </c>
    </row>
    <row r="9" spans="1:21" x14ac:dyDescent="0.25">
      <c r="A9" t="s">
        <v>4374</v>
      </c>
      <c r="B9" t="s">
        <v>3522</v>
      </c>
      <c r="C9" t="s">
        <v>3472</v>
      </c>
      <c r="D9" t="s">
        <v>3473</v>
      </c>
      <c r="E9" t="s">
        <v>3474</v>
      </c>
      <c r="F9" t="s">
        <v>3475</v>
      </c>
      <c r="G9" t="s">
        <v>3476</v>
      </c>
      <c r="H9" t="s">
        <v>3523</v>
      </c>
      <c r="I9" t="s">
        <v>3478</v>
      </c>
      <c r="J9" t="s">
        <v>3514</v>
      </c>
      <c r="K9" t="s">
        <v>3504</v>
      </c>
      <c r="L9" t="s">
        <v>3481</v>
      </c>
      <c r="M9" t="s">
        <v>3482</v>
      </c>
      <c r="N9" t="s">
        <v>3519</v>
      </c>
      <c r="O9" t="s">
        <v>3524</v>
      </c>
      <c r="P9" t="s">
        <v>3524</v>
      </c>
      <c r="Q9" t="s">
        <v>3524</v>
      </c>
      <c r="R9" t="s">
        <v>3525</v>
      </c>
      <c r="S9" t="s">
        <v>3526</v>
      </c>
      <c r="T9" t="s">
        <v>3478</v>
      </c>
      <c r="U9" t="s">
        <v>3478</v>
      </c>
    </row>
    <row r="10" spans="1:21" x14ac:dyDescent="0.25">
      <c r="A10" t="s">
        <v>4375</v>
      </c>
      <c r="B10" t="s">
        <v>3527</v>
      </c>
      <c r="C10" t="s">
        <v>3472</v>
      </c>
      <c r="D10" t="s">
        <v>3473</v>
      </c>
      <c r="E10" t="s">
        <v>3474</v>
      </c>
      <c r="F10" t="s">
        <v>3475</v>
      </c>
      <c r="G10" t="s">
        <v>3476</v>
      </c>
      <c r="H10" t="s">
        <v>3528</v>
      </c>
      <c r="I10" t="s">
        <v>3478</v>
      </c>
      <c r="J10" t="s">
        <v>3529</v>
      </c>
      <c r="K10" t="s">
        <v>3504</v>
      </c>
      <c r="L10" t="s">
        <v>3481</v>
      </c>
      <c r="M10" t="s">
        <v>3482</v>
      </c>
      <c r="N10" t="s">
        <v>3530</v>
      </c>
      <c r="O10" t="s">
        <v>3531</v>
      </c>
      <c r="P10" t="s">
        <v>3531</v>
      </c>
      <c r="Q10" t="s">
        <v>3531</v>
      </c>
      <c r="R10" t="s">
        <v>3532</v>
      </c>
      <c r="S10" t="s">
        <v>3533</v>
      </c>
      <c r="T10" t="s">
        <v>3478</v>
      </c>
      <c r="U10" t="s">
        <v>3478</v>
      </c>
    </row>
    <row r="11" spans="1:21" x14ac:dyDescent="0.25">
      <c r="A11" t="s">
        <v>4373</v>
      </c>
      <c r="B11" t="s">
        <v>3534</v>
      </c>
      <c r="C11" t="s">
        <v>3472</v>
      </c>
      <c r="D11" t="s">
        <v>3473</v>
      </c>
      <c r="E11" t="s">
        <v>3474</v>
      </c>
      <c r="F11" t="s">
        <v>3475</v>
      </c>
      <c r="G11" t="s">
        <v>3476</v>
      </c>
      <c r="H11" t="s">
        <v>3535</v>
      </c>
      <c r="I11" t="s">
        <v>3536</v>
      </c>
      <c r="J11" t="s">
        <v>3503</v>
      </c>
      <c r="K11" t="s">
        <v>3504</v>
      </c>
      <c r="L11" t="s">
        <v>3481</v>
      </c>
      <c r="M11" t="s">
        <v>3482</v>
      </c>
      <c r="N11" t="s">
        <v>3537</v>
      </c>
      <c r="O11" t="s">
        <v>3538</v>
      </c>
      <c r="P11" t="s">
        <v>3539</v>
      </c>
      <c r="Q11" t="s">
        <v>3538</v>
      </c>
      <c r="R11" t="s">
        <v>3485</v>
      </c>
      <c r="S11" t="s">
        <v>3486</v>
      </c>
      <c r="T11" t="s">
        <v>3478</v>
      </c>
      <c r="U11" t="s">
        <v>3536</v>
      </c>
    </row>
    <row r="12" spans="1:21" x14ac:dyDescent="0.25">
      <c r="A12" t="s">
        <v>4373</v>
      </c>
      <c r="B12" t="s">
        <v>3540</v>
      </c>
      <c r="C12" t="s">
        <v>3472</v>
      </c>
      <c r="D12" t="s">
        <v>3473</v>
      </c>
      <c r="E12" t="s">
        <v>3474</v>
      </c>
      <c r="F12" t="s">
        <v>3475</v>
      </c>
      <c r="G12" t="s">
        <v>3476</v>
      </c>
      <c r="H12" t="s">
        <v>3541</v>
      </c>
      <c r="I12" t="s">
        <v>3542</v>
      </c>
      <c r="J12" t="s">
        <v>3543</v>
      </c>
      <c r="K12" t="s">
        <v>3504</v>
      </c>
      <c r="L12" t="s">
        <v>3481</v>
      </c>
      <c r="M12" t="s">
        <v>3482</v>
      </c>
      <c r="N12" t="s">
        <v>3537</v>
      </c>
      <c r="O12" t="s">
        <v>3544</v>
      </c>
      <c r="P12" t="s">
        <v>3539</v>
      </c>
      <c r="Q12" t="s">
        <v>3544</v>
      </c>
      <c r="R12" t="s">
        <v>3485</v>
      </c>
      <c r="S12" t="s">
        <v>3486</v>
      </c>
      <c r="T12" t="s">
        <v>3478</v>
      </c>
      <c r="U12" t="s">
        <v>3542</v>
      </c>
    </row>
    <row r="13" spans="1:21" x14ac:dyDescent="0.25">
      <c r="A13" t="s">
        <v>4374</v>
      </c>
      <c r="B13" t="s">
        <v>3545</v>
      </c>
      <c r="C13" t="s">
        <v>3472</v>
      </c>
      <c r="D13" t="s">
        <v>3473</v>
      </c>
      <c r="E13" t="s">
        <v>3474</v>
      </c>
      <c r="F13" t="s">
        <v>3475</v>
      </c>
      <c r="G13" t="s">
        <v>3476</v>
      </c>
      <c r="H13" t="s">
        <v>3546</v>
      </c>
      <c r="I13" t="s">
        <v>3496</v>
      </c>
      <c r="J13" t="s">
        <v>3514</v>
      </c>
      <c r="K13" t="s">
        <v>3504</v>
      </c>
      <c r="L13" t="s">
        <v>3481</v>
      </c>
      <c r="M13" t="s">
        <v>3482</v>
      </c>
      <c r="N13" t="s">
        <v>3547</v>
      </c>
      <c r="O13" t="s">
        <v>3548</v>
      </c>
      <c r="P13" t="s">
        <v>3549</v>
      </c>
      <c r="Q13" t="s">
        <v>3548</v>
      </c>
      <c r="R13" t="s">
        <v>3485</v>
      </c>
      <c r="S13" t="s">
        <v>3486</v>
      </c>
      <c r="T13" t="s">
        <v>3478</v>
      </c>
      <c r="U13" t="s">
        <v>3496</v>
      </c>
    </row>
    <row r="14" spans="1:21" x14ac:dyDescent="0.25">
      <c r="A14" t="s">
        <v>4376</v>
      </c>
      <c r="B14" t="s">
        <v>3550</v>
      </c>
      <c r="C14" t="s">
        <v>3472</v>
      </c>
      <c r="D14" t="s">
        <v>3473</v>
      </c>
      <c r="E14" t="s">
        <v>3474</v>
      </c>
      <c r="F14" t="s">
        <v>3475</v>
      </c>
      <c r="G14" t="s">
        <v>3476</v>
      </c>
      <c r="H14" t="s">
        <v>3551</v>
      </c>
      <c r="I14" t="s">
        <v>3478</v>
      </c>
      <c r="J14" t="s">
        <v>3552</v>
      </c>
      <c r="K14" t="s">
        <v>3553</v>
      </c>
      <c r="L14" t="s">
        <v>3481</v>
      </c>
      <c r="M14" t="s">
        <v>3482</v>
      </c>
      <c r="N14" t="s">
        <v>3554</v>
      </c>
      <c r="O14" t="s">
        <v>3555</v>
      </c>
      <c r="P14" t="s">
        <v>3556</v>
      </c>
      <c r="Q14" t="s">
        <v>3557</v>
      </c>
      <c r="R14" t="s">
        <v>3485</v>
      </c>
      <c r="S14" t="s">
        <v>3486</v>
      </c>
      <c r="T14" t="s">
        <v>3478</v>
      </c>
      <c r="U14" t="s">
        <v>3478</v>
      </c>
    </row>
    <row r="15" spans="1:21" x14ac:dyDescent="0.25">
      <c r="A15" t="s">
        <v>4376</v>
      </c>
      <c r="B15" t="s">
        <v>3558</v>
      </c>
      <c r="C15" t="s">
        <v>3472</v>
      </c>
      <c r="D15" t="s">
        <v>3473</v>
      </c>
      <c r="E15" t="s">
        <v>3474</v>
      </c>
      <c r="F15" t="s">
        <v>3475</v>
      </c>
      <c r="G15" t="s">
        <v>3476</v>
      </c>
      <c r="H15" t="s">
        <v>3559</v>
      </c>
      <c r="I15" t="s">
        <v>3496</v>
      </c>
      <c r="J15" t="s">
        <v>3552</v>
      </c>
      <c r="K15" t="s">
        <v>3553</v>
      </c>
      <c r="L15" t="s">
        <v>3481</v>
      </c>
      <c r="M15" t="s">
        <v>3482</v>
      </c>
      <c r="N15" t="s">
        <v>3560</v>
      </c>
      <c r="O15" t="s">
        <v>3561</v>
      </c>
      <c r="P15" t="s">
        <v>3562</v>
      </c>
      <c r="Q15" t="s">
        <v>3561</v>
      </c>
      <c r="R15" t="s">
        <v>3485</v>
      </c>
      <c r="S15" t="s">
        <v>3486</v>
      </c>
      <c r="T15" t="s">
        <v>3478</v>
      </c>
      <c r="U15" t="s">
        <v>3496</v>
      </c>
    </row>
    <row r="16" spans="1:21" x14ac:dyDescent="0.25">
      <c r="A16" t="s">
        <v>4377</v>
      </c>
      <c r="B16" t="s">
        <v>3563</v>
      </c>
      <c r="C16" t="s">
        <v>3472</v>
      </c>
      <c r="D16" t="s">
        <v>3473</v>
      </c>
      <c r="E16" t="s">
        <v>3474</v>
      </c>
      <c r="F16" t="s">
        <v>3475</v>
      </c>
      <c r="G16" t="s">
        <v>3476</v>
      </c>
      <c r="H16" t="s">
        <v>3564</v>
      </c>
      <c r="I16" t="s">
        <v>3478</v>
      </c>
      <c r="J16" t="s">
        <v>3565</v>
      </c>
      <c r="K16" t="s">
        <v>3566</v>
      </c>
      <c r="L16" t="s">
        <v>3481</v>
      </c>
      <c r="M16" t="s">
        <v>3482</v>
      </c>
      <c r="N16" t="s">
        <v>3567</v>
      </c>
      <c r="O16" t="s">
        <v>3568</v>
      </c>
      <c r="P16" t="s">
        <v>3569</v>
      </c>
      <c r="Q16" t="s">
        <v>3568</v>
      </c>
      <c r="R16" t="s">
        <v>3525</v>
      </c>
      <c r="S16" t="s">
        <v>3526</v>
      </c>
      <c r="T16" t="s">
        <v>3478</v>
      </c>
      <c r="U16" t="s">
        <v>3478</v>
      </c>
    </row>
    <row r="17" spans="1:21" x14ac:dyDescent="0.25">
      <c r="A17" t="s">
        <v>4378</v>
      </c>
      <c r="B17" t="s">
        <v>3570</v>
      </c>
      <c r="C17" t="s">
        <v>3472</v>
      </c>
      <c r="D17" t="s">
        <v>3473</v>
      </c>
      <c r="E17" t="s">
        <v>3474</v>
      </c>
      <c r="F17" t="s">
        <v>3475</v>
      </c>
      <c r="G17" t="s">
        <v>3476</v>
      </c>
      <c r="H17" t="s">
        <v>3571</v>
      </c>
      <c r="I17" t="s">
        <v>3478</v>
      </c>
      <c r="J17" t="s">
        <v>3572</v>
      </c>
      <c r="K17" t="s">
        <v>3573</v>
      </c>
      <c r="L17" t="s">
        <v>3481</v>
      </c>
      <c r="M17" t="s">
        <v>3574</v>
      </c>
      <c r="N17" t="s">
        <v>3575</v>
      </c>
      <c r="O17" t="s">
        <v>3576</v>
      </c>
      <c r="P17" t="s">
        <v>3576</v>
      </c>
      <c r="Q17" t="s">
        <v>3576</v>
      </c>
      <c r="R17" t="s">
        <v>3492</v>
      </c>
      <c r="S17" t="s">
        <v>3493</v>
      </c>
      <c r="T17" t="s">
        <v>3478</v>
      </c>
      <c r="U17" t="s">
        <v>3478</v>
      </c>
    </row>
    <row r="18" spans="1:21" x14ac:dyDescent="0.25">
      <c r="A18">
        <v>2691471</v>
      </c>
      <c r="B18" t="s">
        <v>3577</v>
      </c>
      <c r="C18" t="s">
        <v>3472</v>
      </c>
      <c r="D18" t="s">
        <v>3473</v>
      </c>
      <c r="E18" t="s">
        <v>3474</v>
      </c>
      <c r="F18" t="s">
        <v>3475</v>
      </c>
      <c r="G18" t="s">
        <v>3476</v>
      </c>
      <c r="H18" t="s">
        <v>3578</v>
      </c>
      <c r="I18" t="s">
        <v>3478</v>
      </c>
      <c r="J18" t="s">
        <v>3579</v>
      </c>
      <c r="K18" t="s">
        <v>3573</v>
      </c>
      <c r="L18" t="s">
        <v>3481</v>
      </c>
      <c r="M18" t="s">
        <v>3482</v>
      </c>
      <c r="N18" t="s">
        <v>3580</v>
      </c>
      <c r="O18" t="s">
        <v>3581</v>
      </c>
      <c r="P18" t="s">
        <v>3581</v>
      </c>
      <c r="Q18" t="s">
        <v>3581</v>
      </c>
      <c r="R18" t="s">
        <v>3582</v>
      </c>
      <c r="S18" t="s">
        <v>3583</v>
      </c>
      <c r="T18" t="s">
        <v>3478</v>
      </c>
      <c r="U18" t="s">
        <v>3478</v>
      </c>
    </row>
    <row r="19" spans="1:21" x14ac:dyDescent="0.25">
      <c r="A19" t="s">
        <v>4379</v>
      </c>
      <c r="B19" t="s">
        <v>3584</v>
      </c>
      <c r="C19" t="s">
        <v>3472</v>
      </c>
      <c r="D19" t="s">
        <v>3473</v>
      </c>
      <c r="E19" t="s">
        <v>3474</v>
      </c>
      <c r="F19" t="s">
        <v>3475</v>
      </c>
      <c r="G19" t="s">
        <v>3476</v>
      </c>
      <c r="H19" t="s">
        <v>3578</v>
      </c>
      <c r="I19" t="s">
        <v>3478</v>
      </c>
      <c r="J19" t="s">
        <v>3579</v>
      </c>
      <c r="K19" t="s">
        <v>3573</v>
      </c>
      <c r="L19" t="s">
        <v>3481</v>
      </c>
      <c r="M19" t="s">
        <v>3482</v>
      </c>
      <c r="N19" t="s">
        <v>3580</v>
      </c>
      <c r="O19" t="s">
        <v>3581</v>
      </c>
      <c r="P19" t="s">
        <v>3581</v>
      </c>
      <c r="Q19" t="s">
        <v>3581</v>
      </c>
      <c r="R19" t="s">
        <v>3582</v>
      </c>
      <c r="S19" t="s">
        <v>3583</v>
      </c>
      <c r="T19" t="s">
        <v>3478</v>
      </c>
      <c r="U19" t="s">
        <v>3478</v>
      </c>
    </row>
    <row r="20" spans="1:21" x14ac:dyDescent="0.25">
      <c r="A20" t="s">
        <v>4380</v>
      </c>
      <c r="B20" t="s">
        <v>3585</v>
      </c>
      <c r="C20" t="s">
        <v>3472</v>
      </c>
      <c r="D20" t="s">
        <v>3473</v>
      </c>
      <c r="E20" t="s">
        <v>3474</v>
      </c>
      <c r="F20" t="s">
        <v>3475</v>
      </c>
      <c r="G20" t="s">
        <v>3476</v>
      </c>
      <c r="H20" t="s">
        <v>3586</v>
      </c>
      <c r="I20" t="s">
        <v>3478</v>
      </c>
      <c r="J20" t="s">
        <v>3587</v>
      </c>
      <c r="K20" t="s">
        <v>47</v>
      </c>
      <c r="L20" t="s">
        <v>3481</v>
      </c>
      <c r="M20" t="s">
        <v>3482</v>
      </c>
      <c r="N20" t="s">
        <v>3588</v>
      </c>
      <c r="O20" t="s">
        <v>3589</v>
      </c>
      <c r="P20" t="s">
        <v>3589</v>
      </c>
      <c r="Q20" t="s">
        <v>3589</v>
      </c>
      <c r="R20" t="s">
        <v>3485</v>
      </c>
      <c r="S20" t="s">
        <v>3486</v>
      </c>
      <c r="T20" t="s">
        <v>3478</v>
      </c>
      <c r="U20" t="s">
        <v>3478</v>
      </c>
    </row>
    <row r="21" spans="1:21" x14ac:dyDescent="0.25">
      <c r="A21" t="s">
        <v>4381</v>
      </c>
      <c r="B21" t="s">
        <v>3590</v>
      </c>
      <c r="C21" t="s">
        <v>3472</v>
      </c>
      <c r="D21" t="s">
        <v>3473</v>
      </c>
      <c r="E21" t="s">
        <v>3474</v>
      </c>
      <c r="F21" t="s">
        <v>3475</v>
      </c>
      <c r="G21" t="s">
        <v>3476</v>
      </c>
      <c r="H21" t="s">
        <v>3591</v>
      </c>
      <c r="I21" t="s">
        <v>3478</v>
      </c>
      <c r="J21" t="s">
        <v>3579</v>
      </c>
      <c r="K21" t="s">
        <v>47</v>
      </c>
      <c r="L21" t="s">
        <v>3481</v>
      </c>
      <c r="M21" t="s">
        <v>3482</v>
      </c>
      <c r="N21" t="s">
        <v>3592</v>
      </c>
      <c r="O21" t="s">
        <v>3593</v>
      </c>
      <c r="P21" t="s">
        <v>3593</v>
      </c>
      <c r="Q21" t="s">
        <v>3593</v>
      </c>
      <c r="R21" t="s">
        <v>3525</v>
      </c>
      <c r="S21" t="s">
        <v>3526</v>
      </c>
      <c r="T21" t="s">
        <v>3478</v>
      </c>
      <c r="U21" t="s">
        <v>3478</v>
      </c>
    </row>
    <row r="22" spans="1:21" x14ac:dyDescent="0.25">
      <c r="A22" t="s">
        <v>4382</v>
      </c>
      <c r="B22" t="s">
        <v>3594</v>
      </c>
      <c r="C22" t="s">
        <v>3472</v>
      </c>
      <c r="D22" t="s">
        <v>3473</v>
      </c>
      <c r="E22" t="s">
        <v>3474</v>
      </c>
      <c r="F22" t="s">
        <v>3475</v>
      </c>
      <c r="G22" t="s">
        <v>3476</v>
      </c>
      <c r="H22" t="s">
        <v>3591</v>
      </c>
      <c r="I22" t="s">
        <v>3478</v>
      </c>
      <c r="J22" t="s">
        <v>3579</v>
      </c>
      <c r="K22" t="s">
        <v>47</v>
      </c>
      <c r="L22" t="s">
        <v>3481</v>
      </c>
      <c r="M22" t="s">
        <v>3482</v>
      </c>
      <c r="N22" t="s">
        <v>3592</v>
      </c>
      <c r="O22" t="s">
        <v>3593</v>
      </c>
      <c r="P22" t="s">
        <v>3593</v>
      </c>
      <c r="Q22" t="s">
        <v>3593</v>
      </c>
      <c r="R22" t="s">
        <v>3525</v>
      </c>
      <c r="S22" t="s">
        <v>3526</v>
      </c>
      <c r="T22" t="s">
        <v>3478</v>
      </c>
      <c r="U22" t="s">
        <v>3478</v>
      </c>
    </row>
    <row r="23" spans="1:21" x14ac:dyDescent="0.25">
      <c r="A23" t="s">
        <v>4383</v>
      </c>
      <c r="B23" t="s">
        <v>3595</v>
      </c>
      <c r="C23" t="s">
        <v>3472</v>
      </c>
      <c r="D23" t="s">
        <v>3473</v>
      </c>
      <c r="E23" t="s">
        <v>3474</v>
      </c>
      <c r="F23" t="s">
        <v>3475</v>
      </c>
      <c r="G23" t="s">
        <v>3476</v>
      </c>
      <c r="H23" t="s">
        <v>3596</v>
      </c>
      <c r="I23" t="s">
        <v>3496</v>
      </c>
      <c r="J23" t="s">
        <v>3597</v>
      </c>
      <c r="K23" t="s">
        <v>47</v>
      </c>
      <c r="L23" t="s">
        <v>3481</v>
      </c>
      <c r="M23" t="s">
        <v>3482</v>
      </c>
      <c r="N23" t="s">
        <v>3598</v>
      </c>
      <c r="O23" t="s">
        <v>3599</v>
      </c>
      <c r="P23" t="s">
        <v>3600</v>
      </c>
      <c r="Q23" t="s">
        <v>3599</v>
      </c>
      <c r="R23" t="s">
        <v>3492</v>
      </c>
      <c r="S23" t="s">
        <v>3493</v>
      </c>
      <c r="T23" t="s">
        <v>3478</v>
      </c>
      <c r="U23" t="s">
        <v>3496</v>
      </c>
    </row>
    <row r="24" spans="1:21" x14ac:dyDescent="0.25">
      <c r="A24" t="s">
        <v>4383</v>
      </c>
      <c r="B24" t="s">
        <v>3601</v>
      </c>
      <c r="C24" t="s">
        <v>3472</v>
      </c>
      <c r="D24" t="s">
        <v>3473</v>
      </c>
      <c r="E24" t="s">
        <v>3474</v>
      </c>
      <c r="F24" t="s">
        <v>3475</v>
      </c>
      <c r="G24" t="s">
        <v>3476</v>
      </c>
      <c r="H24" t="s">
        <v>3602</v>
      </c>
      <c r="I24" t="s">
        <v>3502</v>
      </c>
      <c r="J24" t="s">
        <v>3597</v>
      </c>
      <c r="K24" t="s">
        <v>47</v>
      </c>
      <c r="L24" t="s">
        <v>3481</v>
      </c>
      <c r="M24" t="s">
        <v>3482</v>
      </c>
      <c r="N24" t="s">
        <v>3598</v>
      </c>
      <c r="O24" t="s">
        <v>3603</v>
      </c>
      <c r="P24" t="s">
        <v>3604</v>
      </c>
      <c r="Q24" t="s">
        <v>3603</v>
      </c>
      <c r="R24" t="s">
        <v>3492</v>
      </c>
      <c r="S24" t="s">
        <v>3493</v>
      </c>
      <c r="T24" t="s">
        <v>3478</v>
      </c>
      <c r="U24" t="s">
        <v>3502</v>
      </c>
    </row>
    <row r="25" spans="1:21" x14ac:dyDescent="0.25">
      <c r="A25" t="s">
        <v>4384</v>
      </c>
      <c r="B25" t="s">
        <v>3605</v>
      </c>
      <c r="C25" t="s">
        <v>3472</v>
      </c>
      <c r="D25" t="s">
        <v>3473</v>
      </c>
      <c r="E25" t="s">
        <v>3474</v>
      </c>
      <c r="F25" t="s">
        <v>3475</v>
      </c>
      <c r="G25" t="s">
        <v>3476</v>
      </c>
      <c r="H25" t="s">
        <v>3606</v>
      </c>
      <c r="I25" t="s">
        <v>3478</v>
      </c>
      <c r="J25" t="s">
        <v>3597</v>
      </c>
      <c r="K25" t="s">
        <v>47</v>
      </c>
      <c r="L25" t="s">
        <v>3481</v>
      </c>
      <c r="M25" t="s">
        <v>3482</v>
      </c>
      <c r="N25" t="s">
        <v>3607</v>
      </c>
      <c r="O25" t="s">
        <v>3608</v>
      </c>
      <c r="P25" t="s">
        <v>3609</v>
      </c>
      <c r="Q25" t="s">
        <v>3608</v>
      </c>
      <c r="R25" t="s">
        <v>3485</v>
      </c>
      <c r="S25" t="s">
        <v>3486</v>
      </c>
      <c r="T25" t="s">
        <v>3478</v>
      </c>
      <c r="U25" t="s">
        <v>3478</v>
      </c>
    </row>
    <row r="26" spans="1:21" x14ac:dyDescent="0.25">
      <c r="A26" t="s">
        <v>4380</v>
      </c>
      <c r="B26" t="s">
        <v>3610</v>
      </c>
      <c r="C26" t="s">
        <v>3472</v>
      </c>
      <c r="D26" t="s">
        <v>3473</v>
      </c>
      <c r="E26" t="s">
        <v>3474</v>
      </c>
      <c r="F26" t="s">
        <v>3475</v>
      </c>
      <c r="G26" t="s">
        <v>3476</v>
      </c>
      <c r="H26" t="s">
        <v>3611</v>
      </c>
      <c r="I26" t="s">
        <v>3496</v>
      </c>
      <c r="J26" t="s">
        <v>3587</v>
      </c>
      <c r="K26" t="s">
        <v>47</v>
      </c>
      <c r="L26" t="s">
        <v>3481</v>
      </c>
      <c r="M26" t="s">
        <v>3482</v>
      </c>
      <c r="N26" t="s">
        <v>3612</v>
      </c>
      <c r="O26" t="s">
        <v>3613</v>
      </c>
      <c r="P26" t="s">
        <v>3614</v>
      </c>
      <c r="Q26" t="s">
        <v>3613</v>
      </c>
      <c r="R26" t="s">
        <v>3492</v>
      </c>
      <c r="S26" t="s">
        <v>3493</v>
      </c>
      <c r="T26" t="s">
        <v>3478</v>
      </c>
      <c r="U26" t="s">
        <v>3496</v>
      </c>
    </row>
    <row r="27" spans="1:21" x14ac:dyDescent="0.25">
      <c r="A27" t="s">
        <v>4385</v>
      </c>
      <c r="B27" t="s">
        <v>3615</v>
      </c>
      <c r="C27" t="s">
        <v>3472</v>
      </c>
      <c r="D27" t="s">
        <v>3473</v>
      </c>
      <c r="E27" t="s">
        <v>3474</v>
      </c>
      <c r="F27" t="s">
        <v>3475</v>
      </c>
      <c r="G27" t="s">
        <v>3476</v>
      </c>
      <c r="H27" t="s">
        <v>3616</v>
      </c>
      <c r="I27" t="s">
        <v>3478</v>
      </c>
      <c r="J27" t="s">
        <v>3617</v>
      </c>
      <c r="K27" t="s">
        <v>47</v>
      </c>
      <c r="L27" t="s">
        <v>3481</v>
      </c>
      <c r="M27" t="s">
        <v>3482</v>
      </c>
      <c r="N27" t="s">
        <v>3612</v>
      </c>
      <c r="O27" t="s">
        <v>3618</v>
      </c>
      <c r="P27" t="s">
        <v>3619</v>
      </c>
      <c r="Q27" t="s">
        <v>3618</v>
      </c>
      <c r="R27" t="s">
        <v>3485</v>
      </c>
      <c r="S27" t="s">
        <v>3486</v>
      </c>
      <c r="T27" t="s">
        <v>3478</v>
      </c>
      <c r="U27" t="s">
        <v>3478</v>
      </c>
    </row>
    <row r="28" spans="1:21" x14ac:dyDescent="0.25">
      <c r="A28" t="s">
        <v>4386</v>
      </c>
      <c r="B28" t="s">
        <v>3620</v>
      </c>
      <c r="C28" t="s">
        <v>3472</v>
      </c>
      <c r="D28" t="s">
        <v>3473</v>
      </c>
      <c r="E28" t="s">
        <v>3474</v>
      </c>
      <c r="F28" t="s">
        <v>3475</v>
      </c>
      <c r="G28" t="s">
        <v>3476</v>
      </c>
      <c r="H28" t="s">
        <v>3621</v>
      </c>
      <c r="I28" t="s">
        <v>3478</v>
      </c>
      <c r="J28" t="s">
        <v>3622</v>
      </c>
      <c r="K28" t="s">
        <v>47</v>
      </c>
      <c r="L28" t="s">
        <v>3481</v>
      </c>
      <c r="M28" t="s">
        <v>3482</v>
      </c>
      <c r="N28" t="s">
        <v>3612</v>
      </c>
      <c r="O28" t="s">
        <v>3618</v>
      </c>
      <c r="P28" t="s">
        <v>3619</v>
      </c>
      <c r="Q28" t="s">
        <v>3618</v>
      </c>
      <c r="R28" t="s">
        <v>3485</v>
      </c>
      <c r="S28" t="s">
        <v>3486</v>
      </c>
      <c r="T28" t="s">
        <v>3478</v>
      </c>
      <c r="U28" t="s">
        <v>3478</v>
      </c>
    </row>
    <row r="29" spans="1:21" x14ac:dyDescent="0.25">
      <c r="A29" t="s">
        <v>4387</v>
      </c>
      <c r="B29" t="s">
        <v>3623</v>
      </c>
      <c r="C29" t="s">
        <v>3472</v>
      </c>
      <c r="D29" t="s">
        <v>3473</v>
      </c>
      <c r="E29" t="s">
        <v>3474</v>
      </c>
      <c r="F29" t="s">
        <v>3475</v>
      </c>
      <c r="G29" t="s">
        <v>3476</v>
      </c>
      <c r="H29" t="s">
        <v>3624</v>
      </c>
      <c r="I29" t="s">
        <v>3478</v>
      </c>
      <c r="J29" t="s">
        <v>3617</v>
      </c>
      <c r="K29" t="s">
        <v>47</v>
      </c>
      <c r="L29" t="s">
        <v>3481</v>
      </c>
      <c r="M29" t="s">
        <v>3482</v>
      </c>
      <c r="N29" t="s">
        <v>3612</v>
      </c>
      <c r="O29" t="s">
        <v>3625</v>
      </c>
      <c r="P29" t="s">
        <v>3626</v>
      </c>
      <c r="Q29" t="s">
        <v>3625</v>
      </c>
      <c r="R29" t="s">
        <v>3485</v>
      </c>
      <c r="S29" t="s">
        <v>3486</v>
      </c>
      <c r="T29" t="s">
        <v>3478</v>
      </c>
      <c r="U29" t="s">
        <v>3478</v>
      </c>
    </row>
    <row r="30" spans="1:21" x14ac:dyDescent="0.25">
      <c r="A30" t="s">
        <v>4388</v>
      </c>
      <c r="B30" t="s">
        <v>3627</v>
      </c>
      <c r="C30" t="s">
        <v>3472</v>
      </c>
      <c r="D30" t="s">
        <v>3473</v>
      </c>
      <c r="E30" t="s">
        <v>3474</v>
      </c>
      <c r="F30" t="s">
        <v>3475</v>
      </c>
      <c r="G30" t="s">
        <v>3476</v>
      </c>
      <c r="H30" t="s">
        <v>3628</v>
      </c>
      <c r="I30" t="s">
        <v>3496</v>
      </c>
      <c r="J30" t="s">
        <v>3622</v>
      </c>
      <c r="K30" t="s">
        <v>47</v>
      </c>
      <c r="L30" t="s">
        <v>3481</v>
      </c>
      <c r="M30" t="s">
        <v>3482</v>
      </c>
      <c r="N30" t="s">
        <v>3612</v>
      </c>
      <c r="O30" t="s">
        <v>3625</v>
      </c>
      <c r="P30" t="s">
        <v>3626</v>
      </c>
      <c r="Q30" t="s">
        <v>3625</v>
      </c>
      <c r="R30" t="s">
        <v>3485</v>
      </c>
      <c r="S30" t="s">
        <v>3486</v>
      </c>
      <c r="T30" t="s">
        <v>3478</v>
      </c>
      <c r="U30" t="s">
        <v>3496</v>
      </c>
    </row>
    <row r="31" spans="1:21" x14ac:dyDescent="0.25">
      <c r="A31" t="s">
        <v>4389</v>
      </c>
      <c r="B31" t="s">
        <v>3629</v>
      </c>
      <c r="C31" t="s">
        <v>3472</v>
      </c>
      <c r="D31" t="s">
        <v>3473</v>
      </c>
      <c r="E31" t="s">
        <v>3474</v>
      </c>
      <c r="F31" t="s">
        <v>3475</v>
      </c>
      <c r="G31" t="s">
        <v>3476</v>
      </c>
      <c r="H31" t="s">
        <v>3630</v>
      </c>
      <c r="I31" t="s">
        <v>3478</v>
      </c>
      <c r="J31" t="s">
        <v>3631</v>
      </c>
      <c r="K31" t="s">
        <v>3632</v>
      </c>
      <c r="L31" t="s">
        <v>3481</v>
      </c>
      <c r="M31" t="s">
        <v>3482</v>
      </c>
      <c r="N31" t="s">
        <v>3633</v>
      </c>
      <c r="O31" t="s">
        <v>3634</v>
      </c>
      <c r="P31" t="s">
        <v>3634</v>
      </c>
      <c r="Q31" t="s">
        <v>3634</v>
      </c>
      <c r="R31" t="s">
        <v>3485</v>
      </c>
      <c r="S31" t="s">
        <v>3486</v>
      </c>
      <c r="T31" t="s">
        <v>3478</v>
      </c>
      <c r="U31" t="s">
        <v>3478</v>
      </c>
    </row>
    <row r="32" spans="1:21" x14ac:dyDescent="0.25">
      <c r="A32" t="s">
        <v>4390</v>
      </c>
      <c r="B32" t="s">
        <v>3635</v>
      </c>
      <c r="C32" t="s">
        <v>3472</v>
      </c>
      <c r="D32" t="s">
        <v>3473</v>
      </c>
      <c r="E32" t="s">
        <v>3474</v>
      </c>
      <c r="F32" t="s">
        <v>3475</v>
      </c>
      <c r="G32" t="s">
        <v>3476</v>
      </c>
      <c r="H32" t="s">
        <v>3482</v>
      </c>
      <c r="I32" t="s">
        <v>3478</v>
      </c>
      <c r="J32" t="s">
        <v>3636</v>
      </c>
      <c r="K32" t="s">
        <v>3632</v>
      </c>
      <c r="L32" t="s">
        <v>3481</v>
      </c>
      <c r="M32" t="s">
        <v>3482</v>
      </c>
      <c r="N32" t="s">
        <v>3637</v>
      </c>
      <c r="O32" t="s">
        <v>3638</v>
      </c>
      <c r="P32" t="s">
        <v>3638</v>
      </c>
      <c r="Q32" t="s">
        <v>3638</v>
      </c>
      <c r="R32" t="s">
        <v>3492</v>
      </c>
      <c r="S32" t="s">
        <v>3493</v>
      </c>
      <c r="T32" t="s">
        <v>3478</v>
      </c>
      <c r="U32" t="s">
        <v>3478</v>
      </c>
    </row>
    <row r="33" spans="1:21" x14ac:dyDescent="0.25">
      <c r="A33" t="s">
        <v>4390</v>
      </c>
      <c r="B33" t="s">
        <v>3639</v>
      </c>
      <c r="C33" t="s">
        <v>3472</v>
      </c>
      <c r="D33" t="s">
        <v>3473</v>
      </c>
      <c r="E33" t="s">
        <v>3474</v>
      </c>
      <c r="F33" t="s">
        <v>3475</v>
      </c>
      <c r="G33" t="s">
        <v>3476</v>
      </c>
      <c r="H33" t="s">
        <v>3482</v>
      </c>
      <c r="I33" t="s">
        <v>3496</v>
      </c>
      <c r="J33" t="s">
        <v>3636</v>
      </c>
      <c r="K33" t="s">
        <v>3632</v>
      </c>
      <c r="L33" t="s">
        <v>3481</v>
      </c>
      <c r="M33" t="s">
        <v>3482</v>
      </c>
      <c r="N33" t="s">
        <v>3637</v>
      </c>
      <c r="O33" t="s">
        <v>3640</v>
      </c>
      <c r="P33" t="s">
        <v>3640</v>
      </c>
      <c r="Q33" t="s">
        <v>3640</v>
      </c>
      <c r="R33" t="s">
        <v>3492</v>
      </c>
      <c r="S33" t="s">
        <v>3493</v>
      </c>
      <c r="T33" t="s">
        <v>3478</v>
      </c>
      <c r="U33" t="s">
        <v>3496</v>
      </c>
    </row>
    <row r="34" spans="1:21" x14ac:dyDescent="0.25">
      <c r="A34" t="s">
        <v>4391</v>
      </c>
      <c r="B34" t="s">
        <v>3641</v>
      </c>
      <c r="C34" t="s">
        <v>3472</v>
      </c>
      <c r="D34" t="s">
        <v>3473</v>
      </c>
      <c r="E34" t="s">
        <v>3474</v>
      </c>
      <c r="F34" t="s">
        <v>3475</v>
      </c>
      <c r="G34" t="s">
        <v>3476</v>
      </c>
      <c r="H34" t="s">
        <v>3642</v>
      </c>
      <c r="I34" t="s">
        <v>3478</v>
      </c>
      <c r="J34" t="s">
        <v>3579</v>
      </c>
      <c r="K34" t="s">
        <v>3643</v>
      </c>
      <c r="L34" t="s">
        <v>3481</v>
      </c>
      <c r="M34" t="s">
        <v>3482</v>
      </c>
      <c r="N34" t="s">
        <v>3644</v>
      </c>
      <c r="O34" t="s">
        <v>3645</v>
      </c>
      <c r="P34" t="s">
        <v>3645</v>
      </c>
      <c r="Q34" t="s">
        <v>3645</v>
      </c>
      <c r="R34" t="s">
        <v>3525</v>
      </c>
      <c r="S34" t="s">
        <v>3526</v>
      </c>
      <c r="T34" t="s">
        <v>3478</v>
      </c>
      <c r="U34" t="s">
        <v>3478</v>
      </c>
    </row>
    <row r="35" spans="1:21" x14ac:dyDescent="0.25">
      <c r="A35" t="s">
        <v>4392</v>
      </c>
      <c r="B35" t="s">
        <v>3646</v>
      </c>
      <c r="C35" t="s">
        <v>3472</v>
      </c>
      <c r="D35" t="s">
        <v>3473</v>
      </c>
      <c r="E35" t="s">
        <v>3474</v>
      </c>
      <c r="F35" t="s">
        <v>3475</v>
      </c>
      <c r="G35" t="s">
        <v>3476</v>
      </c>
      <c r="H35" t="s">
        <v>3647</v>
      </c>
      <c r="I35" t="s">
        <v>3478</v>
      </c>
      <c r="J35" t="s">
        <v>3579</v>
      </c>
      <c r="K35" t="s">
        <v>3643</v>
      </c>
      <c r="L35" t="s">
        <v>3481</v>
      </c>
      <c r="M35" t="s">
        <v>3482</v>
      </c>
      <c r="N35" t="s">
        <v>3644</v>
      </c>
      <c r="O35" t="s">
        <v>3648</v>
      </c>
      <c r="P35" t="s">
        <v>3649</v>
      </c>
      <c r="Q35" t="s">
        <v>3648</v>
      </c>
      <c r="R35" t="s">
        <v>3525</v>
      </c>
      <c r="S35" t="s">
        <v>3526</v>
      </c>
      <c r="T35" t="s">
        <v>3478</v>
      </c>
      <c r="U35" t="s">
        <v>3478</v>
      </c>
    </row>
    <row r="36" spans="1:21" x14ac:dyDescent="0.25">
      <c r="A36" t="s">
        <v>4393</v>
      </c>
      <c r="B36" t="s">
        <v>3650</v>
      </c>
      <c r="C36" t="s">
        <v>3472</v>
      </c>
      <c r="D36" t="s">
        <v>3473</v>
      </c>
      <c r="E36" t="s">
        <v>3474</v>
      </c>
      <c r="F36" t="s">
        <v>3475</v>
      </c>
      <c r="G36" t="s">
        <v>3476</v>
      </c>
      <c r="H36" t="s">
        <v>3651</v>
      </c>
      <c r="I36" t="s">
        <v>3478</v>
      </c>
      <c r="J36" t="s">
        <v>3652</v>
      </c>
      <c r="K36" t="s">
        <v>3643</v>
      </c>
      <c r="L36" t="s">
        <v>3481</v>
      </c>
      <c r="M36" t="s">
        <v>3482</v>
      </c>
      <c r="N36" t="s">
        <v>3653</v>
      </c>
      <c r="O36" t="s">
        <v>3654</v>
      </c>
      <c r="P36" t="s">
        <v>3655</v>
      </c>
      <c r="Q36" t="s">
        <v>3654</v>
      </c>
      <c r="R36" t="s">
        <v>3525</v>
      </c>
      <c r="S36" t="s">
        <v>3526</v>
      </c>
      <c r="T36" t="s">
        <v>3478</v>
      </c>
      <c r="U36" t="s">
        <v>3478</v>
      </c>
    </row>
    <row r="37" spans="1:21" x14ac:dyDescent="0.25">
      <c r="A37" t="s">
        <v>4394</v>
      </c>
      <c r="B37" t="s">
        <v>3656</v>
      </c>
      <c r="C37" t="s">
        <v>3472</v>
      </c>
      <c r="D37" t="s">
        <v>3473</v>
      </c>
      <c r="E37" t="s">
        <v>3474</v>
      </c>
      <c r="F37" t="s">
        <v>3475</v>
      </c>
      <c r="G37" t="s">
        <v>3476</v>
      </c>
      <c r="H37" t="s">
        <v>3657</v>
      </c>
      <c r="I37" t="s">
        <v>3478</v>
      </c>
      <c r="J37" t="s">
        <v>3658</v>
      </c>
      <c r="K37" t="s">
        <v>3643</v>
      </c>
      <c r="L37" t="s">
        <v>3481</v>
      </c>
      <c r="M37" t="s">
        <v>3482</v>
      </c>
      <c r="N37" t="s">
        <v>3653</v>
      </c>
      <c r="O37" t="s">
        <v>3654</v>
      </c>
      <c r="P37" t="s">
        <v>3655</v>
      </c>
      <c r="Q37" t="s">
        <v>3654</v>
      </c>
      <c r="R37" t="s">
        <v>3525</v>
      </c>
      <c r="S37" t="s">
        <v>3526</v>
      </c>
      <c r="T37" t="s">
        <v>3478</v>
      </c>
      <c r="U37" t="s">
        <v>3478</v>
      </c>
    </row>
    <row r="38" spans="1:21" x14ac:dyDescent="0.25">
      <c r="A38" t="s">
        <v>4393</v>
      </c>
      <c r="B38" t="s">
        <v>3659</v>
      </c>
      <c r="C38" t="s">
        <v>3472</v>
      </c>
      <c r="D38" t="s">
        <v>3473</v>
      </c>
      <c r="E38" t="s">
        <v>3474</v>
      </c>
      <c r="F38" t="s">
        <v>3475</v>
      </c>
      <c r="G38" t="s">
        <v>3476</v>
      </c>
      <c r="H38" t="s">
        <v>3660</v>
      </c>
      <c r="I38" t="s">
        <v>3496</v>
      </c>
      <c r="J38" t="s">
        <v>3652</v>
      </c>
      <c r="K38" t="s">
        <v>3643</v>
      </c>
      <c r="L38" t="s">
        <v>3481</v>
      </c>
      <c r="M38" t="s">
        <v>3482</v>
      </c>
      <c r="N38" t="s">
        <v>3653</v>
      </c>
      <c r="O38" t="s">
        <v>3661</v>
      </c>
      <c r="P38" t="s">
        <v>3662</v>
      </c>
      <c r="Q38" t="s">
        <v>3661</v>
      </c>
      <c r="R38" t="s">
        <v>3525</v>
      </c>
      <c r="S38" t="s">
        <v>3526</v>
      </c>
      <c r="T38" t="s">
        <v>3478</v>
      </c>
      <c r="U38" t="s">
        <v>3496</v>
      </c>
    </row>
    <row r="39" spans="1:21" x14ac:dyDescent="0.25">
      <c r="A39" t="s">
        <v>4394</v>
      </c>
      <c r="B39" t="s">
        <v>3663</v>
      </c>
      <c r="C39" t="s">
        <v>3472</v>
      </c>
      <c r="D39" t="s">
        <v>3473</v>
      </c>
      <c r="E39" t="s">
        <v>3474</v>
      </c>
      <c r="F39" t="s">
        <v>3475</v>
      </c>
      <c r="G39" t="s">
        <v>3476</v>
      </c>
      <c r="H39" t="s">
        <v>3660</v>
      </c>
      <c r="I39" t="s">
        <v>3496</v>
      </c>
      <c r="J39" t="s">
        <v>3658</v>
      </c>
      <c r="K39" t="s">
        <v>3643</v>
      </c>
      <c r="L39" t="s">
        <v>3481</v>
      </c>
      <c r="M39" t="s">
        <v>3482</v>
      </c>
      <c r="N39" t="s">
        <v>3653</v>
      </c>
      <c r="O39" t="s">
        <v>3661</v>
      </c>
      <c r="P39" t="s">
        <v>3662</v>
      </c>
      <c r="Q39" t="s">
        <v>3661</v>
      </c>
      <c r="R39" t="s">
        <v>3525</v>
      </c>
      <c r="S39" t="s">
        <v>3526</v>
      </c>
      <c r="T39" t="s">
        <v>3478</v>
      </c>
      <c r="U39" t="s">
        <v>3496</v>
      </c>
    </row>
    <row r="40" spans="1:21" x14ac:dyDescent="0.25">
      <c r="A40" t="s">
        <v>4394</v>
      </c>
      <c r="B40" t="s">
        <v>3664</v>
      </c>
      <c r="C40" t="s">
        <v>3472</v>
      </c>
      <c r="D40" t="s">
        <v>3473</v>
      </c>
      <c r="E40" t="s">
        <v>3474</v>
      </c>
      <c r="F40" t="s">
        <v>3475</v>
      </c>
      <c r="G40" t="s">
        <v>3476</v>
      </c>
      <c r="H40" t="s">
        <v>3665</v>
      </c>
      <c r="I40" t="s">
        <v>3502</v>
      </c>
      <c r="J40" t="s">
        <v>3658</v>
      </c>
      <c r="K40" t="s">
        <v>3643</v>
      </c>
      <c r="L40" t="s">
        <v>3481</v>
      </c>
      <c r="M40" t="s">
        <v>3482</v>
      </c>
      <c r="N40" t="s">
        <v>3653</v>
      </c>
      <c r="O40" t="s">
        <v>3666</v>
      </c>
      <c r="P40" t="s">
        <v>3667</v>
      </c>
      <c r="Q40" t="s">
        <v>3666</v>
      </c>
      <c r="R40" t="s">
        <v>3532</v>
      </c>
      <c r="S40" t="s">
        <v>3533</v>
      </c>
      <c r="T40" t="s">
        <v>3478</v>
      </c>
      <c r="U40" t="s">
        <v>3502</v>
      </c>
    </row>
    <row r="41" spans="1:21" x14ac:dyDescent="0.25">
      <c r="A41" t="s">
        <v>4393</v>
      </c>
      <c r="B41" t="s">
        <v>3668</v>
      </c>
      <c r="C41" t="s">
        <v>3472</v>
      </c>
      <c r="D41" t="s">
        <v>3473</v>
      </c>
      <c r="E41" t="s">
        <v>3474</v>
      </c>
      <c r="F41" t="s">
        <v>3475</v>
      </c>
      <c r="G41" t="s">
        <v>3476</v>
      </c>
      <c r="H41" t="s">
        <v>3665</v>
      </c>
      <c r="I41" t="s">
        <v>3502</v>
      </c>
      <c r="J41" t="s">
        <v>3652</v>
      </c>
      <c r="K41" t="s">
        <v>3643</v>
      </c>
      <c r="L41" t="s">
        <v>3481</v>
      </c>
      <c r="M41" t="s">
        <v>3482</v>
      </c>
      <c r="N41" t="s">
        <v>3653</v>
      </c>
      <c r="O41" t="s">
        <v>3666</v>
      </c>
      <c r="P41" t="s">
        <v>3667</v>
      </c>
      <c r="Q41" t="s">
        <v>3666</v>
      </c>
      <c r="R41" t="s">
        <v>3532</v>
      </c>
      <c r="S41" t="s">
        <v>3533</v>
      </c>
      <c r="T41" t="s">
        <v>3478</v>
      </c>
      <c r="U41" t="s">
        <v>3502</v>
      </c>
    </row>
    <row r="42" spans="1:21" x14ac:dyDescent="0.25">
      <c r="A42" t="s">
        <v>4395</v>
      </c>
      <c r="B42" t="s">
        <v>3669</v>
      </c>
      <c r="C42" t="s">
        <v>3472</v>
      </c>
      <c r="D42" t="s">
        <v>3473</v>
      </c>
      <c r="E42" t="s">
        <v>3474</v>
      </c>
      <c r="F42" t="s">
        <v>3475</v>
      </c>
      <c r="G42" t="s">
        <v>3476</v>
      </c>
      <c r="H42" t="s">
        <v>3670</v>
      </c>
      <c r="I42" t="s">
        <v>3478</v>
      </c>
      <c r="J42" t="s">
        <v>3652</v>
      </c>
      <c r="K42" t="s">
        <v>3671</v>
      </c>
      <c r="L42" t="s">
        <v>3481</v>
      </c>
      <c r="M42" t="s">
        <v>3482</v>
      </c>
      <c r="N42" t="s">
        <v>3672</v>
      </c>
      <c r="O42" t="s">
        <v>3673</v>
      </c>
      <c r="P42" t="s">
        <v>3673</v>
      </c>
      <c r="Q42" t="s">
        <v>3673</v>
      </c>
      <c r="R42" t="s">
        <v>3485</v>
      </c>
      <c r="S42" t="s">
        <v>3486</v>
      </c>
      <c r="T42" t="s">
        <v>3478</v>
      </c>
      <c r="U42" t="s">
        <v>3478</v>
      </c>
    </row>
    <row r="43" spans="1:21" x14ac:dyDescent="0.25">
      <c r="A43" t="s">
        <v>4395</v>
      </c>
      <c r="B43" t="s">
        <v>3674</v>
      </c>
      <c r="C43" t="s">
        <v>3472</v>
      </c>
      <c r="D43" t="s">
        <v>3473</v>
      </c>
      <c r="E43" t="s">
        <v>3474</v>
      </c>
      <c r="F43" t="s">
        <v>3475</v>
      </c>
      <c r="G43" t="s">
        <v>3476</v>
      </c>
      <c r="H43" t="s">
        <v>3670</v>
      </c>
      <c r="I43" t="s">
        <v>3496</v>
      </c>
      <c r="J43" t="s">
        <v>3652</v>
      </c>
      <c r="K43" t="s">
        <v>3671</v>
      </c>
      <c r="L43" t="s">
        <v>3481</v>
      </c>
      <c r="M43" t="s">
        <v>3482</v>
      </c>
      <c r="N43" t="s">
        <v>3672</v>
      </c>
      <c r="O43" t="s">
        <v>3675</v>
      </c>
      <c r="P43" t="s">
        <v>3675</v>
      </c>
      <c r="Q43" t="s">
        <v>3675</v>
      </c>
      <c r="R43" t="s">
        <v>3485</v>
      </c>
      <c r="S43" t="s">
        <v>3486</v>
      </c>
      <c r="T43" t="s">
        <v>3478</v>
      </c>
      <c r="U43" t="s">
        <v>3496</v>
      </c>
    </row>
    <row r="44" spans="1:21" x14ac:dyDescent="0.25">
      <c r="A44" t="s">
        <v>3215</v>
      </c>
      <c r="B44" t="s">
        <v>3676</v>
      </c>
      <c r="C44" t="s">
        <v>3472</v>
      </c>
      <c r="D44" t="s">
        <v>3473</v>
      </c>
      <c r="E44" t="s">
        <v>3474</v>
      </c>
      <c r="F44" t="s">
        <v>40</v>
      </c>
      <c r="G44" t="s">
        <v>3476</v>
      </c>
      <c r="H44" t="s">
        <v>3677</v>
      </c>
      <c r="I44" t="s">
        <v>3478</v>
      </c>
      <c r="J44" t="s">
        <v>3678</v>
      </c>
      <c r="K44" t="s">
        <v>3480</v>
      </c>
      <c r="L44" t="s">
        <v>3481</v>
      </c>
      <c r="M44" t="s">
        <v>3482</v>
      </c>
      <c r="N44" t="s">
        <v>3679</v>
      </c>
      <c r="O44" t="s">
        <v>3680</v>
      </c>
      <c r="P44" t="s">
        <v>3681</v>
      </c>
      <c r="Q44" t="s">
        <v>3680</v>
      </c>
      <c r="R44" t="s">
        <v>3492</v>
      </c>
      <c r="S44" t="s">
        <v>3493</v>
      </c>
      <c r="T44" t="s">
        <v>3478</v>
      </c>
      <c r="U44" t="s">
        <v>3478</v>
      </c>
    </row>
    <row r="45" spans="1:21" x14ac:dyDescent="0.25">
      <c r="A45" t="s">
        <v>3683</v>
      </c>
      <c r="B45" t="s">
        <v>3682</v>
      </c>
      <c r="C45" t="s">
        <v>3472</v>
      </c>
      <c r="D45" t="s">
        <v>3473</v>
      </c>
      <c r="E45" t="s">
        <v>3474</v>
      </c>
      <c r="F45" t="s">
        <v>40</v>
      </c>
      <c r="G45" t="s">
        <v>3476</v>
      </c>
      <c r="H45" t="s">
        <v>3684</v>
      </c>
      <c r="I45" t="s">
        <v>3478</v>
      </c>
      <c r="J45" t="s">
        <v>3685</v>
      </c>
      <c r="K45" t="s">
        <v>3480</v>
      </c>
      <c r="L45" t="s">
        <v>3481</v>
      </c>
      <c r="M45" t="s">
        <v>3482</v>
      </c>
      <c r="N45" t="s">
        <v>3686</v>
      </c>
      <c r="O45" t="s">
        <v>3687</v>
      </c>
      <c r="P45" t="s">
        <v>3688</v>
      </c>
      <c r="Q45" t="s">
        <v>3687</v>
      </c>
      <c r="R45" t="s">
        <v>3485</v>
      </c>
      <c r="S45" t="s">
        <v>3486</v>
      </c>
      <c r="T45" t="s">
        <v>3478</v>
      </c>
      <c r="U45" t="s">
        <v>3478</v>
      </c>
    </row>
    <row r="46" spans="1:21" x14ac:dyDescent="0.25">
      <c r="A46" t="s">
        <v>3022</v>
      </c>
      <c r="B46" t="s">
        <v>3689</v>
      </c>
      <c r="C46" t="s">
        <v>3472</v>
      </c>
      <c r="D46" t="s">
        <v>3473</v>
      </c>
      <c r="E46" t="s">
        <v>3474</v>
      </c>
      <c r="F46" t="s">
        <v>40</v>
      </c>
      <c r="G46" t="s">
        <v>3476</v>
      </c>
      <c r="H46" t="s">
        <v>3690</v>
      </c>
      <c r="I46" t="s">
        <v>3478</v>
      </c>
      <c r="J46" t="s">
        <v>3691</v>
      </c>
      <c r="K46" t="s">
        <v>3480</v>
      </c>
      <c r="L46" t="s">
        <v>3481</v>
      </c>
      <c r="M46" t="s">
        <v>3692</v>
      </c>
      <c r="N46" t="s">
        <v>3686</v>
      </c>
      <c r="O46" t="s">
        <v>3693</v>
      </c>
      <c r="P46" t="s">
        <v>3694</v>
      </c>
      <c r="Q46" t="s">
        <v>3693</v>
      </c>
      <c r="R46" t="s">
        <v>3485</v>
      </c>
      <c r="S46" t="s">
        <v>3486</v>
      </c>
      <c r="T46" t="s">
        <v>3478</v>
      </c>
      <c r="U46" t="s">
        <v>3478</v>
      </c>
    </row>
    <row r="47" spans="1:21" x14ac:dyDescent="0.25">
      <c r="A47" t="s">
        <v>3696</v>
      </c>
      <c r="B47" t="s">
        <v>3695</v>
      </c>
      <c r="C47" t="s">
        <v>3472</v>
      </c>
      <c r="D47" t="s">
        <v>3473</v>
      </c>
      <c r="E47" t="s">
        <v>3474</v>
      </c>
      <c r="F47" t="s">
        <v>40</v>
      </c>
      <c r="G47" t="s">
        <v>3476</v>
      </c>
      <c r="H47" t="s">
        <v>3697</v>
      </c>
      <c r="I47" t="s">
        <v>3478</v>
      </c>
      <c r="J47" t="s">
        <v>3698</v>
      </c>
      <c r="K47" t="s">
        <v>40</v>
      </c>
      <c r="L47" t="s">
        <v>3481</v>
      </c>
      <c r="M47" t="s">
        <v>3482</v>
      </c>
      <c r="N47" t="s">
        <v>3699</v>
      </c>
      <c r="O47" t="s">
        <v>3700</v>
      </c>
      <c r="P47" t="s">
        <v>3701</v>
      </c>
      <c r="Q47" t="s">
        <v>3700</v>
      </c>
      <c r="R47" t="s">
        <v>3492</v>
      </c>
      <c r="S47" t="s">
        <v>3493</v>
      </c>
      <c r="T47" t="s">
        <v>3478</v>
      </c>
      <c r="U47" t="s">
        <v>3478</v>
      </c>
    </row>
    <row r="48" spans="1:21" x14ac:dyDescent="0.25">
      <c r="A48" t="s">
        <v>3703</v>
      </c>
      <c r="B48" t="s">
        <v>3702</v>
      </c>
      <c r="C48" t="s">
        <v>3472</v>
      </c>
      <c r="D48" t="s">
        <v>3473</v>
      </c>
      <c r="E48" t="s">
        <v>3474</v>
      </c>
      <c r="F48" t="s">
        <v>40</v>
      </c>
      <c r="G48" t="s">
        <v>3476</v>
      </c>
      <c r="H48" t="s">
        <v>3704</v>
      </c>
      <c r="I48" t="s">
        <v>3478</v>
      </c>
      <c r="J48" t="s">
        <v>3705</v>
      </c>
      <c r="K48" t="s">
        <v>40</v>
      </c>
      <c r="L48" t="s">
        <v>3481</v>
      </c>
      <c r="M48" t="s">
        <v>3482</v>
      </c>
      <c r="N48" t="s">
        <v>3699</v>
      </c>
      <c r="O48" t="s">
        <v>3700</v>
      </c>
      <c r="P48" t="s">
        <v>3701</v>
      </c>
      <c r="Q48" t="s">
        <v>3700</v>
      </c>
      <c r="R48" t="s">
        <v>3492</v>
      </c>
      <c r="S48" t="s">
        <v>3493</v>
      </c>
      <c r="T48" t="s">
        <v>3478</v>
      </c>
      <c r="U48" t="s">
        <v>3478</v>
      </c>
    </row>
    <row r="49" spans="1:21" x14ac:dyDescent="0.25">
      <c r="A49" t="s">
        <v>3707</v>
      </c>
      <c r="B49" t="s">
        <v>3706</v>
      </c>
      <c r="C49" t="s">
        <v>3472</v>
      </c>
      <c r="D49" t="s">
        <v>3473</v>
      </c>
      <c r="E49" t="s">
        <v>3474</v>
      </c>
      <c r="F49" t="s">
        <v>40</v>
      </c>
      <c r="G49" t="s">
        <v>3476</v>
      </c>
      <c r="H49" t="s">
        <v>3708</v>
      </c>
      <c r="I49" t="s">
        <v>3496</v>
      </c>
      <c r="J49" t="s">
        <v>3709</v>
      </c>
      <c r="K49" t="s">
        <v>40</v>
      </c>
      <c r="L49" t="s">
        <v>3481</v>
      </c>
      <c r="M49" t="s">
        <v>3482</v>
      </c>
      <c r="N49" t="s">
        <v>3699</v>
      </c>
      <c r="O49" t="s">
        <v>3710</v>
      </c>
      <c r="P49" t="s">
        <v>3711</v>
      </c>
      <c r="Q49" t="s">
        <v>3710</v>
      </c>
      <c r="R49" t="s">
        <v>3485</v>
      </c>
      <c r="S49" t="s">
        <v>3486</v>
      </c>
      <c r="T49" t="s">
        <v>3478</v>
      </c>
      <c r="U49" t="s">
        <v>3496</v>
      </c>
    </row>
    <row r="50" spans="1:21" x14ac:dyDescent="0.25">
      <c r="A50" t="s">
        <v>3713</v>
      </c>
      <c r="B50" t="s">
        <v>3712</v>
      </c>
      <c r="C50" t="s">
        <v>3472</v>
      </c>
      <c r="D50" t="s">
        <v>3473</v>
      </c>
      <c r="E50" t="s">
        <v>3474</v>
      </c>
      <c r="F50" t="s">
        <v>40</v>
      </c>
      <c r="G50" t="s">
        <v>3476</v>
      </c>
      <c r="H50" t="s">
        <v>3714</v>
      </c>
      <c r="I50" t="s">
        <v>3478</v>
      </c>
      <c r="J50" t="s">
        <v>3715</v>
      </c>
      <c r="K50" t="s">
        <v>40</v>
      </c>
      <c r="L50" t="s">
        <v>3481</v>
      </c>
      <c r="M50" t="s">
        <v>3482</v>
      </c>
      <c r="N50" t="s">
        <v>3699</v>
      </c>
      <c r="O50" t="s">
        <v>3716</v>
      </c>
      <c r="P50" t="s">
        <v>3717</v>
      </c>
      <c r="Q50" t="s">
        <v>3716</v>
      </c>
      <c r="R50" t="s">
        <v>3485</v>
      </c>
      <c r="S50" t="s">
        <v>3486</v>
      </c>
      <c r="T50" t="s">
        <v>3478</v>
      </c>
      <c r="U50" t="s">
        <v>3478</v>
      </c>
    </row>
    <row r="51" spans="1:21" x14ac:dyDescent="0.25">
      <c r="A51" t="s">
        <v>3719</v>
      </c>
      <c r="B51" t="s">
        <v>3718</v>
      </c>
      <c r="C51" t="s">
        <v>3472</v>
      </c>
      <c r="D51" t="s">
        <v>3473</v>
      </c>
      <c r="E51" t="s">
        <v>3474</v>
      </c>
      <c r="F51" t="s">
        <v>40</v>
      </c>
      <c r="G51" t="s">
        <v>3476</v>
      </c>
      <c r="H51" t="s">
        <v>3720</v>
      </c>
      <c r="I51" t="s">
        <v>3478</v>
      </c>
      <c r="J51" t="s">
        <v>3721</v>
      </c>
      <c r="K51" t="s">
        <v>40</v>
      </c>
      <c r="L51" t="s">
        <v>3481</v>
      </c>
      <c r="M51" t="s">
        <v>3482</v>
      </c>
      <c r="N51" t="s">
        <v>3699</v>
      </c>
      <c r="O51" t="s">
        <v>3722</v>
      </c>
      <c r="P51" t="s">
        <v>3723</v>
      </c>
      <c r="Q51" t="s">
        <v>3722</v>
      </c>
      <c r="R51" t="s">
        <v>3485</v>
      </c>
      <c r="S51" t="s">
        <v>3486</v>
      </c>
      <c r="T51" t="s">
        <v>3478</v>
      </c>
      <c r="U51" t="s">
        <v>3478</v>
      </c>
    </row>
    <row r="52" spans="1:21" x14ac:dyDescent="0.25">
      <c r="A52" t="s">
        <v>3725</v>
      </c>
      <c r="B52" t="s">
        <v>3724</v>
      </c>
      <c r="C52" t="s">
        <v>3472</v>
      </c>
      <c r="D52" t="s">
        <v>3473</v>
      </c>
      <c r="E52" t="s">
        <v>3474</v>
      </c>
      <c r="F52" t="s">
        <v>40</v>
      </c>
      <c r="G52" t="s">
        <v>3476</v>
      </c>
      <c r="H52" t="s">
        <v>3726</v>
      </c>
      <c r="I52" t="s">
        <v>3478</v>
      </c>
      <c r="J52" t="s">
        <v>3727</v>
      </c>
      <c r="K52" t="s">
        <v>40</v>
      </c>
      <c r="L52" t="s">
        <v>3481</v>
      </c>
      <c r="M52" t="s">
        <v>3482</v>
      </c>
      <c r="N52" t="s">
        <v>3699</v>
      </c>
      <c r="O52" t="s">
        <v>3722</v>
      </c>
      <c r="P52" t="s">
        <v>3723</v>
      </c>
      <c r="Q52" t="s">
        <v>3722</v>
      </c>
      <c r="R52" t="s">
        <v>3485</v>
      </c>
      <c r="S52" t="s">
        <v>3486</v>
      </c>
      <c r="T52" t="s">
        <v>3478</v>
      </c>
      <c r="U52" t="s">
        <v>3478</v>
      </c>
    </row>
    <row r="53" spans="1:21" x14ac:dyDescent="0.25">
      <c r="A53" t="s">
        <v>3707</v>
      </c>
      <c r="B53" t="s">
        <v>3728</v>
      </c>
      <c r="C53" t="s">
        <v>3472</v>
      </c>
      <c r="D53" t="s">
        <v>3473</v>
      </c>
      <c r="E53" t="s">
        <v>3474</v>
      </c>
      <c r="F53" t="s">
        <v>40</v>
      </c>
      <c r="G53" t="s">
        <v>3476</v>
      </c>
      <c r="H53" t="s">
        <v>3729</v>
      </c>
      <c r="I53" t="s">
        <v>3502</v>
      </c>
      <c r="J53" t="s">
        <v>3709</v>
      </c>
      <c r="K53" t="s">
        <v>40</v>
      </c>
      <c r="L53" t="s">
        <v>3481</v>
      </c>
      <c r="M53" t="s">
        <v>3482</v>
      </c>
      <c r="N53" t="s">
        <v>3699</v>
      </c>
      <c r="O53" t="s">
        <v>3722</v>
      </c>
      <c r="P53" t="s">
        <v>3723</v>
      </c>
      <c r="Q53" t="s">
        <v>3722</v>
      </c>
      <c r="R53" t="s">
        <v>3492</v>
      </c>
      <c r="S53" t="s">
        <v>3493</v>
      </c>
      <c r="T53" t="s">
        <v>3478</v>
      </c>
      <c r="U53" t="s">
        <v>3502</v>
      </c>
    </row>
    <row r="54" spans="1:21" x14ac:dyDescent="0.25">
      <c r="A54" t="s">
        <v>3731</v>
      </c>
      <c r="B54" t="s">
        <v>3730</v>
      </c>
      <c r="C54" t="s">
        <v>3472</v>
      </c>
      <c r="D54" t="s">
        <v>3473</v>
      </c>
      <c r="E54" t="s">
        <v>3474</v>
      </c>
      <c r="F54" t="s">
        <v>40</v>
      </c>
      <c r="G54" t="s">
        <v>3476</v>
      </c>
      <c r="H54" t="s">
        <v>3732</v>
      </c>
      <c r="I54" t="s">
        <v>3478</v>
      </c>
      <c r="J54" t="s">
        <v>3733</v>
      </c>
      <c r="K54" t="s">
        <v>40</v>
      </c>
      <c r="L54" t="s">
        <v>3481</v>
      </c>
      <c r="M54" t="s">
        <v>3482</v>
      </c>
      <c r="N54" t="s">
        <v>3699</v>
      </c>
      <c r="O54" t="s">
        <v>3734</v>
      </c>
      <c r="P54" t="s">
        <v>3723</v>
      </c>
      <c r="Q54" t="s">
        <v>3734</v>
      </c>
      <c r="R54" t="s">
        <v>3485</v>
      </c>
      <c r="S54" t="s">
        <v>3486</v>
      </c>
      <c r="T54" t="s">
        <v>3478</v>
      </c>
      <c r="U54" t="s">
        <v>3478</v>
      </c>
    </row>
    <row r="55" spans="1:21" x14ac:dyDescent="0.25">
      <c r="A55" t="s">
        <v>3736</v>
      </c>
      <c r="B55" t="s">
        <v>3735</v>
      </c>
      <c r="C55" t="s">
        <v>3472</v>
      </c>
      <c r="D55" t="s">
        <v>3473</v>
      </c>
      <c r="E55" t="s">
        <v>3474</v>
      </c>
      <c r="F55" t="s">
        <v>40</v>
      </c>
      <c r="G55" t="s">
        <v>3476</v>
      </c>
      <c r="H55" t="s">
        <v>3737</v>
      </c>
      <c r="I55" t="s">
        <v>3478</v>
      </c>
      <c r="J55" t="s">
        <v>3738</v>
      </c>
      <c r="K55" t="s">
        <v>40</v>
      </c>
      <c r="L55" t="s">
        <v>3481</v>
      </c>
      <c r="M55" t="s">
        <v>3482</v>
      </c>
      <c r="N55" t="s">
        <v>3699</v>
      </c>
      <c r="O55" t="s">
        <v>3739</v>
      </c>
      <c r="P55" t="s">
        <v>3740</v>
      </c>
      <c r="Q55" t="s">
        <v>3739</v>
      </c>
      <c r="R55" t="s">
        <v>3485</v>
      </c>
      <c r="S55" t="s">
        <v>3486</v>
      </c>
      <c r="T55" t="s">
        <v>3478</v>
      </c>
      <c r="U55" t="s">
        <v>3478</v>
      </c>
    </row>
    <row r="56" spans="1:21" x14ac:dyDescent="0.25">
      <c r="A56" t="s">
        <v>3742</v>
      </c>
      <c r="B56" t="s">
        <v>3741</v>
      </c>
      <c r="C56" t="s">
        <v>3472</v>
      </c>
      <c r="D56" t="s">
        <v>3473</v>
      </c>
      <c r="E56" t="s">
        <v>3474</v>
      </c>
      <c r="F56" t="s">
        <v>40</v>
      </c>
      <c r="G56" t="s">
        <v>3476</v>
      </c>
      <c r="H56" t="s">
        <v>3743</v>
      </c>
      <c r="I56" t="s">
        <v>3496</v>
      </c>
      <c r="J56" t="s">
        <v>3744</v>
      </c>
      <c r="K56" t="s">
        <v>3480</v>
      </c>
      <c r="L56" t="s">
        <v>3481</v>
      </c>
      <c r="M56" t="s">
        <v>3692</v>
      </c>
      <c r="N56" t="s">
        <v>3745</v>
      </c>
      <c r="O56" t="s">
        <v>3746</v>
      </c>
      <c r="P56" t="s">
        <v>3747</v>
      </c>
      <c r="Q56" t="s">
        <v>3746</v>
      </c>
      <c r="R56" t="s">
        <v>3485</v>
      </c>
      <c r="S56" t="s">
        <v>3486</v>
      </c>
      <c r="T56" t="s">
        <v>3478</v>
      </c>
      <c r="U56" t="s">
        <v>3496</v>
      </c>
    </row>
    <row r="57" spans="1:21" x14ac:dyDescent="0.25">
      <c r="A57" t="s">
        <v>3749</v>
      </c>
      <c r="B57" t="s">
        <v>3748</v>
      </c>
      <c r="C57" t="s">
        <v>3472</v>
      </c>
      <c r="D57" t="s">
        <v>3473</v>
      </c>
      <c r="E57" t="s">
        <v>3474</v>
      </c>
      <c r="F57" t="s">
        <v>40</v>
      </c>
      <c r="G57" t="s">
        <v>3476</v>
      </c>
      <c r="H57" t="s">
        <v>3743</v>
      </c>
      <c r="I57" t="s">
        <v>3496</v>
      </c>
      <c r="J57" t="s">
        <v>3750</v>
      </c>
      <c r="K57" t="s">
        <v>3480</v>
      </c>
      <c r="L57" t="s">
        <v>3481</v>
      </c>
      <c r="M57" t="s">
        <v>3692</v>
      </c>
      <c r="N57" t="s">
        <v>3745</v>
      </c>
      <c r="O57" t="s">
        <v>3746</v>
      </c>
      <c r="P57" t="s">
        <v>3747</v>
      </c>
      <c r="Q57" t="s">
        <v>3746</v>
      </c>
      <c r="R57" t="s">
        <v>3485</v>
      </c>
      <c r="S57" t="s">
        <v>3486</v>
      </c>
      <c r="T57" t="s">
        <v>3478</v>
      </c>
      <c r="U57" t="s">
        <v>3496</v>
      </c>
    </row>
    <row r="58" spans="1:21" x14ac:dyDescent="0.25">
      <c r="A58" t="s">
        <v>3742</v>
      </c>
      <c r="B58" t="s">
        <v>3751</v>
      </c>
      <c r="C58" t="s">
        <v>3472</v>
      </c>
      <c r="D58" t="s">
        <v>3473</v>
      </c>
      <c r="E58" t="s">
        <v>3474</v>
      </c>
      <c r="F58" t="s">
        <v>40</v>
      </c>
      <c r="G58" t="s">
        <v>3476</v>
      </c>
      <c r="H58" t="s">
        <v>3752</v>
      </c>
      <c r="I58" t="s">
        <v>3478</v>
      </c>
      <c r="J58" t="s">
        <v>3744</v>
      </c>
      <c r="K58" t="s">
        <v>3480</v>
      </c>
      <c r="L58" t="s">
        <v>3481</v>
      </c>
      <c r="M58" t="s">
        <v>3482</v>
      </c>
      <c r="N58" t="s">
        <v>3745</v>
      </c>
      <c r="O58" t="s">
        <v>3753</v>
      </c>
      <c r="P58" t="s">
        <v>3754</v>
      </c>
      <c r="Q58" t="s">
        <v>3753</v>
      </c>
      <c r="R58" t="s">
        <v>3485</v>
      </c>
      <c r="S58" t="s">
        <v>3486</v>
      </c>
      <c r="T58" t="s">
        <v>3478</v>
      </c>
      <c r="U58" t="s">
        <v>3478</v>
      </c>
    </row>
    <row r="59" spans="1:21" x14ac:dyDescent="0.25">
      <c r="A59" t="s">
        <v>3749</v>
      </c>
      <c r="B59" t="s">
        <v>3755</v>
      </c>
      <c r="C59" t="s">
        <v>3472</v>
      </c>
      <c r="D59" t="s">
        <v>3473</v>
      </c>
      <c r="E59" t="s">
        <v>3474</v>
      </c>
      <c r="F59" t="s">
        <v>40</v>
      </c>
      <c r="G59" t="s">
        <v>3476</v>
      </c>
      <c r="H59" t="s">
        <v>3752</v>
      </c>
      <c r="I59" t="s">
        <v>3478</v>
      </c>
      <c r="J59" t="s">
        <v>3750</v>
      </c>
      <c r="K59" t="s">
        <v>3480</v>
      </c>
      <c r="L59" t="s">
        <v>3481</v>
      </c>
      <c r="M59" t="s">
        <v>3482</v>
      </c>
      <c r="N59" t="s">
        <v>3745</v>
      </c>
      <c r="O59" t="s">
        <v>3753</v>
      </c>
      <c r="P59" t="s">
        <v>3754</v>
      </c>
      <c r="Q59" t="s">
        <v>3753</v>
      </c>
      <c r="R59" t="s">
        <v>3485</v>
      </c>
      <c r="S59" t="s">
        <v>3486</v>
      </c>
      <c r="T59" t="s">
        <v>3478</v>
      </c>
      <c r="U59" t="s">
        <v>3478</v>
      </c>
    </row>
    <row r="60" spans="1:21" x14ac:dyDescent="0.25">
      <c r="A60" t="s">
        <v>3757</v>
      </c>
      <c r="B60" t="s">
        <v>3756</v>
      </c>
      <c r="C60" t="s">
        <v>3472</v>
      </c>
      <c r="D60" t="s">
        <v>3473</v>
      </c>
      <c r="E60" t="s">
        <v>3474</v>
      </c>
      <c r="F60" t="s">
        <v>40</v>
      </c>
      <c r="G60" t="s">
        <v>3476</v>
      </c>
      <c r="H60" t="s">
        <v>3758</v>
      </c>
      <c r="I60" t="s">
        <v>3478</v>
      </c>
      <c r="J60" t="s">
        <v>3759</v>
      </c>
      <c r="K60" t="s">
        <v>3760</v>
      </c>
      <c r="L60" t="s">
        <v>3481</v>
      </c>
      <c r="M60" t="s">
        <v>3482</v>
      </c>
      <c r="N60" t="s">
        <v>3761</v>
      </c>
      <c r="O60" t="s">
        <v>3762</v>
      </c>
      <c r="P60" t="s">
        <v>3740</v>
      </c>
      <c r="Q60" t="s">
        <v>3762</v>
      </c>
      <c r="R60" t="s">
        <v>3485</v>
      </c>
      <c r="S60" t="s">
        <v>3486</v>
      </c>
      <c r="T60" t="s">
        <v>3478</v>
      </c>
      <c r="U60" t="s">
        <v>3478</v>
      </c>
    </row>
    <row r="61" spans="1:21" x14ac:dyDescent="0.25">
      <c r="A61" t="s">
        <v>3764</v>
      </c>
      <c r="B61" t="s">
        <v>3763</v>
      </c>
      <c r="C61" t="s">
        <v>3472</v>
      </c>
      <c r="D61" t="s">
        <v>3473</v>
      </c>
      <c r="E61" t="s">
        <v>3474</v>
      </c>
      <c r="F61" t="s">
        <v>40</v>
      </c>
      <c r="G61" t="s">
        <v>3476</v>
      </c>
      <c r="H61" t="s">
        <v>3765</v>
      </c>
      <c r="I61" t="s">
        <v>3478</v>
      </c>
      <c r="J61" t="s">
        <v>3766</v>
      </c>
      <c r="K61" t="s">
        <v>3767</v>
      </c>
      <c r="L61" t="s">
        <v>3481</v>
      </c>
      <c r="M61" t="s">
        <v>3482</v>
      </c>
      <c r="N61" t="s">
        <v>3768</v>
      </c>
      <c r="O61" t="s">
        <v>3769</v>
      </c>
      <c r="P61" t="s">
        <v>3770</v>
      </c>
      <c r="Q61" t="s">
        <v>3769</v>
      </c>
      <c r="R61" t="s">
        <v>3485</v>
      </c>
      <c r="S61" t="s">
        <v>3486</v>
      </c>
      <c r="T61" t="s">
        <v>3478</v>
      </c>
      <c r="U61" t="s">
        <v>3478</v>
      </c>
    </row>
    <row r="62" spans="1:21" x14ac:dyDescent="0.25">
      <c r="A62" t="s">
        <v>3772</v>
      </c>
      <c r="B62" t="s">
        <v>3771</v>
      </c>
      <c r="C62" t="s">
        <v>3472</v>
      </c>
      <c r="D62" t="s">
        <v>3473</v>
      </c>
      <c r="E62" t="s">
        <v>3474</v>
      </c>
      <c r="F62" t="s">
        <v>40</v>
      </c>
      <c r="G62" t="s">
        <v>3476</v>
      </c>
      <c r="H62" t="s">
        <v>3773</v>
      </c>
      <c r="I62" t="s">
        <v>3478</v>
      </c>
      <c r="J62" t="s">
        <v>3774</v>
      </c>
      <c r="K62" t="s">
        <v>3767</v>
      </c>
      <c r="L62" t="s">
        <v>3481</v>
      </c>
      <c r="M62" t="s">
        <v>3482</v>
      </c>
      <c r="N62" t="s">
        <v>3768</v>
      </c>
      <c r="O62" t="s">
        <v>3775</v>
      </c>
      <c r="P62" t="s">
        <v>3776</v>
      </c>
      <c r="Q62" t="s">
        <v>3775</v>
      </c>
      <c r="R62" t="s">
        <v>3485</v>
      </c>
      <c r="S62" t="s">
        <v>3486</v>
      </c>
      <c r="T62" t="s">
        <v>3478</v>
      </c>
      <c r="U62" t="s">
        <v>3478</v>
      </c>
    </row>
    <row r="63" spans="1:21" x14ac:dyDescent="0.25">
      <c r="A63" t="s">
        <v>3039</v>
      </c>
      <c r="B63" t="s">
        <v>3777</v>
      </c>
      <c r="C63" t="s">
        <v>3472</v>
      </c>
      <c r="D63" t="s">
        <v>3473</v>
      </c>
      <c r="E63" t="s">
        <v>3474</v>
      </c>
      <c r="F63" t="s">
        <v>40</v>
      </c>
      <c r="G63" t="s">
        <v>3476</v>
      </c>
      <c r="H63" t="s">
        <v>3778</v>
      </c>
      <c r="I63" t="s">
        <v>3478</v>
      </c>
      <c r="J63" t="s">
        <v>3779</v>
      </c>
      <c r="K63" t="s">
        <v>3566</v>
      </c>
      <c r="L63" t="s">
        <v>3481</v>
      </c>
      <c r="M63" t="s">
        <v>3780</v>
      </c>
      <c r="N63" t="s">
        <v>3781</v>
      </c>
      <c r="O63" t="s">
        <v>3782</v>
      </c>
      <c r="P63" t="s">
        <v>3783</v>
      </c>
      <c r="Q63" t="s">
        <v>3782</v>
      </c>
      <c r="R63" t="s">
        <v>3485</v>
      </c>
      <c r="S63" t="s">
        <v>3486</v>
      </c>
      <c r="T63" t="s">
        <v>3478</v>
      </c>
      <c r="U63" t="s">
        <v>3478</v>
      </c>
    </row>
    <row r="64" spans="1:21" x14ac:dyDescent="0.25">
      <c r="A64" t="s">
        <v>3426</v>
      </c>
      <c r="B64" t="s">
        <v>3784</v>
      </c>
      <c r="C64" t="s">
        <v>3472</v>
      </c>
      <c r="D64" t="s">
        <v>3473</v>
      </c>
      <c r="E64" t="s">
        <v>3474</v>
      </c>
      <c r="F64" t="s">
        <v>40</v>
      </c>
      <c r="G64" t="s">
        <v>3476</v>
      </c>
      <c r="H64" t="s">
        <v>3785</v>
      </c>
      <c r="I64" t="s">
        <v>3478</v>
      </c>
      <c r="J64" t="s">
        <v>3786</v>
      </c>
      <c r="K64" t="s">
        <v>3480</v>
      </c>
      <c r="L64" t="s">
        <v>3481</v>
      </c>
      <c r="M64" t="s">
        <v>3787</v>
      </c>
      <c r="N64" t="s">
        <v>3483</v>
      </c>
      <c r="O64" t="s">
        <v>3788</v>
      </c>
      <c r="P64" t="s">
        <v>3788</v>
      </c>
      <c r="Q64" t="s">
        <v>3788</v>
      </c>
      <c r="R64" t="s">
        <v>3485</v>
      </c>
      <c r="S64" t="s">
        <v>3486</v>
      </c>
      <c r="T64" t="s">
        <v>3478</v>
      </c>
      <c r="U64" t="s">
        <v>3478</v>
      </c>
    </row>
    <row r="65" spans="1:21" x14ac:dyDescent="0.25">
      <c r="A65" t="s">
        <v>3025</v>
      </c>
      <c r="B65" t="s">
        <v>3789</v>
      </c>
      <c r="C65" t="s">
        <v>3472</v>
      </c>
      <c r="D65" t="s">
        <v>3473</v>
      </c>
      <c r="E65" t="s">
        <v>3474</v>
      </c>
      <c r="F65" t="s">
        <v>40</v>
      </c>
      <c r="G65" t="s">
        <v>3476</v>
      </c>
      <c r="H65" t="s">
        <v>3790</v>
      </c>
      <c r="I65" t="s">
        <v>3478</v>
      </c>
      <c r="J65" t="s">
        <v>3791</v>
      </c>
      <c r="K65" t="s">
        <v>3480</v>
      </c>
      <c r="L65" t="s">
        <v>3481</v>
      </c>
      <c r="M65" t="s">
        <v>3787</v>
      </c>
      <c r="N65" t="s">
        <v>3498</v>
      </c>
      <c r="O65" t="s">
        <v>3792</v>
      </c>
      <c r="P65" t="s">
        <v>3694</v>
      </c>
      <c r="Q65" t="s">
        <v>3792</v>
      </c>
      <c r="R65" t="s">
        <v>3485</v>
      </c>
      <c r="S65" t="s">
        <v>3486</v>
      </c>
      <c r="T65" t="s">
        <v>3478</v>
      </c>
      <c r="U65" t="s">
        <v>3478</v>
      </c>
    </row>
    <row r="66" spans="1:21" x14ac:dyDescent="0.25">
      <c r="A66" t="s">
        <v>3794</v>
      </c>
      <c r="B66" t="s">
        <v>3793</v>
      </c>
      <c r="C66" t="s">
        <v>3472</v>
      </c>
      <c r="D66" t="s">
        <v>3473</v>
      </c>
      <c r="E66" t="s">
        <v>3474</v>
      </c>
      <c r="F66" t="s">
        <v>40</v>
      </c>
      <c r="G66" t="s">
        <v>3476</v>
      </c>
      <c r="H66" t="s">
        <v>3795</v>
      </c>
      <c r="I66" t="s">
        <v>3478</v>
      </c>
      <c r="J66" t="s">
        <v>3796</v>
      </c>
      <c r="K66" t="s">
        <v>3504</v>
      </c>
      <c r="L66" t="s">
        <v>3481</v>
      </c>
      <c r="M66" t="s">
        <v>3482</v>
      </c>
      <c r="N66" t="s">
        <v>3797</v>
      </c>
      <c r="O66" t="s">
        <v>3798</v>
      </c>
      <c r="P66" t="s">
        <v>3701</v>
      </c>
      <c r="Q66" t="s">
        <v>3798</v>
      </c>
      <c r="R66" t="s">
        <v>3799</v>
      </c>
      <c r="S66" t="s">
        <v>3800</v>
      </c>
      <c r="T66" t="s">
        <v>3478</v>
      </c>
      <c r="U66" t="s">
        <v>3478</v>
      </c>
    </row>
    <row r="67" spans="1:21" x14ac:dyDescent="0.25">
      <c r="A67" t="s">
        <v>3237</v>
      </c>
      <c r="B67" t="s">
        <v>3801</v>
      </c>
      <c r="C67" t="s">
        <v>3472</v>
      </c>
      <c r="D67" t="s">
        <v>3473</v>
      </c>
      <c r="E67" t="s">
        <v>3474</v>
      </c>
      <c r="F67" t="s">
        <v>40</v>
      </c>
      <c r="G67" t="s">
        <v>3476</v>
      </c>
      <c r="H67" t="s">
        <v>3802</v>
      </c>
      <c r="I67" t="s">
        <v>3478</v>
      </c>
      <c r="J67" t="s">
        <v>3803</v>
      </c>
      <c r="K67" t="s">
        <v>3504</v>
      </c>
      <c r="L67" t="s">
        <v>3481</v>
      </c>
      <c r="M67" t="s">
        <v>3482</v>
      </c>
      <c r="N67" t="s">
        <v>3804</v>
      </c>
      <c r="O67" t="s">
        <v>3805</v>
      </c>
      <c r="P67" t="s">
        <v>3806</v>
      </c>
      <c r="Q67" t="s">
        <v>3805</v>
      </c>
      <c r="R67" t="s">
        <v>3485</v>
      </c>
      <c r="S67" t="s">
        <v>3486</v>
      </c>
      <c r="T67" t="s">
        <v>3478</v>
      </c>
      <c r="U67" t="s">
        <v>3478</v>
      </c>
    </row>
    <row r="68" spans="1:21" x14ac:dyDescent="0.25">
      <c r="A68" t="s">
        <v>3013</v>
      </c>
      <c r="B68" t="s">
        <v>3807</v>
      </c>
      <c r="C68" t="s">
        <v>3472</v>
      </c>
      <c r="D68" t="s">
        <v>3473</v>
      </c>
      <c r="E68" t="s">
        <v>3474</v>
      </c>
      <c r="F68" t="s">
        <v>40</v>
      </c>
      <c r="G68" t="s">
        <v>3476</v>
      </c>
      <c r="H68" t="s">
        <v>3808</v>
      </c>
      <c r="I68" t="s">
        <v>3478</v>
      </c>
      <c r="J68" t="s">
        <v>3809</v>
      </c>
      <c r="K68" t="s">
        <v>3504</v>
      </c>
      <c r="L68" t="s">
        <v>3481</v>
      </c>
      <c r="M68" t="s">
        <v>3810</v>
      </c>
      <c r="N68" t="s">
        <v>3811</v>
      </c>
      <c r="O68" t="s">
        <v>3812</v>
      </c>
      <c r="P68" t="s">
        <v>3813</v>
      </c>
      <c r="Q68" t="s">
        <v>3812</v>
      </c>
      <c r="R68" t="s">
        <v>3492</v>
      </c>
      <c r="S68" t="s">
        <v>3493</v>
      </c>
      <c r="T68" t="s">
        <v>3478</v>
      </c>
      <c r="U68" t="s">
        <v>3478</v>
      </c>
    </row>
    <row r="69" spans="1:21" x14ac:dyDescent="0.25">
      <c r="A69" t="s">
        <v>3046</v>
      </c>
      <c r="B69" t="s">
        <v>3814</v>
      </c>
      <c r="C69" t="s">
        <v>3472</v>
      </c>
      <c r="D69" t="s">
        <v>3473</v>
      </c>
      <c r="E69" t="s">
        <v>3474</v>
      </c>
      <c r="F69" t="s">
        <v>40</v>
      </c>
      <c r="G69" t="s">
        <v>3476</v>
      </c>
      <c r="H69" t="s">
        <v>3815</v>
      </c>
      <c r="I69" t="s">
        <v>3478</v>
      </c>
      <c r="J69" t="s">
        <v>3816</v>
      </c>
      <c r="K69" t="s">
        <v>3504</v>
      </c>
      <c r="L69" t="s">
        <v>3481</v>
      </c>
      <c r="M69" t="s">
        <v>3817</v>
      </c>
      <c r="N69" t="s">
        <v>3811</v>
      </c>
      <c r="O69" t="s">
        <v>3818</v>
      </c>
      <c r="P69" t="s">
        <v>3819</v>
      </c>
      <c r="Q69" t="s">
        <v>3818</v>
      </c>
      <c r="R69" t="s">
        <v>3492</v>
      </c>
      <c r="S69" t="s">
        <v>3493</v>
      </c>
      <c r="T69" t="s">
        <v>3478</v>
      </c>
      <c r="U69" t="s">
        <v>3478</v>
      </c>
    </row>
    <row r="70" spans="1:21" x14ac:dyDescent="0.25">
      <c r="A70" t="s">
        <v>3074</v>
      </c>
      <c r="B70" t="s">
        <v>3820</v>
      </c>
      <c r="C70" t="s">
        <v>3472</v>
      </c>
      <c r="D70" t="s">
        <v>3473</v>
      </c>
      <c r="E70" t="s">
        <v>3474</v>
      </c>
      <c r="F70" t="s">
        <v>40</v>
      </c>
      <c r="G70" t="s">
        <v>3476</v>
      </c>
      <c r="H70" t="s">
        <v>3821</v>
      </c>
      <c r="I70" t="s">
        <v>3478</v>
      </c>
      <c r="J70" t="s">
        <v>3822</v>
      </c>
      <c r="K70" t="s">
        <v>3760</v>
      </c>
      <c r="L70" t="s">
        <v>3481</v>
      </c>
      <c r="M70" t="s">
        <v>3817</v>
      </c>
      <c r="N70" t="s">
        <v>3823</v>
      </c>
      <c r="O70" t="s">
        <v>3824</v>
      </c>
      <c r="P70" t="s">
        <v>3825</v>
      </c>
      <c r="Q70" t="s">
        <v>3824</v>
      </c>
      <c r="R70" t="s">
        <v>3492</v>
      </c>
      <c r="S70" t="s">
        <v>3493</v>
      </c>
      <c r="T70" t="s">
        <v>3478</v>
      </c>
      <c r="U70" t="s">
        <v>3478</v>
      </c>
    </row>
    <row r="71" spans="1:21" x14ac:dyDescent="0.25">
      <c r="A71" t="s">
        <v>3827</v>
      </c>
      <c r="B71" t="s">
        <v>3826</v>
      </c>
      <c r="C71" t="s">
        <v>3472</v>
      </c>
      <c r="D71" t="s">
        <v>3473</v>
      </c>
      <c r="E71" t="s">
        <v>3474</v>
      </c>
      <c r="F71" t="s">
        <v>40</v>
      </c>
      <c r="G71" t="s">
        <v>3476</v>
      </c>
      <c r="H71" t="s">
        <v>3828</v>
      </c>
      <c r="I71" t="s">
        <v>3478</v>
      </c>
      <c r="J71" t="s">
        <v>3829</v>
      </c>
      <c r="K71" t="s">
        <v>3553</v>
      </c>
      <c r="L71" t="s">
        <v>3481</v>
      </c>
      <c r="M71" t="s">
        <v>3482</v>
      </c>
      <c r="N71" t="s">
        <v>3830</v>
      </c>
      <c r="O71" t="s">
        <v>3831</v>
      </c>
      <c r="P71" t="s">
        <v>3717</v>
      </c>
      <c r="Q71" t="s">
        <v>3831</v>
      </c>
      <c r="R71" t="s">
        <v>3492</v>
      </c>
      <c r="S71" t="s">
        <v>3493</v>
      </c>
      <c r="T71" t="s">
        <v>3478</v>
      </c>
      <c r="U71" t="s">
        <v>3478</v>
      </c>
    </row>
    <row r="72" spans="1:21" x14ac:dyDescent="0.25">
      <c r="A72" t="s">
        <v>3833</v>
      </c>
      <c r="B72" t="s">
        <v>3832</v>
      </c>
      <c r="C72" t="s">
        <v>3472</v>
      </c>
      <c r="D72" t="s">
        <v>3473</v>
      </c>
      <c r="E72" t="s">
        <v>3474</v>
      </c>
      <c r="F72" t="s">
        <v>40</v>
      </c>
      <c r="G72" t="s">
        <v>3476</v>
      </c>
      <c r="H72" t="s">
        <v>3834</v>
      </c>
      <c r="I72" t="s">
        <v>3478</v>
      </c>
      <c r="J72" t="s">
        <v>3835</v>
      </c>
      <c r="K72" t="s">
        <v>3553</v>
      </c>
      <c r="L72" t="s">
        <v>3481</v>
      </c>
      <c r="M72" t="s">
        <v>3482</v>
      </c>
      <c r="N72" t="s">
        <v>3836</v>
      </c>
      <c r="O72" t="s">
        <v>3837</v>
      </c>
      <c r="P72" t="s">
        <v>3838</v>
      </c>
      <c r="Q72" t="s">
        <v>3837</v>
      </c>
      <c r="R72" t="s">
        <v>3485</v>
      </c>
      <c r="S72" t="s">
        <v>3486</v>
      </c>
      <c r="T72" t="s">
        <v>3478</v>
      </c>
      <c r="U72" t="s">
        <v>3478</v>
      </c>
    </row>
    <row r="73" spans="1:21" x14ac:dyDescent="0.25">
      <c r="A73" t="s">
        <v>3840</v>
      </c>
      <c r="B73" t="s">
        <v>3839</v>
      </c>
      <c r="C73" t="s">
        <v>3472</v>
      </c>
      <c r="D73" t="s">
        <v>3473</v>
      </c>
      <c r="E73" t="s">
        <v>3474</v>
      </c>
      <c r="F73" t="s">
        <v>40</v>
      </c>
      <c r="G73" t="s">
        <v>3476</v>
      </c>
      <c r="H73" t="s">
        <v>3841</v>
      </c>
      <c r="I73" t="s">
        <v>3478</v>
      </c>
      <c r="J73" t="s">
        <v>3842</v>
      </c>
      <c r="K73" t="s">
        <v>3553</v>
      </c>
      <c r="L73" t="s">
        <v>3481</v>
      </c>
      <c r="M73" t="s">
        <v>3817</v>
      </c>
      <c r="N73" t="s">
        <v>3843</v>
      </c>
      <c r="O73" t="s">
        <v>3844</v>
      </c>
      <c r="P73" t="s">
        <v>3845</v>
      </c>
      <c r="Q73" t="s">
        <v>3844</v>
      </c>
      <c r="R73" t="s">
        <v>3492</v>
      </c>
      <c r="S73" t="s">
        <v>3493</v>
      </c>
      <c r="T73" t="s">
        <v>3478</v>
      </c>
      <c r="U73" t="s">
        <v>3478</v>
      </c>
    </row>
    <row r="74" spans="1:21" x14ac:dyDescent="0.25">
      <c r="A74" t="s">
        <v>3038</v>
      </c>
      <c r="B74" t="s">
        <v>3846</v>
      </c>
      <c r="C74" t="s">
        <v>3472</v>
      </c>
      <c r="D74" t="s">
        <v>3473</v>
      </c>
      <c r="E74" t="s">
        <v>3474</v>
      </c>
      <c r="F74" t="s">
        <v>40</v>
      </c>
      <c r="G74" t="s">
        <v>3476</v>
      </c>
      <c r="H74" t="s">
        <v>3847</v>
      </c>
      <c r="I74" t="s">
        <v>3478</v>
      </c>
      <c r="J74" t="s">
        <v>3848</v>
      </c>
      <c r="K74" t="s">
        <v>3553</v>
      </c>
      <c r="L74" t="s">
        <v>3481</v>
      </c>
      <c r="M74" t="s">
        <v>3817</v>
      </c>
      <c r="N74" t="s">
        <v>3843</v>
      </c>
      <c r="O74" t="s">
        <v>3849</v>
      </c>
      <c r="P74" t="s">
        <v>3850</v>
      </c>
      <c r="Q74" t="s">
        <v>3849</v>
      </c>
      <c r="R74" t="s">
        <v>3492</v>
      </c>
      <c r="S74" t="s">
        <v>3493</v>
      </c>
      <c r="T74" t="s">
        <v>3478</v>
      </c>
      <c r="U74" t="s">
        <v>3478</v>
      </c>
    </row>
    <row r="75" spans="1:21" x14ac:dyDescent="0.25">
      <c r="A75" t="s">
        <v>3852</v>
      </c>
      <c r="B75" t="s">
        <v>3851</v>
      </c>
      <c r="C75" t="s">
        <v>3472</v>
      </c>
      <c r="D75" t="s">
        <v>3473</v>
      </c>
      <c r="E75" t="s">
        <v>3474</v>
      </c>
      <c r="F75" t="s">
        <v>40</v>
      </c>
      <c r="G75" t="s">
        <v>3476</v>
      </c>
      <c r="H75" t="s">
        <v>3853</v>
      </c>
      <c r="I75" t="s">
        <v>3478</v>
      </c>
      <c r="J75" t="s">
        <v>3854</v>
      </c>
      <c r="K75" t="s">
        <v>3553</v>
      </c>
      <c r="L75" t="s">
        <v>3481</v>
      </c>
      <c r="M75" t="s">
        <v>3482</v>
      </c>
      <c r="N75" t="s">
        <v>3843</v>
      </c>
      <c r="O75" t="s">
        <v>3855</v>
      </c>
      <c r="P75" t="s">
        <v>3688</v>
      </c>
      <c r="Q75" t="s">
        <v>3855</v>
      </c>
      <c r="R75" t="s">
        <v>3492</v>
      </c>
      <c r="S75" t="s">
        <v>3493</v>
      </c>
      <c r="T75" t="s">
        <v>3478</v>
      </c>
      <c r="U75" t="s">
        <v>3478</v>
      </c>
    </row>
    <row r="76" spans="1:21" x14ac:dyDescent="0.25">
      <c r="A76" t="s">
        <v>3857</v>
      </c>
      <c r="B76" t="s">
        <v>3856</v>
      </c>
      <c r="C76" t="s">
        <v>3472</v>
      </c>
      <c r="D76" t="s">
        <v>3473</v>
      </c>
      <c r="E76" t="s">
        <v>3474</v>
      </c>
      <c r="F76" t="s">
        <v>40</v>
      </c>
      <c r="G76" t="s">
        <v>3476</v>
      </c>
      <c r="H76" t="s">
        <v>3858</v>
      </c>
      <c r="I76" t="s">
        <v>3478</v>
      </c>
      <c r="J76" t="s">
        <v>3859</v>
      </c>
      <c r="K76" t="s">
        <v>3553</v>
      </c>
      <c r="L76" t="s">
        <v>3481</v>
      </c>
      <c r="M76" t="s">
        <v>3482</v>
      </c>
      <c r="N76" t="s">
        <v>3843</v>
      </c>
      <c r="O76" t="s">
        <v>3860</v>
      </c>
      <c r="P76" t="s">
        <v>3723</v>
      </c>
      <c r="Q76" t="s">
        <v>3860</v>
      </c>
      <c r="R76" t="s">
        <v>3492</v>
      </c>
      <c r="S76" t="s">
        <v>3493</v>
      </c>
      <c r="T76" t="s">
        <v>3478</v>
      </c>
      <c r="U76" t="s">
        <v>3478</v>
      </c>
    </row>
    <row r="77" spans="1:21" x14ac:dyDescent="0.25">
      <c r="A77" t="s">
        <v>3862</v>
      </c>
      <c r="B77" t="s">
        <v>3861</v>
      </c>
      <c r="C77" t="s">
        <v>3472</v>
      </c>
      <c r="D77" t="s">
        <v>3473</v>
      </c>
      <c r="E77" t="s">
        <v>3474</v>
      </c>
      <c r="F77" t="s">
        <v>40</v>
      </c>
      <c r="G77" t="s">
        <v>3476</v>
      </c>
      <c r="H77" t="s">
        <v>3863</v>
      </c>
      <c r="I77" t="s">
        <v>3478</v>
      </c>
      <c r="J77" t="s">
        <v>3864</v>
      </c>
      <c r="K77" t="s">
        <v>3553</v>
      </c>
      <c r="L77" t="s">
        <v>3481</v>
      </c>
      <c r="M77" t="s">
        <v>3482</v>
      </c>
      <c r="N77" t="s">
        <v>3865</v>
      </c>
      <c r="O77" t="s">
        <v>3687</v>
      </c>
      <c r="P77" t="s">
        <v>3701</v>
      </c>
      <c r="Q77" t="s">
        <v>3687</v>
      </c>
      <c r="R77" t="s">
        <v>3485</v>
      </c>
      <c r="S77" t="s">
        <v>3486</v>
      </c>
      <c r="T77" t="s">
        <v>3478</v>
      </c>
      <c r="U77" t="s">
        <v>3478</v>
      </c>
    </row>
    <row r="78" spans="1:21" x14ac:dyDescent="0.25">
      <c r="A78" t="s">
        <v>3867</v>
      </c>
      <c r="B78" t="s">
        <v>3866</v>
      </c>
      <c r="C78" t="s">
        <v>3472</v>
      </c>
      <c r="D78" t="s">
        <v>3473</v>
      </c>
      <c r="E78" t="s">
        <v>3474</v>
      </c>
      <c r="F78" t="s">
        <v>40</v>
      </c>
      <c r="G78" t="s">
        <v>3476</v>
      </c>
      <c r="H78" t="s">
        <v>3868</v>
      </c>
      <c r="I78" t="s">
        <v>3478</v>
      </c>
      <c r="J78" t="s">
        <v>3869</v>
      </c>
      <c r="K78" t="s">
        <v>3553</v>
      </c>
      <c r="L78" t="s">
        <v>3481</v>
      </c>
      <c r="M78" t="s">
        <v>3482</v>
      </c>
      <c r="N78" t="s">
        <v>3870</v>
      </c>
      <c r="O78" t="s">
        <v>3871</v>
      </c>
      <c r="P78" t="s">
        <v>3872</v>
      </c>
      <c r="Q78" t="s">
        <v>3871</v>
      </c>
      <c r="R78" t="s">
        <v>3532</v>
      </c>
      <c r="S78" t="s">
        <v>3533</v>
      </c>
      <c r="T78" t="s">
        <v>3478</v>
      </c>
      <c r="U78" t="s">
        <v>3478</v>
      </c>
    </row>
    <row r="79" spans="1:21" x14ac:dyDescent="0.25">
      <c r="A79" t="s">
        <v>3840</v>
      </c>
      <c r="B79" t="s">
        <v>3873</v>
      </c>
      <c r="C79" t="s">
        <v>3472</v>
      </c>
      <c r="D79" t="s">
        <v>3473</v>
      </c>
      <c r="E79" t="s">
        <v>3474</v>
      </c>
      <c r="F79" t="s">
        <v>40</v>
      </c>
      <c r="G79" t="s">
        <v>3476</v>
      </c>
      <c r="H79" t="s">
        <v>3874</v>
      </c>
      <c r="I79" t="s">
        <v>3478</v>
      </c>
      <c r="J79" t="s">
        <v>3842</v>
      </c>
      <c r="K79" t="s">
        <v>3553</v>
      </c>
      <c r="L79" t="s">
        <v>3481</v>
      </c>
      <c r="M79" t="s">
        <v>3482</v>
      </c>
      <c r="N79" t="s">
        <v>3870</v>
      </c>
      <c r="O79" t="s">
        <v>3739</v>
      </c>
      <c r="P79" t="s">
        <v>3740</v>
      </c>
      <c r="Q79" t="s">
        <v>3739</v>
      </c>
      <c r="R79" t="s">
        <v>3492</v>
      </c>
      <c r="S79" t="s">
        <v>3493</v>
      </c>
      <c r="T79" t="s">
        <v>3478</v>
      </c>
      <c r="U79" t="s">
        <v>3478</v>
      </c>
    </row>
    <row r="80" spans="1:21" x14ac:dyDescent="0.25">
      <c r="A80" t="s">
        <v>3876</v>
      </c>
      <c r="B80" t="s">
        <v>3875</v>
      </c>
      <c r="C80" t="s">
        <v>3472</v>
      </c>
      <c r="D80" t="s">
        <v>3473</v>
      </c>
      <c r="E80" t="s">
        <v>3474</v>
      </c>
      <c r="F80" t="s">
        <v>40</v>
      </c>
      <c r="G80" t="s">
        <v>3476</v>
      </c>
      <c r="H80" t="s">
        <v>3877</v>
      </c>
      <c r="I80" t="s">
        <v>3478</v>
      </c>
      <c r="J80" t="s">
        <v>3878</v>
      </c>
      <c r="K80" t="s">
        <v>3480</v>
      </c>
      <c r="L80" t="s">
        <v>3481</v>
      </c>
      <c r="M80" t="s">
        <v>3780</v>
      </c>
      <c r="N80" t="s">
        <v>3879</v>
      </c>
      <c r="O80" t="s">
        <v>3880</v>
      </c>
      <c r="P80" t="s">
        <v>3775</v>
      </c>
      <c r="Q80" t="s">
        <v>3880</v>
      </c>
      <c r="R80" t="s">
        <v>3485</v>
      </c>
      <c r="S80" t="s">
        <v>3486</v>
      </c>
      <c r="T80" t="s">
        <v>3478</v>
      </c>
      <c r="U80" t="s">
        <v>3478</v>
      </c>
    </row>
    <row r="81" spans="1:21" x14ac:dyDescent="0.25">
      <c r="A81" t="s">
        <v>3882</v>
      </c>
      <c r="B81" t="s">
        <v>3881</v>
      </c>
      <c r="C81" t="s">
        <v>3472</v>
      </c>
      <c r="D81" t="s">
        <v>3473</v>
      </c>
      <c r="E81" t="s">
        <v>3474</v>
      </c>
      <c r="F81" t="s">
        <v>40</v>
      </c>
      <c r="G81" t="s">
        <v>3476</v>
      </c>
      <c r="H81" t="s">
        <v>3877</v>
      </c>
      <c r="I81" t="s">
        <v>3478</v>
      </c>
      <c r="J81" t="s">
        <v>3883</v>
      </c>
      <c r="K81" t="s">
        <v>3480</v>
      </c>
      <c r="L81" t="s">
        <v>3481</v>
      </c>
      <c r="M81" t="s">
        <v>3780</v>
      </c>
      <c r="N81" t="s">
        <v>3879</v>
      </c>
      <c r="O81" t="s">
        <v>3880</v>
      </c>
      <c r="P81" t="s">
        <v>3775</v>
      </c>
      <c r="Q81" t="s">
        <v>3880</v>
      </c>
      <c r="R81" t="s">
        <v>3485</v>
      </c>
      <c r="S81" t="s">
        <v>3486</v>
      </c>
      <c r="T81" t="s">
        <v>3478</v>
      </c>
      <c r="U81" t="s">
        <v>3478</v>
      </c>
    </row>
    <row r="82" spans="1:21" x14ac:dyDescent="0.25">
      <c r="A82" t="s">
        <v>3867</v>
      </c>
      <c r="B82" t="s">
        <v>3884</v>
      </c>
      <c r="C82" t="s">
        <v>3472</v>
      </c>
      <c r="D82" t="s">
        <v>3473</v>
      </c>
      <c r="E82" t="s">
        <v>3474</v>
      </c>
      <c r="F82" t="s">
        <v>40</v>
      </c>
      <c r="G82" t="s">
        <v>3476</v>
      </c>
      <c r="H82" t="s">
        <v>3885</v>
      </c>
      <c r="I82" t="s">
        <v>3478</v>
      </c>
      <c r="J82" t="s">
        <v>3869</v>
      </c>
      <c r="K82" t="s">
        <v>3760</v>
      </c>
      <c r="L82" t="s">
        <v>3481</v>
      </c>
      <c r="M82" t="s">
        <v>3886</v>
      </c>
      <c r="N82" t="s">
        <v>3887</v>
      </c>
      <c r="O82" t="s">
        <v>3782</v>
      </c>
      <c r="P82" t="s">
        <v>3783</v>
      </c>
      <c r="Q82" t="s">
        <v>3782</v>
      </c>
      <c r="R82" t="s">
        <v>3485</v>
      </c>
      <c r="S82" t="s">
        <v>3486</v>
      </c>
      <c r="T82" t="s">
        <v>3478</v>
      </c>
      <c r="U82" t="s">
        <v>3478</v>
      </c>
    </row>
    <row r="83" spans="1:21" x14ac:dyDescent="0.25">
      <c r="A83" t="s">
        <v>3068</v>
      </c>
      <c r="B83" t="s">
        <v>3888</v>
      </c>
      <c r="C83" t="s">
        <v>3472</v>
      </c>
      <c r="D83" t="s">
        <v>3473</v>
      </c>
      <c r="E83" t="s">
        <v>3474</v>
      </c>
      <c r="F83" t="s">
        <v>40</v>
      </c>
      <c r="G83" t="s">
        <v>3476</v>
      </c>
      <c r="H83" t="s">
        <v>3889</v>
      </c>
      <c r="I83" t="s">
        <v>3478</v>
      </c>
      <c r="J83" t="s">
        <v>3890</v>
      </c>
      <c r="K83" t="s">
        <v>40</v>
      </c>
      <c r="L83" t="s">
        <v>3481</v>
      </c>
      <c r="M83" t="s">
        <v>3817</v>
      </c>
      <c r="N83" t="s">
        <v>3891</v>
      </c>
      <c r="O83" t="s">
        <v>3892</v>
      </c>
      <c r="P83" t="s">
        <v>3893</v>
      </c>
      <c r="Q83" t="s">
        <v>3892</v>
      </c>
      <c r="R83" t="s">
        <v>3492</v>
      </c>
      <c r="S83" t="s">
        <v>3493</v>
      </c>
      <c r="T83" t="s">
        <v>3478</v>
      </c>
      <c r="U83" t="s">
        <v>3478</v>
      </c>
    </row>
    <row r="84" spans="1:21" x14ac:dyDescent="0.25">
      <c r="A84" t="s">
        <v>3083</v>
      </c>
      <c r="B84" t="s">
        <v>3894</v>
      </c>
      <c r="C84" t="s">
        <v>3472</v>
      </c>
      <c r="D84" t="s">
        <v>3473</v>
      </c>
      <c r="E84" t="s">
        <v>3474</v>
      </c>
      <c r="F84" t="s">
        <v>40</v>
      </c>
      <c r="G84" t="s">
        <v>3476</v>
      </c>
      <c r="H84" t="s">
        <v>3895</v>
      </c>
      <c r="I84" t="s">
        <v>3478</v>
      </c>
      <c r="J84" t="s">
        <v>3896</v>
      </c>
      <c r="K84" t="s">
        <v>40</v>
      </c>
      <c r="L84" t="s">
        <v>3481</v>
      </c>
      <c r="M84" t="s">
        <v>3817</v>
      </c>
      <c r="N84" t="s">
        <v>3891</v>
      </c>
      <c r="O84" t="s">
        <v>3892</v>
      </c>
      <c r="P84" t="s">
        <v>3897</v>
      </c>
      <c r="Q84" t="s">
        <v>3892</v>
      </c>
      <c r="R84" t="s">
        <v>3492</v>
      </c>
      <c r="S84" t="s">
        <v>3493</v>
      </c>
      <c r="T84" t="s">
        <v>3478</v>
      </c>
      <c r="U84" t="s">
        <v>3478</v>
      </c>
    </row>
    <row r="85" spans="1:21" x14ac:dyDescent="0.25">
      <c r="A85" t="s">
        <v>3899</v>
      </c>
      <c r="B85" t="s">
        <v>3898</v>
      </c>
      <c r="C85" t="s">
        <v>3472</v>
      </c>
      <c r="D85" t="s">
        <v>3473</v>
      </c>
      <c r="E85" t="s">
        <v>3474</v>
      </c>
      <c r="F85" t="s">
        <v>40</v>
      </c>
      <c r="G85" t="s">
        <v>3476</v>
      </c>
      <c r="H85" t="s">
        <v>3900</v>
      </c>
      <c r="I85" t="s">
        <v>3478</v>
      </c>
      <c r="J85" t="s">
        <v>3901</v>
      </c>
      <c r="K85" t="s">
        <v>3566</v>
      </c>
      <c r="L85" t="s">
        <v>3481</v>
      </c>
      <c r="M85" t="s">
        <v>3482</v>
      </c>
      <c r="N85" t="s">
        <v>3902</v>
      </c>
      <c r="O85" t="s">
        <v>3903</v>
      </c>
      <c r="P85" t="s">
        <v>3903</v>
      </c>
      <c r="Q85" t="s">
        <v>3903</v>
      </c>
      <c r="R85" t="s">
        <v>3485</v>
      </c>
      <c r="S85" t="s">
        <v>3486</v>
      </c>
      <c r="T85" t="s">
        <v>3478</v>
      </c>
      <c r="U85" t="s">
        <v>3478</v>
      </c>
    </row>
    <row r="86" spans="1:21" x14ac:dyDescent="0.25">
      <c r="A86" t="s">
        <v>3905</v>
      </c>
      <c r="B86" t="s">
        <v>3904</v>
      </c>
      <c r="C86" t="s">
        <v>3472</v>
      </c>
      <c r="D86" t="s">
        <v>3473</v>
      </c>
      <c r="E86" t="s">
        <v>3474</v>
      </c>
      <c r="F86" t="s">
        <v>40</v>
      </c>
      <c r="G86" t="s">
        <v>3476</v>
      </c>
      <c r="H86" t="s">
        <v>3906</v>
      </c>
      <c r="I86" t="s">
        <v>3478</v>
      </c>
      <c r="J86" t="s">
        <v>3907</v>
      </c>
      <c r="K86" t="s">
        <v>3566</v>
      </c>
      <c r="L86" t="s">
        <v>3481</v>
      </c>
      <c r="M86" t="s">
        <v>3482</v>
      </c>
      <c r="N86" t="s">
        <v>3902</v>
      </c>
      <c r="O86" t="s">
        <v>3908</v>
      </c>
      <c r="P86" t="s">
        <v>3908</v>
      </c>
      <c r="Q86" t="s">
        <v>3908</v>
      </c>
      <c r="R86" t="s">
        <v>3485</v>
      </c>
      <c r="S86" t="s">
        <v>3486</v>
      </c>
      <c r="T86" t="s">
        <v>3478</v>
      </c>
      <c r="U86" t="s">
        <v>3478</v>
      </c>
    </row>
    <row r="87" spans="1:21" x14ac:dyDescent="0.25">
      <c r="A87" t="s">
        <v>3910</v>
      </c>
      <c r="B87" t="s">
        <v>3909</v>
      </c>
      <c r="C87" t="s">
        <v>3472</v>
      </c>
      <c r="D87" t="s">
        <v>3473</v>
      </c>
      <c r="E87" t="s">
        <v>3474</v>
      </c>
      <c r="F87" t="s">
        <v>40</v>
      </c>
      <c r="G87" t="s">
        <v>3476</v>
      </c>
      <c r="H87" t="s">
        <v>3911</v>
      </c>
      <c r="I87" t="s">
        <v>3478</v>
      </c>
      <c r="J87" t="s">
        <v>3912</v>
      </c>
      <c r="K87" t="s">
        <v>3566</v>
      </c>
      <c r="L87" t="s">
        <v>3481</v>
      </c>
      <c r="M87" t="s">
        <v>3482</v>
      </c>
      <c r="N87" t="s">
        <v>3902</v>
      </c>
      <c r="O87" t="s">
        <v>3908</v>
      </c>
      <c r="P87" t="s">
        <v>3908</v>
      </c>
      <c r="Q87" t="s">
        <v>3908</v>
      </c>
      <c r="R87" t="s">
        <v>3485</v>
      </c>
      <c r="S87" t="s">
        <v>3486</v>
      </c>
      <c r="T87" t="s">
        <v>3478</v>
      </c>
      <c r="U87" t="s">
        <v>3478</v>
      </c>
    </row>
    <row r="88" spans="1:21" x14ac:dyDescent="0.25">
      <c r="A88" t="s">
        <v>4396</v>
      </c>
      <c r="B88" t="s">
        <v>3913</v>
      </c>
      <c r="C88" t="s">
        <v>3472</v>
      </c>
      <c r="D88" t="s">
        <v>3473</v>
      </c>
      <c r="E88" t="s">
        <v>3474</v>
      </c>
      <c r="F88" t="s">
        <v>40</v>
      </c>
      <c r="G88" t="s">
        <v>3476</v>
      </c>
      <c r="H88" t="s">
        <v>3914</v>
      </c>
      <c r="I88" t="s">
        <v>3502</v>
      </c>
      <c r="J88" t="s">
        <v>3915</v>
      </c>
      <c r="K88" t="s">
        <v>3566</v>
      </c>
      <c r="L88" t="s">
        <v>3481</v>
      </c>
      <c r="M88" t="s">
        <v>3482</v>
      </c>
      <c r="N88" t="s">
        <v>3916</v>
      </c>
      <c r="O88" t="s">
        <v>3917</v>
      </c>
      <c r="P88" t="s">
        <v>3917</v>
      </c>
      <c r="Q88" t="s">
        <v>3917</v>
      </c>
      <c r="R88" t="s">
        <v>3485</v>
      </c>
      <c r="S88" t="s">
        <v>3486</v>
      </c>
      <c r="T88" t="s">
        <v>3478</v>
      </c>
      <c r="U88" t="s">
        <v>3502</v>
      </c>
    </row>
    <row r="89" spans="1:21" x14ac:dyDescent="0.25">
      <c r="A89" t="s">
        <v>3216</v>
      </c>
      <c r="B89" t="s">
        <v>3918</v>
      </c>
      <c r="C89" t="s">
        <v>3472</v>
      </c>
      <c r="D89" t="s">
        <v>3473</v>
      </c>
      <c r="E89" t="s">
        <v>3474</v>
      </c>
      <c r="F89" t="s">
        <v>40</v>
      </c>
      <c r="G89" t="s">
        <v>3476</v>
      </c>
      <c r="H89" t="s">
        <v>3919</v>
      </c>
      <c r="I89" t="s">
        <v>3478</v>
      </c>
      <c r="J89" t="s">
        <v>3920</v>
      </c>
      <c r="K89" t="s">
        <v>3573</v>
      </c>
      <c r="L89" t="s">
        <v>3481</v>
      </c>
      <c r="M89" t="s">
        <v>3482</v>
      </c>
      <c r="N89" t="s">
        <v>3575</v>
      </c>
      <c r="O89" t="s">
        <v>3921</v>
      </c>
      <c r="P89" t="s">
        <v>3681</v>
      </c>
      <c r="Q89" t="s">
        <v>3921</v>
      </c>
      <c r="R89" t="s">
        <v>3532</v>
      </c>
      <c r="S89" t="s">
        <v>3533</v>
      </c>
      <c r="T89" t="s">
        <v>3478</v>
      </c>
      <c r="U89" t="s">
        <v>3478</v>
      </c>
    </row>
    <row r="90" spans="1:21" x14ac:dyDescent="0.25">
      <c r="A90" t="s">
        <v>3923</v>
      </c>
      <c r="B90" t="s">
        <v>3922</v>
      </c>
      <c r="C90" t="s">
        <v>3472</v>
      </c>
      <c r="D90" t="s">
        <v>3473</v>
      </c>
      <c r="E90" t="s">
        <v>3474</v>
      </c>
      <c r="F90" t="s">
        <v>40</v>
      </c>
      <c r="G90" t="s">
        <v>3476</v>
      </c>
      <c r="H90" t="s">
        <v>3924</v>
      </c>
      <c r="I90" t="s">
        <v>3478</v>
      </c>
      <c r="J90" t="s">
        <v>3925</v>
      </c>
      <c r="K90" t="s">
        <v>3573</v>
      </c>
      <c r="L90" t="s">
        <v>3481</v>
      </c>
      <c r="M90" t="s">
        <v>3482</v>
      </c>
      <c r="N90" t="s">
        <v>3575</v>
      </c>
      <c r="O90" t="s">
        <v>3926</v>
      </c>
      <c r="P90" t="s">
        <v>3717</v>
      </c>
      <c r="Q90" t="s">
        <v>3926</v>
      </c>
      <c r="R90" t="s">
        <v>3485</v>
      </c>
      <c r="S90" t="s">
        <v>3486</v>
      </c>
      <c r="T90" t="s">
        <v>3478</v>
      </c>
      <c r="U90" t="s">
        <v>3478</v>
      </c>
    </row>
    <row r="91" spans="1:21" x14ac:dyDescent="0.25">
      <c r="A91" t="s">
        <v>3928</v>
      </c>
      <c r="B91" t="s">
        <v>3927</v>
      </c>
      <c r="C91" t="s">
        <v>3472</v>
      </c>
      <c r="D91" t="s">
        <v>3473</v>
      </c>
      <c r="E91" t="s">
        <v>3474</v>
      </c>
      <c r="F91" t="s">
        <v>40</v>
      </c>
      <c r="G91" t="s">
        <v>3476</v>
      </c>
      <c r="H91" t="s">
        <v>3924</v>
      </c>
      <c r="I91" t="s">
        <v>3478</v>
      </c>
      <c r="J91" t="s">
        <v>3929</v>
      </c>
      <c r="K91" t="s">
        <v>3573</v>
      </c>
      <c r="L91" t="s">
        <v>3481</v>
      </c>
      <c r="M91" t="s">
        <v>3482</v>
      </c>
      <c r="N91" t="s">
        <v>3575</v>
      </c>
      <c r="O91" t="s">
        <v>3926</v>
      </c>
      <c r="P91" t="s">
        <v>3717</v>
      </c>
      <c r="Q91" t="s">
        <v>3926</v>
      </c>
      <c r="R91" t="s">
        <v>3485</v>
      </c>
      <c r="S91" t="s">
        <v>3486</v>
      </c>
      <c r="T91" t="s">
        <v>3478</v>
      </c>
      <c r="U91" t="s">
        <v>3478</v>
      </c>
    </row>
    <row r="92" spans="1:21" x14ac:dyDescent="0.25">
      <c r="A92" t="s">
        <v>3931</v>
      </c>
      <c r="B92" t="s">
        <v>3930</v>
      </c>
      <c r="C92" t="s">
        <v>3472</v>
      </c>
      <c r="D92" t="s">
        <v>3473</v>
      </c>
      <c r="E92" t="s">
        <v>3474</v>
      </c>
      <c r="F92" t="s">
        <v>40</v>
      </c>
      <c r="G92" t="s">
        <v>3476</v>
      </c>
      <c r="H92" t="s">
        <v>3924</v>
      </c>
      <c r="I92" t="s">
        <v>3478</v>
      </c>
      <c r="J92" t="s">
        <v>3932</v>
      </c>
      <c r="K92" t="s">
        <v>3573</v>
      </c>
      <c r="L92" t="s">
        <v>3481</v>
      </c>
      <c r="M92" t="s">
        <v>3482</v>
      </c>
      <c r="N92" t="s">
        <v>3575</v>
      </c>
      <c r="O92" t="s">
        <v>3926</v>
      </c>
      <c r="P92" t="s">
        <v>3717</v>
      </c>
      <c r="Q92" t="s">
        <v>3926</v>
      </c>
      <c r="R92" t="s">
        <v>3485</v>
      </c>
      <c r="S92" t="s">
        <v>3486</v>
      </c>
      <c r="T92" t="s">
        <v>3478</v>
      </c>
      <c r="U92" t="s">
        <v>3478</v>
      </c>
    </row>
    <row r="93" spans="1:21" x14ac:dyDescent="0.25">
      <c r="A93" t="s">
        <v>3934</v>
      </c>
      <c r="B93" t="s">
        <v>3933</v>
      </c>
      <c r="C93" t="s">
        <v>3472</v>
      </c>
      <c r="D93" t="s">
        <v>3473</v>
      </c>
      <c r="E93" t="s">
        <v>3474</v>
      </c>
      <c r="F93" t="s">
        <v>40</v>
      </c>
      <c r="G93" t="s">
        <v>3476</v>
      </c>
      <c r="H93" t="s">
        <v>3924</v>
      </c>
      <c r="I93" t="s">
        <v>3478</v>
      </c>
      <c r="J93" t="s">
        <v>3935</v>
      </c>
      <c r="K93" t="s">
        <v>3573</v>
      </c>
      <c r="L93" t="s">
        <v>3481</v>
      </c>
      <c r="M93" t="s">
        <v>3482</v>
      </c>
      <c r="N93" t="s">
        <v>3575</v>
      </c>
      <c r="O93" t="s">
        <v>3926</v>
      </c>
      <c r="P93" t="s">
        <v>3717</v>
      </c>
      <c r="Q93" t="s">
        <v>3926</v>
      </c>
      <c r="R93" t="s">
        <v>3485</v>
      </c>
      <c r="S93" t="s">
        <v>3486</v>
      </c>
      <c r="T93" t="s">
        <v>3478</v>
      </c>
      <c r="U93" t="s">
        <v>3478</v>
      </c>
    </row>
    <row r="94" spans="1:21" x14ac:dyDescent="0.25">
      <c r="A94" t="s">
        <v>3937</v>
      </c>
      <c r="B94" t="s">
        <v>3936</v>
      </c>
      <c r="C94" t="s">
        <v>3472</v>
      </c>
      <c r="D94" t="s">
        <v>3473</v>
      </c>
      <c r="E94" t="s">
        <v>3474</v>
      </c>
      <c r="F94" t="s">
        <v>40</v>
      </c>
      <c r="G94" t="s">
        <v>3476</v>
      </c>
      <c r="H94" t="s">
        <v>3924</v>
      </c>
      <c r="I94" t="s">
        <v>3478</v>
      </c>
      <c r="J94" t="s">
        <v>3938</v>
      </c>
      <c r="K94" t="s">
        <v>3573</v>
      </c>
      <c r="L94" t="s">
        <v>3481</v>
      </c>
      <c r="M94" t="s">
        <v>3482</v>
      </c>
      <c r="N94" t="s">
        <v>3575</v>
      </c>
      <c r="O94" t="s">
        <v>3926</v>
      </c>
      <c r="P94" t="s">
        <v>3717</v>
      </c>
      <c r="Q94" t="s">
        <v>3926</v>
      </c>
      <c r="R94" t="s">
        <v>3485</v>
      </c>
      <c r="S94" t="s">
        <v>3486</v>
      </c>
      <c r="T94" t="s">
        <v>3478</v>
      </c>
      <c r="U94" t="s">
        <v>3478</v>
      </c>
    </row>
    <row r="95" spans="1:21" x14ac:dyDescent="0.25">
      <c r="A95" t="s">
        <v>3940</v>
      </c>
      <c r="B95" t="s">
        <v>3939</v>
      </c>
      <c r="C95" t="s">
        <v>3472</v>
      </c>
      <c r="D95" t="s">
        <v>3473</v>
      </c>
      <c r="E95" t="s">
        <v>3474</v>
      </c>
      <c r="F95" t="s">
        <v>40</v>
      </c>
      <c r="G95" t="s">
        <v>3476</v>
      </c>
      <c r="H95" t="s">
        <v>3924</v>
      </c>
      <c r="I95" t="s">
        <v>3478</v>
      </c>
      <c r="J95" t="s">
        <v>3941</v>
      </c>
      <c r="K95" t="s">
        <v>3573</v>
      </c>
      <c r="L95" t="s">
        <v>3481</v>
      </c>
      <c r="M95" t="s">
        <v>3482</v>
      </c>
      <c r="N95" t="s">
        <v>3575</v>
      </c>
      <c r="O95" t="s">
        <v>3926</v>
      </c>
      <c r="P95" t="s">
        <v>3717</v>
      </c>
      <c r="Q95" t="s">
        <v>3926</v>
      </c>
      <c r="R95" t="s">
        <v>3485</v>
      </c>
      <c r="S95" t="s">
        <v>3486</v>
      </c>
      <c r="T95" t="s">
        <v>3478</v>
      </c>
      <c r="U95" t="s">
        <v>3478</v>
      </c>
    </row>
    <row r="96" spans="1:21" x14ac:dyDescent="0.25">
      <c r="A96" t="s">
        <v>3943</v>
      </c>
      <c r="B96" t="s">
        <v>3942</v>
      </c>
      <c r="C96" t="s">
        <v>3472</v>
      </c>
      <c r="D96" t="s">
        <v>3473</v>
      </c>
      <c r="E96" t="s">
        <v>3474</v>
      </c>
      <c r="F96" t="s">
        <v>40</v>
      </c>
      <c r="G96" t="s">
        <v>3476</v>
      </c>
      <c r="H96" t="s">
        <v>3924</v>
      </c>
      <c r="I96" t="s">
        <v>3478</v>
      </c>
      <c r="J96" t="s">
        <v>3944</v>
      </c>
      <c r="K96" t="s">
        <v>3573</v>
      </c>
      <c r="L96" t="s">
        <v>3481</v>
      </c>
      <c r="M96" t="s">
        <v>3482</v>
      </c>
      <c r="N96" t="s">
        <v>3575</v>
      </c>
      <c r="O96" t="s">
        <v>3926</v>
      </c>
      <c r="P96" t="s">
        <v>3717</v>
      </c>
      <c r="Q96" t="s">
        <v>3926</v>
      </c>
      <c r="R96" t="s">
        <v>3485</v>
      </c>
      <c r="S96" t="s">
        <v>3486</v>
      </c>
      <c r="T96" t="s">
        <v>3478</v>
      </c>
      <c r="U96" t="s">
        <v>3478</v>
      </c>
    </row>
    <row r="97" spans="1:21" x14ac:dyDescent="0.25">
      <c r="A97" t="s">
        <v>3946</v>
      </c>
      <c r="B97" t="s">
        <v>3945</v>
      </c>
      <c r="C97" t="s">
        <v>3472</v>
      </c>
      <c r="D97" t="s">
        <v>3473</v>
      </c>
      <c r="E97" t="s">
        <v>3474</v>
      </c>
      <c r="F97" t="s">
        <v>40</v>
      </c>
      <c r="G97" t="s">
        <v>3476</v>
      </c>
      <c r="H97" t="s">
        <v>3924</v>
      </c>
      <c r="I97" t="s">
        <v>3478</v>
      </c>
      <c r="J97" t="s">
        <v>3947</v>
      </c>
      <c r="K97" t="s">
        <v>3573</v>
      </c>
      <c r="L97" t="s">
        <v>3481</v>
      </c>
      <c r="M97" t="s">
        <v>3482</v>
      </c>
      <c r="N97" t="s">
        <v>3575</v>
      </c>
      <c r="O97" t="s">
        <v>3926</v>
      </c>
      <c r="P97" t="s">
        <v>3717</v>
      </c>
      <c r="Q97" t="s">
        <v>3926</v>
      </c>
      <c r="R97" t="s">
        <v>3485</v>
      </c>
      <c r="S97" t="s">
        <v>3486</v>
      </c>
      <c r="T97" t="s">
        <v>3478</v>
      </c>
      <c r="U97" t="s">
        <v>3478</v>
      </c>
    </row>
    <row r="98" spans="1:21" x14ac:dyDescent="0.25">
      <c r="A98" t="s">
        <v>3949</v>
      </c>
      <c r="B98" t="s">
        <v>3948</v>
      </c>
      <c r="C98" t="s">
        <v>3472</v>
      </c>
      <c r="D98" t="s">
        <v>3473</v>
      </c>
      <c r="E98" t="s">
        <v>3474</v>
      </c>
      <c r="F98" t="s">
        <v>40</v>
      </c>
      <c r="G98" t="s">
        <v>3476</v>
      </c>
      <c r="H98" t="s">
        <v>3950</v>
      </c>
      <c r="I98" t="s">
        <v>3478</v>
      </c>
      <c r="J98" t="s">
        <v>3951</v>
      </c>
      <c r="K98" t="s">
        <v>3573</v>
      </c>
      <c r="L98" t="s">
        <v>3481</v>
      </c>
      <c r="M98" t="s">
        <v>3482</v>
      </c>
      <c r="N98" t="s">
        <v>3575</v>
      </c>
      <c r="O98" t="s">
        <v>3952</v>
      </c>
      <c r="P98" t="s">
        <v>3754</v>
      </c>
      <c r="Q98" t="s">
        <v>3952</v>
      </c>
      <c r="R98" t="s">
        <v>3485</v>
      </c>
      <c r="S98" t="s">
        <v>3486</v>
      </c>
      <c r="T98" t="s">
        <v>3478</v>
      </c>
      <c r="U98" t="s">
        <v>3478</v>
      </c>
    </row>
    <row r="99" spans="1:21" x14ac:dyDescent="0.25">
      <c r="A99" t="s">
        <v>3949</v>
      </c>
      <c r="B99" t="s">
        <v>3953</v>
      </c>
      <c r="C99" t="s">
        <v>3472</v>
      </c>
      <c r="D99" t="s">
        <v>3473</v>
      </c>
      <c r="E99" t="s">
        <v>3474</v>
      </c>
      <c r="F99" t="s">
        <v>40</v>
      </c>
      <c r="G99" t="s">
        <v>3476</v>
      </c>
      <c r="H99" t="s">
        <v>3954</v>
      </c>
      <c r="I99" t="s">
        <v>3478</v>
      </c>
      <c r="J99" t="s">
        <v>3951</v>
      </c>
      <c r="K99" t="s">
        <v>3643</v>
      </c>
      <c r="L99" t="s">
        <v>3481</v>
      </c>
      <c r="M99" t="s">
        <v>3955</v>
      </c>
      <c r="N99" t="s">
        <v>3956</v>
      </c>
      <c r="O99" t="s">
        <v>3957</v>
      </c>
      <c r="P99" t="s">
        <v>3845</v>
      </c>
      <c r="Q99" t="s">
        <v>3957</v>
      </c>
      <c r="R99" t="s">
        <v>3525</v>
      </c>
      <c r="S99" t="s">
        <v>3526</v>
      </c>
      <c r="T99" t="s">
        <v>3478</v>
      </c>
      <c r="U99" t="s">
        <v>3478</v>
      </c>
    </row>
    <row r="100" spans="1:21" x14ac:dyDescent="0.25">
      <c r="A100" t="s">
        <v>3959</v>
      </c>
      <c r="B100" t="s">
        <v>3958</v>
      </c>
      <c r="C100" t="s">
        <v>3472</v>
      </c>
      <c r="D100" t="s">
        <v>3473</v>
      </c>
      <c r="E100" t="s">
        <v>3474</v>
      </c>
      <c r="F100" t="s">
        <v>40</v>
      </c>
      <c r="G100" t="s">
        <v>3476</v>
      </c>
      <c r="H100" t="s">
        <v>3960</v>
      </c>
      <c r="I100" t="s">
        <v>3478</v>
      </c>
      <c r="J100" t="s">
        <v>3961</v>
      </c>
      <c r="K100" t="s">
        <v>3573</v>
      </c>
      <c r="L100" t="s">
        <v>3481</v>
      </c>
      <c r="M100" t="s">
        <v>3482</v>
      </c>
      <c r="N100" t="s">
        <v>3962</v>
      </c>
      <c r="O100" t="s">
        <v>3963</v>
      </c>
      <c r="P100" t="s">
        <v>3964</v>
      </c>
      <c r="Q100" t="s">
        <v>3963</v>
      </c>
      <c r="R100" t="s">
        <v>3485</v>
      </c>
      <c r="S100" t="s">
        <v>3486</v>
      </c>
      <c r="T100" t="s">
        <v>3478</v>
      </c>
      <c r="U100" t="s">
        <v>3478</v>
      </c>
    </row>
    <row r="101" spans="1:21" x14ac:dyDescent="0.25">
      <c r="A101" t="s">
        <v>3966</v>
      </c>
      <c r="B101" t="s">
        <v>3965</v>
      </c>
      <c r="C101" t="s">
        <v>3472</v>
      </c>
      <c r="D101" t="s">
        <v>3473</v>
      </c>
      <c r="E101" t="s">
        <v>3474</v>
      </c>
      <c r="F101" t="s">
        <v>40</v>
      </c>
      <c r="G101" t="s">
        <v>3476</v>
      </c>
      <c r="H101" t="s">
        <v>3960</v>
      </c>
      <c r="I101" t="s">
        <v>3478</v>
      </c>
      <c r="J101" t="s">
        <v>3967</v>
      </c>
      <c r="K101" t="s">
        <v>3573</v>
      </c>
      <c r="L101" t="s">
        <v>3481</v>
      </c>
      <c r="M101" t="s">
        <v>3482</v>
      </c>
      <c r="N101" t="s">
        <v>3962</v>
      </c>
      <c r="O101" t="s">
        <v>3963</v>
      </c>
      <c r="P101" t="s">
        <v>3964</v>
      </c>
      <c r="Q101" t="s">
        <v>3963</v>
      </c>
      <c r="R101" t="s">
        <v>3485</v>
      </c>
      <c r="S101" t="s">
        <v>3486</v>
      </c>
      <c r="T101" t="s">
        <v>3478</v>
      </c>
      <c r="U101" t="s">
        <v>3478</v>
      </c>
    </row>
    <row r="102" spans="1:21" x14ac:dyDescent="0.25">
      <c r="A102" t="s">
        <v>3969</v>
      </c>
      <c r="B102" t="s">
        <v>3968</v>
      </c>
      <c r="C102" t="s">
        <v>3472</v>
      </c>
      <c r="D102" t="s">
        <v>3473</v>
      </c>
      <c r="E102" t="s">
        <v>3474</v>
      </c>
      <c r="F102" t="s">
        <v>40</v>
      </c>
      <c r="G102" t="s">
        <v>3476</v>
      </c>
      <c r="H102" t="s">
        <v>3970</v>
      </c>
      <c r="I102" t="s">
        <v>3478</v>
      </c>
      <c r="J102" t="s">
        <v>3971</v>
      </c>
      <c r="K102" t="s">
        <v>3972</v>
      </c>
      <c r="L102" t="s">
        <v>3481</v>
      </c>
      <c r="M102" t="s">
        <v>3482</v>
      </c>
      <c r="N102" t="s">
        <v>3973</v>
      </c>
      <c r="O102" t="s">
        <v>3974</v>
      </c>
      <c r="P102" t="s">
        <v>3717</v>
      </c>
      <c r="Q102" t="s">
        <v>3974</v>
      </c>
      <c r="R102" t="s">
        <v>3485</v>
      </c>
      <c r="S102" t="s">
        <v>3486</v>
      </c>
      <c r="T102" t="s">
        <v>3478</v>
      </c>
      <c r="U102" t="s">
        <v>3478</v>
      </c>
    </row>
    <row r="103" spans="1:21" x14ac:dyDescent="0.25">
      <c r="A103" t="s">
        <v>3073</v>
      </c>
      <c r="B103" t="s">
        <v>3975</v>
      </c>
      <c r="C103" t="s">
        <v>3472</v>
      </c>
      <c r="D103" t="s">
        <v>3473</v>
      </c>
      <c r="E103" t="s">
        <v>3474</v>
      </c>
      <c r="F103" t="s">
        <v>40</v>
      </c>
      <c r="G103" t="s">
        <v>3476</v>
      </c>
      <c r="H103" t="s">
        <v>3976</v>
      </c>
      <c r="I103" t="s">
        <v>3478</v>
      </c>
      <c r="J103" t="s">
        <v>3977</v>
      </c>
      <c r="K103" t="s">
        <v>3978</v>
      </c>
      <c r="L103" t="s">
        <v>3481</v>
      </c>
      <c r="M103" t="s">
        <v>3886</v>
      </c>
      <c r="N103" t="s">
        <v>3979</v>
      </c>
      <c r="O103" t="s">
        <v>3980</v>
      </c>
      <c r="P103" t="s">
        <v>3825</v>
      </c>
      <c r="Q103" t="s">
        <v>3980</v>
      </c>
      <c r="R103" t="s">
        <v>3532</v>
      </c>
      <c r="S103" t="s">
        <v>3533</v>
      </c>
      <c r="T103" t="s">
        <v>3478</v>
      </c>
      <c r="U103" t="s">
        <v>3478</v>
      </c>
    </row>
    <row r="104" spans="1:21" x14ac:dyDescent="0.25">
      <c r="A104" t="s">
        <v>3073</v>
      </c>
      <c r="B104" t="s">
        <v>3981</v>
      </c>
      <c r="C104" t="s">
        <v>3472</v>
      </c>
      <c r="D104" t="s">
        <v>3473</v>
      </c>
      <c r="E104" t="s">
        <v>3474</v>
      </c>
      <c r="F104" t="s">
        <v>40</v>
      </c>
      <c r="G104" t="s">
        <v>3476</v>
      </c>
      <c r="H104" t="s">
        <v>3982</v>
      </c>
      <c r="I104" t="s">
        <v>3478</v>
      </c>
      <c r="J104" t="s">
        <v>3977</v>
      </c>
      <c r="K104" t="s">
        <v>3978</v>
      </c>
      <c r="L104" t="s">
        <v>3481</v>
      </c>
      <c r="M104" t="s">
        <v>3886</v>
      </c>
      <c r="N104" t="s">
        <v>3979</v>
      </c>
      <c r="O104" t="s">
        <v>3983</v>
      </c>
      <c r="P104" t="s">
        <v>3984</v>
      </c>
      <c r="Q104" t="s">
        <v>3983</v>
      </c>
      <c r="R104" t="s">
        <v>3532</v>
      </c>
      <c r="S104" t="s">
        <v>3533</v>
      </c>
      <c r="T104" t="s">
        <v>3478</v>
      </c>
      <c r="U104" t="s">
        <v>3478</v>
      </c>
    </row>
    <row r="105" spans="1:21" x14ac:dyDescent="0.25">
      <c r="A105" t="s">
        <v>3056</v>
      </c>
      <c r="B105" t="s">
        <v>3985</v>
      </c>
      <c r="C105" t="s">
        <v>3472</v>
      </c>
      <c r="D105" t="s">
        <v>3473</v>
      </c>
      <c r="E105" t="s">
        <v>3474</v>
      </c>
      <c r="F105" t="s">
        <v>40</v>
      </c>
      <c r="G105" t="s">
        <v>3476</v>
      </c>
      <c r="H105" t="s">
        <v>3986</v>
      </c>
      <c r="I105" t="s">
        <v>3478</v>
      </c>
      <c r="J105" t="s">
        <v>3987</v>
      </c>
      <c r="K105" t="s">
        <v>3643</v>
      </c>
      <c r="L105" t="s">
        <v>3481</v>
      </c>
      <c r="M105" t="s">
        <v>3817</v>
      </c>
      <c r="N105" t="s">
        <v>3988</v>
      </c>
      <c r="O105" t="s">
        <v>3989</v>
      </c>
      <c r="P105" t="s">
        <v>3990</v>
      </c>
      <c r="Q105" t="s">
        <v>3989</v>
      </c>
      <c r="R105" t="s">
        <v>3492</v>
      </c>
      <c r="S105" t="s">
        <v>3493</v>
      </c>
      <c r="T105" t="s">
        <v>3478</v>
      </c>
      <c r="U105" t="s">
        <v>3478</v>
      </c>
    </row>
    <row r="106" spans="1:21" x14ac:dyDescent="0.25">
      <c r="A106" t="s">
        <v>3034</v>
      </c>
      <c r="B106" t="s">
        <v>3991</v>
      </c>
      <c r="C106" t="s">
        <v>3472</v>
      </c>
      <c r="D106" t="s">
        <v>3473</v>
      </c>
      <c r="E106" t="s">
        <v>3474</v>
      </c>
      <c r="F106" t="s">
        <v>40</v>
      </c>
      <c r="G106" t="s">
        <v>3476</v>
      </c>
      <c r="H106" t="s">
        <v>3992</v>
      </c>
      <c r="I106" t="s">
        <v>3478</v>
      </c>
      <c r="J106" t="s">
        <v>3993</v>
      </c>
      <c r="K106" t="s">
        <v>40</v>
      </c>
      <c r="L106" t="s">
        <v>3481</v>
      </c>
      <c r="M106" t="s">
        <v>3817</v>
      </c>
      <c r="N106" t="s">
        <v>3699</v>
      </c>
      <c r="O106" t="s">
        <v>3994</v>
      </c>
      <c r="P106" t="s">
        <v>3694</v>
      </c>
      <c r="Q106" t="s">
        <v>3994</v>
      </c>
      <c r="R106" t="s">
        <v>3492</v>
      </c>
      <c r="S106" t="s">
        <v>3493</v>
      </c>
      <c r="T106" t="s">
        <v>3478</v>
      </c>
      <c r="U106" t="s">
        <v>3478</v>
      </c>
    </row>
    <row r="107" spans="1:21" x14ac:dyDescent="0.25">
      <c r="A107" t="s">
        <v>3061</v>
      </c>
      <c r="B107" t="s">
        <v>3995</v>
      </c>
      <c r="C107" t="s">
        <v>3472</v>
      </c>
      <c r="D107" t="s">
        <v>3473</v>
      </c>
      <c r="E107" t="s">
        <v>3474</v>
      </c>
      <c r="F107" t="s">
        <v>40</v>
      </c>
      <c r="G107" t="s">
        <v>3476</v>
      </c>
      <c r="H107" t="s">
        <v>3996</v>
      </c>
      <c r="I107" t="s">
        <v>3478</v>
      </c>
      <c r="J107" t="s">
        <v>3997</v>
      </c>
      <c r="K107" t="s">
        <v>40</v>
      </c>
      <c r="L107" t="s">
        <v>3481</v>
      </c>
      <c r="M107" t="s">
        <v>3787</v>
      </c>
      <c r="N107" t="s">
        <v>3699</v>
      </c>
      <c r="O107" t="s">
        <v>3989</v>
      </c>
      <c r="P107" t="s">
        <v>3990</v>
      </c>
      <c r="Q107" t="s">
        <v>3989</v>
      </c>
      <c r="R107" t="s">
        <v>3485</v>
      </c>
      <c r="S107" t="s">
        <v>3486</v>
      </c>
      <c r="T107" t="s">
        <v>3478</v>
      </c>
      <c r="U107" t="s">
        <v>3478</v>
      </c>
    </row>
    <row r="108" spans="1:21" x14ac:dyDescent="0.25">
      <c r="A108" t="s">
        <v>3062</v>
      </c>
      <c r="B108" t="s">
        <v>3998</v>
      </c>
      <c r="C108" t="s">
        <v>3472</v>
      </c>
      <c r="D108" t="s">
        <v>3473</v>
      </c>
      <c r="E108" t="s">
        <v>3474</v>
      </c>
      <c r="F108" t="s">
        <v>40</v>
      </c>
      <c r="G108" t="s">
        <v>3476</v>
      </c>
      <c r="H108" t="s">
        <v>3996</v>
      </c>
      <c r="I108" t="s">
        <v>3478</v>
      </c>
      <c r="J108" t="s">
        <v>3999</v>
      </c>
      <c r="K108" t="s">
        <v>40</v>
      </c>
      <c r="L108" t="s">
        <v>3481</v>
      </c>
      <c r="M108" t="s">
        <v>3787</v>
      </c>
      <c r="N108" t="s">
        <v>3699</v>
      </c>
      <c r="O108" t="s">
        <v>3989</v>
      </c>
      <c r="P108" t="s">
        <v>3990</v>
      </c>
      <c r="Q108" t="s">
        <v>3989</v>
      </c>
      <c r="R108" t="s">
        <v>3485</v>
      </c>
      <c r="S108" t="s">
        <v>3486</v>
      </c>
      <c r="T108" t="s">
        <v>3478</v>
      </c>
      <c r="U108" t="s">
        <v>3478</v>
      </c>
    </row>
    <row r="109" spans="1:21" x14ac:dyDescent="0.25">
      <c r="A109" t="s">
        <v>3050</v>
      </c>
      <c r="B109" t="s">
        <v>4000</v>
      </c>
      <c r="C109" t="s">
        <v>3472</v>
      </c>
      <c r="D109" t="s">
        <v>3473</v>
      </c>
      <c r="E109" t="s">
        <v>3474</v>
      </c>
      <c r="F109" t="s">
        <v>40</v>
      </c>
      <c r="G109" t="s">
        <v>3476</v>
      </c>
      <c r="H109" t="s">
        <v>4001</v>
      </c>
      <c r="I109" t="s">
        <v>3478</v>
      </c>
      <c r="J109" t="s">
        <v>4002</v>
      </c>
      <c r="K109" t="s">
        <v>40</v>
      </c>
      <c r="L109" t="s">
        <v>3481</v>
      </c>
      <c r="M109" t="s">
        <v>3886</v>
      </c>
      <c r="N109" t="s">
        <v>4003</v>
      </c>
      <c r="O109" t="s">
        <v>4004</v>
      </c>
      <c r="P109" t="s">
        <v>4005</v>
      </c>
      <c r="Q109" t="s">
        <v>4004</v>
      </c>
      <c r="R109" t="s">
        <v>3485</v>
      </c>
      <c r="S109" t="s">
        <v>3486</v>
      </c>
      <c r="T109" t="s">
        <v>3478</v>
      </c>
      <c r="U109" t="s">
        <v>3478</v>
      </c>
    </row>
    <row r="110" spans="1:21" x14ac:dyDescent="0.25">
      <c r="A110" t="s">
        <v>3058</v>
      </c>
      <c r="B110" t="s">
        <v>4006</v>
      </c>
      <c r="C110" t="s">
        <v>3472</v>
      </c>
      <c r="D110" t="s">
        <v>3473</v>
      </c>
      <c r="E110" t="s">
        <v>3474</v>
      </c>
      <c r="F110" t="s">
        <v>40</v>
      </c>
      <c r="G110" t="s">
        <v>3476</v>
      </c>
      <c r="H110" t="s">
        <v>4007</v>
      </c>
      <c r="I110" t="s">
        <v>3478</v>
      </c>
      <c r="J110" t="s">
        <v>4002</v>
      </c>
      <c r="K110" t="s">
        <v>40</v>
      </c>
      <c r="L110" t="s">
        <v>3481</v>
      </c>
      <c r="M110" t="s">
        <v>3886</v>
      </c>
      <c r="N110" t="s">
        <v>4003</v>
      </c>
      <c r="O110" t="s">
        <v>4004</v>
      </c>
      <c r="P110" t="s">
        <v>4005</v>
      </c>
      <c r="Q110" t="s">
        <v>4004</v>
      </c>
      <c r="R110" t="s">
        <v>3485</v>
      </c>
      <c r="S110" t="s">
        <v>3486</v>
      </c>
      <c r="T110" t="s">
        <v>3478</v>
      </c>
      <c r="U110" t="s">
        <v>3478</v>
      </c>
    </row>
    <row r="111" spans="1:21" x14ac:dyDescent="0.25">
      <c r="A111" t="s">
        <v>3059</v>
      </c>
      <c r="B111" t="s">
        <v>4008</v>
      </c>
      <c r="C111" t="s">
        <v>3472</v>
      </c>
      <c r="D111" t="s">
        <v>3473</v>
      </c>
      <c r="E111" t="s">
        <v>3474</v>
      </c>
      <c r="F111" t="s">
        <v>40</v>
      </c>
      <c r="G111" t="s">
        <v>3476</v>
      </c>
      <c r="H111" t="s">
        <v>4007</v>
      </c>
      <c r="I111" t="s">
        <v>3478</v>
      </c>
      <c r="J111" t="s">
        <v>4009</v>
      </c>
      <c r="K111" t="s">
        <v>40</v>
      </c>
      <c r="L111" t="s">
        <v>3481</v>
      </c>
      <c r="M111" t="s">
        <v>3886</v>
      </c>
      <c r="N111" t="s">
        <v>4003</v>
      </c>
      <c r="O111" t="s">
        <v>4004</v>
      </c>
      <c r="P111" t="s">
        <v>4005</v>
      </c>
      <c r="Q111" t="s">
        <v>4004</v>
      </c>
      <c r="R111" t="s">
        <v>3485</v>
      </c>
      <c r="S111" t="s">
        <v>3486</v>
      </c>
      <c r="T111" t="s">
        <v>3478</v>
      </c>
      <c r="U111" t="s">
        <v>3478</v>
      </c>
    </row>
    <row r="112" spans="1:21" x14ac:dyDescent="0.25">
      <c r="A112" t="s">
        <v>3060</v>
      </c>
      <c r="B112" t="s">
        <v>4010</v>
      </c>
      <c r="C112" t="s">
        <v>3472</v>
      </c>
      <c r="D112" t="s">
        <v>3473</v>
      </c>
      <c r="E112" t="s">
        <v>3474</v>
      </c>
      <c r="F112" t="s">
        <v>40</v>
      </c>
      <c r="G112" t="s">
        <v>3476</v>
      </c>
      <c r="H112" t="s">
        <v>4001</v>
      </c>
      <c r="I112" t="s">
        <v>3478</v>
      </c>
      <c r="J112" t="s">
        <v>4002</v>
      </c>
      <c r="K112" t="s">
        <v>40</v>
      </c>
      <c r="L112" t="s">
        <v>3481</v>
      </c>
      <c r="M112" t="s">
        <v>3886</v>
      </c>
      <c r="N112" t="s">
        <v>4003</v>
      </c>
      <c r="O112" t="s">
        <v>4004</v>
      </c>
      <c r="P112" t="s">
        <v>4005</v>
      </c>
      <c r="Q112" t="s">
        <v>4004</v>
      </c>
      <c r="R112" t="s">
        <v>3485</v>
      </c>
      <c r="S112" t="s">
        <v>3486</v>
      </c>
      <c r="T112" t="s">
        <v>3478</v>
      </c>
      <c r="U112" t="s">
        <v>3478</v>
      </c>
    </row>
    <row r="113" spans="1:21" x14ac:dyDescent="0.25">
      <c r="A113" t="s">
        <v>3069</v>
      </c>
      <c r="B113" t="s">
        <v>4011</v>
      </c>
      <c r="C113" t="s">
        <v>3472</v>
      </c>
      <c r="D113" t="s">
        <v>3473</v>
      </c>
      <c r="E113" t="s">
        <v>3474</v>
      </c>
      <c r="F113" t="s">
        <v>40</v>
      </c>
      <c r="G113" t="s">
        <v>3476</v>
      </c>
      <c r="H113" t="s">
        <v>4001</v>
      </c>
      <c r="I113" t="s">
        <v>3478</v>
      </c>
      <c r="J113" t="s">
        <v>4002</v>
      </c>
      <c r="K113" t="s">
        <v>40</v>
      </c>
      <c r="L113" t="s">
        <v>3481</v>
      </c>
      <c r="M113" t="s">
        <v>3886</v>
      </c>
      <c r="N113" t="s">
        <v>4003</v>
      </c>
      <c r="O113" t="s">
        <v>4004</v>
      </c>
      <c r="P113" t="s">
        <v>4005</v>
      </c>
      <c r="Q113" t="s">
        <v>4004</v>
      </c>
      <c r="R113" t="s">
        <v>3485</v>
      </c>
      <c r="S113" t="s">
        <v>3486</v>
      </c>
      <c r="T113" t="s">
        <v>3478</v>
      </c>
      <c r="U113" t="s">
        <v>3478</v>
      </c>
    </row>
    <row r="114" spans="1:21" x14ac:dyDescent="0.25">
      <c r="A114" t="s">
        <v>3075</v>
      </c>
      <c r="B114" t="s">
        <v>4012</v>
      </c>
      <c r="C114" t="s">
        <v>3472</v>
      </c>
      <c r="D114" t="s">
        <v>3473</v>
      </c>
      <c r="E114" t="s">
        <v>3474</v>
      </c>
      <c r="F114" t="s">
        <v>40</v>
      </c>
      <c r="G114" t="s">
        <v>3476</v>
      </c>
      <c r="H114" t="s">
        <v>4001</v>
      </c>
      <c r="I114" t="s">
        <v>3478</v>
      </c>
      <c r="J114" t="s">
        <v>4002</v>
      </c>
      <c r="K114" t="s">
        <v>40</v>
      </c>
      <c r="L114" t="s">
        <v>3481</v>
      </c>
      <c r="M114" t="s">
        <v>3886</v>
      </c>
      <c r="N114" t="s">
        <v>4003</v>
      </c>
      <c r="O114" t="s">
        <v>4013</v>
      </c>
      <c r="P114" t="s">
        <v>3825</v>
      </c>
      <c r="Q114" t="s">
        <v>4013</v>
      </c>
      <c r="R114" t="s">
        <v>3485</v>
      </c>
      <c r="S114" t="s">
        <v>3486</v>
      </c>
      <c r="T114" t="s">
        <v>3478</v>
      </c>
      <c r="U114" t="s">
        <v>3478</v>
      </c>
    </row>
    <row r="115" spans="1:21" x14ac:dyDescent="0.25">
      <c r="A115" t="s">
        <v>3076</v>
      </c>
      <c r="B115" t="s">
        <v>4014</v>
      </c>
      <c r="C115" t="s">
        <v>3472</v>
      </c>
      <c r="D115" t="s">
        <v>3473</v>
      </c>
      <c r="E115" t="s">
        <v>3474</v>
      </c>
      <c r="F115" t="s">
        <v>40</v>
      </c>
      <c r="G115" t="s">
        <v>3476</v>
      </c>
      <c r="H115" t="s">
        <v>4015</v>
      </c>
      <c r="I115" t="s">
        <v>3478</v>
      </c>
      <c r="J115" t="s">
        <v>4002</v>
      </c>
      <c r="K115" t="s">
        <v>40</v>
      </c>
      <c r="L115" t="s">
        <v>3481</v>
      </c>
      <c r="M115" t="s">
        <v>3886</v>
      </c>
      <c r="N115" t="s">
        <v>4003</v>
      </c>
      <c r="O115" t="s">
        <v>3824</v>
      </c>
      <c r="P115" t="s">
        <v>3825</v>
      </c>
      <c r="Q115" t="s">
        <v>3824</v>
      </c>
      <c r="R115" t="s">
        <v>3485</v>
      </c>
      <c r="S115" t="s">
        <v>3486</v>
      </c>
      <c r="T115" t="s">
        <v>3478</v>
      </c>
      <c r="U115" t="s">
        <v>3478</v>
      </c>
    </row>
    <row r="116" spans="1:21" x14ac:dyDescent="0.25">
      <c r="A116" t="s">
        <v>3078</v>
      </c>
      <c r="B116" t="s">
        <v>4016</v>
      </c>
      <c r="C116" t="s">
        <v>3472</v>
      </c>
      <c r="D116" t="s">
        <v>3473</v>
      </c>
      <c r="E116" t="s">
        <v>3474</v>
      </c>
      <c r="F116" t="s">
        <v>40</v>
      </c>
      <c r="G116" t="s">
        <v>3476</v>
      </c>
      <c r="H116" t="s">
        <v>4017</v>
      </c>
      <c r="I116" t="s">
        <v>3478</v>
      </c>
      <c r="J116" t="s">
        <v>4002</v>
      </c>
      <c r="K116" t="s">
        <v>40</v>
      </c>
      <c r="L116" t="s">
        <v>3481</v>
      </c>
      <c r="M116" t="s">
        <v>3886</v>
      </c>
      <c r="N116" t="s">
        <v>4003</v>
      </c>
      <c r="O116" t="s">
        <v>4018</v>
      </c>
      <c r="P116" t="s">
        <v>4019</v>
      </c>
      <c r="Q116" t="s">
        <v>4018</v>
      </c>
      <c r="R116" t="s">
        <v>3485</v>
      </c>
      <c r="S116" t="s">
        <v>3486</v>
      </c>
      <c r="T116" t="s">
        <v>3478</v>
      </c>
      <c r="U116" t="s">
        <v>3478</v>
      </c>
    </row>
    <row r="117" spans="1:21" x14ac:dyDescent="0.25">
      <c r="A117" t="s">
        <v>3076</v>
      </c>
      <c r="B117" t="s">
        <v>4020</v>
      </c>
      <c r="C117" t="s">
        <v>3472</v>
      </c>
      <c r="D117" t="s">
        <v>3473</v>
      </c>
      <c r="E117" t="s">
        <v>3474</v>
      </c>
      <c r="F117" t="s">
        <v>40</v>
      </c>
      <c r="G117" t="s">
        <v>3476</v>
      </c>
      <c r="H117" t="s">
        <v>4021</v>
      </c>
      <c r="I117" t="s">
        <v>3478</v>
      </c>
      <c r="J117" t="s">
        <v>4002</v>
      </c>
      <c r="K117" t="s">
        <v>40</v>
      </c>
      <c r="L117" t="s">
        <v>3481</v>
      </c>
      <c r="M117" t="s">
        <v>3886</v>
      </c>
      <c r="N117" t="s">
        <v>4003</v>
      </c>
      <c r="O117" t="s">
        <v>4022</v>
      </c>
      <c r="P117" t="s">
        <v>3984</v>
      </c>
      <c r="Q117" t="s">
        <v>4022</v>
      </c>
      <c r="R117" t="s">
        <v>3485</v>
      </c>
      <c r="S117" t="s">
        <v>3486</v>
      </c>
      <c r="T117" t="s">
        <v>3478</v>
      </c>
      <c r="U117" t="s">
        <v>3478</v>
      </c>
    </row>
    <row r="118" spans="1:21" x14ac:dyDescent="0.25">
      <c r="A118" t="s">
        <v>3078</v>
      </c>
      <c r="B118" t="s">
        <v>4023</v>
      </c>
      <c r="C118" t="s">
        <v>3472</v>
      </c>
      <c r="D118" t="s">
        <v>3473</v>
      </c>
      <c r="E118" t="s">
        <v>3474</v>
      </c>
      <c r="F118" t="s">
        <v>40</v>
      </c>
      <c r="G118" t="s">
        <v>3476</v>
      </c>
      <c r="H118" t="s">
        <v>4024</v>
      </c>
      <c r="I118" t="s">
        <v>3478</v>
      </c>
      <c r="J118" t="s">
        <v>4002</v>
      </c>
      <c r="K118" t="s">
        <v>40</v>
      </c>
      <c r="L118" t="s">
        <v>3481</v>
      </c>
      <c r="M118" t="s">
        <v>3886</v>
      </c>
      <c r="N118" t="s">
        <v>4003</v>
      </c>
      <c r="O118" t="s">
        <v>4022</v>
      </c>
      <c r="P118" t="s">
        <v>3984</v>
      </c>
      <c r="Q118" t="s">
        <v>4022</v>
      </c>
      <c r="R118" t="s">
        <v>3485</v>
      </c>
      <c r="S118" t="s">
        <v>3486</v>
      </c>
      <c r="T118" t="s">
        <v>3478</v>
      </c>
      <c r="U118" t="s">
        <v>3478</v>
      </c>
    </row>
    <row r="119" spans="1:21" x14ac:dyDescent="0.25">
      <c r="A119" t="s">
        <v>3079</v>
      </c>
      <c r="B119" t="s">
        <v>4025</v>
      </c>
      <c r="C119" t="s">
        <v>3472</v>
      </c>
      <c r="D119" t="s">
        <v>3473</v>
      </c>
      <c r="E119" t="s">
        <v>3474</v>
      </c>
      <c r="F119" t="s">
        <v>40</v>
      </c>
      <c r="G119" t="s">
        <v>3476</v>
      </c>
      <c r="H119" t="s">
        <v>4021</v>
      </c>
      <c r="I119" t="s">
        <v>3478</v>
      </c>
      <c r="J119" t="s">
        <v>4002</v>
      </c>
      <c r="K119" t="s">
        <v>40</v>
      </c>
      <c r="L119" t="s">
        <v>3481</v>
      </c>
      <c r="M119" t="s">
        <v>3886</v>
      </c>
      <c r="N119" t="s">
        <v>4003</v>
      </c>
      <c r="O119" t="s">
        <v>4022</v>
      </c>
      <c r="P119" t="s">
        <v>3984</v>
      </c>
      <c r="Q119" t="s">
        <v>4022</v>
      </c>
      <c r="R119" t="s">
        <v>3485</v>
      </c>
      <c r="S119" t="s">
        <v>3486</v>
      </c>
      <c r="T119" t="s">
        <v>3478</v>
      </c>
      <c r="U119" t="s">
        <v>3478</v>
      </c>
    </row>
    <row r="120" spans="1:21" x14ac:dyDescent="0.25">
      <c r="A120" t="s">
        <v>3080</v>
      </c>
      <c r="B120" t="s">
        <v>4026</v>
      </c>
      <c r="C120" t="s">
        <v>3472</v>
      </c>
      <c r="D120" t="s">
        <v>3473</v>
      </c>
      <c r="E120" t="s">
        <v>3474</v>
      </c>
      <c r="F120" t="s">
        <v>40</v>
      </c>
      <c r="G120" t="s">
        <v>3476</v>
      </c>
      <c r="H120" t="s">
        <v>4021</v>
      </c>
      <c r="I120" t="s">
        <v>3478</v>
      </c>
      <c r="J120" t="s">
        <v>4002</v>
      </c>
      <c r="K120" t="s">
        <v>40</v>
      </c>
      <c r="L120" t="s">
        <v>3481</v>
      </c>
      <c r="M120" t="s">
        <v>3886</v>
      </c>
      <c r="N120" t="s">
        <v>4003</v>
      </c>
      <c r="O120" t="s">
        <v>4022</v>
      </c>
      <c r="P120" t="s">
        <v>3984</v>
      </c>
      <c r="Q120" t="s">
        <v>4022</v>
      </c>
      <c r="R120" t="s">
        <v>3485</v>
      </c>
      <c r="S120" t="s">
        <v>3486</v>
      </c>
      <c r="T120" t="s">
        <v>3478</v>
      </c>
      <c r="U120" t="s">
        <v>3478</v>
      </c>
    </row>
    <row r="121" spans="1:21" x14ac:dyDescent="0.25">
      <c r="A121" t="s">
        <v>3081</v>
      </c>
      <c r="B121" t="s">
        <v>4027</v>
      </c>
      <c r="C121" t="s">
        <v>3472</v>
      </c>
      <c r="D121" t="s">
        <v>3473</v>
      </c>
      <c r="E121" t="s">
        <v>3474</v>
      </c>
      <c r="F121" t="s">
        <v>40</v>
      </c>
      <c r="G121" t="s">
        <v>3476</v>
      </c>
      <c r="H121" t="s">
        <v>4024</v>
      </c>
      <c r="I121" t="s">
        <v>3478</v>
      </c>
      <c r="J121" t="s">
        <v>4002</v>
      </c>
      <c r="K121" t="s">
        <v>40</v>
      </c>
      <c r="L121" t="s">
        <v>3481</v>
      </c>
      <c r="M121" t="s">
        <v>3886</v>
      </c>
      <c r="N121" t="s">
        <v>4003</v>
      </c>
      <c r="O121" t="s">
        <v>4022</v>
      </c>
      <c r="P121" t="s">
        <v>3984</v>
      </c>
      <c r="Q121" t="s">
        <v>4022</v>
      </c>
      <c r="R121" t="s">
        <v>3485</v>
      </c>
      <c r="S121" t="s">
        <v>3486</v>
      </c>
      <c r="T121" t="s">
        <v>3478</v>
      </c>
      <c r="U121" t="s">
        <v>3478</v>
      </c>
    </row>
    <row r="122" spans="1:21" x14ac:dyDescent="0.25">
      <c r="A122" t="s">
        <v>3084</v>
      </c>
      <c r="B122" t="s">
        <v>4028</v>
      </c>
      <c r="C122" t="s">
        <v>3472</v>
      </c>
      <c r="D122" t="s">
        <v>3473</v>
      </c>
      <c r="E122" t="s">
        <v>3474</v>
      </c>
      <c r="F122" t="s">
        <v>40</v>
      </c>
      <c r="G122" t="s">
        <v>3476</v>
      </c>
      <c r="H122" t="s">
        <v>4024</v>
      </c>
      <c r="I122" t="s">
        <v>3478</v>
      </c>
      <c r="J122" t="s">
        <v>4002</v>
      </c>
      <c r="K122" t="s">
        <v>40</v>
      </c>
      <c r="L122" t="s">
        <v>3481</v>
      </c>
      <c r="M122" t="s">
        <v>3886</v>
      </c>
      <c r="N122" t="s">
        <v>4003</v>
      </c>
      <c r="O122" t="s">
        <v>4022</v>
      </c>
      <c r="P122" t="s">
        <v>3984</v>
      </c>
      <c r="Q122" t="s">
        <v>4022</v>
      </c>
      <c r="R122" t="s">
        <v>3485</v>
      </c>
      <c r="S122" t="s">
        <v>3486</v>
      </c>
      <c r="T122" t="s">
        <v>3478</v>
      </c>
      <c r="U122" t="s">
        <v>3478</v>
      </c>
    </row>
    <row r="123" spans="1:21" x14ac:dyDescent="0.25">
      <c r="A123" t="s">
        <v>3186</v>
      </c>
      <c r="B123" t="s">
        <v>4029</v>
      </c>
      <c r="C123" t="s">
        <v>3472</v>
      </c>
      <c r="D123" t="s">
        <v>3473</v>
      </c>
      <c r="E123" t="s">
        <v>3474</v>
      </c>
      <c r="F123" t="s">
        <v>40</v>
      </c>
      <c r="G123" t="s">
        <v>3476</v>
      </c>
      <c r="H123" t="s">
        <v>4030</v>
      </c>
      <c r="I123" t="s">
        <v>3478</v>
      </c>
      <c r="J123" t="s">
        <v>4002</v>
      </c>
      <c r="K123" t="s">
        <v>3972</v>
      </c>
      <c r="L123" t="s">
        <v>3481</v>
      </c>
      <c r="M123" t="s">
        <v>3886</v>
      </c>
      <c r="N123" t="s">
        <v>4031</v>
      </c>
      <c r="O123" t="s">
        <v>4032</v>
      </c>
      <c r="P123" t="s">
        <v>4032</v>
      </c>
      <c r="Q123" t="s">
        <v>4032</v>
      </c>
      <c r="R123" t="s">
        <v>3485</v>
      </c>
      <c r="S123" t="s">
        <v>3486</v>
      </c>
      <c r="T123" t="s">
        <v>3478</v>
      </c>
      <c r="U123" t="s">
        <v>3478</v>
      </c>
    </row>
    <row r="124" spans="1:21" x14ac:dyDescent="0.25">
      <c r="A124" t="s">
        <v>4034</v>
      </c>
      <c r="B124" t="s">
        <v>4033</v>
      </c>
      <c r="C124" t="s">
        <v>3472</v>
      </c>
      <c r="D124" t="s">
        <v>3473</v>
      </c>
      <c r="E124" t="s">
        <v>3474</v>
      </c>
      <c r="F124" t="s">
        <v>40</v>
      </c>
      <c r="G124" t="s">
        <v>3476</v>
      </c>
      <c r="H124" t="s">
        <v>4035</v>
      </c>
      <c r="I124" t="s">
        <v>3478</v>
      </c>
      <c r="J124" t="s">
        <v>4002</v>
      </c>
      <c r="K124" t="s">
        <v>3972</v>
      </c>
      <c r="L124" t="s">
        <v>3481</v>
      </c>
      <c r="M124" t="s">
        <v>3886</v>
      </c>
      <c r="N124" t="s">
        <v>4031</v>
      </c>
      <c r="O124" t="s">
        <v>4036</v>
      </c>
      <c r="P124" t="s">
        <v>4036</v>
      </c>
      <c r="Q124" t="s">
        <v>4036</v>
      </c>
      <c r="R124" t="s">
        <v>3485</v>
      </c>
      <c r="S124" t="s">
        <v>3486</v>
      </c>
      <c r="T124" t="s">
        <v>3478</v>
      </c>
      <c r="U124" t="s">
        <v>3478</v>
      </c>
    </row>
    <row r="125" spans="1:21" x14ac:dyDescent="0.25">
      <c r="A125" t="s">
        <v>3079</v>
      </c>
      <c r="B125" t="s">
        <v>4037</v>
      </c>
      <c r="C125" t="s">
        <v>3472</v>
      </c>
      <c r="D125" t="s">
        <v>3473</v>
      </c>
      <c r="E125" t="s">
        <v>3474</v>
      </c>
      <c r="F125" t="s">
        <v>40</v>
      </c>
      <c r="G125" t="s">
        <v>3476</v>
      </c>
      <c r="H125" t="s">
        <v>4038</v>
      </c>
      <c r="I125" t="s">
        <v>3478</v>
      </c>
      <c r="J125" t="s">
        <v>4002</v>
      </c>
      <c r="K125" t="s">
        <v>3972</v>
      </c>
      <c r="L125" t="s">
        <v>3481</v>
      </c>
      <c r="M125" t="s">
        <v>3886</v>
      </c>
      <c r="N125" t="s">
        <v>4031</v>
      </c>
      <c r="O125" t="s">
        <v>4039</v>
      </c>
      <c r="P125" t="s">
        <v>4039</v>
      </c>
      <c r="Q125" t="s">
        <v>4039</v>
      </c>
      <c r="R125" t="s">
        <v>3485</v>
      </c>
      <c r="S125" t="s">
        <v>3486</v>
      </c>
      <c r="T125" t="s">
        <v>3478</v>
      </c>
      <c r="U125" t="s">
        <v>3478</v>
      </c>
    </row>
    <row r="126" spans="1:21" x14ac:dyDescent="0.25">
      <c r="A126" t="s">
        <v>3084</v>
      </c>
      <c r="B126" t="s">
        <v>4040</v>
      </c>
      <c r="C126" t="s">
        <v>3472</v>
      </c>
      <c r="D126" t="s">
        <v>3473</v>
      </c>
      <c r="E126" t="s">
        <v>3474</v>
      </c>
      <c r="F126" t="s">
        <v>40</v>
      </c>
      <c r="G126" t="s">
        <v>3476</v>
      </c>
      <c r="H126" t="s">
        <v>4038</v>
      </c>
      <c r="I126" t="s">
        <v>3478</v>
      </c>
      <c r="J126" t="s">
        <v>4002</v>
      </c>
      <c r="K126" t="s">
        <v>3972</v>
      </c>
      <c r="L126" t="s">
        <v>3481</v>
      </c>
      <c r="M126" t="s">
        <v>3886</v>
      </c>
      <c r="N126" t="s">
        <v>4031</v>
      </c>
      <c r="O126" t="s">
        <v>4039</v>
      </c>
      <c r="P126" t="s">
        <v>4039</v>
      </c>
      <c r="Q126" t="s">
        <v>4039</v>
      </c>
      <c r="R126" t="s">
        <v>3485</v>
      </c>
      <c r="S126" t="s">
        <v>3486</v>
      </c>
      <c r="T126" t="s">
        <v>3478</v>
      </c>
      <c r="U126" t="s">
        <v>3478</v>
      </c>
    </row>
    <row r="127" spans="1:21" x14ac:dyDescent="0.25">
      <c r="A127" t="s">
        <v>3080</v>
      </c>
      <c r="B127" t="s">
        <v>4041</v>
      </c>
      <c r="C127" t="s">
        <v>3472</v>
      </c>
      <c r="D127" t="s">
        <v>3473</v>
      </c>
      <c r="E127" t="s">
        <v>3474</v>
      </c>
      <c r="F127" t="s">
        <v>40</v>
      </c>
      <c r="G127" t="s">
        <v>3476</v>
      </c>
      <c r="H127" t="s">
        <v>4038</v>
      </c>
      <c r="I127" t="s">
        <v>3478</v>
      </c>
      <c r="J127" t="s">
        <v>4002</v>
      </c>
      <c r="K127" t="s">
        <v>3972</v>
      </c>
      <c r="L127" t="s">
        <v>3481</v>
      </c>
      <c r="M127" t="s">
        <v>3886</v>
      </c>
      <c r="N127" t="s">
        <v>4031</v>
      </c>
      <c r="O127" t="s">
        <v>3897</v>
      </c>
      <c r="P127" t="s">
        <v>3897</v>
      </c>
      <c r="Q127" t="s">
        <v>3897</v>
      </c>
      <c r="R127" t="s">
        <v>3485</v>
      </c>
      <c r="S127" t="s">
        <v>3486</v>
      </c>
      <c r="T127" t="s">
        <v>3478</v>
      </c>
      <c r="U127" t="s">
        <v>3478</v>
      </c>
    </row>
    <row r="128" spans="1:21" x14ac:dyDescent="0.25">
      <c r="A128" t="s">
        <v>3081</v>
      </c>
      <c r="B128" t="s">
        <v>4042</v>
      </c>
      <c r="C128" t="s">
        <v>3472</v>
      </c>
      <c r="D128" t="s">
        <v>3473</v>
      </c>
      <c r="E128" t="s">
        <v>3474</v>
      </c>
      <c r="F128" t="s">
        <v>40</v>
      </c>
      <c r="G128" t="s">
        <v>3476</v>
      </c>
      <c r="H128" t="s">
        <v>4038</v>
      </c>
      <c r="I128" t="s">
        <v>3478</v>
      </c>
      <c r="J128" t="s">
        <v>4002</v>
      </c>
      <c r="K128" t="s">
        <v>3972</v>
      </c>
      <c r="L128" t="s">
        <v>3481</v>
      </c>
      <c r="M128" t="s">
        <v>3886</v>
      </c>
      <c r="N128" t="s">
        <v>4031</v>
      </c>
      <c r="O128" t="s">
        <v>3897</v>
      </c>
      <c r="P128" t="s">
        <v>3897</v>
      </c>
      <c r="Q128" t="s">
        <v>3897</v>
      </c>
      <c r="R128" t="s">
        <v>3485</v>
      </c>
      <c r="S128" t="s">
        <v>3486</v>
      </c>
      <c r="T128" t="s">
        <v>3478</v>
      </c>
      <c r="U128" t="s">
        <v>3478</v>
      </c>
    </row>
    <row r="129" spans="1:21" x14ac:dyDescent="0.25">
      <c r="A129" t="s">
        <v>3087</v>
      </c>
      <c r="B129" t="s">
        <v>4043</v>
      </c>
      <c r="C129" t="s">
        <v>3472</v>
      </c>
      <c r="D129" t="s">
        <v>3473</v>
      </c>
      <c r="E129" t="s">
        <v>3474</v>
      </c>
      <c r="F129" t="s">
        <v>40</v>
      </c>
      <c r="G129" t="s">
        <v>3476</v>
      </c>
      <c r="H129" t="s">
        <v>4044</v>
      </c>
      <c r="I129" t="s">
        <v>3478</v>
      </c>
      <c r="J129" t="s">
        <v>4002</v>
      </c>
      <c r="K129" t="s">
        <v>3972</v>
      </c>
      <c r="L129" t="s">
        <v>3481</v>
      </c>
      <c r="M129" t="s">
        <v>3886</v>
      </c>
      <c r="N129" t="s">
        <v>4031</v>
      </c>
      <c r="O129" t="s">
        <v>3984</v>
      </c>
      <c r="P129" t="s">
        <v>3984</v>
      </c>
      <c r="Q129" t="s">
        <v>3984</v>
      </c>
      <c r="R129" t="s">
        <v>3485</v>
      </c>
      <c r="S129" t="s">
        <v>3486</v>
      </c>
      <c r="T129" t="s">
        <v>3478</v>
      </c>
      <c r="U129" t="s">
        <v>3478</v>
      </c>
    </row>
    <row r="130" spans="1:21" x14ac:dyDescent="0.25">
      <c r="A130" t="s">
        <v>3090</v>
      </c>
      <c r="B130" t="s">
        <v>4045</v>
      </c>
      <c r="C130" t="s">
        <v>3472</v>
      </c>
      <c r="D130" t="s">
        <v>3473</v>
      </c>
      <c r="E130" t="s">
        <v>3474</v>
      </c>
      <c r="F130" t="s">
        <v>40</v>
      </c>
      <c r="G130" t="s">
        <v>3476</v>
      </c>
      <c r="H130" t="s">
        <v>4044</v>
      </c>
      <c r="I130" t="s">
        <v>3478</v>
      </c>
      <c r="J130" t="s">
        <v>4002</v>
      </c>
      <c r="K130" t="s">
        <v>3972</v>
      </c>
      <c r="L130" t="s">
        <v>3481</v>
      </c>
      <c r="M130" t="s">
        <v>3886</v>
      </c>
      <c r="N130" t="s">
        <v>4031</v>
      </c>
      <c r="O130" t="s">
        <v>3984</v>
      </c>
      <c r="P130" t="s">
        <v>3984</v>
      </c>
      <c r="Q130" t="s">
        <v>3984</v>
      </c>
      <c r="R130" t="s">
        <v>3485</v>
      </c>
      <c r="S130" t="s">
        <v>3486</v>
      </c>
      <c r="T130" t="s">
        <v>3478</v>
      </c>
      <c r="U130" t="s">
        <v>3478</v>
      </c>
    </row>
    <row r="131" spans="1:21" x14ac:dyDescent="0.25">
      <c r="A131" t="s">
        <v>3088</v>
      </c>
      <c r="B131" t="s">
        <v>4046</v>
      </c>
      <c r="C131" t="s">
        <v>3472</v>
      </c>
      <c r="D131" t="s">
        <v>3473</v>
      </c>
      <c r="E131" t="s">
        <v>3474</v>
      </c>
      <c r="F131" t="s">
        <v>40</v>
      </c>
      <c r="G131" t="s">
        <v>3476</v>
      </c>
      <c r="H131" t="s">
        <v>4047</v>
      </c>
      <c r="I131" t="s">
        <v>3478</v>
      </c>
      <c r="J131" t="s">
        <v>4048</v>
      </c>
      <c r="K131" t="s">
        <v>3972</v>
      </c>
      <c r="L131" t="s">
        <v>3481</v>
      </c>
      <c r="M131" t="s">
        <v>3886</v>
      </c>
      <c r="N131" t="s">
        <v>4031</v>
      </c>
      <c r="O131" t="s">
        <v>4049</v>
      </c>
      <c r="P131" t="s">
        <v>4050</v>
      </c>
      <c r="Q131" t="s">
        <v>4049</v>
      </c>
      <c r="R131" t="s">
        <v>3485</v>
      </c>
      <c r="S131" t="s">
        <v>3486</v>
      </c>
      <c r="T131" t="s">
        <v>3478</v>
      </c>
      <c r="U131" t="s">
        <v>3478</v>
      </c>
    </row>
    <row r="132" spans="1:21" x14ac:dyDescent="0.25">
      <c r="A132" t="s">
        <v>3089</v>
      </c>
      <c r="B132" t="s">
        <v>4051</v>
      </c>
      <c r="C132" t="s">
        <v>3472</v>
      </c>
      <c r="D132" t="s">
        <v>3473</v>
      </c>
      <c r="E132" t="s">
        <v>3474</v>
      </c>
      <c r="F132" t="s">
        <v>40</v>
      </c>
      <c r="G132" t="s">
        <v>3476</v>
      </c>
      <c r="H132" t="s">
        <v>4052</v>
      </c>
      <c r="I132" t="s">
        <v>3478</v>
      </c>
      <c r="J132" t="s">
        <v>4053</v>
      </c>
      <c r="K132" t="s">
        <v>3972</v>
      </c>
      <c r="L132" t="s">
        <v>3481</v>
      </c>
      <c r="M132" t="s">
        <v>3886</v>
      </c>
      <c r="N132" t="s">
        <v>4031</v>
      </c>
      <c r="O132" t="s">
        <v>4049</v>
      </c>
      <c r="P132" t="s">
        <v>4050</v>
      </c>
      <c r="Q132" t="s">
        <v>4049</v>
      </c>
      <c r="R132" t="s">
        <v>3485</v>
      </c>
      <c r="S132" t="s">
        <v>3486</v>
      </c>
      <c r="T132" t="s">
        <v>3478</v>
      </c>
      <c r="U132" t="s">
        <v>3478</v>
      </c>
    </row>
    <row r="133" spans="1:21" x14ac:dyDescent="0.25">
      <c r="A133" t="s">
        <v>3094</v>
      </c>
      <c r="B133" t="s">
        <v>4054</v>
      </c>
      <c r="C133" t="s">
        <v>3472</v>
      </c>
      <c r="D133" t="s">
        <v>3473</v>
      </c>
      <c r="E133" t="s">
        <v>3474</v>
      </c>
      <c r="F133" t="s">
        <v>40</v>
      </c>
      <c r="G133" t="s">
        <v>3476</v>
      </c>
      <c r="H133" t="s">
        <v>4055</v>
      </c>
      <c r="I133" t="s">
        <v>3478</v>
      </c>
      <c r="J133" t="s">
        <v>4048</v>
      </c>
      <c r="K133" t="s">
        <v>3972</v>
      </c>
      <c r="L133" t="s">
        <v>3481</v>
      </c>
      <c r="M133" t="s">
        <v>3886</v>
      </c>
      <c r="N133" t="s">
        <v>4031</v>
      </c>
      <c r="O133" t="s">
        <v>4049</v>
      </c>
      <c r="P133" t="s">
        <v>4050</v>
      </c>
      <c r="Q133" t="s">
        <v>4049</v>
      </c>
      <c r="R133" t="s">
        <v>3485</v>
      </c>
      <c r="S133" t="s">
        <v>3486</v>
      </c>
      <c r="T133" t="s">
        <v>3478</v>
      </c>
      <c r="U133" t="s">
        <v>3478</v>
      </c>
    </row>
    <row r="134" spans="1:21" x14ac:dyDescent="0.25">
      <c r="A134" t="s">
        <v>3039</v>
      </c>
      <c r="B134" t="s">
        <v>4056</v>
      </c>
      <c r="C134" t="s">
        <v>3472</v>
      </c>
      <c r="D134" t="s">
        <v>3473</v>
      </c>
      <c r="E134" t="s">
        <v>3474</v>
      </c>
      <c r="F134" t="s">
        <v>40</v>
      </c>
      <c r="G134" t="s">
        <v>3476</v>
      </c>
      <c r="H134" t="s">
        <v>4057</v>
      </c>
      <c r="I134" t="s">
        <v>3478</v>
      </c>
      <c r="J134" t="s">
        <v>3779</v>
      </c>
      <c r="K134" t="s">
        <v>3972</v>
      </c>
      <c r="L134" t="s">
        <v>3481</v>
      </c>
      <c r="M134" t="s">
        <v>3886</v>
      </c>
      <c r="N134" t="s">
        <v>4058</v>
      </c>
      <c r="O134" t="s">
        <v>4059</v>
      </c>
      <c r="P134" t="s">
        <v>4005</v>
      </c>
      <c r="Q134" t="s">
        <v>4059</v>
      </c>
      <c r="R134" t="s">
        <v>3485</v>
      </c>
      <c r="S134" t="s">
        <v>3486</v>
      </c>
      <c r="T134" t="s">
        <v>3478</v>
      </c>
      <c r="U134" t="s">
        <v>3478</v>
      </c>
    </row>
    <row r="135" spans="1:21" x14ac:dyDescent="0.25">
      <c r="A135" t="s">
        <v>3056</v>
      </c>
      <c r="B135" t="s">
        <v>4060</v>
      </c>
      <c r="C135" t="s">
        <v>3472</v>
      </c>
      <c r="D135" t="s">
        <v>3473</v>
      </c>
      <c r="E135" t="s">
        <v>3474</v>
      </c>
      <c r="F135" t="s">
        <v>40</v>
      </c>
      <c r="G135" t="s">
        <v>3476</v>
      </c>
      <c r="H135" t="s">
        <v>4061</v>
      </c>
      <c r="I135" t="s">
        <v>3478</v>
      </c>
      <c r="J135" t="s">
        <v>3987</v>
      </c>
      <c r="K135" t="s">
        <v>3972</v>
      </c>
      <c r="L135" t="s">
        <v>3481</v>
      </c>
      <c r="M135" t="s">
        <v>3955</v>
      </c>
      <c r="N135" t="s">
        <v>4058</v>
      </c>
      <c r="O135" t="s">
        <v>4059</v>
      </c>
      <c r="P135" t="s">
        <v>4005</v>
      </c>
      <c r="Q135" t="s">
        <v>4059</v>
      </c>
      <c r="R135" t="s">
        <v>3525</v>
      </c>
      <c r="S135" t="s">
        <v>3526</v>
      </c>
      <c r="T135" t="s">
        <v>3478</v>
      </c>
      <c r="U135" t="s">
        <v>3478</v>
      </c>
    </row>
    <row r="136" spans="1:21" x14ac:dyDescent="0.25">
      <c r="A136" t="s">
        <v>3068</v>
      </c>
      <c r="B136" t="s">
        <v>4062</v>
      </c>
      <c r="C136" t="s">
        <v>3472</v>
      </c>
      <c r="D136" t="s">
        <v>3473</v>
      </c>
      <c r="E136" t="s">
        <v>3474</v>
      </c>
      <c r="F136" t="s">
        <v>40</v>
      </c>
      <c r="G136" t="s">
        <v>3476</v>
      </c>
      <c r="H136" t="s">
        <v>4063</v>
      </c>
      <c r="I136" t="s">
        <v>3478</v>
      </c>
      <c r="J136" t="s">
        <v>3890</v>
      </c>
      <c r="K136" t="s">
        <v>3972</v>
      </c>
      <c r="L136" t="s">
        <v>3481</v>
      </c>
      <c r="M136" t="s">
        <v>3817</v>
      </c>
      <c r="N136" t="s">
        <v>4058</v>
      </c>
      <c r="O136" t="s">
        <v>4059</v>
      </c>
      <c r="P136" t="s">
        <v>4005</v>
      </c>
      <c r="Q136" t="s">
        <v>4059</v>
      </c>
      <c r="R136" t="s">
        <v>3492</v>
      </c>
      <c r="S136" t="s">
        <v>3493</v>
      </c>
      <c r="T136" t="s">
        <v>3478</v>
      </c>
      <c r="U136" t="s">
        <v>3478</v>
      </c>
    </row>
    <row r="137" spans="1:21" x14ac:dyDescent="0.25">
      <c r="A137" t="s">
        <v>3067</v>
      </c>
      <c r="B137" t="s">
        <v>4064</v>
      </c>
      <c r="C137" t="s">
        <v>3472</v>
      </c>
      <c r="D137" t="s">
        <v>3473</v>
      </c>
      <c r="E137" t="s">
        <v>3474</v>
      </c>
      <c r="F137" t="s">
        <v>40</v>
      </c>
      <c r="G137" t="s">
        <v>3476</v>
      </c>
      <c r="H137" t="s">
        <v>4065</v>
      </c>
      <c r="I137" t="s">
        <v>3478</v>
      </c>
      <c r="J137" t="s">
        <v>4066</v>
      </c>
      <c r="K137" t="s">
        <v>40</v>
      </c>
      <c r="L137" t="s">
        <v>3481</v>
      </c>
      <c r="M137" t="s">
        <v>4067</v>
      </c>
      <c r="N137" t="s">
        <v>4068</v>
      </c>
      <c r="O137" t="s">
        <v>4069</v>
      </c>
      <c r="P137" t="s">
        <v>4070</v>
      </c>
      <c r="Q137" t="s">
        <v>4069</v>
      </c>
      <c r="R137" t="s">
        <v>4071</v>
      </c>
      <c r="S137" t="s">
        <v>4072</v>
      </c>
      <c r="T137" t="s">
        <v>3478</v>
      </c>
      <c r="U137" t="s">
        <v>3478</v>
      </c>
    </row>
    <row r="138" spans="1:21" x14ac:dyDescent="0.25">
      <c r="A138" t="s">
        <v>3063</v>
      </c>
      <c r="B138" t="s">
        <v>4073</v>
      </c>
      <c r="C138" t="s">
        <v>3472</v>
      </c>
      <c r="D138" t="s">
        <v>3473</v>
      </c>
      <c r="E138" t="s">
        <v>3474</v>
      </c>
      <c r="F138" t="s">
        <v>40</v>
      </c>
      <c r="G138" t="s">
        <v>3476</v>
      </c>
      <c r="H138" t="s">
        <v>4074</v>
      </c>
      <c r="I138" t="s">
        <v>3478</v>
      </c>
      <c r="J138" t="s">
        <v>4075</v>
      </c>
      <c r="K138" t="s">
        <v>40</v>
      </c>
      <c r="L138" t="s">
        <v>3481</v>
      </c>
      <c r="M138" t="s">
        <v>3886</v>
      </c>
      <c r="N138" t="s">
        <v>4068</v>
      </c>
      <c r="O138" t="s">
        <v>4076</v>
      </c>
      <c r="P138" t="s">
        <v>4077</v>
      </c>
      <c r="Q138" t="s">
        <v>4076</v>
      </c>
      <c r="R138" t="s">
        <v>3485</v>
      </c>
      <c r="S138" t="s">
        <v>3486</v>
      </c>
      <c r="T138" t="s">
        <v>3478</v>
      </c>
      <c r="U138" t="s">
        <v>3478</v>
      </c>
    </row>
    <row r="139" spans="1:21" x14ac:dyDescent="0.25">
      <c r="A139" t="s">
        <v>3065</v>
      </c>
      <c r="B139" t="s">
        <v>4078</v>
      </c>
      <c r="C139" t="s">
        <v>3472</v>
      </c>
      <c r="D139" t="s">
        <v>3473</v>
      </c>
      <c r="E139" t="s">
        <v>3474</v>
      </c>
      <c r="F139" t="s">
        <v>40</v>
      </c>
      <c r="G139" t="s">
        <v>3476</v>
      </c>
      <c r="H139" t="s">
        <v>4074</v>
      </c>
      <c r="I139" t="s">
        <v>3478</v>
      </c>
      <c r="J139" t="s">
        <v>4079</v>
      </c>
      <c r="K139" t="s">
        <v>40</v>
      </c>
      <c r="L139" t="s">
        <v>3481</v>
      </c>
      <c r="M139" t="s">
        <v>3886</v>
      </c>
      <c r="N139" t="s">
        <v>4068</v>
      </c>
      <c r="O139" t="s">
        <v>4076</v>
      </c>
      <c r="P139" t="s">
        <v>4077</v>
      </c>
      <c r="Q139" t="s">
        <v>4076</v>
      </c>
      <c r="R139" t="s">
        <v>3485</v>
      </c>
      <c r="S139" t="s">
        <v>3486</v>
      </c>
      <c r="T139" t="s">
        <v>3478</v>
      </c>
      <c r="U139" t="s">
        <v>3478</v>
      </c>
    </row>
    <row r="140" spans="1:21" x14ac:dyDescent="0.25">
      <c r="A140" t="s">
        <v>4081</v>
      </c>
      <c r="B140" t="s">
        <v>4080</v>
      </c>
      <c r="C140" t="s">
        <v>3472</v>
      </c>
      <c r="D140" t="s">
        <v>3473</v>
      </c>
      <c r="E140" t="s">
        <v>3474</v>
      </c>
      <c r="F140" t="s">
        <v>40</v>
      </c>
      <c r="G140" t="s">
        <v>3476</v>
      </c>
      <c r="H140" t="s">
        <v>4082</v>
      </c>
      <c r="I140" t="s">
        <v>3478</v>
      </c>
      <c r="J140" t="s">
        <v>4083</v>
      </c>
      <c r="K140" t="s">
        <v>3760</v>
      </c>
      <c r="L140" t="s">
        <v>3481</v>
      </c>
      <c r="M140" t="s">
        <v>3886</v>
      </c>
      <c r="N140" t="s">
        <v>3823</v>
      </c>
      <c r="O140" t="s">
        <v>3880</v>
      </c>
      <c r="P140" t="s">
        <v>3872</v>
      </c>
      <c r="Q140" t="s">
        <v>3880</v>
      </c>
      <c r="R140" t="s">
        <v>3485</v>
      </c>
      <c r="S140" t="s">
        <v>3486</v>
      </c>
      <c r="T140" t="s">
        <v>3478</v>
      </c>
      <c r="U140" t="s">
        <v>3478</v>
      </c>
    </row>
    <row r="141" spans="1:21" x14ac:dyDescent="0.25">
      <c r="A141" t="s">
        <v>3029</v>
      </c>
      <c r="B141" t="s">
        <v>4084</v>
      </c>
      <c r="C141" t="s">
        <v>3472</v>
      </c>
      <c r="D141" t="s">
        <v>3473</v>
      </c>
      <c r="E141" t="s">
        <v>3474</v>
      </c>
      <c r="F141" t="s">
        <v>40</v>
      </c>
      <c r="G141" t="s">
        <v>3476</v>
      </c>
      <c r="H141" t="s">
        <v>4085</v>
      </c>
      <c r="I141" t="s">
        <v>3478</v>
      </c>
      <c r="J141" t="s">
        <v>4086</v>
      </c>
      <c r="K141" t="s">
        <v>3760</v>
      </c>
      <c r="L141" t="s">
        <v>3481</v>
      </c>
      <c r="M141" t="s">
        <v>4087</v>
      </c>
      <c r="N141" t="s">
        <v>3823</v>
      </c>
      <c r="O141" t="s">
        <v>4088</v>
      </c>
      <c r="P141" t="s">
        <v>3694</v>
      </c>
      <c r="Q141" t="s">
        <v>4088</v>
      </c>
      <c r="R141" t="s">
        <v>4089</v>
      </c>
      <c r="S141" t="s">
        <v>4090</v>
      </c>
      <c r="T141" t="s">
        <v>3478</v>
      </c>
      <c r="U141" t="s">
        <v>3478</v>
      </c>
    </row>
    <row r="142" spans="1:21" x14ac:dyDescent="0.25">
      <c r="A142" t="s">
        <v>3035</v>
      </c>
      <c r="B142" t="s">
        <v>4091</v>
      </c>
      <c r="C142" t="s">
        <v>3472</v>
      </c>
      <c r="D142" t="s">
        <v>3473</v>
      </c>
      <c r="E142" t="s">
        <v>3474</v>
      </c>
      <c r="F142" t="s">
        <v>40</v>
      </c>
      <c r="G142" t="s">
        <v>3476</v>
      </c>
      <c r="H142" t="s">
        <v>4092</v>
      </c>
      <c r="I142" t="s">
        <v>3478</v>
      </c>
      <c r="J142" t="s">
        <v>4093</v>
      </c>
      <c r="K142" t="s">
        <v>3760</v>
      </c>
      <c r="L142" t="s">
        <v>3481</v>
      </c>
      <c r="M142" t="s">
        <v>3692</v>
      </c>
      <c r="N142" t="s">
        <v>3823</v>
      </c>
      <c r="O142" t="s">
        <v>4094</v>
      </c>
      <c r="P142" t="s">
        <v>3694</v>
      </c>
      <c r="Q142" t="s">
        <v>4094</v>
      </c>
      <c r="R142" t="s">
        <v>3485</v>
      </c>
      <c r="S142" t="s">
        <v>3486</v>
      </c>
      <c r="T142" t="s">
        <v>3478</v>
      </c>
      <c r="U142" t="s">
        <v>3478</v>
      </c>
    </row>
    <row r="143" spans="1:21" x14ac:dyDescent="0.25">
      <c r="A143" t="s">
        <v>3036</v>
      </c>
      <c r="B143" t="s">
        <v>4095</v>
      </c>
      <c r="C143" t="s">
        <v>3472</v>
      </c>
      <c r="D143" t="s">
        <v>3473</v>
      </c>
      <c r="E143" t="s">
        <v>3474</v>
      </c>
      <c r="F143" t="s">
        <v>40</v>
      </c>
      <c r="G143" t="s">
        <v>3476</v>
      </c>
      <c r="H143" t="s">
        <v>4096</v>
      </c>
      <c r="I143" t="s">
        <v>3478</v>
      </c>
      <c r="J143" t="s">
        <v>4097</v>
      </c>
      <c r="K143" t="s">
        <v>3760</v>
      </c>
      <c r="L143" t="s">
        <v>3481</v>
      </c>
      <c r="M143" t="s">
        <v>3692</v>
      </c>
      <c r="N143" t="s">
        <v>3823</v>
      </c>
      <c r="O143" t="s">
        <v>4094</v>
      </c>
      <c r="P143" t="s">
        <v>3694</v>
      </c>
      <c r="Q143" t="s">
        <v>4094</v>
      </c>
      <c r="R143" t="s">
        <v>3485</v>
      </c>
      <c r="S143" t="s">
        <v>3486</v>
      </c>
      <c r="T143" t="s">
        <v>3478</v>
      </c>
      <c r="U143" t="s">
        <v>3478</v>
      </c>
    </row>
    <row r="144" spans="1:21" x14ac:dyDescent="0.25">
      <c r="A144" t="s">
        <v>3039</v>
      </c>
      <c r="B144" t="s">
        <v>4098</v>
      </c>
      <c r="C144" t="s">
        <v>3472</v>
      </c>
      <c r="D144" t="s">
        <v>3473</v>
      </c>
      <c r="E144" t="s">
        <v>3474</v>
      </c>
      <c r="F144" t="s">
        <v>40</v>
      </c>
      <c r="G144" t="s">
        <v>3476</v>
      </c>
      <c r="H144" t="s">
        <v>4099</v>
      </c>
      <c r="I144" t="s">
        <v>3478</v>
      </c>
      <c r="J144" t="s">
        <v>3779</v>
      </c>
      <c r="K144" t="s">
        <v>3760</v>
      </c>
      <c r="L144" t="s">
        <v>3481</v>
      </c>
      <c r="M144" t="s">
        <v>4100</v>
      </c>
      <c r="N144" t="s">
        <v>3823</v>
      </c>
      <c r="O144" t="s">
        <v>4101</v>
      </c>
      <c r="P144" t="s">
        <v>3850</v>
      </c>
      <c r="Q144" t="s">
        <v>4101</v>
      </c>
      <c r="R144" t="s">
        <v>3485</v>
      </c>
      <c r="S144" t="s">
        <v>3486</v>
      </c>
      <c r="T144" t="s">
        <v>3478</v>
      </c>
      <c r="U144" t="s">
        <v>3478</v>
      </c>
    </row>
    <row r="145" spans="1:21" x14ac:dyDescent="0.25">
      <c r="A145" t="s">
        <v>3013</v>
      </c>
      <c r="B145" t="s">
        <v>4102</v>
      </c>
      <c r="C145" t="s">
        <v>3472</v>
      </c>
      <c r="D145" t="s">
        <v>3473</v>
      </c>
      <c r="E145" t="s">
        <v>3474</v>
      </c>
      <c r="F145" t="s">
        <v>40</v>
      </c>
      <c r="G145" t="s">
        <v>3476</v>
      </c>
      <c r="H145" t="s">
        <v>4103</v>
      </c>
      <c r="I145" t="s">
        <v>3478</v>
      </c>
      <c r="J145" t="s">
        <v>3809</v>
      </c>
      <c r="K145" t="s">
        <v>3760</v>
      </c>
      <c r="L145" t="s">
        <v>3481</v>
      </c>
      <c r="M145" t="s">
        <v>3692</v>
      </c>
      <c r="N145" t="s">
        <v>3823</v>
      </c>
      <c r="O145" t="s">
        <v>3782</v>
      </c>
      <c r="P145" t="s">
        <v>3783</v>
      </c>
      <c r="Q145" t="s">
        <v>3782</v>
      </c>
      <c r="R145" t="s">
        <v>3485</v>
      </c>
      <c r="S145" t="s">
        <v>3486</v>
      </c>
      <c r="T145" t="s">
        <v>3478</v>
      </c>
      <c r="U145" t="s">
        <v>3478</v>
      </c>
    </row>
    <row r="146" spans="1:21" x14ac:dyDescent="0.25">
      <c r="A146" t="s">
        <v>4105</v>
      </c>
      <c r="B146" t="s">
        <v>4104</v>
      </c>
      <c r="C146" t="s">
        <v>3472</v>
      </c>
      <c r="D146" t="s">
        <v>3473</v>
      </c>
      <c r="E146" t="s">
        <v>3474</v>
      </c>
      <c r="F146" t="s">
        <v>40</v>
      </c>
      <c r="G146" t="s">
        <v>3476</v>
      </c>
      <c r="H146" t="s">
        <v>4103</v>
      </c>
      <c r="I146" t="s">
        <v>3478</v>
      </c>
      <c r="J146" t="s">
        <v>4106</v>
      </c>
      <c r="K146" t="s">
        <v>3760</v>
      </c>
      <c r="L146" t="s">
        <v>3481</v>
      </c>
      <c r="M146" t="s">
        <v>3692</v>
      </c>
      <c r="N146" t="s">
        <v>3823</v>
      </c>
      <c r="O146" t="s">
        <v>3782</v>
      </c>
      <c r="P146" t="s">
        <v>3783</v>
      </c>
      <c r="Q146" t="s">
        <v>3782</v>
      </c>
      <c r="R146" t="s">
        <v>3485</v>
      </c>
      <c r="S146" t="s">
        <v>3486</v>
      </c>
      <c r="T146" t="s">
        <v>3478</v>
      </c>
      <c r="U146" t="s">
        <v>3478</v>
      </c>
    </row>
    <row r="147" spans="1:21" x14ac:dyDescent="0.25">
      <c r="A147" t="s">
        <v>3882</v>
      </c>
      <c r="B147" t="s">
        <v>4107</v>
      </c>
      <c r="C147" t="s">
        <v>3472</v>
      </c>
      <c r="D147" t="s">
        <v>3473</v>
      </c>
      <c r="E147" t="s">
        <v>3474</v>
      </c>
      <c r="F147" t="s">
        <v>40</v>
      </c>
      <c r="G147" t="s">
        <v>3476</v>
      </c>
      <c r="H147" t="s">
        <v>4103</v>
      </c>
      <c r="I147" t="s">
        <v>3478</v>
      </c>
      <c r="J147" t="s">
        <v>3883</v>
      </c>
      <c r="K147" t="s">
        <v>3760</v>
      </c>
      <c r="L147" t="s">
        <v>3481</v>
      </c>
      <c r="M147" t="s">
        <v>3692</v>
      </c>
      <c r="N147" t="s">
        <v>3823</v>
      </c>
      <c r="O147" t="s">
        <v>3782</v>
      </c>
      <c r="P147" t="s">
        <v>3783</v>
      </c>
      <c r="Q147" t="s">
        <v>3782</v>
      </c>
      <c r="R147" t="s">
        <v>3485</v>
      </c>
      <c r="S147" t="s">
        <v>3486</v>
      </c>
      <c r="T147" t="s">
        <v>3478</v>
      </c>
      <c r="U147" t="s">
        <v>3478</v>
      </c>
    </row>
    <row r="148" spans="1:21" x14ac:dyDescent="0.25">
      <c r="A148" t="s">
        <v>3876</v>
      </c>
      <c r="B148" t="s">
        <v>4108</v>
      </c>
      <c r="C148" t="s">
        <v>3472</v>
      </c>
      <c r="D148" t="s">
        <v>3473</v>
      </c>
      <c r="E148" t="s">
        <v>3474</v>
      </c>
      <c r="F148" t="s">
        <v>40</v>
      </c>
      <c r="G148" t="s">
        <v>3476</v>
      </c>
      <c r="H148" t="s">
        <v>4103</v>
      </c>
      <c r="I148" t="s">
        <v>3478</v>
      </c>
      <c r="J148" t="s">
        <v>3878</v>
      </c>
      <c r="K148" t="s">
        <v>3760</v>
      </c>
      <c r="L148" t="s">
        <v>3481</v>
      </c>
      <c r="M148" t="s">
        <v>3692</v>
      </c>
      <c r="N148" t="s">
        <v>3823</v>
      </c>
      <c r="O148" t="s">
        <v>3782</v>
      </c>
      <c r="P148" t="s">
        <v>3783</v>
      </c>
      <c r="Q148" t="s">
        <v>3782</v>
      </c>
      <c r="R148" t="s">
        <v>3485</v>
      </c>
      <c r="S148" t="s">
        <v>3486</v>
      </c>
      <c r="T148" t="s">
        <v>3478</v>
      </c>
      <c r="U148" t="s">
        <v>3478</v>
      </c>
    </row>
    <row r="149" spans="1:21" x14ac:dyDescent="0.25">
      <c r="A149" t="s">
        <v>3070</v>
      </c>
      <c r="B149" t="s">
        <v>4109</v>
      </c>
      <c r="C149" t="s">
        <v>3472</v>
      </c>
      <c r="D149" t="s">
        <v>3473</v>
      </c>
      <c r="E149" t="s">
        <v>3474</v>
      </c>
      <c r="F149" t="s">
        <v>40</v>
      </c>
      <c r="G149" t="s">
        <v>3476</v>
      </c>
      <c r="H149" t="s">
        <v>4110</v>
      </c>
      <c r="I149" t="s">
        <v>3478</v>
      </c>
      <c r="J149" t="s">
        <v>4111</v>
      </c>
      <c r="K149" t="s">
        <v>3760</v>
      </c>
      <c r="L149" t="s">
        <v>3481</v>
      </c>
      <c r="M149" t="s">
        <v>3817</v>
      </c>
      <c r="N149" t="s">
        <v>3823</v>
      </c>
      <c r="O149" t="s">
        <v>4013</v>
      </c>
      <c r="P149" t="s">
        <v>3825</v>
      </c>
      <c r="Q149" t="s">
        <v>4013</v>
      </c>
      <c r="R149" t="s">
        <v>3492</v>
      </c>
      <c r="S149" t="s">
        <v>3493</v>
      </c>
      <c r="T149" t="s">
        <v>3478</v>
      </c>
      <c r="U149" t="s">
        <v>3478</v>
      </c>
    </row>
    <row r="150" spans="1:21" x14ac:dyDescent="0.25">
      <c r="A150" t="s">
        <v>3071</v>
      </c>
      <c r="B150" t="s">
        <v>4112</v>
      </c>
      <c r="C150" t="s">
        <v>3472</v>
      </c>
      <c r="D150" t="s">
        <v>3473</v>
      </c>
      <c r="E150" t="s">
        <v>3474</v>
      </c>
      <c r="F150" t="s">
        <v>40</v>
      </c>
      <c r="G150" t="s">
        <v>3476</v>
      </c>
      <c r="H150" t="s">
        <v>4113</v>
      </c>
      <c r="I150" t="s">
        <v>3478</v>
      </c>
      <c r="J150" t="s">
        <v>4114</v>
      </c>
      <c r="K150" t="s">
        <v>3760</v>
      </c>
      <c r="L150" t="s">
        <v>3481</v>
      </c>
      <c r="M150" t="s">
        <v>3817</v>
      </c>
      <c r="N150" t="s">
        <v>3823</v>
      </c>
      <c r="O150" t="s">
        <v>4013</v>
      </c>
      <c r="P150" t="s">
        <v>3825</v>
      </c>
      <c r="Q150" t="s">
        <v>4013</v>
      </c>
      <c r="R150" t="s">
        <v>3492</v>
      </c>
      <c r="S150" t="s">
        <v>3493</v>
      </c>
      <c r="T150" t="s">
        <v>3478</v>
      </c>
      <c r="U150" t="s">
        <v>3478</v>
      </c>
    </row>
    <row r="151" spans="1:21" x14ac:dyDescent="0.25">
      <c r="A151" t="s">
        <v>3072</v>
      </c>
      <c r="B151" t="s">
        <v>4115</v>
      </c>
      <c r="C151" t="s">
        <v>3472</v>
      </c>
      <c r="D151" t="s">
        <v>3473</v>
      </c>
      <c r="E151" t="s">
        <v>3474</v>
      </c>
      <c r="F151" t="s">
        <v>40</v>
      </c>
      <c r="G151" t="s">
        <v>3476</v>
      </c>
      <c r="H151" t="s">
        <v>4116</v>
      </c>
      <c r="I151" t="s">
        <v>3478</v>
      </c>
      <c r="J151" t="s">
        <v>4117</v>
      </c>
      <c r="K151" t="s">
        <v>3760</v>
      </c>
      <c r="L151" t="s">
        <v>3481</v>
      </c>
      <c r="M151" t="s">
        <v>3817</v>
      </c>
      <c r="N151" t="s">
        <v>3823</v>
      </c>
      <c r="O151" t="s">
        <v>4013</v>
      </c>
      <c r="P151" t="s">
        <v>3825</v>
      </c>
      <c r="Q151" t="s">
        <v>4013</v>
      </c>
      <c r="R151" t="s">
        <v>3492</v>
      </c>
      <c r="S151" t="s">
        <v>3493</v>
      </c>
      <c r="T151" t="s">
        <v>3478</v>
      </c>
      <c r="U151" t="s">
        <v>3478</v>
      </c>
    </row>
    <row r="152" spans="1:21" x14ac:dyDescent="0.25">
      <c r="A152" t="s">
        <v>3077</v>
      </c>
      <c r="B152" t="s">
        <v>4118</v>
      </c>
      <c r="C152" t="s">
        <v>3472</v>
      </c>
      <c r="D152" t="s">
        <v>3473</v>
      </c>
      <c r="E152" t="s">
        <v>3474</v>
      </c>
      <c r="F152" t="s">
        <v>40</v>
      </c>
      <c r="G152" t="s">
        <v>3476</v>
      </c>
      <c r="H152" t="s">
        <v>4119</v>
      </c>
      <c r="I152" t="s">
        <v>3478</v>
      </c>
      <c r="J152" t="s">
        <v>4120</v>
      </c>
      <c r="K152" t="s">
        <v>3760</v>
      </c>
      <c r="L152" t="s">
        <v>3481</v>
      </c>
      <c r="M152" t="s">
        <v>3817</v>
      </c>
      <c r="N152" t="s">
        <v>3823</v>
      </c>
      <c r="O152" t="s">
        <v>4121</v>
      </c>
      <c r="P152" t="s">
        <v>4019</v>
      </c>
      <c r="Q152" t="s">
        <v>4121</v>
      </c>
      <c r="R152" t="s">
        <v>3492</v>
      </c>
      <c r="S152" t="s">
        <v>3493</v>
      </c>
      <c r="T152" t="s">
        <v>3478</v>
      </c>
      <c r="U152" t="s">
        <v>3478</v>
      </c>
    </row>
    <row r="153" spans="1:21" x14ac:dyDescent="0.25">
      <c r="A153" t="s">
        <v>4123</v>
      </c>
      <c r="B153" t="s">
        <v>4122</v>
      </c>
      <c r="C153" t="s">
        <v>3472</v>
      </c>
      <c r="D153" t="s">
        <v>3473</v>
      </c>
      <c r="E153" t="s">
        <v>3474</v>
      </c>
      <c r="F153" t="s">
        <v>40</v>
      </c>
      <c r="G153" t="s">
        <v>3476</v>
      </c>
      <c r="H153" t="s">
        <v>4124</v>
      </c>
      <c r="I153" t="s">
        <v>3496</v>
      </c>
      <c r="J153" t="s">
        <v>3901</v>
      </c>
      <c r="K153" t="s">
        <v>3760</v>
      </c>
      <c r="L153" t="s">
        <v>3481</v>
      </c>
      <c r="M153" t="s">
        <v>3482</v>
      </c>
      <c r="N153" t="s">
        <v>3823</v>
      </c>
      <c r="O153" t="s">
        <v>3710</v>
      </c>
      <c r="P153" t="s">
        <v>3710</v>
      </c>
      <c r="Q153" t="s">
        <v>3710</v>
      </c>
      <c r="R153" t="s">
        <v>3492</v>
      </c>
      <c r="S153" t="s">
        <v>3493</v>
      </c>
      <c r="T153" t="s">
        <v>3478</v>
      </c>
      <c r="U153" t="s">
        <v>3496</v>
      </c>
    </row>
    <row r="154" spans="1:21" x14ac:dyDescent="0.25">
      <c r="A154" t="s">
        <v>4126</v>
      </c>
      <c r="B154" t="s">
        <v>4125</v>
      </c>
      <c r="C154" t="s">
        <v>3472</v>
      </c>
      <c r="D154" t="s">
        <v>3473</v>
      </c>
      <c r="E154" t="s">
        <v>3474</v>
      </c>
      <c r="F154" t="s">
        <v>40</v>
      </c>
      <c r="G154" t="s">
        <v>3476</v>
      </c>
      <c r="H154" t="s">
        <v>4127</v>
      </c>
      <c r="I154" t="s">
        <v>3496</v>
      </c>
      <c r="J154" t="s">
        <v>4128</v>
      </c>
      <c r="K154" t="s">
        <v>3760</v>
      </c>
      <c r="L154" t="s">
        <v>3481</v>
      </c>
      <c r="M154" t="s">
        <v>3482</v>
      </c>
      <c r="N154" t="s">
        <v>3823</v>
      </c>
      <c r="O154" t="s">
        <v>3710</v>
      </c>
      <c r="P154" t="s">
        <v>3710</v>
      </c>
      <c r="Q154" t="s">
        <v>3710</v>
      </c>
      <c r="R154" t="s">
        <v>3492</v>
      </c>
      <c r="S154" t="s">
        <v>3493</v>
      </c>
      <c r="T154" t="s">
        <v>3478</v>
      </c>
      <c r="U154" t="s">
        <v>3496</v>
      </c>
    </row>
    <row r="155" spans="1:21" x14ac:dyDescent="0.25">
      <c r="A155" t="s">
        <v>4123</v>
      </c>
      <c r="B155" t="s">
        <v>4129</v>
      </c>
      <c r="C155" t="s">
        <v>3472</v>
      </c>
      <c r="D155" t="s">
        <v>3473</v>
      </c>
      <c r="E155" t="s">
        <v>3474</v>
      </c>
      <c r="F155" t="s">
        <v>40</v>
      </c>
      <c r="G155" t="s">
        <v>3476</v>
      </c>
      <c r="H155" t="s">
        <v>4130</v>
      </c>
      <c r="I155" t="s">
        <v>3502</v>
      </c>
      <c r="J155" t="s">
        <v>3901</v>
      </c>
      <c r="K155" t="s">
        <v>3760</v>
      </c>
      <c r="L155" t="s">
        <v>3481</v>
      </c>
      <c r="M155" t="s">
        <v>3482</v>
      </c>
      <c r="N155" t="s">
        <v>3823</v>
      </c>
      <c r="O155" t="s">
        <v>3754</v>
      </c>
      <c r="P155" t="s">
        <v>3754</v>
      </c>
      <c r="Q155" t="s">
        <v>3754</v>
      </c>
      <c r="R155" t="s">
        <v>3492</v>
      </c>
      <c r="S155" t="s">
        <v>3493</v>
      </c>
      <c r="T155" t="s">
        <v>3478</v>
      </c>
      <c r="U155" t="s">
        <v>3502</v>
      </c>
    </row>
    <row r="156" spans="1:21" x14ac:dyDescent="0.25">
      <c r="A156" t="s">
        <v>3091</v>
      </c>
      <c r="B156" t="s">
        <v>4131</v>
      </c>
      <c r="C156" t="s">
        <v>3472</v>
      </c>
      <c r="D156" t="s">
        <v>3473</v>
      </c>
      <c r="E156" t="s">
        <v>3474</v>
      </c>
      <c r="F156" t="s">
        <v>40</v>
      </c>
      <c r="G156" t="s">
        <v>3476</v>
      </c>
      <c r="H156" t="s">
        <v>4132</v>
      </c>
      <c r="I156" t="s">
        <v>3478</v>
      </c>
      <c r="J156" t="s">
        <v>4133</v>
      </c>
      <c r="K156" t="s">
        <v>40</v>
      </c>
      <c r="L156" t="s">
        <v>3481</v>
      </c>
      <c r="M156" t="s">
        <v>4067</v>
      </c>
      <c r="N156" t="s">
        <v>4134</v>
      </c>
      <c r="O156" t="s">
        <v>4135</v>
      </c>
      <c r="P156" t="s">
        <v>4136</v>
      </c>
      <c r="Q156" t="s">
        <v>4135</v>
      </c>
      <c r="R156" t="s">
        <v>4071</v>
      </c>
      <c r="S156" t="s">
        <v>4072</v>
      </c>
      <c r="T156" t="s">
        <v>3478</v>
      </c>
      <c r="U156" t="s">
        <v>3478</v>
      </c>
    </row>
    <row r="157" spans="1:21" x14ac:dyDescent="0.25">
      <c r="A157" t="s">
        <v>4138</v>
      </c>
      <c r="B157" t="s">
        <v>4137</v>
      </c>
      <c r="C157" t="s">
        <v>3472</v>
      </c>
      <c r="D157" t="s">
        <v>3473</v>
      </c>
      <c r="E157" t="s">
        <v>3474</v>
      </c>
      <c r="F157" t="s">
        <v>40</v>
      </c>
      <c r="G157" t="s">
        <v>3476</v>
      </c>
      <c r="H157" t="s">
        <v>4139</v>
      </c>
      <c r="I157" t="s">
        <v>3478</v>
      </c>
      <c r="J157" t="s">
        <v>4140</v>
      </c>
      <c r="K157" t="s">
        <v>47</v>
      </c>
      <c r="L157" t="s">
        <v>3481</v>
      </c>
      <c r="M157" t="s">
        <v>3482</v>
      </c>
      <c r="N157" t="s">
        <v>3588</v>
      </c>
      <c r="O157" t="s">
        <v>4141</v>
      </c>
      <c r="P157" t="s">
        <v>3838</v>
      </c>
      <c r="Q157" t="s">
        <v>4141</v>
      </c>
      <c r="R157" t="s">
        <v>3485</v>
      </c>
      <c r="S157" t="s">
        <v>3486</v>
      </c>
      <c r="T157" t="s">
        <v>3478</v>
      </c>
      <c r="U157" t="s">
        <v>3478</v>
      </c>
    </row>
    <row r="158" spans="1:21" x14ac:dyDescent="0.25">
      <c r="A158" t="s">
        <v>4143</v>
      </c>
      <c r="B158" t="s">
        <v>4142</v>
      </c>
      <c r="C158" t="s">
        <v>3472</v>
      </c>
      <c r="D158" t="s">
        <v>3473</v>
      </c>
      <c r="E158" t="s">
        <v>3474</v>
      </c>
      <c r="F158" t="s">
        <v>40</v>
      </c>
      <c r="G158" t="s">
        <v>3476</v>
      </c>
      <c r="H158" t="s">
        <v>4144</v>
      </c>
      <c r="I158" t="s">
        <v>3478</v>
      </c>
      <c r="J158" t="s">
        <v>4145</v>
      </c>
      <c r="K158" t="s">
        <v>47</v>
      </c>
      <c r="L158" t="s">
        <v>3481</v>
      </c>
      <c r="M158" t="s">
        <v>3482</v>
      </c>
      <c r="N158" t="s">
        <v>3588</v>
      </c>
      <c r="O158" t="s">
        <v>4146</v>
      </c>
      <c r="P158" t="s">
        <v>3740</v>
      </c>
      <c r="Q158" t="s">
        <v>4146</v>
      </c>
      <c r="R158" t="s">
        <v>3485</v>
      </c>
      <c r="S158" t="s">
        <v>3486</v>
      </c>
      <c r="T158" t="s">
        <v>3478</v>
      </c>
      <c r="U158" t="s">
        <v>3478</v>
      </c>
    </row>
    <row r="159" spans="1:21" x14ac:dyDescent="0.25">
      <c r="A159" t="s">
        <v>4148</v>
      </c>
      <c r="B159" t="s">
        <v>4147</v>
      </c>
      <c r="C159" t="s">
        <v>3472</v>
      </c>
      <c r="D159" t="s">
        <v>3473</v>
      </c>
      <c r="E159" t="s">
        <v>3474</v>
      </c>
      <c r="F159" t="s">
        <v>40</v>
      </c>
      <c r="G159" t="s">
        <v>3476</v>
      </c>
      <c r="H159" t="s">
        <v>4149</v>
      </c>
      <c r="I159" t="s">
        <v>3478</v>
      </c>
      <c r="J159" t="s">
        <v>3766</v>
      </c>
      <c r="K159" t="s">
        <v>47</v>
      </c>
      <c r="L159" t="s">
        <v>3481</v>
      </c>
      <c r="M159" t="s">
        <v>3482</v>
      </c>
      <c r="N159" t="s">
        <v>4150</v>
      </c>
      <c r="O159" t="s">
        <v>4151</v>
      </c>
      <c r="P159" t="s">
        <v>3754</v>
      </c>
      <c r="Q159" t="s">
        <v>4151</v>
      </c>
      <c r="R159" t="s">
        <v>3485</v>
      </c>
      <c r="S159" t="s">
        <v>3486</v>
      </c>
      <c r="T159" t="s">
        <v>3478</v>
      </c>
      <c r="U159" t="s">
        <v>3478</v>
      </c>
    </row>
    <row r="160" spans="1:21" x14ac:dyDescent="0.25">
      <c r="A160" t="s">
        <v>4153</v>
      </c>
      <c r="B160" t="s">
        <v>4152</v>
      </c>
      <c r="C160" t="s">
        <v>3472</v>
      </c>
      <c r="D160" t="s">
        <v>3473</v>
      </c>
      <c r="E160" t="s">
        <v>3474</v>
      </c>
      <c r="F160" t="s">
        <v>40</v>
      </c>
      <c r="G160" t="s">
        <v>3476</v>
      </c>
      <c r="H160" t="s">
        <v>4149</v>
      </c>
      <c r="I160" t="s">
        <v>3478</v>
      </c>
      <c r="J160" t="s">
        <v>4154</v>
      </c>
      <c r="K160" t="s">
        <v>47</v>
      </c>
      <c r="L160" t="s">
        <v>3481</v>
      </c>
      <c r="M160" t="s">
        <v>3482</v>
      </c>
      <c r="N160" t="s">
        <v>4150</v>
      </c>
      <c r="O160" t="s">
        <v>4151</v>
      </c>
      <c r="P160" t="s">
        <v>3754</v>
      </c>
      <c r="Q160" t="s">
        <v>4151</v>
      </c>
      <c r="R160" t="s">
        <v>3485</v>
      </c>
      <c r="S160" t="s">
        <v>3486</v>
      </c>
      <c r="T160" t="s">
        <v>3478</v>
      </c>
      <c r="U160" t="s">
        <v>3478</v>
      </c>
    </row>
    <row r="161" spans="1:21" x14ac:dyDescent="0.25">
      <c r="A161" t="s">
        <v>4156</v>
      </c>
      <c r="B161" t="s">
        <v>4155</v>
      </c>
      <c r="C161" t="s">
        <v>3472</v>
      </c>
      <c r="D161" t="s">
        <v>3473</v>
      </c>
      <c r="E161" t="s">
        <v>3474</v>
      </c>
      <c r="F161" t="s">
        <v>40</v>
      </c>
      <c r="G161" t="s">
        <v>3476</v>
      </c>
      <c r="H161" t="s">
        <v>4149</v>
      </c>
      <c r="I161" t="s">
        <v>3478</v>
      </c>
      <c r="J161" t="s">
        <v>4157</v>
      </c>
      <c r="K161" t="s">
        <v>47</v>
      </c>
      <c r="L161" t="s">
        <v>3481</v>
      </c>
      <c r="M161" t="s">
        <v>3482</v>
      </c>
      <c r="N161" t="s">
        <v>4150</v>
      </c>
      <c r="O161" t="s">
        <v>4151</v>
      </c>
      <c r="P161" t="s">
        <v>3754</v>
      </c>
      <c r="Q161" t="s">
        <v>4151</v>
      </c>
      <c r="R161" t="s">
        <v>3485</v>
      </c>
      <c r="S161" t="s">
        <v>3486</v>
      </c>
      <c r="T161" t="s">
        <v>3478</v>
      </c>
      <c r="U161" t="s">
        <v>3478</v>
      </c>
    </row>
    <row r="162" spans="1:21" x14ac:dyDescent="0.25">
      <c r="A162" t="s">
        <v>3026</v>
      </c>
      <c r="B162" t="s">
        <v>4158</v>
      </c>
      <c r="C162" t="s">
        <v>3472</v>
      </c>
      <c r="D162" t="s">
        <v>3473</v>
      </c>
      <c r="E162" t="s">
        <v>3474</v>
      </c>
      <c r="F162" t="s">
        <v>40</v>
      </c>
      <c r="G162" t="s">
        <v>3476</v>
      </c>
      <c r="H162" t="s">
        <v>4159</v>
      </c>
      <c r="I162" t="s">
        <v>3478</v>
      </c>
      <c r="J162" t="s">
        <v>4160</v>
      </c>
      <c r="K162" t="s">
        <v>47</v>
      </c>
      <c r="L162" t="s">
        <v>3481</v>
      </c>
      <c r="M162" t="s">
        <v>3787</v>
      </c>
      <c r="N162" t="s">
        <v>4161</v>
      </c>
      <c r="O162" t="s">
        <v>4162</v>
      </c>
      <c r="P162" t="s">
        <v>3694</v>
      </c>
      <c r="Q162" t="s">
        <v>4162</v>
      </c>
      <c r="R162" t="s">
        <v>3485</v>
      </c>
      <c r="S162" t="s">
        <v>3486</v>
      </c>
      <c r="T162" t="s">
        <v>3478</v>
      </c>
      <c r="U162" t="s">
        <v>3478</v>
      </c>
    </row>
    <row r="163" spans="1:21" x14ac:dyDescent="0.25">
      <c r="A163" t="s">
        <v>4164</v>
      </c>
      <c r="B163" t="s">
        <v>4163</v>
      </c>
      <c r="C163" t="s">
        <v>3472</v>
      </c>
      <c r="D163" t="s">
        <v>3473</v>
      </c>
      <c r="E163" t="s">
        <v>3474</v>
      </c>
      <c r="F163" t="s">
        <v>40</v>
      </c>
      <c r="G163" t="s">
        <v>3476</v>
      </c>
      <c r="H163" t="s">
        <v>4165</v>
      </c>
      <c r="I163" t="s">
        <v>3478</v>
      </c>
      <c r="J163" t="s">
        <v>4166</v>
      </c>
      <c r="K163" t="s">
        <v>47</v>
      </c>
      <c r="L163" t="s">
        <v>3481</v>
      </c>
      <c r="M163" t="s">
        <v>3482</v>
      </c>
      <c r="N163" t="s">
        <v>4167</v>
      </c>
      <c r="O163" t="s">
        <v>4168</v>
      </c>
      <c r="P163" t="s">
        <v>3701</v>
      </c>
      <c r="Q163" t="s">
        <v>4168</v>
      </c>
      <c r="R163" t="s">
        <v>3485</v>
      </c>
      <c r="S163" t="s">
        <v>3486</v>
      </c>
      <c r="T163" t="s">
        <v>3478</v>
      </c>
      <c r="U163" t="s">
        <v>3478</v>
      </c>
    </row>
    <row r="164" spans="1:21" x14ac:dyDescent="0.25">
      <c r="A164" t="s">
        <v>4170</v>
      </c>
      <c r="B164" t="s">
        <v>4169</v>
      </c>
      <c r="C164" t="s">
        <v>3472</v>
      </c>
      <c r="D164" t="s">
        <v>3473</v>
      </c>
      <c r="E164" t="s">
        <v>3474</v>
      </c>
      <c r="F164" t="s">
        <v>40</v>
      </c>
      <c r="G164" t="s">
        <v>3476</v>
      </c>
      <c r="H164" t="s">
        <v>4165</v>
      </c>
      <c r="I164" t="s">
        <v>3478</v>
      </c>
      <c r="J164" t="s">
        <v>4171</v>
      </c>
      <c r="K164" t="s">
        <v>47</v>
      </c>
      <c r="L164" t="s">
        <v>3481</v>
      </c>
      <c r="M164" t="s">
        <v>3482</v>
      </c>
      <c r="N164" t="s">
        <v>4167</v>
      </c>
      <c r="O164" t="s">
        <v>4168</v>
      </c>
      <c r="P164" t="s">
        <v>3701</v>
      </c>
      <c r="Q164" t="s">
        <v>4168</v>
      </c>
      <c r="R164" t="s">
        <v>3485</v>
      </c>
      <c r="S164" t="s">
        <v>3486</v>
      </c>
      <c r="T164" t="s">
        <v>3478</v>
      </c>
      <c r="U164" t="s">
        <v>3478</v>
      </c>
    </row>
    <row r="165" spans="1:21" x14ac:dyDescent="0.25">
      <c r="A165" t="s">
        <v>4138</v>
      </c>
      <c r="B165" t="s">
        <v>4172</v>
      </c>
      <c r="C165" t="s">
        <v>3472</v>
      </c>
      <c r="D165" t="s">
        <v>3473</v>
      </c>
      <c r="E165" t="s">
        <v>3474</v>
      </c>
      <c r="F165" t="s">
        <v>40</v>
      </c>
      <c r="G165" t="s">
        <v>3476</v>
      </c>
      <c r="H165" t="s">
        <v>4173</v>
      </c>
      <c r="I165" t="s">
        <v>3478</v>
      </c>
      <c r="J165" t="s">
        <v>4140</v>
      </c>
      <c r="K165" t="s">
        <v>47</v>
      </c>
      <c r="L165" t="s">
        <v>3481</v>
      </c>
      <c r="M165" t="s">
        <v>3787</v>
      </c>
      <c r="N165" t="s">
        <v>4174</v>
      </c>
      <c r="O165" t="s">
        <v>4094</v>
      </c>
      <c r="P165" t="s">
        <v>3845</v>
      </c>
      <c r="Q165" t="s">
        <v>4094</v>
      </c>
      <c r="R165" t="s">
        <v>3485</v>
      </c>
      <c r="S165" t="s">
        <v>3486</v>
      </c>
      <c r="T165" t="s">
        <v>3478</v>
      </c>
      <c r="U165" t="s">
        <v>3478</v>
      </c>
    </row>
    <row r="166" spans="1:21" x14ac:dyDescent="0.25">
      <c r="A166" t="s">
        <v>3224</v>
      </c>
      <c r="B166" t="s">
        <v>4175</v>
      </c>
      <c r="C166" t="s">
        <v>3472</v>
      </c>
      <c r="D166" t="s">
        <v>3473</v>
      </c>
      <c r="E166" t="s">
        <v>3474</v>
      </c>
      <c r="F166" t="s">
        <v>40</v>
      </c>
      <c r="G166" t="s">
        <v>3476</v>
      </c>
      <c r="H166" t="s">
        <v>4176</v>
      </c>
      <c r="I166" t="s">
        <v>3478</v>
      </c>
      <c r="J166" t="s">
        <v>4177</v>
      </c>
      <c r="K166" t="s">
        <v>47</v>
      </c>
      <c r="L166" t="s">
        <v>3481</v>
      </c>
      <c r="M166" t="s">
        <v>3482</v>
      </c>
      <c r="N166" t="s">
        <v>4174</v>
      </c>
      <c r="O166" t="s">
        <v>4178</v>
      </c>
      <c r="P166" t="s">
        <v>4179</v>
      </c>
      <c r="Q166" t="s">
        <v>4178</v>
      </c>
      <c r="R166" t="s">
        <v>3485</v>
      </c>
      <c r="S166" t="s">
        <v>3486</v>
      </c>
      <c r="T166" t="s">
        <v>3478</v>
      </c>
      <c r="U166" t="s">
        <v>3478</v>
      </c>
    </row>
    <row r="167" spans="1:21" x14ac:dyDescent="0.25">
      <c r="A167" t="s">
        <v>3226</v>
      </c>
      <c r="B167" t="s">
        <v>4180</v>
      </c>
      <c r="C167" t="s">
        <v>3472</v>
      </c>
      <c r="D167" t="s">
        <v>3473</v>
      </c>
      <c r="E167" t="s">
        <v>3474</v>
      </c>
      <c r="F167" t="s">
        <v>40</v>
      </c>
      <c r="G167" t="s">
        <v>3476</v>
      </c>
      <c r="H167" t="s">
        <v>4176</v>
      </c>
      <c r="I167" t="s">
        <v>3478</v>
      </c>
      <c r="J167" t="s">
        <v>4181</v>
      </c>
      <c r="K167" t="s">
        <v>47</v>
      </c>
      <c r="L167" t="s">
        <v>3481</v>
      </c>
      <c r="M167" t="s">
        <v>3482</v>
      </c>
      <c r="N167" t="s">
        <v>4174</v>
      </c>
      <c r="O167" t="s">
        <v>4178</v>
      </c>
      <c r="P167" t="s">
        <v>4179</v>
      </c>
      <c r="Q167" t="s">
        <v>4178</v>
      </c>
      <c r="R167" t="s">
        <v>3485</v>
      </c>
      <c r="S167" t="s">
        <v>3486</v>
      </c>
      <c r="T167" t="s">
        <v>3478</v>
      </c>
      <c r="U167" t="s">
        <v>3478</v>
      </c>
    </row>
    <row r="168" spans="1:21" x14ac:dyDescent="0.25">
      <c r="A168" t="s">
        <v>3246</v>
      </c>
      <c r="B168" t="s">
        <v>4182</v>
      </c>
      <c r="C168" t="s">
        <v>3472</v>
      </c>
      <c r="D168" t="s">
        <v>3473</v>
      </c>
      <c r="E168" t="s">
        <v>3474</v>
      </c>
      <c r="F168" t="s">
        <v>40</v>
      </c>
      <c r="G168" t="s">
        <v>3476</v>
      </c>
      <c r="H168" t="s">
        <v>4183</v>
      </c>
      <c r="I168" t="s">
        <v>3478</v>
      </c>
      <c r="J168" t="s">
        <v>4184</v>
      </c>
      <c r="K168" t="s">
        <v>47</v>
      </c>
      <c r="L168" t="s">
        <v>3481</v>
      </c>
      <c r="M168" t="s">
        <v>3482</v>
      </c>
      <c r="N168" t="s">
        <v>3598</v>
      </c>
      <c r="O168" t="s">
        <v>3903</v>
      </c>
      <c r="P168" t="s">
        <v>4185</v>
      </c>
      <c r="Q168" t="s">
        <v>3903</v>
      </c>
      <c r="R168" t="s">
        <v>3485</v>
      </c>
      <c r="S168" t="s">
        <v>3486</v>
      </c>
      <c r="T168" t="s">
        <v>3478</v>
      </c>
      <c r="U168" t="s">
        <v>3478</v>
      </c>
    </row>
    <row r="169" spans="1:21" x14ac:dyDescent="0.25">
      <c r="A169" t="s">
        <v>4187</v>
      </c>
      <c r="B169" t="s">
        <v>4186</v>
      </c>
      <c r="C169" t="s">
        <v>3472</v>
      </c>
      <c r="D169" t="s">
        <v>3473</v>
      </c>
      <c r="E169" t="s">
        <v>3474</v>
      </c>
      <c r="F169" t="s">
        <v>40</v>
      </c>
      <c r="G169" t="s">
        <v>3476</v>
      </c>
      <c r="H169" t="s">
        <v>4188</v>
      </c>
      <c r="I169" t="s">
        <v>3478</v>
      </c>
      <c r="J169" t="s">
        <v>4189</v>
      </c>
      <c r="K169" t="s">
        <v>47</v>
      </c>
      <c r="L169" t="s">
        <v>3481</v>
      </c>
      <c r="M169" t="s">
        <v>3787</v>
      </c>
      <c r="N169" t="s">
        <v>3598</v>
      </c>
      <c r="O169" t="s">
        <v>3701</v>
      </c>
      <c r="P169" t="s">
        <v>3701</v>
      </c>
      <c r="Q169" t="s">
        <v>3701</v>
      </c>
      <c r="R169" t="s">
        <v>3485</v>
      </c>
      <c r="S169" t="s">
        <v>3486</v>
      </c>
      <c r="T169" t="s">
        <v>3478</v>
      </c>
      <c r="U169" t="s">
        <v>3478</v>
      </c>
    </row>
    <row r="170" spans="1:21" x14ac:dyDescent="0.25">
      <c r="A170" t="s">
        <v>4191</v>
      </c>
      <c r="B170" t="s">
        <v>4190</v>
      </c>
      <c r="C170" t="s">
        <v>3472</v>
      </c>
      <c r="D170" t="s">
        <v>3473</v>
      </c>
      <c r="E170" t="s">
        <v>3474</v>
      </c>
      <c r="F170" t="s">
        <v>40</v>
      </c>
      <c r="G170" t="s">
        <v>3476</v>
      </c>
      <c r="H170" t="s">
        <v>4192</v>
      </c>
      <c r="I170" t="s">
        <v>3478</v>
      </c>
      <c r="J170" t="s">
        <v>4193</v>
      </c>
      <c r="K170" t="s">
        <v>47</v>
      </c>
      <c r="L170" t="s">
        <v>3481</v>
      </c>
      <c r="M170" t="s">
        <v>3482</v>
      </c>
      <c r="N170" t="s">
        <v>4194</v>
      </c>
      <c r="O170" t="s">
        <v>4195</v>
      </c>
      <c r="P170" t="s">
        <v>3740</v>
      </c>
      <c r="Q170" t="s">
        <v>4195</v>
      </c>
      <c r="R170" t="s">
        <v>4071</v>
      </c>
      <c r="S170" t="s">
        <v>4072</v>
      </c>
      <c r="T170" t="s">
        <v>3478</v>
      </c>
      <c r="U170" t="s">
        <v>3478</v>
      </c>
    </row>
    <row r="171" spans="1:21" x14ac:dyDescent="0.25">
      <c r="A171" t="s">
        <v>4191</v>
      </c>
      <c r="B171" t="s">
        <v>4190</v>
      </c>
      <c r="C171" t="s">
        <v>3472</v>
      </c>
      <c r="D171" t="s">
        <v>3473</v>
      </c>
      <c r="E171" t="s">
        <v>3474</v>
      </c>
      <c r="F171" t="s">
        <v>40</v>
      </c>
      <c r="G171" t="s">
        <v>3476</v>
      </c>
      <c r="H171" t="s">
        <v>4192</v>
      </c>
      <c r="I171" t="s">
        <v>3478</v>
      </c>
      <c r="J171" t="s">
        <v>4193</v>
      </c>
      <c r="K171" t="s">
        <v>47</v>
      </c>
      <c r="L171" t="s">
        <v>3481</v>
      </c>
      <c r="M171" t="s">
        <v>3482</v>
      </c>
      <c r="N171" t="s">
        <v>4194</v>
      </c>
      <c r="O171" t="s">
        <v>4195</v>
      </c>
      <c r="P171" t="s">
        <v>3740</v>
      </c>
      <c r="Q171" t="s">
        <v>4195</v>
      </c>
      <c r="R171" t="s">
        <v>3485</v>
      </c>
      <c r="S171" t="s">
        <v>3486</v>
      </c>
      <c r="T171" t="s">
        <v>3478</v>
      </c>
      <c r="U171" t="s">
        <v>3478</v>
      </c>
    </row>
    <row r="172" spans="1:21" x14ac:dyDescent="0.25">
      <c r="A172" t="s">
        <v>4197</v>
      </c>
      <c r="B172" t="s">
        <v>4196</v>
      </c>
      <c r="C172" t="s">
        <v>3472</v>
      </c>
      <c r="D172" t="s">
        <v>3473</v>
      </c>
      <c r="E172" t="s">
        <v>3474</v>
      </c>
      <c r="F172" t="s">
        <v>40</v>
      </c>
      <c r="G172" t="s">
        <v>3476</v>
      </c>
      <c r="H172" t="s">
        <v>4198</v>
      </c>
      <c r="I172" t="s">
        <v>3478</v>
      </c>
      <c r="J172" t="s">
        <v>3759</v>
      </c>
      <c r="K172" t="s">
        <v>47</v>
      </c>
      <c r="L172" t="s">
        <v>3481</v>
      </c>
      <c r="M172" t="s">
        <v>3482</v>
      </c>
      <c r="N172" t="s">
        <v>4194</v>
      </c>
      <c r="O172" t="s">
        <v>4195</v>
      </c>
      <c r="P172" t="s">
        <v>3740</v>
      </c>
      <c r="Q172" t="s">
        <v>4195</v>
      </c>
      <c r="R172" t="s">
        <v>3492</v>
      </c>
      <c r="S172" t="s">
        <v>3493</v>
      </c>
      <c r="T172" t="s">
        <v>3478</v>
      </c>
      <c r="U172" t="s">
        <v>3478</v>
      </c>
    </row>
    <row r="173" spans="1:21" x14ac:dyDescent="0.25">
      <c r="A173" t="s">
        <v>4197</v>
      </c>
      <c r="B173" t="s">
        <v>4196</v>
      </c>
      <c r="C173" t="s">
        <v>3472</v>
      </c>
      <c r="D173" t="s">
        <v>3473</v>
      </c>
      <c r="E173" t="s">
        <v>3474</v>
      </c>
      <c r="F173" t="s">
        <v>40</v>
      </c>
      <c r="G173" t="s">
        <v>3476</v>
      </c>
      <c r="H173" t="s">
        <v>4198</v>
      </c>
      <c r="I173" t="s">
        <v>3478</v>
      </c>
      <c r="J173" t="s">
        <v>3759</v>
      </c>
      <c r="K173" t="s">
        <v>47</v>
      </c>
      <c r="L173" t="s">
        <v>3481</v>
      </c>
      <c r="M173" t="s">
        <v>3482</v>
      </c>
      <c r="N173" t="s">
        <v>4194</v>
      </c>
      <c r="O173" t="s">
        <v>4195</v>
      </c>
      <c r="P173" t="s">
        <v>3740</v>
      </c>
      <c r="Q173" t="s">
        <v>4195</v>
      </c>
      <c r="R173" t="s">
        <v>3485</v>
      </c>
      <c r="S173" t="s">
        <v>3486</v>
      </c>
      <c r="T173" t="s">
        <v>3478</v>
      </c>
      <c r="U173" t="s">
        <v>3478</v>
      </c>
    </row>
    <row r="174" spans="1:21" x14ac:dyDescent="0.25">
      <c r="A174" t="s">
        <v>4200</v>
      </c>
      <c r="B174" t="s">
        <v>4199</v>
      </c>
      <c r="C174" t="s">
        <v>3472</v>
      </c>
      <c r="D174" t="s">
        <v>3473</v>
      </c>
      <c r="E174" t="s">
        <v>3474</v>
      </c>
      <c r="F174" t="s">
        <v>40</v>
      </c>
      <c r="G174" t="s">
        <v>3476</v>
      </c>
      <c r="H174" t="s">
        <v>4201</v>
      </c>
      <c r="I174" t="s">
        <v>3478</v>
      </c>
      <c r="J174" t="s">
        <v>4202</v>
      </c>
      <c r="K174" t="s">
        <v>47</v>
      </c>
      <c r="L174" t="s">
        <v>3481</v>
      </c>
      <c r="M174" t="s">
        <v>3482</v>
      </c>
      <c r="N174" t="s">
        <v>4203</v>
      </c>
      <c r="O174" t="s">
        <v>4204</v>
      </c>
      <c r="P174" t="s">
        <v>3688</v>
      </c>
      <c r="Q174" t="s">
        <v>4204</v>
      </c>
      <c r="R174" t="s">
        <v>3485</v>
      </c>
      <c r="S174" t="s">
        <v>3486</v>
      </c>
      <c r="T174" t="s">
        <v>3478</v>
      </c>
      <c r="U174" t="s">
        <v>3478</v>
      </c>
    </row>
    <row r="175" spans="1:21" x14ac:dyDescent="0.25">
      <c r="A175" t="s">
        <v>3041</v>
      </c>
      <c r="B175" t="s">
        <v>4205</v>
      </c>
      <c r="C175" t="s">
        <v>3472</v>
      </c>
      <c r="D175" t="s">
        <v>3473</v>
      </c>
      <c r="E175" t="s">
        <v>3474</v>
      </c>
      <c r="F175" t="s">
        <v>40</v>
      </c>
      <c r="G175" t="s">
        <v>3476</v>
      </c>
      <c r="H175" t="s">
        <v>4206</v>
      </c>
      <c r="I175" t="s">
        <v>3478</v>
      </c>
      <c r="J175" t="s">
        <v>4207</v>
      </c>
      <c r="K175" t="s">
        <v>47</v>
      </c>
      <c r="L175" t="s">
        <v>3481</v>
      </c>
      <c r="M175" t="s">
        <v>3787</v>
      </c>
      <c r="N175" t="s">
        <v>3612</v>
      </c>
      <c r="O175" t="s">
        <v>4208</v>
      </c>
      <c r="P175" t="s">
        <v>3850</v>
      </c>
      <c r="Q175" t="s">
        <v>4208</v>
      </c>
      <c r="R175" t="s">
        <v>3485</v>
      </c>
      <c r="S175" t="s">
        <v>3486</v>
      </c>
      <c r="T175" t="s">
        <v>3478</v>
      </c>
      <c r="U175" t="s">
        <v>3478</v>
      </c>
    </row>
    <row r="176" spans="1:21" x14ac:dyDescent="0.25">
      <c r="A176" t="s">
        <v>3044</v>
      </c>
      <c r="B176" t="s">
        <v>4209</v>
      </c>
      <c r="C176" t="s">
        <v>3472</v>
      </c>
      <c r="D176" t="s">
        <v>3473</v>
      </c>
      <c r="E176" t="s">
        <v>3474</v>
      </c>
      <c r="F176" t="s">
        <v>40</v>
      </c>
      <c r="G176" t="s">
        <v>3476</v>
      </c>
      <c r="H176" t="s">
        <v>4206</v>
      </c>
      <c r="I176" t="s">
        <v>3478</v>
      </c>
      <c r="J176" t="s">
        <v>4210</v>
      </c>
      <c r="K176" t="s">
        <v>47</v>
      </c>
      <c r="L176" t="s">
        <v>3481</v>
      </c>
      <c r="M176" t="s">
        <v>3787</v>
      </c>
      <c r="N176" t="s">
        <v>3612</v>
      </c>
      <c r="O176" t="s">
        <v>4208</v>
      </c>
      <c r="P176" t="s">
        <v>3850</v>
      </c>
      <c r="Q176" t="s">
        <v>4208</v>
      </c>
      <c r="R176" t="s">
        <v>3485</v>
      </c>
      <c r="S176" t="s">
        <v>3486</v>
      </c>
      <c r="T176" t="s">
        <v>3478</v>
      </c>
      <c r="U176" t="s">
        <v>3478</v>
      </c>
    </row>
    <row r="177" spans="1:21" x14ac:dyDescent="0.25">
      <c r="A177" t="s">
        <v>3427</v>
      </c>
      <c r="B177" t="s">
        <v>4211</v>
      </c>
      <c r="C177" t="s">
        <v>3472</v>
      </c>
      <c r="D177" t="s">
        <v>3473</v>
      </c>
      <c r="E177" t="s">
        <v>3474</v>
      </c>
      <c r="F177" t="s">
        <v>40</v>
      </c>
      <c r="G177" t="s">
        <v>3476</v>
      </c>
      <c r="H177" t="s">
        <v>4212</v>
      </c>
      <c r="I177" t="s">
        <v>3478</v>
      </c>
      <c r="J177" t="s">
        <v>4213</v>
      </c>
      <c r="K177" t="s">
        <v>47</v>
      </c>
      <c r="L177" t="s">
        <v>3481</v>
      </c>
      <c r="M177" t="s">
        <v>3482</v>
      </c>
      <c r="N177" t="s">
        <v>4214</v>
      </c>
      <c r="O177" t="s">
        <v>4215</v>
      </c>
      <c r="P177" t="s">
        <v>3701</v>
      </c>
      <c r="Q177" t="s">
        <v>4215</v>
      </c>
      <c r="R177" t="s">
        <v>3485</v>
      </c>
      <c r="S177" t="s">
        <v>3486</v>
      </c>
      <c r="T177" t="s">
        <v>3478</v>
      </c>
      <c r="U177" t="s">
        <v>3478</v>
      </c>
    </row>
    <row r="178" spans="1:21" x14ac:dyDescent="0.25">
      <c r="A178" t="s">
        <v>3223</v>
      </c>
      <c r="B178" t="s">
        <v>4216</v>
      </c>
      <c r="C178" t="s">
        <v>3472</v>
      </c>
      <c r="D178" t="s">
        <v>3473</v>
      </c>
      <c r="E178" t="s">
        <v>3474</v>
      </c>
      <c r="F178" t="s">
        <v>40</v>
      </c>
      <c r="G178" t="s">
        <v>3476</v>
      </c>
      <c r="H178" t="s">
        <v>4217</v>
      </c>
      <c r="I178" t="s">
        <v>3496</v>
      </c>
      <c r="J178" t="s">
        <v>4218</v>
      </c>
      <c r="K178" t="s">
        <v>47</v>
      </c>
      <c r="L178" t="s">
        <v>3481</v>
      </c>
      <c r="M178" t="s">
        <v>3482</v>
      </c>
      <c r="N178" t="s">
        <v>4214</v>
      </c>
      <c r="O178" t="s">
        <v>4178</v>
      </c>
      <c r="P178" t="s">
        <v>4179</v>
      </c>
      <c r="Q178" t="s">
        <v>4178</v>
      </c>
      <c r="R178" t="s">
        <v>3485</v>
      </c>
      <c r="S178" t="s">
        <v>3486</v>
      </c>
      <c r="T178" t="s">
        <v>3478</v>
      </c>
      <c r="U178" t="s">
        <v>3496</v>
      </c>
    </row>
    <row r="179" spans="1:21" x14ac:dyDescent="0.25">
      <c r="A179" t="s">
        <v>4220</v>
      </c>
      <c r="B179" t="s">
        <v>4219</v>
      </c>
      <c r="C179" t="s">
        <v>3472</v>
      </c>
      <c r="D179" t="s">
        <v>3473</v>
      </c>
      <c r="E179" t="s">
        <v>3474</v>
      </c>
      <c r="F179" t="s">
        <v>40</v>
      </c>
      <c r="G179" t="s">
        <v>3476</v>
      </c>
      <c r="H179" t="s">
        <v>4221</v>
      </c>
      <c r="I179" t="s">
        <v>3478</v>
      </c>
      <c r="J179" t="s">
        <v>4222</v>
      </c>
      <c r="K179" t="s">
        <v>3632</v>
      </c>
      <c r="L179" t="s">
        <v>3481</v>
      </c>
      <c r="M179" t="s">
        <v>3482</v>
      </c>
      <c r="N179" t="s">
        <v>3637</v>
      </c>
      <c r="O179" t="s">
        <v>4223</v>
      </c>
      <c r="P179" t="s">
        <v>4223</v>
      </c>
      <c r="Q179" t="s">
        <v>4223</v>
      </c>
      <c r="R179" t="s">
        <v>3485</v>
      </c>
      <c r="S179" t="s">
        <v>3486</v>
      </c>
      <c r="T179" t="s">
        <v>3478</v>
      </c>
      <c r="U179" t="s">
        <v>3478</v>
      </c>
    </row>
    <row r="180" spans="1:21" x14ac:dyDescent="0.25">
      <c r="A180" t="s">
        <v>4105</v>
      </c>
      <c r="B180" t="s">
        <v>4224</v>
      </c>
      <c r="C180" t="s">
        <v>3472</v>
      </c>
      <c r="D180" t="s">
        <v>3473</v>
      </c>
      <c r="E180" t="s">
        <v>3474</v>
      </c>
      <c r="F180" t="s">
        <v>40</v>
      </c>
      <c r="G180" t="s">
        <v>3476</v>
      </c>
      <c r="H180" t="s">
        <v>4225</v>
      </c>
      <c r="I180" t="s">
        <v>3478</v>
      </c>
      <c r="J180" t="s">
        <v>4106</v>
      </c>
      <c r="K180" t="s">
        <v>3643</v>
      </c>
      <c r="L180" t="s">
        <v>3481</v>
      </c>
      <c r="M180" t="s">
        <v>3692</v>
      </c>
      <c r="N180" t="s">
        <v>4226</v>
      </c>
      <c r="O180" t="s">
        <v>4227</v>
      </c>
      <c r="P180" t="s">
        <v>3776</v>
      </c>
      <c r="Q180" t="s">
        <v>4227</v>
      </c>
      <c r="R180" t="s">
        <v>3485</v>
      </c>
      <c r="S180" t="s">
        <v>3486</v>
      </c>
      <c r="T180" t="s">
        <v>3478</v>
      </c>
      <c r="U180" t="s">
        <v>3478</v>
      </c>
    </row>
    <row r="181" spans="1:21" x14ac:dyDescent="0.25">
      <c r="A181" t="s">
        <v>3419</v>
      </c>
      <c r="B181" t="s">
        <v>4228</v>
      </c>
      <c r="C181" t="s">
        <v>3472</v>
      </c>
      <c r="D181" t="s">
        <v>3473</v>
      </c>
      <c r="E181" t="s">
        <v>3474</v>
      </c>
      <c r="F181" t="s">
        <v>40</v>
      </c>
      <c r="G181" t="s">
        <v>3476</v>
      </c>
      <c r="H181" t="s">
        <v>4229</v>
      </c>
      <c r="I181" t="s">
        <v>3478</v>
      </c>
      <c r="J181" t="s">
        <v>4230</v>
      </c>
      <c r="K181" t="s">
        <v>3643</v>
      </c>
      <c r="L181" t="s">
        <v>3481</v>
      </c>
      <c r="M181" t="s">
        <v>3482</v>
      </c>
      <c r="N181" t="s">
        <v>4231</v>
      </c>
      <c r="O181" t="s">
        <v>4232</v>
      </c>
      <c r="P181" t="s">
        <v>4232</v>
      </c>
      <c r="Q181" t="s">
        <v>4232</v>
      </c>
      <c r="R181" t="s">
        <v>3485</v>
      </c>
      <c r="S181" t="s">
        <v>3486</v>
      </c>
      <c r="T181" t="s">
        <v>3478</v>
      </c>
      <c r="U181" t="s">
        <v>3478</v>
      </c>
    </row>
    <row r="182" spans="1:21" x14ac:dyDescent="0.25">
      <c r="A182" t="s">
        <v>3420</v>
      </c>
      <c r="B182" t="s">
        <v>4233</v>
      </c>
      <c r="C182" t="s">
        <v>3472</v>
      </c>
      <c r="D182" t="s">
        <v>3473</v>
      </c>
      <c r="E182" t="s">
        <v>3474</v>
      </c>
      <c r="F182" t="s">
        <v>40</v>
      </c>
      <c r="G182" t="s">
        <v>3476</v>
      </c>
      <c r="H182" t="s">
        <v>4229</v>
      </c>
      <c r="I182" t="s">
        <v>3478</v>
      </c>
      <c r="J182" t="s">
        <v>4234</v>
      </c>
      <c r="K182" t="s">
        <v>3643</v>
      </c>
      <c r="L182" t="s">
        <v>3481</v>
      </c>
      <c r="M182" t="s">
        <v>3482</v>
      </c>
      <c r="N182" t="s">
        <v>4231</v>
      </c>
      <c r="O182" t="s">
        <v>4232</v>
      </c>
      <c r="P182" t="s">
        <v>4232</v>
      </c>
      <c r="Q182" t="s">
        <v>4232</v>
      </c>
      <c r="R182" t="s">
        <v>3485</v>
      </c>
      <c r="S182" t="s">
        <v>3486</v>
      </c>
      <c r="T182" t="s">
        <v>3478</v>
      </c>
      <c r="U182" t="s">
        <v>3478</v>
      </c>
    </row>
    <row r="183" spans="1:21" x14ac:dyDescent="0.25">
      <c r="A183" t="s">
        <v>4236</v>
      </c>
      <c r="B183" t="s">
        <v>4235</v>
      </c>
      <c r="C183" t="s">
        <v>3472</v>
      </c>
      <c r="D183" t="s">
        <v>3473</v>
      </c>
      <c r="E183" t="s">
        <v>3474</v>
      </c>
      <c r="F183" t="s">
        <v>40</v>
      </c>
      <c r="G183" t="s">
        <v>3476</v>
      </c>
      <c r="H183" t="s">
        <v>4237</v>
      </c>
      <c r="I183" t="s">
        <v>3478</v>
      </c>
      <c r="J183" t="s">
        <v>4238</v>
      </c>
      <c r="K183" t="s">
        <v>3643</v>
      </c>
      <c r="L183" t="s">
        <v>3481</v>
      </c>
      <c r="M183" t="s">
        <v>3482</v>
      </c>
      <c r="N183" t="s">
        <v>4239</v>
      </c>
      <c r="O183" t="s">
        <v>4240</v>
      </c>
      <c r="P183" t="s">
        <v>3838</v>
      </c>
      <c r="Q183" t="s">
        <v>4240</v>
      </c>
      <c r="R183" t="s">
        <v>3525</v>
      </c>
      <c r="S183" t="s">
        <v>3526</v>
      </c>
      <c r="T183" t="s">
        <v>3478</v>
      </c>
      <c r="U183" t="s">
        <v>3478</v>
      </c>
    </row>
    <row r="184" spans="1:21" x14ac:dyDescent="0.25">
      <c r="A184" t="s">
        <v>4242</v>
      </c>
      <c r="B184" t="s">
        <v>4241</v>
      </c>
      <c r="C184" t="s">
        <v>3472</v>
      </c>
      <c r="D184" t="s">
        <v>3473</v>
      </c>
      <c r="E184" t="s">
        <v>3474</v>
      </c>
      <c r="F184" t="s">
        <v>40</v>
      </c>
      <c r="G184" t="s">
        <v>3476</v>
      </c>
      <c r="H184" t="s">
        <v>4243</v>
      </c>
      <c r="I184" t="s">
        <v>3478</v>
      </c>
      <c r="J184" t="s">
        <v>4244</v>
      </c>
      <c r="K184" t="s">
        <v>3643</v>
      </c>
      <c r="L184" t="s">
        <v>3481</v>
      </c>
      <c r="M184" t="s">
        <v>3482</v>
      </c>
      <c r="N184" t="s">
        <v>4239</v>
      </c>
      <c r="O184" t="s">
        <v>4240</v>
      </c>
      <c r="P184" t="s">
        <v>3838</v>
      </c>
      <c r="Q184" t="s">
        <v>4240</v>
      </c>
      <c r="R184" t="s">
        <v>3525</v>
      </c>
      <c r="S184" t="s">
        <v>3526</v>
      </c>
      <c r="T184" t="s">
        <v>3478</v>
      </c>
      <c r="U184" t="s">
        <v>3478</v>
      </c>
    </row>
    <row r="185" spans="1:21" x14ac:dyDescent="0.25">
      <c r="A185" t="s">
        <v>3016</v>
      </c>
      <c r="B185" t="s">
        <v>4245</v>
      </c>
      <c r="C185" t="s">
        <v>3472</v>
      </c>
      <c r="D185" t="s">
        <v>3473</v>
      </c>
      <c r="E185" t="s">
        <v>3474</v>
      </c>
      <c r="F185" t="s">
        <v>40</v>
      </c>
      <c r="G185" t="s">
        <v>3476</v>
      </c>
      <c r="H185" t="s">
        <v>4246</v>
      </c>
      <c r="I185" t="s">
        <v>3478</v>
      </c>
      <c r="J185" t="s">
        <v>4247</v>
      </c>
      <c r="K185" t="s">
        <v>3643</v>
      </c>
      <c r="L185" t="s">
        <v>3481</v>
      </c>
      <c r="M185" t="s">
        <v>3787</v>
      </c>
      <c r="N185" t="s">
        <v>4248</v>
      </c>
      <c r="O185" t="s">
        <v>4249</v>
      </c>
      <c r="P185" t="s">
        <v>3813</v>
      </c>
      <c r="Q185" t="s">
        <v>4249</v>
      </c>
      <c r="R185" t="s">
        <v>3485</v>
      </c>
      <c r="S185" t="s">
        <v>3486</v>
      </c>
      <c r="T185" t="s">
        <v>3478</v>
      </c>
      <c r="U185" t="s">
        <v>3478</v>
      </c>
    </row>
    <row r="186" spans="1:21" x14ac:dyDescent="0.25">
      <c r="A186" t="s">
        <v>3019</v>
      </c>
      <c r="B186" t="s">
        <v>4250</v>
      </c>
      <c r="C186" t="s">
        <v>3472</v>
      </c>
      <c r="D186" t="s">
        <v>3473</v>
      </c>
      <c r="E186" t="s">
        <v>3474</v>
      </c>
      <c r="F186" t="s">
        <v>40</v>
      </c>
      <c r="G186" t="s">
        <v>3476</v>
      </c>
      <c r="H186" t="s">
        <v>4246</v>
      </c>
      <c r="I186" t="s">
        <v>3478</v>
      </c>
      <c r="J186" t="s">
        <v>4251</v>
      </c>
      <c r="K186" t="s">
        <v>3643</v>
      </c>
      <c r="L186" t="s">
        <v>3481</v>
      </c>
      <c r="M186" t="s">
        <v>3787</v>
      </c>
      <c r="N186" t="s">
        <v>4248</v>
      </c>
      <c r="O186" t="s">
        <v>4249</v>
      </c>
      <c r="P186" t="s">
        <v>3813</v>
      </c>
      <c r="Q186" t="s">
        <v>4249</v>
      </c>
      <c r="R186" t="s">
        <v>3485</v>
      </c>
      <c r="S186" t="s">
        <v>3486</v>
      </c>
      <c r="T186" t="s">
        <v>3478</v>
      </c>
      <c r="U186" t="s">
        <v>3478</v>
      </c>
    </row>
    <row r="187" spans="1:21" x14ac:dyDescent="0.25">
      <c r="A187" t="s">
        <v>4242</v>
      </c>
      <c r="B187" t="s">
        <v>4252</v>
      </c>
      <c r="C187" t="s">
        <v>3472</v>
      </c>
      <c r="D187" t="s">
        <v>3473</v>
      </c>
      <c r="E187" t="s">
        <v>3474</v>
      </c>
      <c r="F187" t="s">
        <v>40</v>
      </c>
      <c r="G187" t="s">
        <v>3476</v>
      </c>
      <c r="H187" t="s">
        <v>4253</v>
      </c>
      <c r="I187" t="s">
        <v>3496</v>
      </c>
      <c r="J187" t="s">
        <v>4244</v>
      </c>
      <c r="K187" t="s">
        <v>3643</v>
      </c>
      <c r="L187" t="s">
        <v>3481</v>
      </c>
      <c r="M187" t="s">
        <v>3692</v>
      </c>
      <c r="N187" t="s">
        <v>4254</v>
      </c>
      <c r="O187" t="s">
        <v>4255</v>
      </c>
      <c r="P187" t="s">
        <v>3747</v>
      </c>
      <c r="Q187" t="s">
        <v>4255</v>
      </c>
      <c r="R187" t="s">
        <v>3485</v>
      </c>
      <c r="S187" t="s">
        <v>3486</v>
      </c>
      <c r="T187" t="s">
        <v>3478</v>
      </c>
      <c r="U187" t="s">
        <v>3496</v>
      </c>
    </row>
    <row r="188" spans="1:21" x14ac:dyDescent="0.25">
      <c r="A188" t="s">
        <v>4236</v>
      </c>
      <c r="B188" t="s">
        <v>4256</v>
      </c>
      <c r="C188" t="s">
        <v>3472</v>
      </c>
      <c r="D188" t="s">
        <v>3473</v>
      </c>
      <c r="E188" t="s">
        <v>3474</v>
      </c>
      <c r="F188" t="s">
        <v>40</v>
      </c>
      <c r="G188" t="s">
        <v>3476</v>
      </c>
      <c r="H188" t="s">
        <v>4257</v>
      </c>
      <c r="I188" t="s">
        <v>3496</v>
      </c>
      <c r="J188" t="s">
        <v>4258</v>
      </c>
      <c r="K188" t="s">
        <v>3643</v>
      </c>
      <c r="L188" t="s">
        <v>3481</v>
      </c>
      <c r="M188" t="s">
        <v>3692</v>
      </c>
      <c r="N188" t="s">
        <v>4254</v>
      </c>
      <c r="O188" t="s">
        <v>4255</v>
      </c>
      <c r="P188" t="s">
        <v>3747</v>
      </c>
      <c r="Q188" t="s">
        <v>4255</v>
      </c>
      <c r="R188" t="s">
        <v>3485</v>
      </c>
      <c r="S188" t="s">
        <v>3486</v>
      </c>
      <c r="T188" t="s">
        <v>3478</v>
      </c>
      <c r="U188" t="s">
        <v>3496</v>
      </c>
    </row>
    <row r="189" spans="1:21" x14ac:dyDescent="0.25">
      <c r="A189" t="s">
        <v>3416</v>
      </c>
      <c r="B189" t="s">
        <v>4259</v>
      </c>
      <c r="C189" t="s">
        <v>3472</v>
      </c>
      <c r="D189" t="s">
        <v>3473</v>
      </c>
      <c r="E189" t="s">
        <v>3474</v>
      </c>
      <c r="F189" t="s">
        <v>40</v>
      </c>
      <c r="G189" t="s">
        <v>3476</v>
      </c>
      <c r="H189" t="s">
        <v>4260</v>
      </c>
      <c r="I189" t="s">
        <v>3478</v>
      </c>
      <c r="J189" t="s">
        <v>4261</v>
      </c>
      <c r="K189" t="s">
        <v>3760</v>
      </c>
      <c r="L189" t="s">
        <v>3481</v>
      </c>
      <c r="M189" t="s">
        <v>4262</v>
      </c>
      <c r="N189" t="s">
        <v>4263</v>
      </c>
      <c r="O189" t="s">
        <v>3788</v>
      </c>
      <c r="P189" t="s">
        <v>3788</v>
      </c>
      <c r="Q189" t="s">
        <v>3788</v>
      </c>
      <c r="R189" t="s">
        <v>3525</v>
      </c>
      <c r="S189" t="s">
        <v>3526</v>
      </c>
      <c r="T189" t="s">
        <v>3478</v>
      </c>
      <c r="U189" t="s">
        <v>3478</v>
      </c>
    </row>
    <row r="190" spans="1:21" x14ac:dyDescent="0.25">
      <c r="A190" t="s">
        <v>4265</v>
      </c>
      <c r="B190" t="s">
        <v>4264</v>
      </c>
      <c r="C190" t="s">
        <v>3472</v>
      </c>
      <c r="D190" t="s">
        <v>3473</v>
      </c>
      <c r="E190" t="s">
        <v>3474</v>
      </c>
      <c r="F190" t="s">
        <v>40</v>
      </c>
      <c r="G190" t="s">
        <v>3476</v>
      </c>
      <c r="H190" t="s">
        <v>4266</v>
      </c>
      <c r="I190" t="s">
        <v>3478</v>
      </c>
      <c r="J190" t="s">
        <v>3759</v>
      </c>
      <c r="K190" t="s">
        <v>4267</v>
      </c>
      <c r="L190" t="s">
        <v>3481</v>
      </c>
      <c r="M190" t="s">
        <v>4067</v>
      </c>
      <c r="N190" t="s">
        <v>4268</v>
      </c>
      <c r="O190" t="s">
        <v>4269</v>
      </c>
      <c r="P190" t="s">
        <v>3776</v>
      </c>
      <c r="Q190" t="s">
        <v>4269</v>
      </c>
      <c r="R190" t="s">
        <v>4071</v>
      </c>
      <c r="S190" t="s">
        <v>4072</v>
      </c>
      <c r="T190" t="s">
        <v>3478</v>
      </c>
      <c r="U190" t="s">
        <v>3478</v>
      </c>
    </row>
    <row r="191" spans="1:21" x14ac:dyDescent="0.25">
      <c r="A191" t="s">
        <v>4271</v>
      </c>
      <c r="B191" t="s">
        <v>4270</v>
      </c>
      <c r="C191" t="s">
        <v>3472</v>
      </c>
      <c r="D191" t="s">
        <v>3473</v>
      </c>
      <c r="E191" t="s">
        <v>3474</v>
      </c>
      <c r="F191" t="s">
        <v>40</v>
      </c>
      <c r="G191" t="s">
        <v>3476</v>
      </c>
      <c r="H191" t="s">
        <v>4272</v>
      </c>
      <c r="I191" t="s">
        <v>3478</v>
      </c>
      <c r="J191" t="s">
        <v>4273</v>
      </c>
      <c r="K191" t="s">
        <v>3760</v>
      </c>
      <c r="L191" t="s">
        <v>3481</v>
      </c>
      <c r="M191" t="s">
        <v>3482</v>
      </c>
      <c r="N191" t="s">
        <v>4274</v>
      </c>
      <c r="O191" t="s">
        <v>4275</v>
      </c>
      <c r="P191" t="s">
        <v>3723</v>
      </c>
      <c r="Q191" t="s">
        <v>4275</v>
      </c>
      <c r="R191" t="s">
        <v>3492</v>
      </c>
      <c r="S191" t="s">
        <v>3493</v>
      </c>
      <c r="T191" t="s">
        <v>3478</v>
      </c>
      <c r="U191" t="s">
        <v>3478</v>
      </c>
    </row>
    <row r="192" spans="1:21" x14ac:dyDescent="0.25">
      <c r="A192" t="s">
        <v>4271</v>
      </c>
      <c r="B192" t="s">
        <v>4270</v>
      </c>
      <c r="C192" t="s">
        <v>3472</v>
      </c>
      <c r="D192" t="s">
        <v>3473</v>
      </c>
      <c r="E192" t="s">
        <v>3474</v>
      </c>
      <c r="F192" t="s">
        <v>40</v>
      </c>
      <c r="G192" t="s">
        <v>3476</v>
      </c>
      <c r="H192" t="s">
        <v>4272</v>
      </c>
      <c r="I192" t="s">
        <v>3478</v>
      </c>
      <c r="J192" t="s">
        <v>4273</v>
      </c>
      <c r="K192" t="s">
        <v>3760</v>
      </c>
      <c r="L192" t="s">
        <v>3481</v>
      </c>
      <c r="M192" t="s">
        <v>3482</v>
      </c>
      <c r="N192" t="s">
        <v>4274</v>
      </c>
      <c r="O192" t="s">
        <v>4275</v>
      </c>
      <c r="P192" t="s">
        <v>3723</v>
      </c>
      <c r="Q192" t="s">
        <v>4275</v>
      </c>
      <c r="R192" t="s">
        <v>3485</v>
      </c>
      <c r="S192" t="s">
        <v>3486</v>
      </c>
      <c r="T192" t="s">
        <v>3478</v>
      </c>
      <c r="U192" t="s">
        <v>3478</v>
      </c>
    </row>
    <row r="193" spans="1:21" x14ac:dyDescent="0.25">
      <c r="A193" t="s">
        <v>4277</v>
      </c>
      <c r="B193" t="s">
        <v>4276</v>
      </c>
      <c r="C193" t="s">
        <v>3472</v>
      </c>
      <c r="D193" t="s">
        <v>3473</v>
      </c>
      <c r="E193" t="s">
        <v>3474</v>
      </c>
      <c r="F193" t="s">
        <v>40</v>
      </c>
      <c r="G193" t="s">
        <v>3476</v>
      </c>
      <c r="H193" t="s">
        <v>4278</v>
      </c>
      <c r="I193" t="s">
        <v>3478</v>
      </c>
      <c r="J193" t="s">
        <v>4279</v>
      </c>
      <c r="K193" t="s">
        <v>3760</v>
      </c>
      <c r="L193" t="s">
        <v>3481</v>
      </c>
      <c r="M193" t="s">
        <v>3482</v>
      </c>
      <c r="N193" t="s">
        <v>4280</v>
      </c>
      <c r="O193" t="s">
        <v>4281</v>
      </c>
      <c r="P193" t="s">
        <v>4281</v>
      </c>
      <c r="Q193" t="s">
        <v>4281</v>
      </c>
      <c r="R193" t="s">
        <v>3525</v>
      </c>
      <c r="S193" t="s">
        <v>3526</v>
      </c>
      <c r="T193" t="s">
        <v>3478</v>
      </c>
      <c r="U193" t="s">
        <v>3478</v>
      </c>
    </row>
    <row r="194" spans="1:21" x14ac:dyDescent="0.25">
      <c r="A194" t="s">
        <v>3211</v>
      </c>
      <c r="B194" t="s">
        <v>4282</v>
      </c>
      <c r="C194" t="s">
        <v>3472</v>
      </c>
      <c r="D194" t="s">
        <v>3473</v>
      </c>
      <c r="E194" t="s">
        <v>3474</v>
      </c>
      <c r="F194" t="s">
        <v>40</v>
      </c>
      <c r="G194" t="s">
        <v>3476</v>
      </c>
      <c r="H194" t="s">
        <v>4283</v>
      </c>
      <c r="I194" t="s">
        <v>3496</v>
      </c>
      <c r="J194" t="s">
        <v>4284</v>
      </c>
      <c r="K194" t="s">
        <v>3760</v>
      </c>
      <c r="L194" t="s">
        <v>3481</v>
      </c>
      <c r="M194" t="s">
        <v>3482</v>
      </c>
      <c r="N194" t="s">
        <v>4285</v>
      </c>
      <c r="O194" t="s">
        <v>4286</v>
      </c>
      <c r="P194" t="s">
        <v>4286</v>
      </c>
      <c r="Q194" t="s">
        <v>4286</v>
      </c>
      <c r="R194" t="s">
        <v>3582</v>
      </c>
      <c r="S194" t="s">
        <v>3583</v>
      </c>
      <c r="T194" t="s">
        <v>3478</v>
      </c>
      <c r="U194" t="s">
        <v>3496</v>
      </c>
    </row>
    <row r="195" spans="1:21" x14ac:dyDescent="0.25">
      <c r="A195" t="s">
        <v>3221</v>
      </c>
      <c r="B195" t="s">
        <v>4287</v>
      </c>
      <c r="C195" t="s">
        <v>3472</v>
      </c>
      <c r="D195" t="s">
        <v>3473</v>
      </c>
      <c r="E195" t="s">
        <v>3474</v>
      </c>
      <c r="F195" t="s">
        <v>40</v>
      </c>
      <c r="G195" t="s">
        <v>3476</v>
      </c>
      <c r="H195" t="s">
        <v>4288</v>
      </c>
      <c r="I195" t="s">
        <v>3478</v>
      </c>
      <c r="J195" t="s">
        <v>4177</v>
      </c>
      <c r="K195" t="s">
        <v>3760</v>
      </c>
      <c r="L195" t="s">
        <v>3481</v>
      </c>
      <c r="M195" t="s">
        <v>3482</v>
      </c>
      <c r="N195" t="s">
        <v>4263</v>
      </c>
      <c r="O195" t="s">
        <v>4289</v>
      </c>
      <c r="P195" t="s">
        <v>4289</v>
      </c>
      <c r="Q195" t="s">
        <v>4289</v>
      </c>
      <c r="R195" t="s">
        <v>3485</v>
      </c>
      <c r="S195" t="s">
        <v>3486</v>
      </c>
      <c r="T195" t="s">
        <v>3478</v>
      </c>
      <c r="U195" t="s">
        <v>3478</v>
      </c>
    </row>
    <row r="196" spans="1:21" x14ac:dyDescent="0.25">
      <c r="A196" t="s">
        <v>3223</v>
      </c>
      <c r="B196" t="s">
        <v>4290</v>
      </c>
      <c r="C196" t="s">
        <v>3472</v>
      </c>
      <c r="D196" t="s">
        <v>3473</v>
      </c>
      <c r="E196" t="s">
        <v>3474</v>
      </c>
      <c r="F196" t="s">
        <v>40</v>
      </c>
      <c r="G196" t="s">
        <v>3476</v>
      </c>
      <c r="H196" t="s">
        <v>4291</v>
      </c>
      <c r="I196" t="s">
        <v>3478</v>
      </c>
      <c r="J196" t="s">
        <v>4218</v>
      </c>
      <c r="K196" t="s">
        <v>40</v>
      </c>
      <c r="L196" t="s">
        <v>3481</v>
      </c>
      <c r="M196" t="s">
        <v>3482</v>
      </c>
      <c r="N196" t="s">
        <v>4292</v>
      </c>
      <c r="O196" t="s">
        <v>3681</v>
      </c>
      <c r="P196" t="s">
        <v>3681</v>
      </c>
      <c r="Q196" t="s">
        <v>3681</v>
      </c>
      <c r="R196" t="s">
        <v>3485</v>
      </c>
      <c r="S196" t="s">
        <v>3486</v>
      </c>
      <c r="T196" t="s">
        <v>3478</v>
      </c>
      <c r="U196" t="s">
        <v>3478</v>
      </c>
    </row>
    <row r="197" spans="1:21" x14ac:dyDescent="0.25">
      <c r="A197" t="s">
        <v>3222</v>
      </c>
      <c r="B197" t="s">
        <v>4293</v>
      </c>
      <c r="C197" t="s">
        <v>3472</v>
      </c>
      <c r="D197" t="s">
        <v>3473</v>
      </c>
      <c r="E197" t="s">
        <v>3474</v>
      </c>
      <c r="F197" t="s">
        <v>40</v>
      </c>
      <c r="G197" t="s">
        <v>3476</v>
      </c>
      <c r="H197" t="s">
        <v>4294</v>
      </c>
      <c r="I197" t="s">
        <v>3478</v>
      </c>
      <c r="J197" t="s">
        <v>4295</v>
      </c>
      <c r="K197" t="s">
        <v>40</v>
      </c>
      <c r="L197" t="s">
        <v>3481</v>
      </c>
      <c r="M197" t="s">
        <v>3482</v>
      </c>
      <c r="N197" t="s">
        <v>4292</v>
      </c>
      <c r="O197" t="s">
        <v>3681</v>
      </c>
      <c r="P197" t="s">
        <v>3681</v>
      </c>
      <c r="Q197" t="s">
        <v>3681</v>
      </c>
      <c r="R197" t="s">
        <v>3485</v>
      </c>
      <c r="S197" t="s">
        <v>3486</v>
      </c>
      <c r="T197" t="s">
        <v>3478</v>
      </c>
      <c r="U197" t="s">
        <v>3478</v>
      </c>
    </row>
    <row r="198" spans="1:21" x14ac:dyDescent="0.25">
      <c r="A198" t="s">
        <v>3222</v>
      </c>
      <c r="B198" t="s">
        <v>4296</v>
      </c>
      <c r="C198" t="s">
        <v>3472</v>
      </c>
      <c r="D198" t="s">
        <v>3473</v>
      </c>
      <c r="E198" t="s">
        <v>3474</v>
      </c>
      <c r="F198" t="s">
        <v>40</v>
      </c>
      <c r="G198" t="s">
        <v>3476</v>
      </c>
      <c r="H198" t="s">
        <v>4297</v>
      </c>
      <c r="I198" t="s">
        <v>3496</v>
      </c>
      <c r="J198" t="s">
        <v>4295</v>
      </c>
      <c r="K198" t="s">
        <v>40</v>
      </c>
      <c r="L198" t="s">
        <v>3481</v>
      </c>
      <c r="M198" t="s">
        <v>3482</v>
      </c>
      <c r="N198" t="s">
        <v>4292</v>
      </c>
      <c r="O198" t="s">
        <v>4179</v>
      </c>
      <c r="P198" t="s">
        <v>4179</v>
      </c>
      <c r="Q198" t="s">
        <v>4179</v>
      </c>
      <c r="R198" t="s">
        <v>3485</v>
      </c>
      <c r="S198" t="s">
        <v>3486</v>
      </c>
      <c r="T198" t="s">
        <v>3478</v>
      </c>
      <c r="U198" t="s">
        <v>3496</v>
      </c>
    </row>
    <row r="199" spans="1:21" x14ac:dyDescent="0.25">
      <c r="A199" t="s">
        <v>3220</v>
      </c>
      <c r="B199" t="s">
        <v>4298</v>
      </c>
      <c r="C199" t="s">
        <v>3472</v>
      </c>
      <c r="D199" t="s">
        <v>3473</v>
      </c>
      <c r="E199" t="s">
        <v>3474</v>
      </c>
      <c r="F199" t="s">
        <v>40</v>
      </c>
      <c r="G199" t="s">
        <v>3476</v>
      </c>
      <c r="H199" t="s">
        <v>4297</v>
      </c>
      <c r="I199" t="s">
        <v>3478</v>
      </c>
      <c r="J199" t="s">
        <v>4299</v>
      </c>
      <c r="K199" t="s">
        <v>40</v>
      </c>
      <c r="L199" t="s">
        <v>3481</v>
      </c>
      <c r="M199" t="s">
        <v>3482</v>
      </c>
      <c r="N199" t="s">
        <v>4292</v>
      </c>
      <c r="O199" t="s">
        <v>4179</v>
      </c>
      <c r="P199" t="s">
        <v>4179</v>
      </c>
      <c r="Q199" t="s">
        <v>4179</v>
      </c>
      <c r="R199" t="s">
        <v>3485</v>
      </c>
      <c r="S199" t="s">
        <v>3486</v>
      </c>
      <c r="T199" t="s">
        <v>3478</v>
      </c>
      <c r="U199" t="s">
        <v>3478</v>
      </c>
    </row>
    <row r="200" spans="1:21" x14ac:dyDescent="0.25">
      <c r="A200" t="s">
        <v>3219</v>
      </c>
      <c r="B200" t="s">
        <v>4300</v>
      </c>
      <c r="C200" t="s">
        <v>3472</v>
      </c>
      <c r="D200" t="s">
        <v>3473</v>
      </c>
      <c r="E200" t="s">
        <v>3474</v>
      </c>
      <c r="F200" t="s">
        <v>40</v>
      </c>
      <c r="G200" t="s">
        <v>3476</v>
      </c>
      <c r="H200" t="s">
        <v>4297</v>
      </c>
      <c r="I200" t="s">
        <v>3478</v>
      </c>
      <c r="J200" t="s">
        <v>4301</v>
      </c>
      <c r="K200" t="s">
        <v>40</v>
      </c>
      <c r="L200" t="s">
        <v>3481</v>
      </c>
      <c r="M200" t="s">
        <v>3482</v>
      </c>
      <c r="N200" t="s">
        <v>4292</v>
      </c>
      <c r="O200" t="s">
        <v>4179</v>
      </c>
      <c r="P200" t="s">
        <v>4179</v>
      </c>
      <c r="Q200" t="s">
        <v>4179</v>
      </c>
      <c r="R200" t="s">
        <v>3485</v>
      </c>
      <c r="S200" t="s">
        <v>3486</v>
      </c>
      <c r="T200" t="s">
        <v>3478</v>
      </c>
      <c r="U200" t="s">
        <v>3478</v>
      </c>
    </row>
    <row r="201" spans="1:21" x14ac:dyDescent="0.25">
      <c r="A201" t="s">
        <v>3217</v>
      </c>
      <c r="B201" t="s">
        <v>4302</v>
      </c>
      <c r="C201" t="s">
        <v>3472</v>
      </c>
      <c r="D201" t="s">
        <v>3473</v>
      </c>
      <c r="E201" t="s">
        <v>3474</v>
      </c>
      <c r="F201" t="s">
        <v>40</v>
      </c>
      <c r="G201" t="s">
        <v>3476</v>
      </c>
      <c r="H201" t="s">
        <v>4297</v>
      </c>
      <c r="I201" t="s">
        <v>3478</v>
      </c>
      <c r="J201" t="s">
        <v>4303</v>
      </c>
      <c r="K201" t="s">
        <v>40</v>
      </c>
      <c r="L201" t="s">
        <v>3481</v>
      </c>
      <c r="M201" t="s">
        <v>3482</v>
      </c>
      <c r="N201" t="s">
        <v>4292</v>
      </c>
      <c r="O201" t="s">
        <v>4179</v>
      </c>
      <c r="P201" t="s">
        <v>4179</v>
      </c>
      <c r="Q201" t="s">
        <v>4179</v>
      </c>
      <c r="R201" t="s">
        <v>3485</v>
      </c>
      <c r="S201" t="s">
        <v>3486</v>
      </c>
      <c r="T201" t="s">
        <v>3478</v>
      </c>
      <c r="U201" t="s">
        <v>3478</v>
      </c>
    </row>
    <row r="202" spans="1:21" x14ac:dyDescent="0.25">
      <c r="A202" t="s">
        <v>3213</v>
      </c>
      <c r="B202" t="s">
        <v>4304</v>
      </c>
      <c r="C202" t="s">
        <v>3472</v>
      </c>
      <c r="D202" t="s">
        <v>3473</v>
      </c>
      <c r="E202" t="s">
        <v>3474</v>
      </c>
      <c r="F202" t="s">
        <v>40</v>
      </c>
      <c r="G202" t="s">
        <v>3476</v>
      </c>
      <c r="H202" t="s">
        <v>4297</v>
      </c>
      <c r="I202" t="s">
        <v>3478</v>
      </c>
      <c r="J202" t="s">
        <v>4305</v>
      </c>
      <c r="K202" t="s">
        <v>40</v>
      </c>
      <c r="L202" t="s">
        <v>3481</v>
      </c>
      <c r="M202" t="s">
        <v>3482</v>
      </c>
      <c r="N202" t="s">
        <v>4292</v>
      </c>
      <c r="O202" t="s">
        <v>4179</v>
      </c>
      <c r="P202" t="s">
        <v>4179</v>
      </c>
      <c r="Q202" t="s">
        <v>4179</v>
      </c>
      <c r="R202" t="s">
        <v>3485</v>
      </c>
      <c r="S202" t="s">
        <v>3486</v>
      </c>
      <c r="T202" t="s">
        <v>3478</v>
      </c>
      <c r="U202" t="s">
        <v>3478</v>
      </c>
    </row>
    <row r="203" spans="1:21" x14ac:dyDescent="0.25">
      <c r="A203" t="s">
        <v>3214</v>
      </c>
      <c r="B203" t="s">
        <v>4306</v>
      </c>
      <c r="C203" t="s">
        <v>3472</v>
      </c>
      <c r="D203" t="s">
        <v>3473</v>
      </c>
      <c r="E203" t="s">
        <v>3474</v>
      </c>
      <c r="F203" t="s">
        <v>40</v>
      </c>
      <c r="G203" t="s">
        <v>3476</v>
      </c>
      <c r="H203" t="s">
        <v>4297</v>
      </c>
      <c r="I203" t="s">
        <v>3478</v>
      </c>
      <c r="J203" t="s">
        <v>4307</v>
      </c>
      <c r="K203" t="s">
        <v>40</v>
      </c>
      <c r="L203" t="s">
        <v>3481</v>
      </c>
      <c r="M203" t="s">
        <v>3482</v>
      </c>
      <c r="N203" t="s">
        <v>4292</v>
      </c>
      <c r="O203" t="s">
        <v>4179</v>
      </c>
      <c r="P203" t="s">
        <v>4179</v>
      </c>
      <c r="Q203" t="s">
        <v>4179</v>
      </c>
      <c r="R203" t="s">
        <v>3485</v>
      </c>
      <c r="S203" t="s">
        <v>3486</v>
      </c>
      <c r="T203" t="s">
        <v>3478</v>
      </c>
      <c r="U203" t="s">
        <v>3478</v>
      </c>
    </row>
    <row r="204" spans="1:21" x14ac:dyDescent="0.25">
      <c r="A204" t="s">
        <v>3219</v>
      </c>
      <c r="B204" t="s">
        <v>4308</v>
      </c>
      <c r="C204" t="s">
        <v>3472</v>
      </c>
      <c r="D204" t="s">
        <v>3473</v>
      </c>
      <c r="E204" t="s">
        <v>3474</v>
      </c>
      <c r="F204" t="s">
        <v>40</v>
      </c>
      <c r="G204" t="s">
        <v>3476</v>
      </c>
      <c r="H204" t="s">
        <v>4297</v>
      </c>
      <c r="I204" t="s">
        <v>3496</v>
      </c>
      <c r="J204" t="s">
        <v>4301</v>
      </c>
      <c r="K204" t="s">
        <v>40</v>
      </c>
      <c r="L204" t="s">
        <v>3481</v>
      </c>
      <c r="M204" t="s">
        <v>3482</v>
      </c>
      <c r="N204" t="s">
        <v>4292</v>
      </c>
      <c r="O204" t="s">
        <v>4179</v>
      </c>
      <c r="P204" t="s">
        <v>4179</v>
      </c>
      <c r="Q204" t="s">
        <v>4179</v>
      </c>
      <c r="R204" t="s">
        <v>3485</v>
      </c>
      <c r="S204" t="s">
        <v>3486</v>
      </c>
      <c r="T204" t="s">
        <v>3478</v>
      </c>
      <c r="U204" t="s">
        <v>3496</v>
      </c>
    </row>
    <row r="205" spans="1:21" x14ac:dyDescent="0.25">
      <c r="A205" t="s">
        <v>3213</v>
      </c>
      <c r="B205" t="s">
        <v>4309</v>
      </c>
      <c r="C205" t="s">
        <v>3472</v>
      </c>
      <c r="D205" t="s">
        <v>3473</v>
      </c>
      <c r="E205" t="s">
        <v>3474</v>
      </c>
      <c r="F205" t="s">
        <v>40</v>
      </c>
      <c r="G205" t="s">
        <v>3476</v>
      </c>
      <c r="H205" t="s">
        <v>4297</v>
      </c>
      <c r="I205" t="s">
        <v>3496</v>
      </c>
      <c r="J205" t="s">
        <v>4305</v>
      </c>
      <c r="K205" t="s">
        <v>40</v>
      </c>
      <c r="L205" t="s">
        <v>3481</v>
      </c>
      <c r="M205" t="s">
        <v>3482</v>
      </c>
      <c r="N205" t="s">
        <v>4292</v>
      </c>
      <c r="O205" t="s">
        <v>4179</v>
      </c>
      <c r="P205" t="s">
        <v>4179</v>
      </c>
      <c r="Q205" t="s">
        <v>4179</v>
      </c>
      <c r="R205" t="s">
        <v>3485</v>
      </c>
      <c r="S205" t="s">
        <v>3486</v>
      </c>
      <c r="T205" t="s">
        <v>3478</v>
      </c>
      <c r="U205" t="s">
        <v>3496</v>
      </c>
    </row>
    <row r="206" spans="1:21" x14ac:dyDescent="0.25">
      <c r="A206" t="s">
        <v>3225</v>
      </c>
      <c r="B206" t="s">
        <v>4310</v>
      </c>
      <c r="C206" t="s">
        <v>3472</v>
      </c>
      <c r="D206" t="s">
        <v>3473</v>
      </c>
      <c r="E206" t="s">
        <v>3474</v>
      </c>
      <c r="F206" t="s">
        <v>40</v>
      </c>
      <c r="G206" t="s">
        <v>3476</v>
      </c>
      <c r="H206" t="s">
        <v>4297</v>
      </c>
      <c r="I206" t="s">
        <v>3478</v>
      </c>
      <c r="J206" t="s">
        <v>4311</v>
      </c>
      <c r="K206" t="s">
        <v>40</v>
      </c>
      <c r="L206" t="s">
        <v>3481</v>
      </c>
      <c r="M206" t="s">
        <v>3482</v>
      </c>
      <c r="N206" t="s">
        <v>4292</v>
      </c>
      <c r="O206" t="s">
        <v>4179</v>
      </c>
      <c r="P206" t="s">
        <v>4179</v>
      </c>
      <c r="Q206" t="s">
        <v>4179</v>
      </c>
      <c r="R206" t="s">
        <v>3485</v>
      </c>
      <c r="S206" t="s">
        <v>3486</v>
      </c>
      <c r="T206" t="s">
        <v>3478</v>
      </c>
      <c r="U206" t="s">
        <v>3478</v>
      </c>
    </row>
    <row r="207" spans="1:21" x14ac:dyDescent="0.25">
      <c r="A207" t="s">
        <v>3707</v>
      </c>
      <c r="B207" t="s">
        <v>4312</v>
      </c>
      <c r="C207" t="s">
        <v>3472</v>
      </c>
      <c r="D207" t="s">
        <v>3473</v>
      </c>
      <c r="E207" t="s">
        <v>3474</v>
      </c>
      <c r="F207" t="s">
        <v>40</v>
      </c>
      <c r="G207" t="s">
        <v>3476</v>
      </c>
      <c r="H207" t="s">
        <v>4313</v>
      </c>
      <c r="I207" t="s">
        <v>3579</v>
      </c>
      <c r="J207" t="s">
        <v>3709</v>
      </c>
      <c r="K207" t="s">
        <v>40</v>
      </c>
      <c r="L207" t="s">
        <v>3481</v>
      </c>
      <c r="M207" t="s">
        <v>3482</v>
      </c>
      <c r="N207" t="s">
        <v>4292</v>
      </c>
      <c r="O207" t="s">
        <v>4314</v>
      </c>
      <c r="P207" t="s">
        <v>4314</v>
      </c>
      <c r="Q207" t="s">
        <v>4314</v>
      </c>
      <c r="R207" t="s">
        <v>3485</v>
      </c>
      <c r="S207" t="s">
        <v>3486</v>
      </c>
      <c r="T207" t="s">
        <v>3478</v>
      </c>
      <c r="U207" t="s">
        <v>3579</v>
      </c>
    </row>
    <row r="208" spans="1:21" x14ac:dyDescent="0.25">
      <c r="A208" t="s">
        <v>4123</v>
      </c>
      <c r="B208" t="s">
        <v>4315</v>
      </c>
      <c r="C208" t="s">
        <v>3472</v>
      </c>
      <c r="D208" t="s">
        <v>3473</v>
      </c>
      <c r="E208" t="s">
        <v>3474</v>
      </c>
      <c r="F208" t="s">
        <v>40</v>
      </c>
      <c r="G208" t="s">
        <v>3476</v>
      </c>
      <c r="H208" t="s">
        <v>4313</v>
      </c>
      <c r="I208" t="s">
        <v>3579</v>
      </c>
      <c r="J208" t="s">
        <v>3901</v>
      </c>
      <c r="K208" t="s">
        <v>40</v>
      </c>
      <c r="L208" t="s">
        <v>3481</v>
      </c>
      <c r="M208" t="s">
        <v>3482</v>
      </c>
      <c r="N208" t="s">
        <v>4292</v>
      </c>
      <c r="O208" t="s">
        <v>4314</v>
      </c>
      <c r="P208" t="s">
        <v>4314</v>
      </c>
      <c r="Q208" t="s">
        <v>4314</v>
      </c>
      <c r="R208" t="s">
        <v>3485</v>
      </c>
      <c r="S208" t="s">
        <v>3486</v>
      </c>
      <c r="T208" t="s">
        <v>3478</v>
      </c>
      <c r="U208" t="s">
        <v>3579</v>
      </c>
    </row>
    <row r="209" spans="1:21" x14ac:dyDescent="0.25">
      <c r="A209" t="s">
        <v>4126</v>
      </c>
      <c r="B209" t="s">
        <v>4316</v>
      </c>
      <c r="C209" t="s">
        <v>3472</v>
      </c>
      <c r="D209" t="s">
        <v>3473</v>
      </c>
      <c r="E209" t="s">
        <v>3474</v>
      </c>
      <c r="F209" t="s">
        <v>40</v>
      </c>
      <c r="G209" t="s">
        <v>3476</v>
      </c>
      <c r="H209" t="s">
        <v>4317</v>
      </c>
      <c r="I209" t="s">
        <v>3579</v>
      </c>
      <c r="J209" t="s">
        <v>4128</v>
      </c>
      <c r="K209" t="s">
        <v>40</v>
      </c>
      <c r="L209" t="s">
        <v>3481</v>
      </c>
      <c r="M209" t="s">
        <v>3482</v>
      </c>
      <c r="N209" t="s">
        <v>4292</v>
      </c>
      <c r="O209" t="s">
        <v>4314</v>
      </c>
      <c r="P209" t="s">
        <v>4314</v>
      </c>
      <c r="Q209" t="s">
        <v>4314</v>
      </c>
      <c r="R209" t="s">
        <v>3485</v>
      </c>
      <c r="S209" t="s">
        <v>3486</v>
      </c>
      <c r="T209" t="s">
        <v>3478</v>
      </c>
      <c r="U209" t="s">
        <v>3579</v>
      </c>
    </row>
    <row r="210" spans="1:21" x14ac:dyDescent="0.25">
      <c r="A210" t="s">
        <v>4319</v>
      </c>
      <c r="B210" t="s">
        <v>4318</v>
      </c>
      <c r="C210" t="s">
        <v>3472</v>
      </c>
      <c r="D210" t="s">
        <v>3473</v>
      </c>
      <c r="E210" t="s">
        <v>3474</v>
      </c>
      <c r="F210" t="s">
        <v>40</v>
      </c>
      <c r="G210" t="s">
        <v>3476</v>
      </c>
      <c r="H210" t="s">
        <v>4320</v>
      </c>
      <c r="I210" t="s">
        <v>3478</v>
      </c>
      <c r="J210" t="s">
        <v>3759</v>
      </c>
      <c r="K210" t="s">
        <v>40</v>
      </c>
      <c r="L210" t="s">
        <v>3481</v>
      </c>
      <c r="M210" t="s">
        <v>3482</v>
      </c>
      <c r="N210" t="s">
        <v>4292</v>
      </c>
      <c r="O210" t="s">
        <v>3776</v>
      </c>
      <c r="P210" t="s">
        <v>3776</v>
      </c>
      <c r="Q210" t="s">
        <v>3776</v>
      </c>
      <c r="R210" t="s">
        <v>4071</v>
      </c>
      <c r="S210" t="s">
        <v>4072</v>
      </c>
      <c r="T210" t="s">
        <v>3478</v>
      </c>
      <c r="U210" t="s">
        <v>3478</v>
      </c>
    </row>
    <row r="211" spans="1:21" x14ac:dyDescent="0.25">
      <c r="A211" t="s">
        <v>4322</v>
      </c>
      <c r="B211" t="s">
        <v>4321</v>
      </c>
      <c r="C211" t="s">
        <v>3472</v>
      </c>
      <c r="D211" t="s">
        <v>3473</v>
      </c>
      <c r="E211" t="s">
        <v>3474</v>
      </c>
      <c r="F211" t="s">
        <v>40</v>
      </c>
      <c r="G211" t="s">
        <v>3476</v>
      </c>
      <c r="H211" t="s">
        <v>4323</v>
      </c>
      <c r="I211" t="s">
        <v>3478</v>
      </c>
      <c r="J211" t="s">
        <v>3759</v>
      </c>
      <c r="K211" t="s">
        <v>40</v>
      </c>
      <c r="L211" t="s">
        <v>3481</v>
      </c>
      <c r="M211" t="s">
        <v>3482</v>
      </c>
      <c r="N211" t="s">
        <v>4292</v>
      </c>
      <c r="O211" t="s">
        <v>3776</v>
      </c>
      <c r="P211" t="s">
        <v>3776</v>
      </c>
      <c r="Q211" t="s">
        <v>3776</v>
      </c>
      <c r="R211" t="s">
        <v>4071</v>
      </c>
      <c r="S211" t="s">
        <v>4072</v>
      </c>
      <c r="T211" t="s">
        <v>3478</v>
      </c>
      <c r="U211" t="s">
        <v>3478</v>
      </c>
    </row>
    <row r="212" spans="1:21" x14ac:dyDescent="0.25">
      <c r="A212" t="s">
        <v>4325</v>
      </c>
      <c r="B212" t="s">
        <v>4324</v>
      </c>
      <c r="C212" t="s">
        <v>3472</v>
      </c>
      <c r="D212" t="s">
        <v>3473</v>
      </c>
      <c r="E212" t="s">
        <v>3474</v>
      </c>
      <c r="F212" t="s">
        <v>40</v>
      </c>
      <c r="G212" t="s">
        <v>3476</v>
      </c>
      <c r="H212" t="s">
        <v>4326</v>
      </c>
      <c r="I212" t="s">
        <v>3478</v>
      </c>
      <c r="J212" t="s">
        <v>3759</v>
      </c>
      <c r="K212" t="s">
        <v>40</v>
      </c>
      <c r="L212" t="s">
        <v>3481</v>
      </c>
      <c r="M212" t="s">
        <v>3482</v>
      </c>
      <c r="N212" t="s">
        <v>4292</v>
      </c>
      <c r="O212" t="s">
        <v>4327</v>
      </c>
      <c r="P212" t="s">
        <v>4327</v>
      </c>
      <c r="Q212" t="s">
        <v>4327</v>
      </c>
      <c r="R212" t="s">
        <v>4071</v>
      </c>
      <c r="S212" t="s">
        <v>4072</v>
      </c>
      <c r="T212" t="s">
        <v>3478</v>
      </c>
      <c r="U212" t="s">
        <v>3478</v>
      </c>
    </row>
    <row r="213" spans="1:21" x14ac:dyDescent="0.25">
      <c r="A213" t="s">
        <v>3043</v>
      </c>
      <c r="B213" t="s">
        <v>4328</v>
      </c>
      <c r="C213" t="s">
        <v>3472</v>
      </c>
      <c r="D213" t="s">
        <v>3473</v>
      </c>
      <c r="E213" t="s">
        <v>3474</v>
      </c>
      <c r="F213" t="s">
        <v>40</v>
      </c>
      <c r="G213" t="s">
        <v>3476</v>
      </c>
      <c r="H213" t="s">
        <v>4329</v>
      </c>
      <c r="I213" t="s">
        <v>3478</v>
      </c>
      <c r="J213" t="s">
        <v>4002</v>
      </c>
      <c r="K213" t="s">
        <v>40</v>
      </c>
      <c r="L213" t="s">
        <v>3481</v>
      </c>
      <c r="M213" t="s">
        <v>4067</v>
      </c>
      <c r="N213" t="s">
        <v>4292</v>
      </c>
      <c r="O213" t="s">
        <v>3850</v>
      </c>
      <c r="P213" t="s">
        <v>3850</v>
      </c>
      <c r="Q213" t="s">
        <v>3850</v>
      </c>
      <c r="R213" t="s">
        <v>4071</v>
      </c>
      <c r="S213" t="s">
        <v>4072</v>
      </c>
      <c r="T213" t="s">
        <v>3478</v>
      </c>
      <c r="U213" t="s">
        <v>3478</v>
      </c>
    </row>
    <row r="214" spans="1:21" x14ac:dyDescent="0.25">
      <c r="A214" t="s">
        <v>3037</v>
      </c>
      <c r="B214" t="s">
        <v>4330</v>
      </c>
      <c r="C214" t="s">
        <v>3472</v>
      </c>
      <c r="D214" t="s">
        <v>3473</v>
      </c>
      <c r="E214" t="s">
        <v>3474</v>
      </c>
      <c r="F214" t="s">
        <v>40</v>
      </c>
      <c r="G214" t="s">
        <v>3476</v>
      </c>
      <c r="H214" t="s">
        <v>4331</v>
      </c>
      <c r="I214" t="s">
        <v>3478</v>
      </c>
      <c r="J214" t="s">
        <v>4002</v>
      </c>
      <c r="K214" t="s">
        <v>40</v>
      </c>
      <c r="L214" t="s">
        <v>3481</v>
      </c>
      <c r="M214" t="s">
        <v>4067</v>
      </c>
      <c r="N214" t="s">
        <v>4292</v>
      </c>
      <c r="O214" t="s">
        <v>3850</v>
      </c>
      <c r="P214" t="s">
        <v>3850</v>
      </c>
      <c r="Q214" t="s">
        <v>3850</v>
      </c>
      <c r="R214" t="s">
        <v>4071</v>
      </c>
      <c r="S214" t="s">
        <v>4072</v>
      </c>
      <c r="T214" t="s">
        <v>3478</v>
      </c>
      <c r="U214" t="s">
        <v>3478</v>
      </c>
    </row>
    <row r="215" spans="1:21" x14ac:dyDescent="0.25">
      <c r="A215" t="s">
        <v>3042</v>
      </c>
      <c r="B215" t="s">
        <v>4332</v>
      </c>
      <c r="C215" t="s">
        <v>3472</v>
      </c>
      <c r="D215" t="s">
        <v>3473</v>
      </c>
      <c r="E215" t="s">
        <v>3474</v>
      </c>
      <c r="F215" t="s">
        <v>40</v>
      </c>
      <c r="G215" t="s">
        <v>3476</v>
      </c>
      <c r="H215" t="s">
        <v>4333</v>
      </c>
      <c r="I215" t="s">
        <v>3478</v>
      </c>
      <c r="J215" t="s">
        <v>4002</v>
      </c>
      <c r="K215" t="s">
        <v>40</v>
      </c>
      <c r="L215" t="s">
        <v>3481</v>
      </c>
      <c r="M215" t="s">
        <v>4067</v>
      </c>
      <c r="N215" t="s">
        <v>4292</v>
      </c>
      <c r="O215" t="s">
        <v>3850</v>
      </c>
      <c r="P215" t="s">
        <v>3850</v>
      </c>
      <c r="Q215" t="s">
        <v>3850</v>
      </c>
      <c r="R215" t="s">
        <v>4071</v>
      </c>
      <c r="S215" t="s">
        <v>4072</v>
      </c>
      <c r="T215" t="s">
        <v>3478</v>
      </c>
      <c r="U215" t="s">
        <v>3478</v>
      </c>
    </row>
    <row r="216" spans="1:21" x14ac:dyDescent="0.25">
      <c r="A216" t="s">
        <v>3045</v>
      </c>
      <c r="B216" t="s">
        <v>4334</v>
      </c>
      <c r="C216" t="s">
        <v>3472</v>
      </c>
      <c r="D216" t="s">
        <v>3473</v>
      </c>
      <c r="E216" t="s">
        <v>3474</v>
      </c>
      <c r="F216" t="s">
        <v>40</v>
      </c>
      <c r="G216" t="s">
        <v>3476</v>
      </c>
      <c r="H216" t="s">
        <v>4335</v>
      </c>
      <c r="I216" t="s">
        <v>3478</v>
      </c>
      <c r="J216" t="s">
        <v>4002</v>
      </c>
      <c r="K216" t="s">
        <v>40</v>
      </c>
      <c r="L216" t="s">
        <v>3481</v>
      </c>
      <c r="M216" t="s">
        <v>4067</v>
      </c>
      <c r="N216" t="s">
        <v>4292</v>
      </c>
      <c r="O216" t="s">
        <v>3819</v>
      </c>
      <c r="P216" t="s">
        <v>3819</v>
      </c>
      <c r="Q216" t="s">
        <v>3819</v>
      </c>
      <c r="R216" t="s">
        <v>4071</v>
      </c>
      <c r="S216" t="s">
        <v>4072</v>
      </c>
      <c r="T216" t="s">
        <v>3478</v>
      </c>
      <c r="U216" t="s">
        <v>3478</v>
      </c>
    </row>
    <row r="217" spans="1:21" x14ac:dyDescent="0.25">
      <c r="A217" t="s">
        <v>3047</v>
      </c>
      <c r="B217" t="s">
        <v>4336</v>
      </c>
      <c r="C217" t="s">
        <v>3472</v>
      </c>
      <c r="D217" t="s">
        <v>3473</v>
      </c>
      <c r="E217" t="s">
        <v>3474</v>
      </c>
      <c r="F217" t="s">
        <v>40</v>
      </c>
      <c r="G217" t="s">
        <v>3476</v>
      </c>
      <c r="H217" t="s">
        <v>4337</v>
      </c>
      <c r="I217" t="s">
        <v>3478</v>
      </c>
      <c r="J217" t="s">
        <v>4002</v>
      </c>
      <c r="K217" t="s">
        <v>40</v>
      </c>
      <c r="L217" t="s">
        <v>3481</v>
      </c>
      <c r="M217" t="s">
        <v>4067</v>
      </c>
      <c r="N217" t="s">
        <v>4292</v>
      </c>
      <c r="O217" t="s">
        <v>3819</v>
      </c>
      <c r="P217" t="s">
        <v>3819</v>
      </c>
      <c r="Q217" t="s">
        <v>3819</v>
      </c>
      <c r="R217" t="s">
        <v>4071</v>
      </c>
      <c r="S217" t="s">
        <v>4072</v>
      </c>
      <c r="T217" t="s">
        <v>3478</v>
      </c>
      <c r="U217" t="s">
        <v>3478</v>
      </c>
    </row>
    <row r="218" spans="1:21" x14ac:dyDescent="0.25">
      <c r="A218" t="s">
        <v>3048</v>
      </c>
      <c r="B218" t="s">
        <v>4338</v>
      </c>
      <c r="C218" t="s">
        <v>3472</v>
      </c>
      <c r="D218" t="s">
        <v>3473</v>
      </c>
      <c r="E218" t="s">
        <v>3474</v>
      </c>
      <c r="F218" t="s">
        <v>40</v>
      </c>
      <c r="G218" t="s">
        <v>3476</v>
      </c>
      <c r="H218" t="s">
        <v>4339</v>
      </c>
      <c r="I218" t="s">
        <v>3478</v>
      </c>
      <c r="J218" t="s">
        <v>4002</v>
      </c>
      <c r="K218" t="s">
        <v>40</v>
      </c>
      <c r="L218" t="s">
        <v>3481</v>
      </c>
      <c r="M218" t="s">
        <v>4067</v>
      </c>
      <c r="N218" t="s">
        <v>4292</v>
      </c>
      <c r="O218" t="s">
        <v>3819</v>
      </c>
      <c r="P218" t="s">
        <v>3819</v>
      </c>
      <c r="Q218" t="s">
        <v>3819</v>
      </c>
      <c r="R218" t="s">
        <v>4071</v>
      </c>
      <c r="S218" t="s">
        <v>4072</v>
      </c>
      <c r="T218" t="s">
        <v>3478</v>
      </c>
      <c r="U218" t="s">
        <v>3478</v>
      </c>
    </row>
    <row r="219" spans="1:21" x14ac:dyDescent="0.25">
      <c r="A219" t="s">
        <v>3049</v>
      </c>
      <c r="B219" t="s">
        <v>4340</v>
      </c>
      <c r="C219" t="s">
        <v>3472</v>
      </c>
      <c r="D219" t="s">
        <v>3473</v>
      </c>
      <c r="E219" t="s">
        <v>3474</v>
      </c>
      <c r="F219" t="s">
        <v>40</v>
      </c>
      <c r="G219" t="s">
        <v>3476</v>
      </c>
      <c r="H219" t="s">
        <v>4341</v>
      </c>
      <c r="I219" t="s">
        <v>3478</v>
      </c>
      <c r="J219" t="s">
        <v>4002</v>
      </c>
      <c r="K219" t="s">
        <v>40</v>
      </c>
      <c r="L219" t="s">
        <v>3481</v>
      </c>
      <c r="M219" t="s">
        <v>4067</v>
      </c>
      <c r="N219" t="s">
        <v>4292</v>
      </c>
      <c r="O219" t="s">
        <v>3819</v>
      </c>
      <c r="P219" t="s">
        <v>3819</v>
      </c>
      <c r="Q219" t="s">
        <v>3819</v>
      </c>
      <c r="R219" t="s">
        <v>4071</v>
      </c>
      <c r="S219" t="s">
        <v>4072</v>
      </c>
      <c r="T219" t="s">
        <v>3478</v>
      </c>
      <c r="U219" t="s">
        <v>3478</v>
      </c>
    </row>
    <row r="220" spans="1:21" x14ac:dyDescent="0.25">
      <c r="A220" t="s">
        <v>3059</v>
      </c>
      <c r="B220" t="s">
        <v>4342</v>
      </c>
      <c r="C220" t="s">
        <v>3472</v>
      </c>
      <c r="D220" t="s">
        <v>3473</v>
      </c>
      <c r="E220" t="s">
        <v>3474</v>
      </c>
      <c r="F220" t="s">
        <v>40</v>
      </c>
      <c r="G220" t="s">
        <v>3476</v>
      </c>
      <c r="H220" t="s">
        <v>4343</v>
      </c>
      <c r="I220" t="s">
        <v>3478</v>
      </c>
      <c r="J220" t="s">
        <v>4009</v>
      </c>
      <c r="K220" t="s">
        <v>40</v>
      </c>
      <c r="L220" t="s">
        <v>3481</v>
      </c>
      <c r="M220" t="s">
        <v>4067</v>
      </c>
      <c r="N220" t="s">
        <v>4292</v>
      </c>
      <c r="O220" t="s">
        <v>3990</v>
      </c>
      <c r="P220" t="s">
        <v>3990</v>
      </c>
      <c r="Q220" t="s">
        <v>3990</v>
      </c>
      <c r="R220" t="s">
        <v>4071</v>
      </c>
      <c r="S220" t="s">
        <v>4072</v>
      </c>
      <c r="T220" t="s">
        <v>3478</v>
      </c>
      <c r="U220" t="s">
        <v>3478</v>
      </c>
    </row>
    <row r="221" spans="1:21" x14ac:dyDescent="0.25">
      <c r="A221" t="s">
        <v>3058</v>
      </c>
      <c r="B221" t="s">
        <v>4344</v>
      </c>
      <c r="C221" t="s">
        <v>3472</v>
      </c>
      <c r="D221" t="s">
        <v>3473</v>
      </c>
      <c r="E221" t="s">
        <v>3474</v>
      </c>
      <c r="F221" t="s">
        <v>40</v>
      </c>
      <c r="G221" t="s">
        <v>3476</v>
      </c>
      <c r="H221" t="s">
        <v>4345</v>
      </c>
      <c r="I221" t="s">
        <v>3478</v>
      </c>
      <c r="J221" t="s">
        <v>4002</v>
      </c>
      <c r="K221" t="s">
        <v>40</v>
      </c>
      <c r="L221" t="s">
        <v>3481</v>
      </c>
      <c r="M221" t="s">
        <v>4067</v>
      </c>
      <c r="N221" t="s">
        <v>4292</v>
      </c>
      <c r="O221" t="s">
        <v>3990</v>
      </c>
      <c r="P221" t="s">
        <v>3990</v>
      </c>
      <c r="Q221" t="s">
        <v>3990</v>
      </c>
      <c r="R221" t="s">
        <v>4071</v>
      </c>
      <c r="S221" t="s">
        <v>4072</v>
      </c>
      <c r="T221" t="s">
        <v>3478</v>
      </c>
      <c r="U221" t="s">
        <v>3478</v>
      </c>
    </row>
    <row r="222" spans="1:21" x14ac:dyDescent="0.25">
      <c r="A222" t="s">
        <v>3060</v>
      </c>
      <c r="B222" t="s">
        <v>4346</v>
      </c>
      <c r="C222" t="s">
        <v>3472</v>
      </c>
      <c r="D222" t="s">
        <v>3473</v>
      </c>
      <c r="E222" t="s">
        <v>3474</v>
      </c>
      <c r="F222" t="s">
        <v>40</v>
      </c>
      <c r="G222" t="s">
        <v>3476</v>
      </c>
      <c r="H222" t="s">
        <v>4347</v>
      </c>
      <c r="I222" t="s">
        <v>3478</v>
      </c>
      <c r="J222" t="s">
        <v>4002</v>
      </c>
      <c r="K222" t="s">
        <v>40</v>
      </c>
      <c r="L222" t="s">
        <v>3481</v>
      </c>
      <c r="M222" t="s">
        <v>4067</v>
      </c>
      <c r="N222" t="s">
        <v>4292</v>
      </c>
      <c r="O222" t="s">
        <v>3990</v>
      </c>
      <c r="P222" t="s">
        <v>3990</v>
      </c>
      <c r="Q222" t="s">
        <v>3990</v>
      </c>
      <c r="R222" t="s">
        <v>4071</v>
      </c>
      <c r="S222" t="s">
        <v>4072</v>
      </c>
      <c r="T222" t="s">
        <v>3478</v>
      </c>
      <c r="U222" t="s">
        <v>3478</v>
      </c>
    </row>
    <row r="223" spans="1:21" x14ac:dyDescent="0.25">
      <c r="A223" t="s">
        <v>3050</v>
      </c>
      <c r="B223" t="s">
        <v>4348</v>
      </c>
      <c r="C223" t="s">
        <v>3472</v>
      </c>
      <c r="D223" t="s">
        <v>3473</v>
      </c>
      <c r="E223" t="s">
        <v>3474</v>
      </c>
      <c r="F223" t="s">
        <v>40</v>
      </c>
      <c r="G223" t="s">
        <v>3476</v>
      </c>
      <c r="H223" t="s">
        <v>4349</v>
      </c>
      <c r="I223" t="s">
        <v>3478</v>
      </c>
      <c r="J223" t="s">
        <v>4002</v>
      </c>
      <c r="K223" t="s">
        <v>40</v>
      </c>
      <c r="L223" t="s">
        <v>3481</v>
      </c>
      <c r="M223" t="s">
        <v>4067</v>
      </c>
      <c r="N223" t="s">
        <v>4292</v>
      </c>
      <c r="O223" t="s">
        <v>3990</v>
      </c>
      <c r="P223" t="s">
        <v>3990</v>
      </c>
      <c r="Q223" t="s">
        <v>3990</v>
      </c>
      <c r="R223" t="s">
        <v>4071</v>
      </c>
      <c r="S223" t="s">
        <v>4072</v>
      </c>
      <c r="T223" t="s">
        <v>3478</v>
      </c>
      <c r="U223" t="s">
        <v>3478</v>
      </c>
    </row>
    <row r="224" spans="1:21" x14ac:dyDescent="0.25">
      <c r="A224" t="s">
        <v>3034</v>
      </c>
      <c r="B224" t="s">
        <v>4350</v>
      </c>
      <c r="C224" t="s">
        <v>3472</v>
      </c>
      <c r="D224" t="s">
        <v>3473</v>
      </c>
      <c r="E224" t="s">
        <v>3474</v>
      </c>
      <c r="F224" t="s">
        <v>40</v>
      </c>
      <c r="G224" t="s">
        <v>3476</v>
      </c>
      <c r="H224" t="s">
        <v>4351</v>
      </c>
      <c r="I224" t="s">
        <v>3478</v>
      </c>
      <c r="J224" t="s">
        <v>3993</v>
      </c>
      <c r="K224" t="s">
        <v>40</v>
      </c>
      <c r="L224" t="s">
        <v>3481</v>
      </c>
      <c r="M224" t="s">
        <v>4067</v>
      </c>
      <c r="N224" t="s">
        <v>4292</v>
      </c>
      <c r="O224" t="s">
        <v>3783</v>
      </c>
      <c r="P224" t="s">
        <v>3783</v>
      </c>
      <c r="Q224" t="s">
        <v>3783</v>
      </c>
      <c r="R224" t="s">
        <v>3799</v>
      </c>
      <c r="S224" t="s">
        <v>3800</v>
      </c>
      <c r="T224" t="s">
        <v>3478</v>
      </c>
      <c r="U224" t="s">
        <v>3478</v>
      </c>
    </row>
    <row r="225" spans="1:21" x14ac:dyDescent="0.25">
      <c r="A225" t="s">
        <v>3064</v>
      </c>
      <c r="B225" t="s">
        <v>4352</v>
      </c>
      <c r="C225" t="s">
        <v>3472</v>
      </c>
      <c r="D225" t="s">
        <v>3473</v>
      </c>
      <c r="E225" t="s">
        <v>3474</v>
      </c>
      <c r="F225" t="s">
        <v>40</v>
      </c>
      <c r="G225" t="s">
        <v>3476</v>
      </c>
      <c r="H225" t="s">
        <v>4353</v>
      </c>
      <c r="I225" t="s">
        <v>3478</v>
      </c>
      <c r="J225" t="s">
        <v>4002</v>
      </c>
      <c r="K225" t="s">
        <v>40</v>
      </c>
      <c r="L225" t="s">
        <v>3481</v>
      </c>
      <c r="M225" t="s">
        <v>4067</v>
      </c>
      <c r="N225" t="s">
        <v>4292</v>
      </c>
      <c r="O225" t="s">
        <v>4077</v>
      </c>
      <c r="P225" t="s">
        <v>4077</v>
      </c>
      <c r="Q225" t="s">
        <v>4077</v>
      </c>
      <c r="R225" t="s">
        <v>4071</v>
      </c>
      <c r="S225" t="s">
        <v>4072</v>
      </c>
      <c r="T225" t="s">
        <v>3478</v>
      </c>
      <c r="U225" t="s">
        <v>3478</v>
      </c>
    </row>
    <row r="226" spans="1:21" x14ac:dyDescent="0.25">
      <c r="A226" t="s">
        <v>3066</v>
      </c>
      <c r="B226" t="s">
        <v>4354</v>
      </c>
      <c r="C226" t="s">
        <v>3472</v>
      </c>
      <c r="D226" t="s">
        <v>3473</v>
      </c>
      <c r="E226" t="s">
        <v>3474</v>
      </c>
      <c r="F226" t="s">
        <v>40</v>
      </c>
      <c r="G226" t="s">
        <v>3476</v>
      </c>
      <c r="H226" t="s">
        <v>4355</v>
      </c>
      <c r="I226" t="s">
        <v>3478</v>
      </c>
      <c r="J226" t="s">
        <v>4002</v>
      </c>
      <c r="K226" t="s">
        <v>40</v>
      </c>
      <c r="L226" t="s">
        <v>3481</v>
      </c>
      <c r="M226" t="s">
        <v>4067</v>
      </c>
      <c r="N226" t="s">
        <v>4292</v>
      </c>
      <c r="O226" t="s">
        <v>4070</v>
      </c>
      <c r="P226" t="s">
        <v>4070</v>
      </c>
      <c r="Q226" t="s">
        <v>4070</v>
      </c>
      <c r="R226" t="s">
        <v>4071</v>
      </c>
      <c r="S226" t="s">
        <v>4072</v>
      </c>
      <c r="T226" t="s">
        <v>3478</v>
      </c>
      <c r="U226" t="s">
        <v>3478</v>
      </c>
    </row>
    <row r="227" spans="1:21" x14ac:dyDescent="0.25">
      <c r="A227" t="s">
        <v>4397</v>
      </c>
      <c r="B227" t="s">
        <v>4356</v>
      </c>
      <c r="C227" t="s">
        <v>3472</v>
      </c>
      <c r="D227" t="s">
        <v>3473</v>
      </c>
      <c r="E227" t="s">
        <v>3474</v>
      </c>
      <c r="F227" t="s">
        <v>40</v>
      </c>
      <c r="G227" t="s">
        <v>3476</v>
      </c>
      <c r="H227" t="s">
        <v>4357</v>
      </c>
      <c r="I227" t="s">
        <v>3478</v>
      </c>
      <c r="J227" t="s">
        <v>3915</v>
      </c>
      <c r="K227" t="s">
        <v>40</v>
      </c>
      <c r="L227" t="s">
        <v>3481</v>
      </c>
      <c r="M227" t="s">
        <v>3482</v>
      </c>
      <c r="N227" t="s">
        <v>4292</v>
      </c>
      <c r="O227" t="s">
        <v>4358</v>
      </c>
      <c r="P227" t="s">
        <v>4358</v>
      </c>
      <c r="Q227" t="s">
        <v>4358</v>
      </c>
      <c r="R227" t="s">
        <v>3485</v>
      </c>
      <c r="S227" t="s">
        <v>3486</v>
      </c>
      <c r="T227" t="s">
        <v>3478</v>
      </c>
      <c r="U227" t="s">
        <v>3478</v>
      </c>
    </row>
    <row r="228" spans="1:21" x14ac:dyDescent="0.25">
      <c r="A228" t="s">
        <v>4398</v>
      </c>
      <c r="B228" t="s">
        <v>4359</v>
      </c>
      <c r="C228" t="s">
        <v>3472</v>
      </c>
      <c r="D228" t="s">
        <v>3473</v>
      </c>
      <c r="E228" t="s">
        <v>3474</v>
      </c>
      <c r="F228" t="s">
        <v>40</v>
      </c>
      <c r="G228" t="s">
        <v>3476</v>
      </c>
      <c r="H228" t="s">
        <v>4360</v>
      </c>
      <c r="I228" t="s">
        <v>3478</v>
      </c>
      <c r="J228" t="s">
        <v>4361</v>
      </c>
      <c r="K228" t="s">
        <v>40</v>
      </c>
      <c r="L228" t="s">
        <v>3481</v>
      </c>
      <c r="M228" t="s">
        <v>3482</v>
      </c>
      <c r="N228" t="s">
        <v>4292</v>
      </c>
      <c r="O228" t="s">
        <v>4362</v>
      </c>
      <c r="P228" t="s">
        <v>4362</v>
      </c>
      <c r="Q228" t="s">
        <v>4362</v>
      </c>
      <c r="R228" t="s">
        <v>3485</v>
      </c>
      <c r="S228" t="s">
        <v>3486</v>
      </c>
      <c r="T228" t="s">
        <v>3478</v>
      </c>
      <c r="U228" t="s">
        <v>3478</v>
      </c>
    </row>
    <row r="229" spans="1:21" x14ac:dyDescent="0.25">
      <c r="A229" t="s">
        <v>4399</v>
      </c>
      <c r="B229" t="s">
        <v>4363</v>
      </c>
      <c r="C229" t="s">
        <v>3472</v>
      </c>
      <c r="D229" t="s">
        <v>3473</v>
      </c>
      <c r="E229" t="s">
        <v>3474</v>
      </c>
      <c r="F229" t="s">
        <v>40</v>
      </c>
      <c r="G229" t="s">
        <v>3476</v>
      </c>
      <c r="H229" t="s">
        <v>4364</v>
      </c>
      <c r="I229" t="s">
        <v>3478</v>
      </c>
      <c r="J229" t="s">
        <v>4284</v>
      </c>
      <c r="K229" t="s">
        <v>40</v>
      </c>
      <c r="L229" t="s">
        <v>3481</v>
      </c>
      <c r="M229" t="s">
        <v>3482</v>
      </c>
      <c r="N229" t="s">
        <v>4292</v>
      </c>
      <c r="O229" t="s">
        <v>3539</v>
      </c>
      <c r="P229" t="s">
        <v>3539</v>
      </c>
      <c r="Q229" t="s">
        <v>3539</v>
      </c>
      <c r="R229" t="s">
        <v>3485</v>
      </c>
      <c r="S229" t="s">
        <v>3486</v>
      </c>
      <c r="T229" t="s">
        <v>3478</v>
      </c>
      <c r="U229" t="s">
        <v>3478</v>
      </c>
    </row>
    <row r="230" spans="1:21" x14ac:dyDescent="0.25">
      <c r="A230" t="s">
        <v>4400</v>
      </c>
      <c r="B230" t="s">
        <v>4365</v>
      </c>
      <c r="C230" t="s">
        <v>3472</v>
      </c>
      <c r="D230" t="s">
        <v>3473</v>
      </c>
      <c r="E230" t="s">
        <v>3474</v>
      </c>
      <c r="F230" t="s">
        <v>40</v>
      </c>
      <c r="G230" t="s">
        <v>3476</v>
      </c>
      <c r="H230" t="s">
        <v>4366</v>
      </c>
      <c r="I230" t="s">
        <v>3478</v>
      </c>
      <c r="J230" t="s">
        <v>4367</v>
      </c>
      <c r="K230" t="s">
        <v>40</v>
      </c>
      <c r="L230" t="s">
        <v>3481</v>
      </c>
      <c r="M230" t="s">
        <v>3482</v>
      </c>
      <c r="N230" t="s">
        <v>4292</v>
      </c>
      <c r="O230" t="s">
        <v>3539</v>
      </c>
      <c r="P230" t="s">
        <v>3539</v>
      </c>
      <c r="Q230" t="s">
        <v>3539</v>
      </c>
      <c r="R230" t="s">
        <v>3485</v>
      </c>
      <c r="S230" t="s">
        <v>3486</v>
      </c>
      <c r="T230" t="s">
        <v>3478</v>
      </c>
      <c r="U230" t="s">
        <v>3478</v>
      </c>
    </row>
    <row r="231" spans="1:21" x14ac:dyDescent="0.25">
      <c r="A231" t="s">
        <v>3211</v>
      </c>
      <c r="B231" t="s">
        <v>4368</v>
      </c>
      <c r="C231" t="s">
        <v>3472</v>
      </c>
      <c r="D231" t="s">
        <v>3473</v>
      </c>
      <c r="E231" t="s">
        <v>3474</v>
      </c>
      <c r="F231" t="s">
        <v>40</v>
      </c>
      <c r="G231" t="s">
        <v>3476</v>
      </c>
      <c r="H231" t="s">
        <v>4369</v>
      </c>
      <c r="I231" t="s">
        <v>3478</v>
      </c>
      <c r="J231" t="s">
        <v>4284</v>
      </c>
      <c r="K231" t="s">
        <v>40</v>
      </c>
      <c r="L231" t="s">
        <v>3481</v>
      </c>
      <c r="M231" t="s">
        <v>3482</v>
      </c>
      <c r="N231" t="s">
        <v>4292</v>
      </c>
      <c r="O231" t="s">
        <v>4370</v>
      </c>
      <c r="P231" t="s">
        <v>4370</v>
      </c>
      <c r="Q231" t="s">
        <v>4370</v>
      </c>
      <c r="R231" t="s">
        <v>3485</v>
      </c>
      <c r="S231" t="s">
        <v>3486</v>
      </c>
      <c r="T231" t="s">
        <v>3478</v>
      </c>
      <c r="U231" t="s">
        <v>3478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553"/>
  <sheetViews>
    <sheetView workbookViewId="0">
      <selection activeCell="F24" sqref="F24"/>
    </sheetView>
  </sheetViews>
  <sheetFormatPr baseColWidth="10" defaultRowHeight="15" x14ac:dyDescent="0.25"/>
  <cols>
    <col min="1" max="1" width="25.28515625" customWidth="1"/>
  </cols>
  <sheetData>
    <row r="1" spans="1:18" x14ac:dyDescent="0.25">
      <c r="A1" s="21" t="s">
        <v>33</v>
      </c>
      <c r="B1" s="21" t="s">
        <v>198</v>
      </c>
      <c r="C1" s="21" t="s">
        <v>199</v>
      </c>
      <c r="D1" s="21" t="s">
        <v>52</v>
      </c>
      <c r="E1" s="21" t="s">
        <v>35</v>
      </c>
      <c r="F1" s="21" t="s">
        <v>200</v>
      </c>
      <c r="G1" s="21" t="s">
        <v>36</v>
      </c>
      <c r="H1" s="21" t="s">
        <v>37</v>
      </c>
      <c r="I1" s="21" t="s">
        <v>38</v>
      </c>
      <c r="J1" s="22"/>
      <c r="K1" s="22"/>
      <c r="L1" s="22"/>
      <c r="M1" s="22"/>
      <c r="N1" s="22"/>
      <c r="O1" s="22"/>
      <c r="P1" s="22"/>
      <c r="Q1" s="22"/>
      <c r="R1" s="22"/>
    </row>
    <row r="2" spans="1:18" x14ac:dyDescent="0.25">
      <c r="A2" s="22" t="s">
        <v>204</v>
      </c>
      <c r="B2" s="22" t="s">
        <v>201</v>
      </c>
      <c r="C2" s="22" t="s">
        <v>202</v>
      </c>
      <c r="D2" s="22" t="s">
        <v>203</v>
      </c>
      <c r="E2" s="22" t="s">
        <v>57</v>
      </c>
      <c r="F2" s="23">
        <v>-131807</v>
      </c>
      <c r="G2" s="24">
        <v>44512</v>
      </c>
      <c r="H2" s="22" t="s">
        <v>205</v>
      </c>
      <c r="I2" s="22" t="s">
        <v>206</v>
      </c>
      <c r="J2" s="22"/>
      <c r="K2" s="22"/>
      <c r="L2" s="22"/>
      <c r="M2" s="22"/>
      <c r="N2" s="22"/>
      <c r="O2" s="22"/>
      <c r="P2" s="22"/>
      <c r="Q2" s="22"/>
      <c r="R2" s="22"/>
    </row>
    <row r="3" spans="1:18" x14ac:dyDescent="0.25">
      <c r="A3" s="22" t="s">
        <v>208</v>
      </c>
      <c r="B3" s="22" t="s">
        <v>201</v>
      </c>
      <c r="C3" s="22" t="s">
        <v>202</v>
      </c>
      <c r="D3" s="22" t="s">
        <v>207</v>
      </c>
      <c r="E3" s="22" t="s">
        <v>57</v>
      </c>
      <c r="F3" s="23">
        <v>-100678</v>
      </c>
      <c r="G3" s="24">
        <v>44513</v>
      </c>
      <c r="H3" s="22" t="s">
        <v>205</v>
      </c>
      <c r="I3" s="22" t="s">
        <v>209</v>
      </c>
      <c r="J3" s="22"/>
      <c r="K3" s="22"/>
      <c r="L3" s="22"/>
      <c r="M3" s="22"/>
      <c r="N3" s="22"/>
      <c r="O3" s="22"/>
      <c r="P3" s="22"/>
      <c r="Q3" s="22"/>
      <c r="R3" s="22"/>
    </row>
    <row r="4" spans="1:18" x14ac:dyDescent="0.25">
      <c r="A4" s="22" t="s">
        <v>211</v>
      </c>
      <c r="B4" s="22" t="s">
        <v>201</v>
      </c>
      <c r="C4" s="22" t="s">
        <v>202</v>
      </c>
      <c r="D4" s="22" t="s">
        <v>210</v>
      </c>
      <c r="E4" s="22" t="s">
        <v>57</v>
      </c>
      <c r="F4" s="23">
        <v>-23700</v>
      </c>
      <c r="G4" s="24">
        <v>44505</v>
      </c>
      <c r="H4" s="22" t="s">
        <v>205</v>
      </c>
      <c r="I4" s="22" t="s">
        <v>212</v>
      </c>
      <c r="J4" s="22"/>
      <c r="K4" s="22"/>
      <c r="L4" s="22"/>
      <c r="M4" s="22"/>
      <c r="N4" s="22"/>
      <c r="O4" s="22"/>
      <c r="P4" s="22"/>
      <c r="Q4" s="22"/>
      <c r="R4" s="22"/>
    </row>
    <row r="5" spans="1:18" x14ac:dyDescent="0.25">
      <c r="A5" s="22" t="s">
        <v>214</v>
      </c>
      <c r="B5" s="22" t="s">
        <v>201</v>
      </c>
      <c r="C5" s="22" t="s">
        <v>202</v>
      </c>
      <c r="D5" s="22" t="s">
        <v>213</v>
      </c>
      <c r="E5" s="22" t="s">
        <v>57</v>
      </c>
      <c r="F5" s="23">
        <v>-1505364</v>
      </c>
      <c r="G5" s="24">
        <v>44526</v>
      </c>
      <c r="H5" s="22" t="s">
        <v>205</v>
      </c>
      <c r="I5" s="22" t="s">
        <v>212</v>
      </c>
      <c r="J5" s="22"/>
      <c r="K5" s="22"/>
      <c r="L5" s="22"/>
      <c r="M5" s="22"/>
      <c r="N5" s="22"/>
      <c r="O5" s="22"/>
      <c r="P5" s="22"/>
      <c r="Q5" s="22"/>
      <c r="R5" s="22"/>
    </row>
    <row r="6" spans="1:18" x14ac:dyDescent="0.25">
      <c r="A6" s="22" t="s">
        <v>216</v>
      </c>
      <c r="B6" s="22" t="s">
        <v>201</v>
      </c>
      <c r="C6" s="22" t="s">
        <v>202</v>
      </c>
      <c r="D6" s="22" t="s">
        <v>215</v>
      </c>
      <c r="E6" s="22" t="s">
        <v>57</v>
      </c>
      <c r="F6" s="23">
        <v>-55731</v>
      </c>
      <c r="G6" s="24">
        <v>44511</v>
      </c>
      <c r="H6" s="22" t="s">
        <v>205</v>
      </c>
      <c r="I6" s="22" t="s">
        <v>217</v>
      </c>
      <c r="J6" s="22"/>
      <c r="K6" s="22"/>
      <c r="L6" s="22"/>
      <c r="M6" s="22"/>
      <c r="N6" s="22"/>
      <c r="O6" s="22"/>
      <c r="P6" s="22"/>
      <c r="Q6" s="22"/>
      <c r="R6" s="22"/>
    </row>
    <row r="7" spans="1:18" x14ac:dyDescent="0.25">
      <c r="A7" s="22" t="s">
        <v>219</v>
      </c>
      <c r="B7" s="22" t="s">
        <v>201</v>
      </c>
      <c r="C7" s="22" t="s">
        <v>202</v>
      </c>
      <c r="D7" s="22" t="s">
        <v>218</v>
      </c>
      <c r="E7" s="22" t="s">
        <v>57</v>
      </c>
      <c r="F7" s="23">
        <v>-546396</v>
      </c>
      <c r="G7" s="24">
        <v>44511</v>
      </c>
      <c r="H7" s="22" t="s">
        <v>205</v>
      </c>
      <c r="I7" s="22" t="s">
        <v>220</v>
      </c>
      <c r="J7" s="22"/>
      <c r="K7" s="22"/>
      <c r="L7" s="22"/>
      <c r="M7" s="22"/>
      <c r="N7" s="22"/>
      <c r="O7" s="22"/>
      <c r="P7" s="22"/>
      <c r="Q7" s="22"/>
      <c r="R7" s="22"/>
    </row>
    <row r="8" spans="1:18" x14ac:dyDescent="0.25">
      <c r="A8" s="22" t="s">
        <v>222</v>
      </c>
      <c r="B8" s="22" t="s">
        <v>201</v>
      </c>
      <c r="C8" s="22" t="s">
        <v>202</v>
      </c>
      <c r="D8" s="22" t="s">
        <v>221</v>
      </c>
      <c r="E8" s="22" t="s">
        <v>57</v>
      </c>
      <c r="F8" s="23">
        <v>-47200</v>
      </c>
      <c r="G8" s="24">
        <v>44505</v>
      </c>
      <c r="H8" s="22" t="s">
        <v>205</v>
      </c>
      <c r="I8" s="22" t="s">
        <v>212</v>
      </c>
      <c r="J8" s="22"/>
      <c r="K8" s="22"/>
      <c r="L8" s="22"/>
      <c r="M8" s="22"/>
      <c r="N8" s="22"/>
      <c r="O8" s="22"/>
      <c r="P8" s="22"/>
      <c r="Q8" s="22"/>
      <c r="R8" s="22"/>
    </row>
    <row r="9" spans="1:18" x14ac:dyDescent="0.25">
      <c r="A9" s="22" t="s">
        <v>224</v>
      </c>
      <c r="B9" s="22" t="s">
        <v>201</v>
      </c>
      <c r="C9" s="22" t="s">
        <v>202</v>
      </c>
      <c r="D9" s="22" t="s">
        <v>223</v>
      </c>
      <c r="E9" s="22" t="s">
        <v>57</v>
      </c>
      <c r="F9" s="23">
        <v>-112100</v>
      </c>
      <c r="G9" s="24">
        <v>44505</v>
      </c>
      <c r="H9" s="22" t="s">
        <v>205</v>
      </c>
      <c r="I9" s="22" t="s">
        <v>212</v>
      </c>
      <c r="J9" s="22"/>
      <c r="K9" s="22"/>
      <c r="L9" s="22"/>
      <c r="M9" s="22"/>
      <c r="N9" s="22"/>
      <c r="O9" s="22"/>
      <c r="P9" s="22"/>
      <c r="Q9" s="22"/>
      <c r="R9" s="22"/>
    </row>
    <row r="10" spans="1:18" x14ac:dyDescent="0.25">
      <c r="A10" s="22" t="s">
        <v>219</v>
      </c>
      <c r="B10" s="22" t="s">
        <v>201</v>
      </c>
      <c r="C10" s="22" t="s">
        <v>202</v>
      </c>
      <c r="D10" s="22" t="s">
        <v>205</v>
      </c>
      <c r="E10" s="22" t="s">
        <v>45</v>
      </c>
      <c r="F10" s="23">
        <v>232485</v>
      </c>
      <c r="G10" s="24">
        <v>44511</v>
      </c>
      <c r="H10" s="22" t="s">
        <v>205</v>
      </c>
      <c r="I10" s="22"/>
      <c r="J10" s="22"/>
      <c r="K10" s="22"/>
      <c r="L10" s="22"/>
      <c r="M10" s="22"/>
      <c r="N10" s="22"/>
      <c r="O10" s="22"/>
      <c r="P10" s="22"/>
      <c r="Q10" s="22"/>
      <c r="R10" s="22"/>
    </row>
    <row r="11" spans="1:18" x14ac:dyDescent="0.25">
      <c r="A11" s="22" t="s">
        <v>219</v>
      </c>
      <c r="B11" s="22" t="s">
        <v>201</v>
      </c>
      <c r="C11" s="22" t="s">
        <v>202</v>
      </c>
      <c r="D11" s="22" t="s">
        <v>205</v>
      </c>
      <c r="E11" s="22" t="s">
        <v>45</v>
      </c>
      <c r="F11" s="23">
        <v>-2460849</v>
      </c>
      <c r="G11" s="24">
        <v>44511</v>
      </c>
      <c r="H11" s="22" t="s">
        <v>205</v>
      </c>
      <c r="I11" s="22"/>
      <c r="J11" s="22"/>
      <c r="K11" s="22"/>
      <c r="L11" s="22"/>
      <c r="M11" s="22"/>
      <c r="N11" s="22"/>
      <c r="O11" s="22"/>
      <c r="P11" s="22"/>
      <c r="Q11" s="22"/>
      <c r="R11" s="22"/>
    </row>
    <row r="12" spans="1:18" x14ac:dyDescent="0.25">
      <c r="A12" s="22" t="s">
        <v>219</v>
      </c>
      <c r="B12" s="22" t="s">
        <v>201</v>
      </c>
      <c r="C12" s="22" t="s">
        <v>202</v>
      </c>
      <c r="D12" s="22" t="s">
        <v>205</v>
      </c>
      <c r="E12" s="22" t="s">
        <v>45</v>
      </c>
      <c r="F12" s="23">
        <v>2290491</v>
      </c>
      <c r="G12" s="24">
        <v>44511</v>
      </c>
      <c r="H12" s="22" t="s">
        <v>205</v>
      </c>
      <c r="I12" s="22"/>
      <c r="J12" s="22"/>
      <c r="K12" s="22"/>
      <c r="L12" s="22"/>
      <c r="M12" s="22"/>
      <c r="N12" s="22"/>
      <c r="O12" s="22"/>
      <c r="P12" s="22"/>
      <c r="Q12" s="22"/>
      <c r="R12" s="22"/>
    </row>
    <row r="13" spans="1:18" s="39" customFormat="1" x14ac:dyDescent="0.25">
      <c r="A13" s="36" t="s">
        <v>226</v>
      </c>
      <c r="B13" s="36" t="s">
        <v>201</v>
      </c>
      <c r="C13" s="36" t="s">
        <v>202</v>
      </c>
      <c r="D13" s="36" t="s">
        <v>225</v>
      </c>
      <c r="E13" s="36" t="s">
        <v>42</v>
      </c>
      <c r="F13" s="37">
        <v>2460849</v>
      </c>
      <c r="G13" s="38">
        <v>44537</v>
      </c>
      <c r="H13" s="36" t="s">
        <v>205</v>
      </c>
      <c r="I13" s="36" t="s">
        <v>227</v>
      </c>
      <c r="J13" s="36"/>
      <c r="K13" s="36"/>
      <c r="L13" s="36"/>
      <c r="M13" s="36"/>
      <c r="N13" s="36"/>
      <c r="O13" s="36"/>
      <c r="P13" s="36"/>
      <c r="Q13" s="36"/>
      <c r="R13" s="36"/>
    </row>
    <row r="14" spans="1:18" x14ac:dyDescent="0.25">
      <c r="A14" s="22" t="s">
        <v>229</v>
      </c>
      <c r="B14" s="22" t="s">
        <v>201</v>
      </c>
      <c r="C14" s="22" t="s">
        <v>202</v>
      </c>
      <c r="D14" s="22" t="s">
        <v>228</v>
      </c>
      <c r="E14" s="22" t="s">
        <v>45</v>
      </c>
      <c r="F14" s="23">
        <v>53700</v>
      </c>
      <c r="G14" s="24">
        <v>44537</v>
      </c>
      <c r="H14" s="22" t="s">
        <v>228</v>
      </c>
      <c r="I14" s="22" t="s">
        <v>230</v>
      </c>
      <c r="J14" s="22"/>
      <c r="K14" s="22"/>
      <c r="L14" s="22"/>
      <c r="M14" s="22"/>
      <c r="N14" s="22"/>
      <c r="O14" s="22"/>
      <c r="P14" s="22"/>
      <c r="Q14" s="22"/>
      <c r="R14" s="22"/>
    </row>
    <row r="15" spans="1:18" x14ac:dyDescent="0.25">
      <c r="A15" s="22" t="s">
        <v>229</v>
      </c>
      <c r="B15" s="22" t="s">
        <v>201</v>
      </c>
      <c r="C15" s="22" t="s">
        <v>202</v>
      </c>
      <c r="D15" s="22" t="s">
        <v>228</v>
      </c>
      <c r="E15" s="22" t="s">
        <v>45</v>
      </c>
      <c r="F15" s="23">
        <v>-53700</v>
      </c>
      <c r="G15" s="24">
        <v>44537</v>
      </c>
      <c r="H15" s="22" t="s">
        <v>228</v>
      </c>
      <c r="I15" s="22" t="s">
        <v>230</v>
      </c>
      <c r="J15" s="22"/>
      <c r="K15" s="22"/>
      <c r="L15" s="22"/>
      <c r="M15" s="22"/>
      <c r="N15" s="22"/>
      <c r="O15" s="22"/>
      <c r="P15" s="22"/>
      <c r="Q15" s="22"/>
      <c r="R15" s="22"/>
    </row>
    <row r="16" spans="1:18" s="39" customFormat="1" x14ac:dyDescent="0.25">
      <c r="A16" s="36" t="s">
        <v>229</v>
      </c>
      <c r="B16" s="36" t="s">
        <v>201</v>
      </c>
      <c r="C16" s="36" t="s">
        <v>202</v>
      </c>
      <c r="D16" s="36" t="s">
        <v>231</v>
      </c>
      <c r="E16" s="36" t="s">
        <v>42</v>
      </c>
      <c r="F16" s="37">
        <v>53700</v>
      </c>
      <c r="G16" s="38">
        <v>44537</v>
      </c>
      <c r="H16" s="36" t="s">
        <v>228</v>
      </c>
      <c r="I16" s="36" t="s">
        <v>227</v>
      </c>
      <c r="J16" s="36"/>
      <c r="K16" s="36"/>
      <c r="L16" s="36"/>
      <c r="M16" s="36"/>
      <c r="N16" s="36"/>
      <c r="O16" s="36"/>
      <c r="P16" s="36"/>
      <c r="Q16" s="36"/>
      <c r="R16" s="36"/>
    </row>
    <row r="17" spans="1:18" x14ac:dyDescent="0.25">
      <c r="A17" s="22" t="s">
        <v>233</v>
      </c>
      <c r="B17" s="22" t="s">
        <v>201</v>
      </c>
      <c r="C17" s="22" t="s">
        <v>202</v>
      </c>
      <c r="D17" s="22" t="s">
        <v>232</v>
      </c>
      <c r="E17" s="22" t="s">
        <v>57</v>
      </c>
      <c r="F17" s="23">
        <v>-53700</v>
      </c>
      <c r="G17" s="24">
        <v>44504</v>
      </c>
      <c r="H17" s="22" t="s">
        <v>228</v>
      </c>
      <c r="I17" s="22" t="s">
        <v>234</v>
      </c>
      <c r="J17" s="22"/>
      <c r="K17" s="22"/>
      <c r="L17" s="22"/>
      <c r="M17" s="22"/>
      <c r="N17" s="22"/>
      <c r="O17" s="22"/>
      <c r="P17" s="22"/>
      <c r="Q17" s="22"/>
      <c r="R17" s="22"/>
    </row>
    <row r="18" spans="1:18" s="39" customFormat="1" x14ac:dyDescent="0.25">
      <c r="A18" s="36" t="s">
        <v>236</v>
      </c>
      <c r="B18" s="36" t="s">
        <v>201</v>
      </c>
      <c r="C18" s="36" t="s">
        <v>202</v>
      </c>
      <c r="D18" s="36" t="s">
        <v>235</v>
      </c>
      <c r="E18" s="36" t="s">
        <v>42</v>
      </c>
      <c r="F18" s="37">
        <v>325300</v>
      </c>
      <c r="G18" s="38">
        <v>44537</v>
      </c>
      <c r="H18" s="36" t="s">
        <v>237</v>
      </c>
      <c r="I18" s="36" t="s">
        <v>227</v>
      </c>
      <c r="J18" s="36"/>
      <c r="K18" s="36"/>
      <c r="L18" s="36"/>
      <c r="M18" s="36"/>
      <c r="N18" s="36"/>
      <c r="O18" s="36"/>
      <c r="P18" s="36"/>
      <c r="Q18" s="36"/>
      <c r="R18" s="36"/>
    </row>
    <row r="19" spans="1:18" x14ac:dyDescent="0.25">
      <c r="A19" s="22" t="s">
        <v>238</v>
      </c>
      <c r="B19" s="22" t="s">
        <v>201</v>
      </c>
      <c r="C19" s="22" t="s">
        <v>202</v>
      </c>
      <c r="D19" s="22" t="s">
        <v>237</v>
      </c>
      <c r="E19" s="22" t="s">
        <v>45</v>
      </c>
      <c r="F19" s="23">
        <v>43100</v>
      </c>
      <c r="G19" s="24">
        <v>44559</v>
      </c>
      <c r="H19" s="22" t="s">
        <v>237</v>
      </c>
      <c r="I19" s="22"/>
      <c r="J19" s="22"/>
      <c r="K19" s="22"/>
      <c r="L19" s="22"/>
      <c r="M19" s="22"/>
      <c r="N19" s="22"/>
      <c r="O19" s="22"/>
      <c r="P19" s="22"/>
      <c r="Q19" s="22"/>
      <c r="R19" s="22"/>
    </row>
    <row r="20" spans="1:18" x14ac:dyDescent="0.25">
      <c r="A20" s="22" t="s">
        <v>238</v>
      </c>
      <c r="B20" s="22" t="s">
        <v>201</v>
      </c>
      <c r="C20" s="22" t="s">
        <v>202</v>
      </c>
      <c r="D20" s="22" t="s">
        <v>237</v>
      </c>
      <c r="E20" s="22" t="s">
        <v>45</v>
      </c>
      <c r="F20" s="23">
        <v>-325300</v>
      </c>
      <c r="G20" s="24">
        <v>44559</v>
      </c>
      <c r="H20" s="22" t="s">
        <v>237</v>
      </c>
      <c r="I20" s="22"/>
      <c r="J20" s="22"/>
      <c r="K20" s="22"/>
      <c r="L20" s="22"/>
      <c r="M20" s="22"/>
      <c r="N20" s="22"/>
      <c r="O20" s="22"/>
      <c r="P20" s="22"/>
      <c r="Q20" s="22"/>
      <c r="R20" s="22"/>
    </row>
    <row r="21" spans="1:18" x14ac:dyDescent="0.25">
      <c r="A21" s="22" t="s">
        <v>238</v>
      </c>
      <c r="B21" s="22" t="s">
        <v>201</v>
      </c>
      <c r="C21" s="22" t="s">
        <v>202</v>
      </c>
      <c r="D21" s="22" t="s">
        <v>237</v>
      </c>
      <c r="E21" s="22" t="s">
        <v>45</v>
      </c>
      <c r="F21" s="23">
        <v>310726</v>
      </c>
      <c r="G21" s="24">
        <v>44559</v>
      </c>
      <c r="H21" s="22" t="s">
        <v>237</v>
      </c>
      <c r="I21" s="22"/>
      <c r="J21" s="22"/>
      <c r="K21" s="22"/>
      <c r="L21" s="22"/>
      <c r="M21" s="22"/>
      <c r="N21" s="22"/>
      <c r="O21" s="22"/>
      <c r="P21" s="22"/>
      <c r="Q21" s="22"/>
      <c r="R21" s="22"/>
    </row>
    <row r="22" spans="1:18" x14ac:dyDescent="0.25">
      <c r="A22" s="22" t="s">
        <v>240</v>
      </c>
      <c r="B22" s="22" t="s">
        <v>201</v>
      </c>
      <c r="C22" s="22" t="s">
        <v>202</v>
      </c>
      <c r="D22" s="22" t="s">
        <v>239</v>
      </c>
      <c r="E22" s="22" t="s">
        <v>45</v>
      </c>
      <c r="F22" s="23">
        <v>-43100</v>
      </c>
      <c r="G22" s="24">
        <v>44505</v>
      </c>
      <c r="H22" s="22" t="s">
        <v>237</v>
      </c>
      <c r="I22" s="22" t="s">
        <v>241</v>
      </c>
      <c r="J22" s="22"/>
      <c r="K22" s="22"/>
      <c r="L22" s="22"/>
      <c r="M22" s="22"/>
      <c r="N22" s="22"/>
      <c r="O22" s="22"/>
      <c r="P22" s="22"/>
      <c r="Q22" s="22"/>
      <c r="R22" s="22"/>
    </row>
    <row r="23" spans="1:18" x14ac:dyDescent="0.25">
      <c r="A23" s="22" t="s">
        <v>238</v>
      </c>
      <c r="B23" s="22" t="s">
        <v>201</v>
      </c>
      <c r="C23" s="22" t="s">
        <v>202</v>
      </c>
      <c r="D23" s="22" t="s">
        <v>242</v>
      </c>
      <c r="E23" s="22" t="s">
        <v>57</v>
      </c>
      <c r="F23" s="23">
        <v>-310726</v>
      </c>
      <c r="G23" s="24">
        <v>44559</v>
      </c>
      <c r="H23" s="22" t="s">
        <v>237</v>
      </c>
      <c r="I23" s="22" t="s">
        <v>243</v>
      </c>
      <c r="J23" s="22"/>
      <c r="K23" s="22"/>
      <c r="L23" s="22"/>
      <c r="M23" s="22"/>
      <c r="N23" s="22"/>
      <c r="O23" s="22"/>
      <c r="P23" s="22"/>
      <c r="Q23" s="22"/>
      <c r="R23" s="22"/>
    </row>
    <row r="24" spans="1:18" s="39" customFormat="1" x14ac:dyDescent="0.25">
      <c r="A24" s="36" t="s">
        <v>245</v>
      </c>
      <c r="B24" s="36" t="s">
        <v>201</v>
      </c>
      <c r="C24" s="36" t="s">
        <v>202</v>
      </c>
      <c r="D24" s="36" t="s">
        <v>244</v>
      </c>
      <c r="E24" s="36" t="s">
        <v>42</v>
      </c>
      <c r="F24" s="37">
        <v>196200</v>
      </c>
      <c r="G24" s="38">
        <v>44537</v>
      </c>
      <c r="H24" s="36" t="s">
        <v>239</v>
      </c>
      <c r="I24" s="36" t="s">
        <v>227</v>
      </c>
      <c r="J24" s="36"/>
      <c r="K24" s="36"/>
      <c r="L24" s="36"/>
      <c r="M24" s="36"/>
      <c r="N24" s="36"/>
      <c r="O24" s="36"/>
      <c r="P24" s="36"/>
      <c r="Q24" s="36"/>
      <c r="R24" s="36"/>
    </row>
    <row r="25" spans="1:18" x14ac:dyDescent="0.25">
      <c r="A25" s="22" t="s">
        <v>240</v>
      </c>
      <c r="B25" s="22" t="s">
        <v>201</v>
      </c>
      <c r="C25" s="22" t="s">
        <v>202</v>
      </c>
      <c r="D25" s="22" t="s">
        <v>239</v>
      </c>
      <c r="E25" s="22" t="s">
        <v>45</v>
      </c>
      <c r="F25" s="23">
        <v>239300</v>
      </c>
      <c r="G25" s="24">
        <v>44505</v>
      </c>
      <c r="H25" s="22" t="s">
        <v>239</v>
      </c>
      <c r="I25" s="22"/>
      <c r="J25" s="22"/>
      <c r="K25" s="22"/>
      <c r="L25" s="22"/>
      <c r="M25" s="22"/>
      <c r="N25" s="22"/>
      <c r="O25" s="22"/>
      <c r="P25" s="22"/>
      <c r="Q25" s="22"/>
      <c r="R25" s="22"/>
    </row>
    <row r="26" spans="1:18" x14ac:dyDescent="0.25">
      <c r="A26" s="22" t="s">
        <v>247</v>
      </c>
      <c r="B26" s="22" t="s">
        <v>201</v>
      </c>
      <c r="C26" s="22" t="s">
        <v>202</v>
      </c>
      <c r="D26" s="22" t="s">
        <v>246</v>
      </c>
      <c r="E26" s="22" t="s">
        <v>57</v>
      </c>
      <c r="F26" s="23">
        <v>-1461830</v>
      </c>
      <c r="G26" s="24">
        <v>44518</v>
      </c>
      <c r="H26" s="22" t="s">
        <v>248</v>
      </c>
      <c r="I26" s="22" t="s">
        <v>249</v>
      </c>
      <c r="J26" s="22"/>
      <c r="K26" s="22"/>
      <c r="L26" s="22"/>
      <c r="M26" s="22"/>
      <c r="N26" s="22"/>
      <c r="O26" s="22"/>
      <c r="P26" s="22"/>
      <c r="Q26" s="22"/>
      <c r="R26" s="22"/>
    </row>
    <row r="27" spans="1:18" x14ac:dyDescent="0.25">
      <c r="A27" s="22" t="s">
        <v>251</v>
      </c>
      <c r="B27" s="22" t="s">
        <v>201</v>
      </c>
      <c r="C27" s="22" t="s">
        <v>202</v>
      </c>
      <c r="D27" s="22" t="s">
        <v>250</v>
      </c>
      <c r="E27" s="22" t="s">
        <v>57</v>
      </c>
      <c r="F27" s="23">
        <v>-3094378</v>
      </c>
      <c r="G27" s="24">
        <v>44543</v>
      </c>
      <c r="H27" s="22" t="s">
        <v>248</v>
      </c>
      <c r="I27" s="22" t="s">
        <v>249</v>
      </c>
      <c r="J27" s="22"/>
      <c r="K27" s="22"/>
      <c r="L27" s="22"/>
      <c r="M27" s="22"/>
      <c r="N27" s="22"/>
      <c r="O27" s="22"/>
      <c r="P27" s="22"/>
      <c r="Q27" s="22"/>
      <c r="R27" s="22"/>
    </row>
    <row r="28" spans="1:18" s="39" customFormat="1" x14ac:dyDescent="0.25">
      <c r="A28" s="36" t="s">
        <v>253</v>
      </c>
      <c r="B28" s="36" t="s">
        <v>201</v>
      </c>
      <c r="C28" s="36" t="s">
        <v>202</v>
      </c>
      <c r="D28" s="36" t="s">
        <v>252</v>
      </c>
      <c r="E28" s="36" t="s">
        <v>42</v>
      </c>
      <c r="F28" s="37">
        <v>393853</v>
      </c>
      <c r="G28" s="38">
        <v>44580</v>
      </c>
      <c r="H28" s="36" t="s">
        <v>254</v>
      </c>
      <c r="I28" s="36" t="s">
        <v>49</v>
      </c>
      <c r="J28" s="36"/>
      <c r="K28" s="36"/>
      <c r="L28" s="36"/>
      <c r="M28" s="36"/>
      <c r="N28" s="36"/>
      <c r="O28" s="36"/>
      <c r="P28" s="36"/>
      <c r="Q28" s="36"/>
      <c r="R28" s="36"/>
    </row>
    <row r="29" spans="1:18" x14ac:dyDescent="0.25">
      <c r="A29" s="22" t="s">
        <v>255</v>
      </c>
      <c r="B29" s="22" t="s">
        <v>201</v>
      </c>
      <c r="C29" s="22" t="s">
        <v>202</v>
      </c>
      <c r="D29" s="22" t="s">
        <v>254</v>
      </c>
      <c r="E29" s="22" t="s">
        <v>45</v>
      </c>
      <c r="F29" s="23">
        <v>979421</v>
      </c>
      <c r="G29" s="24">
        <v>44530</v>
      </c>
      <c r="H29" s="22" t="s">
        <v>254</v>
      </c>
      <c r="I29" s="22"/>
      <c r="J29" s="22"/>
      <c r="K29" s="22"/>
      <c r="L29" s="22"/>
      <c r="M29" s="22"/>
      <c r="N29" s="22"/>
      <c r="O29" s="22"/>
      <c r="P29" s="22"/>
      <c r="Q29" s="22"/>
      <c r="R29" s="22"/>
    </row>
    <row r="30" spans="1:18" x14ac:dyDescent="0.25">
      <c r="A30" s="22" t="s">
        <v>255</v>
      </c>
      <c r="B30" s="22" t="s">
        <v>201</v>
      </c>
      <c r="C30" s="22" t="s">
        <v>202</v>
      </c>
      <c r="D30" s="22" t="s">
        <v>254</v>
      </c>
      <c r="E30" s="22" t="s">
        <v>45</v>
      </c>
      <c r="F30" s="23">
        <v>-393853</v>
      </c>
      <c r="G30" s="24">
        <v>44530</v>
      </c>
      <c r="H30" s="22" t="s">
        <v>254</v>
      </c>
      <c r="I30" s="22"/>
      <c r="J30" s="22"/>
      <c r="K30" s="22"/>
      <c r="L30" s="22"/>
      <c r="M30" s="22"/>
      <c r="N30" s="22"/>
      <c r="O30" s="22"/>
      <c r="P30" s="22"/>
      <c r="Q30" s="22"/>
      <c r="R30" s="22"/>
    </row>
    <row r="31" spans="1:18" x14ac:dyDescent="0.25">
      <c r="A31" s="22" t="s">
        <v>255</v>
      </c>
      <c r="B31" s="22" t="s">
        <v>201</v>
      </c>
      <c r="C31" s="22" t="s">
        <v>202</v>
      </c>
      <c r="D31" s="22" t="s">
        <v>256</v>
      </c>
      <c r="E31" s="22" t="s">
        <v>45</v>
      </c>
      <c r="F31" s="23">
        <v>-979421</v>
      </c>
      <c r="G31" s="24">
        <v>44530</v>
      </c>
      <c r="H31" s="22" t="s">
        <v>254</v>
      </c>
      <c r="I31" s="22" t="s">
        <v>257</v>
      </c>
      <c r="J31" s="22"/>
      <c r="K31" s="22"/>
      <c r="L31" s="22"/>
      <c r="M31" s="22"/>
      <c r="N31" s="22"/>
      <c r="O31" s="22"/>
      <c r="P31" s="22"/>
      <c r="Q31" s="22"/>
      <c r="R31" s="22"/>
    </row>
    <row r="32" spans="1:18" s="39" customFormat="1" x14ac:dyDescent="0.25">
      <c r="A32" s="36" t="s">
        <v>259</v>
      </c>
      <c r="B32" s="36" t="s">
        <v>201</v>
      </c>
      <c r="C32" s="36" t="s">
        <v>202</v>
      </c>
      <c r="D32" s="36" t="s">
        <v>258</v>
      </c>
      <c r="E32" s="36" t="s">
        <v>42</v>
      </c>
      <c r="F32" s="37">
        <v>32700</v>
      </c>
      <c r="G32" s="38">
        <v>44537</v>
      </c>
      <c r="H32" s="36" t="s">
        <v>260</v>
      </c>
      <c r="I32" s="36" t="s">
        <v>227</v>
      </c>
      <c r="J32" s="36"/>
      <c r="K32" s="36"/>
      <c r="L32" s="36"/>
      <c r="M32" s="36"/>
      <c r="N32" s="36"/>
      <c r="O32" s="36"/>
      <c r="P32" s="36"/>
      <c r="Q32" s="36"/>
      <c r="R32" s="36"/>
    </row>
    <row r="33" spans="1:18" x14ac:dyDescent="0.25">
      <c r="A33" s="22" t="s">
        <v>261</v>
      </c>
      <c r="B33" s="22" t="s">
        <v>201</v>
      </c>
      <c r="C33" s="22" t="s">
        <v>202</v>
      </c>
      <c r="D33" s="22" t="s">
        <v>260</v>
      </c>
      <c r="E33" s="22" t="s">
        <v>45</v>
      </c>
      <c r="F33" s="23">
        <v>1542692</v>
      </c>
      <c r="G33" s="24">
        <v>44564</v>
      </c>
      <c r="H33" s="22" t="s">
        <v>260</v>
      </c>
      <c r="I33" s="22"/>
      <c r="J33" s="22"/>
      <c r="K33" s="22"/>
      <c r="L33" s="22"/>
      <c r="M33" s="22"/>
      <c r="N33" s="22"/>
      <c r="O33" s="22"/>
      <c r="P33" s="22"/>
      <c r="Q33" s="22"/>
      <c r="R33" s="22"/>
    </row>
    <row r="34" spans="1:18" x14ac:dyDescent="0.25">
      <c r="A34" s="22" t="s">
        <v>261</v>
      </c>
      <c r="B34" s="22" t="s">
        <v>201</v>
      </c>
      <c r="C34" s="22" t="s">
        <v>202</v>
      </c>
      <c r="D34" s="22" t="s">
        <v>260</v>
      </c>
      <c r="E34" s="22" t="s">
        <v>45</v>
      </c>
      <c r="F34" s="23">
        <v>-32700</v>
      </c>
      <c r="G34" s="24">
        <v>44564</v>
      </c>
      <c r="H34" s="22" t="s">
        <v>260</v>
      </c>
      <c r="I34" s="22"/>
      <c r="J34" s="22"/>
      <c r="K34" s="22"/>
      <c r="L34" s="22"/>
      <c r="M34" s="22"/>
      <c r="N34" s="22"/>
      <c r="O34" s="22"/>
      <c r="P34" s="22"/>
      <c r="Q34" s="22"/>
      <c r="R34" s="22"/>
    </row>
    <row r="35" spans="1:18" x14ac:dyDescent="0.25">
      <c r="A35" s="22" t="s">
        <v>261</v>
      </c>
      <c r="B35" s="22" t="s">
        <v>201</v>
      </c>
      <c r="C35" s="22" t="s">
        <v>202</v>
      </c>
      <c r="D35" s="22" t="s">
        <v>262</v>
      </c>
      <c r="E35" s="22" t="s">
        <v>57</v>
      </c>
      <c r="F35" s="23">
        <v>-1542692</v>
      </c>
      <c r="G35" s="24">
        <v>44564</v>
      </c>
      <c r="H35" s="22" t="s">
        <v>260</v>
      </c>
      <c r="I35" s="22" t="s">
        <v>263</v>
      </c>
      <c r="J35" s="22"/>
      <c r="K35" s="22"/>
      <c r="L35" s="22"/>
      <c r="M35" s="22"/>
      <c r="N35" s="22"/>
      <c r="O35" s="22"/>
      <c r="P35" s="22"/>
      <c r="Q35" s="22"/>
      <c r="R35" s="22"/>
    </row>
    <row r="36" spans="1:18" s="39" customFormat="1" x14ac:dyDescent="0.25">
      <c r="A36" s="36" t="s">
        <v>265</v>
      </c>
      <c r="B36" s="36" t="s">
        <v>201</v>
      </c>
      <c r="C36" s="36" t="s">
        <v>202</v>
      </c>
      <c r="D36" s="36" t="s">
        <v>264</v>
      </c>
      <c r="E36" s="36" t="s">
        <v>42</v>
      </c>
      <c r="F36" s="37">
        <v>2753690</v>
      </c>
      <c r="G36" s="38">
        <v>44537</v>
      </c>
      <c r="H36" s="36" t="s">
        <v>266</v>
      </c>
      <c r="I36" s="36" t="s">
        <v>227</v>
      </c>
      <c r="J36" s="36"/>
      <c r="K36" s="36"/>
      <c r="L36" s="36"/>
      <c r="M36" s="36"/>
      <c r="N36" s="36"/>
      <c r="O36" s="36"/>
      <c r="P36" s="36"/>
      <c r="Q36" s="36"/>
      <c r="R36" s="36"/>
    </row>
    <row r="37" spans="1:18" x14ac:dyDescent="0.25">
      <c r="A37" s="22" t="s">
        <v>267</v>
      </c>
      <c r="B37" s="22" t="s">
        <v>201</v>
      </c>
      <c r="C37" s="22" t="s">
        <v>202</v>
      </c>
      <c r="D37" s="22" t="s">
        <v>266</v>
      </c>
      <c r="E37" s="22" t="s">
        <v>45</v>
      </c>
      <c r="F37" s="23">
        <v>419680</v>
      </c>
      <c r="G37" s="24">
        <v>44541</v>
      </c>
      <c r="H37" s="22" t="s">
        <v>266</v>
      </c>
      <c r="I37" s="22"/>
      <c r="J37" s="22"/>
      <c r="K37" s="22"/>
      <c r="L37" s="22"/>
      <c r="M37" s="22"/>
      <c r="N37" s="22"/>
      <c r="O37" s="22"/>
      <c r="P37" s="22"/>
      <c r="Q37" s="22"/>
      <c r="R37" s="22"/>
    </row>
    <row r="38" spans="1:18" x14ac:dyDescent="0.25">
      <c r="A38" s="22" t="s">
        <v>267</v>
      </c>
      <c r="B38" s="22" t="s">
        <v>201</v>
      </c>
      <c r="C38" s="22" t="s">
        <v>202</v>
      </c>
      <c r="D38" s="22" t="s">
        <v>266</v>
      </c>
      <c r="E38" s="22" t="s">
        <v>45</v>
      </c>
      <c r="F38" s="23">
        <v>-2753690</v>
      </c>
      <c r="G38" s="24">
        <v>44541</v>
      </c>
      <c r="H38" s="22" t="s">
        <v>266</v>
      </c>
      <c r="I38" s="22"/>
      <c r="J38" s="22"/>
      <c r="K38" s="22"/>
      <c r="L38" s="22"/>
      <c r="M38" s="22"/>
      <c r="N38" s="22"/>
      <c r="O38" s="22"/>
      <c r="P38" s="22"/>
      <c r="Q38" s="22"/>
      <c r="R38" s="22"/>
    </row>
    <row r="39" spans="1:18" x14ac:dyDescent="0.25">
      <c r="A39" s="22" t="s">
        <v>267</v>
      </c>
      <c r="B39" s="22" t="s">
        <v>201</v>
      </c>
      <c r="C39" s="22" t="s">
        <v>202</v>
      </c>
      <c r="D39" s="22" t="s">
        <v>266</v>
      </c>
      <c r="E39" s="22" t="s">
        <v>45</v>
      </c>
      <c r="F39" s="23">
        <v>2681158</v>
      </c>
      <c r="G39" s="24">
        <v>44541</v>
      </c>
      <c r="H39" s="22" t="s">
        <v>266</v>
      </c>
      <c r="I39" s="22"/>
      <c r="J39" s="22"/>
      <c r="K39" s="22"/>
      <c r="L39" s="22"/>
      <c r="M39" s="22"/>
      <c r="N39" s="22"/>
      <c r="O39" s="22"/>
      <c r="P39" s="22"/>
      <c r="Q39" s="22"/>
      <c r="R39" s="22"/>
    </row>
    <row r="40" spans="1:18" x14ac:dyDescent="0.25">
      <c r="A40" s="22" t="s">
        <v>269</v>
      </c>
      <c r="B40" s="22" t="s">
        <v>201</v>
      </c>
      <c r="C40" s="22" t="s">
        <v>202</v>
      </c>
      <c r="D40" s="22" t="s">
        <v>268</v>
      </c>
      <c r="E40" s="22" t="s">
        <v>57</v>
      </c>
      <c r="F40" s="23">
        <v>-419680</v>
      </c>
      <c r="G40" s="24">
        <v>44503</v>
      </c>
      <c r="H40" s="22" t="s">
        <v>266</v>
      </c>
      <c r="I40" s="22" t="s">
        <v>270</v>
      </c>
      <c r="J40" s="22"/>
      <c r="K40" s="22"/>
      <c r="L40" s="22"/>
      <c r="M40" s="22"/>
      <c r="N40" s="22"/>
      <c r="O40" s="22"/>
      <c r="P40" s="22"/>
      <c r="Q40" s="22"/>
      <c r="R40" s="22"/>
    </row>
    <row r="41" spans="1:18" x14ac:dyDescent="0.25">
      <c r="A41" s="22" t="s">
        <v>267</v>
      </c>
      <c r="B41" s="22" t="s">
        <v>201</v>
      </c>
      <c r="C41" s="22" t="s">
        <v>202</v>
      </c>
      <c r="D41" s="22" t="s">
        <v>271</v>
      </c>
      <c r="E41" s="22" t="s">
        <v>57</v>
      </c>
      <c r="F41" s="23">
        <v>-2681158</v>
      </c>
      <c r="G41" s="24">
        <v>44541</v>
      </c>
      <c r="H41" s="22" t="s">
        <v>266</v>
      </c>
      <c r="I41" s="22" t="s">
        <v>272</v>
      </c>
      <c r="J41" s="22"/>
      <c r="K41" s="22"/>
      <c r="L41" s="22"/>
      <c r="M41" s="22"/>
      <c r="N41" s="22"/>
      <c r="O41" s="22"/>
      <c r="P41" s="22"/>
      <c r="Q41" s="22"/>
      <c r="R41" s="22"/>
    </row>
    <row r="42" spans="1:18" s="39" customFormat="1" x14ac:dyDescent="0.25">
      <c r="A42" s="36" t="s">
        <v>274</v>
      </c>
      <c r="B42" s="36" t="s">
        <v>201</v>
      </c>
      <c r="C42" s="36" t="s">
        <v>202</v>
      </c>
      <c r="D42" s="36" t="s">
        <v>273</v>
      </c>
      <c r="E42" s="36" t="s">
        <v>42</v>
      </c>
      <c r="F42" s="37">
        <v>2320387</v>
      </c>
      <c r="G42" s="38">
        <v>44537</v>
      </c>
      <c r="H42" s="36" t="s">
        <v>275</v>
      </c>
      <c r="I42" s="36" t="s">
        <v>276</v>
      </c>
      <c r="J42" s="36"/>
      <c r="K42" s="36"/>
      <c r="L42" s="36"/>
      <c r="M42" s="36"/>
      <c r="N42" s="36"/>
      <c r="O42" s="36"/>
      <c r="P42" s="36"/>
      <c r="Q42" s="36"/>
      <c r="R42" s="36"/>
    </row>
    <row r="43" spans="1:18" x14ac:dyDescent="0.25">
      <c r="A43" s="22" t="s">
        <v>277</v>
      </c>
      <c r="B43" s="22" t="s">
        <v>201</v>
      </c>
      <c r="C43" s="22" t="s">
        <v>202</v>
      </c>
      <c r="D43" s="22" t="s">
        <v>275</v>
      </c>
      <c r="E43" s="22" t="s">
        <v>45</v>
      </c>
      <c r="F43" s="23">
        <v>2445214</v>
      </c>
      <c r="G43" s="24">
        <v>44503</v>
      </c>
      <c r="H43" s="22" t="s">
        <v>275</v>
      </c>
      <c r="I43" s="22"/>
      <c r="J43" s="22"/>
      <c r="K43" s="22"/>
      <c r="L43" s="22"/>
      <c r="M43" s="22"/>
      <c r="N43" s="22"/>
      <c r="O43" s="22"/>
      <c r="P43" s="22"/>
      <c r="Q43" s="22"/>
      <c r="R43" s="22"/>
    </row>
    <row r="44" spans="1:18" x14ac:dyDescent="0.25">
      <c r="A44" s="22" t="s">
        <v>277</v>
      </c>
      <c r="B44" s="22" t="s">
        <v>201</v>
      </c>
      <c r="C44" s="22" t="s">
        <v>202</v>
      </c>
      <c r="D44" s="22" t="s">
        <v>275</v>
      </c>
      <c r="E44" s="22" t="s">
        <v>45</v>
      </c>
      <c r="F44" s="23">
        <v>-2320387</v>
      </c>
      <c r="G44" s="24">
        <v>44503</v>
      </c>
      <c r="H44" s="22" t="s">
        <v>275</v>
      </c>
      <c r="I44" s="22"/>
      <c r="J44" s="22"/>
      <c r="K44" s="22"/>
      <c r="L44" s="22"/>
      <c r="M44" s="22"/>
      <c r="N44" s="22"/>
      <c r="O44" s="22"/>
      <c r="P44" s="22"/>
      <c r="Q44" s="22"/>
      <c r="R44" s="22"/>
    </row>
    <row r="45" spans="1:18" x14ac:dyDescent="0.25">
      <c r="A45" s="22" t="s">
        <v>279</v>
      </c>
      <c r="B45" s="22" t="s">
        <v>201</v>
      </c>
      <c r="C45" s="22" t="s">
        <v>202</v>
      </c>
      <c r="D45" s="22" t="s">
        <v>278</v>
      </c>
      <c r="E45" s="22" t="s">
        <v>57</v>
      </c>
      <c r="F45" s="23">
        <v>-2062614</v>
      </c>
      <c r="G45" s="24">
        <v>44502</v>
      </c>
      <c r="H45" s="22" t="s">
        <v>275</v>
      </c>
      <c r="I45" s="22" t="s">
        <v>280</v>
      </c>
      <c r="J45" s="22"/>
      <c r="K45" s="22"/>
      <c r="L45" s="22"/>
      <c r="M45" s="22"/>
      <c r="N45" s="22"/>
      <c r="O45" s="22"/>
      <c r="P45" s="22"/>
      <c r="Q45" s="22"/>
      <c r="R45" s="22"/>
    </row>
    <row r="46" spans="1:18" x14ac:dyDescent="0.25">
      <c r="A46" s="22" t="s">
        <v>277</v>
      </c>
      <c r="B46" s="22" t="s">
        <v>201</v>
      </c>
      <c r="C46" s="22" t="s">
        <v>202</v>
      </c>
      <c r="D46" s="22" t="s">
        <v>281</v>
      </c>
      <c r="E46" s="22" t="s">
        <v>57</v>
      </c>
      <c r="F46" s="23">
        <v>-382600</v>
      </c>
      <c r="G46" s="24">
        <v>44503</v>
      </c>
      <c r="H46" s="22" t="s">
        <v>275</v>
      </c>
      <c r="I46" s="22" t="s">
        <v>282</v>
      </c>
      <c r="J46" s="22"/>
      <c r="K46" s="22"/>
      <c r="L46" s="22"/>
      <c r="M46" s="22"/>
      <c r="N46" s="22"/>
      <c r="O46" s="22"/>
      <c r="P46" s="22"/>
      <c r="Q46" s="22"/>
      <c r="R46" s="22"/>
    </row>
    <row r="47" spans="1:18" s="39" customFormat="1" x14ac:dyDescent="0.25">
      <c r="A47" s="36" t="s">
        <v>284</v>
      </c>
      <c r="B47" s="36" t="s">
        <v>201</v>
      </c>
      <c r="C47" s="36" t="s">
        <v>202</v>
      </c>
      <c r="D47" s="36" t="s">
        <v>283</v>
      </c>
      <c r="E47" s="36" t="s">
        <v>42</v>
      </c>
      <c r="F47" s="37">
        <v>345272</v>
      </c>
      <c r="G47" s="38">
        <v>44537</v>
      </c>
      <c r="H47" s="36" t="s">
        <v>285</v>
      </c>
      <c r="I47" s="36" t="s">
        <v>227</v>
      </c>
      <c r="J47" s="36"/>
      <c r="K47" s="36"/>
      <c r="L47" s="36"/>
      <c r="M47" s="36"/>
      <c r="N47" s="36"/>
      <c r="O47" s="36"/>
      <c r="P47" s="36"/>
      <c r="Q47" s="36"/>
      <c r="R47" s="36"/>
    </row>
    <row r="48" spans="1:18" x14ac:dyDescent="0.25">
      <c r="A48" s="22" t="s">
        <v>286</v>
      </c>
      <c r="B48" s="22" t="s">
        <v>201</v>
      </c>
      <c r="C48" s="22" t="s">
        <v>202</v>
      </c>
      <c r="D48" s="22" t="s">
        <v>285</v>
      </c>
      <c r="E48" s="22" t="s">
        <v>45</v>
      </c>
      <c r="F48" s="23">
        <v>320864</v>
      </c>
      <c r="G48" s="24">
        <v>44533</v>
      </c>
      <c r="H48" s="22" t="s">
        <v>285</v>
      </c>
      <c r="I48" s="22"/>
      <c r="J48" s="22"/>
      <c r="K48" s="22"/>
      <c r="L48" s="22"/>
      <c r="M48" s="22"/>
      <c r="N48" s="22"/>
      <c r="O48" s="22"/>
      <c r="P48" s="22"/>
      <c r="Q48" s="22"/>
      <c r="R48" s="22"/>
    </row>
    <row r="49" spans="1:18" x14ac:dyDescent="0.25">
      <c r="A49" s="22" t="s">
        <v>286</v>
      </c>
      <c r="B49" s="22" t="s">
        <v>201</v>
      </c>
      <c r="C49" s="22" t="s">
        <v>202</v>
      </c>
      <c r="D49" s="22" t="s">
        <v>287</v>
      </c>
      <c r="E49" s="22" t="s">
        <v>57</v>
      </c>
      <c r="F49" s="23">
        <v>-666136</v>
      </c>
      <c r="G49" s="24">
        <v>44533</v>
      </c>
      <c r="H49" s="22" t="s">
        <v>285</v>
      </c>
      <c r="I49" s="22" t="s">
        <v>288</v>
      </c>
      <c r="J49" s="22"/>
      <c r="K49" s="22"/>
      <c r="L49" s="22"/>
      <c r="M49" s="22"/>
      <c r="N49" s="22"/>
      <c r="O49" s="22"/>
      <c r="P49" s="22"/>
      <c r="Q49" s="22"/>
      <c r="R49" s="22"/>
    </row>
    <row r="50" spans="1:18" x14ac:dyDescent="0.25">
      <c r="A50" s="22" t="s">
        <v>240</v>
      </c>
      <c r="B50" s="22" t="s">
        <v>201</v>
      </c>
      <c r="C50" s="22" t="s">
        <v>202</v>
      </c>
      <c r="D50" s="22" t="s">
        <v>239</v>
      </c>
      <c r="E50" s="22" t="s">
        <v>45</v>
      </c>
      <c r="F50" s="23">
        <v>-196200</v>
      </c>
      <c r="G50" s="24">
        <v>44505</v>
      </c>
      <c r="H50" s="22" t="s">
        <v>239</v>
      </c>
      <c r="I50" s="22"/>
      <c r="J50" s="22"/>
      <c r="K50" s="22"/>
      <c r="L50" s="22"/>
      <c r="M50" s="22"/>
      <c r="N50" s="22"/>
      <c r="O50" s="22"/>
      <c r="P50" s="22"/>
      <c r="Q50" s="22"/>
      <c r="R50" s="22"/>
    </row>
    <row r="51" spans="1:18" s="39" customFormat="1" x14ac:dyDescent="0.25">
      <c r="A51" s="36" t="s">
        <v>290</v>
      </c>
      <c r="B51" s="36" t="s">
        <v>201</v>
      </c>
      <c r="C51" s="36" t="s">
        <v>202</v>
      </c>
      <c r="D51" s="36" t="s">
        <v>289</v>
      </c>
      <c r="E51" s="36" t="s">
        <v>42</v>
      </c>
      <c r="F51" s="37">
        <v>56289</v>
      </c>
      <c r="G51" s="38">
        <v>44508</v>
      </c>
      <c r="H51" s="36" t="s">
        <v>291</v>
      </c>
      <c r="I51" s="36" t="s">
        <v>292</v>
      </c>
      <c r="J51" s="36"/>
      <c r="K51" s="36"/>
      <c r="L51" s="36"/>
      <c r="M51" s="36"/>
      <c r="N51" s="36"/>
      <c r="O51" s="36"/>
      <c r="P51" s="36"/>
      <c r="Q51" s="36"/>
      <c r="R51" s="36"/>
    </row>
    <row r="52" spans="1:18" x14ac:dyDescent="0.25">
      <c r="A52" s="22" t="s">
        <v>293</v>
      </c>
      <c r="B52" s="22" t="s">
        <v>201</v>
      </c>
      <c r="C52" s="22" t="s">
        <v>202</v>
      </c>
      <c r="D52" s="22" t="s">
        <v>291</v>
      </c>
      <c r="E52" s="22" t="s">
        <v>45</v>
      </c>
      <c r="F52" s="23">
        <v>72000</v>
      </c>
      <c r="G52" s="24">
        <v>44364</v>
      </c>
      <c r="H52" s="22" t="s">
        <v>291</v>
      </c>
      <c r="I52" s="22"/>
      <c r="J52" s="22"/>
      <c r="K52" s="22"/>
      <c r="L52" s="22"/>
      <c r="M52" s="22"/>
      <c r="N52" s="22"/>
      <c r="O52" s="22"/>
      <c r="P52" s="22"/>
      <c r="Q52" s="22"/>
      <c r="R52" s="22"/>
    </row>
    <row r="53" spans="1:18" x14ac:dyDescent="0.25">
      <c r="A53" s="22" t="s">
        <v>293</v>
      </c>
      <c r="B53" s="22" t="s">
        <v>201</v>
      </c>
      <c r="C53" s="22" t="s">
        <v>202</v>
      </c>
      <c r="D53" s="22" t="s">
        <v>291</v>
      </c>
      <c r="E53" s="22" t="s">
        <v>45</v>
      </c>
      <c r="F53" s="23">
        <v>-56289</v>
      </c>
      <c r="G53" s="24">
        <v>44364</v>
      </c>
      <c r="H53" s="22" t="s">
        <v>291</v>
      </c>
      <c r="I53" s="22"/>
      <c r="J53" s="22"/>
      <c r="K53" s="22"/>
      <c r="L53" s="22"/>
      <c r="M53" s="22"/>
      <c r="N53" s="22"/>
      <c r="O53" s="22"/>
      <c r="P53" s="22"/>
      <c r="Q53" s="22"/>
      <c r="R53" s="22"/>
    </row>
    <row r="54" spans="1:18" x14ac:dyDescent="0.25">
      <c r="A54" s="22" t="s">
        <v>295</v>
      </c>
      <c r="B54" s="22" t="s">
        <v>201</v>
      </c>
      <c r="C54" s="22" t="s">
        <v>202</v>
      </c>
      <c r="D54" s="22" t="s">
        <v>294</v>
      </c>
      <c r="E54" s="22" t="s">
        <v>45</v>
      </c>
      <c r="F54" s="23">
        <v>-39300</v>
      </c>
      <c r="G54" s="24">
        <v>44377</v>
      </c>
      <c r="H54" s="22" t="s">
        <v>291</v>
      </c>
      <c r="I54" s="22" t="s">
        <v>296</v>
      </c>
      <c r="J54" s="22"/>
      <c r="K54" s="22"/>
      <c r="L54" s="22"/>
      <c r="M54" s="22"/>
      <c r="N54" s="22"/>
      <c r="O54" s="22"/>
      <c r="P54" s="22"/>
      <c r="Q54" s="22"/>
      <c r="R54" s="22"/>
    </row>
    <row r="55" spans="1:18" x14ac:dyDescent="0.25">
      <c r="A55" s="22" t="s">
        <v>293</v>
      </c>
      <c r="B55" s="22" t="s">
        <v>201</v>
      </c>
      <c r="C55" s="22" t="s">
        <v>202</v>
      </c>
      <c r="D55" s="22" t="s">
        <v>297</v>
      </c>
      <c r="E55" s="22" t="s">
        <v>57</v>
      </c>
      <c r="F55" s="23">
        <v>-32700</v>
      </c>
      <c r="G55" s="24">
        <v>44364</v>
      </c>
      <c r="H55" s="22" t="s">
        <v>291</v>
      </c>
      <c r="I55" s="22" t="s">
        <v>298</v>
      </c>
      <c r="J55" s="22"/>
      <c r="K55" s="22"/>
      <c r="L55" s="22"/>
      <c r="M55" s="22"/>
      <c r="N55" s="22"/>
      <c r="O55" s="22"/>
      <c r="P55" s="22"/>
      <c r="Q55" s="22"/>
      <c r="R55" s="22"/>
    </row>
    <row r="56" spans="1:18" s="39" customFormat="1" x14ac:dyDescent="0.25">
      <c r="A56" s="36" t="s">
        <v>300</v>
      </c>
      <c r="B56" s="36" t="s">
        <v>201</v>
      </c>
      <c r="C56" s="36" t="s">
        <v>202</v>
      </c>
      <c r="D56" s="36" t="s">
        <v>299</v>
      </c>
      <c r="E56" s="36" t="s">
        <v>42</v>
      </c>
      <c r="F56" s="37">
        <v>345272</v>
      </c>
      <c r="G56" s="38">
        <v>44508</v>
      </c>
      <c r="H56" s="36" t="s">
        <v>301</v>
      </c>
      <c r="I56" s="36" t="s">
        <v>292</v>
      </c>
      <c r="J56" s="36"/>
      <c r="K56" s="36"/>
      <c r="L56" s="36"/>
      <c r="M56" s="36"/>
      <c r="N56" s="36"/>
      <c r="O56" s="36"/>
      <c r="P56" s="36"/>
      <c r="Q56" s="36"/>
      <c r="R56" s="36"/>
    </row>
    <row r="57" spans="1:18" x14ac:dyDescent="0.25">
      <c r="A57" s="22" t="s">
        <v>302</v>
      </c>
      <c r="B57" s="22" t="s">
        <v>201</v>
      </c>
      <c r="C57" s="22" t="s">
        <v>202</v>
      </c>
      <c r="D57" s="22" t="s">
        <v>301</v>
      </c>
      <c r="E57" s="22" t="s">
        <v>45</v>
      </c>
      <c r="F57" s="23">
        <v>582972</v>
      </c>
      <c r="G57" s="24">
        <v>44383</v>
      </c>
      <c r="H57" s="22" t="s">
        <v>301</v>
      </c>
      <c r="I57" s="22"/>
      <c r="J57" s="22"/>
      <c r="K57" s="22"/>
      <c r="L57" s="22"/>
      <c r="M57" s="22"/>
      <c r="N57" s="22"/>
      <c r="O57" s="22"/>
      <c r="P57" s="22"/>
      <c r="Q57" s="22"/>
      <c r="R57" s="22"/>
    </row>
    <row r="58" spans="1:18" x14ac:dyDescent="0.25">
      <c r="A58" s="22" t="s">
        <v>302</v>
      </c>
      <c r="B58" s="22" t="s">
        <v>201</v>
      </c>
      <c r="C58" s="22" t="s">
        <v>202</v>
      </c>
      <c r="D58" s="22" t="s">
        <v>301</v>
      </c>
      <c r="E58" s="22" t="s">
        <v>45</v>
      </c>
      <c r="F58" s="23">
        <v>-345272</v>
      </c>
      <c r="G58" s="24">
        <v>44383</v>
      </c>
      <c r="H58" s="22" t="s">
        <v>301</v>
      </c>
      <c r="I58" s="22"/>
      <c r="J58" s="22"/>
      <c r="K58" s="22"/>
      <c r="L58" s="22"/>
      <c r="M58" s="22"/>
      <c r="N58" s="22"/>
      <c r="O58" s="22"/>
      <c r="P58" s="22"/>
      <c r="Q58" s="22"/>
      <c r="R58" s="22"/>
    </row>
    <row r="59" spans="1:18" x14ac:dyDescent="0.25">
      <c r="A59" s="22" t="s">
        <v>302</v>
      </c>
      <c r="B59" s="22" t="s">
        <v>201</v>
      </c>
      <c r="C59" s="22" t="s">
        <v>202</v>
      </c>
      <c r="D59" s="22" t="s">
        <v>303</v>
      </c>
      <c r="E59" s="22" t="s">
        <v>57</v>
      </c>
      <c r="F59" s="23">
        <v>-582972</v>
      </c>
      <c r="G59" s="24">
        <v>44383</v>
      </c>
      <c r="H59" s="22" t="s">
        <v>301</v>
      </c>
      <c r="I59" s="22" t="s">
        <v>304</v>
      </c>
      <c r="J59" s="22"/>
      <c r="K59" s="22"/>
      <c r="L59" s="22"/>
      <c r="M59" s="22"/>
      <c r="N59" s="22"/>
      <c r="O59" s="22"/>
      <c r="P59" s="22"/>
      <c r="Q59" s="22"/>
      <c r="R59" s="22"/>
    </row>
    <row r="60" spans="1:18" s="39" customFormat="1" x14ac:dyDescent="0.25">
      <c r="A60" s="36" t="s">
        <v>306</v>
      </c>
      <c r="B60" s="36" t="s">
        <v>201</v>
      </c>
      <c r="C60" s="36" t="s">
        <v>202</v>
      </c>
      <c r="D60" s="36" t="s">
        <v>305</v>
      </c>
      <c r="E60" s="36" t="s">
        <v>42</v>
      </c>
      <c r="F60" s="37">
        <v>53700</v>
      </c>
      <c r="G60" s="38">
        <v>44508</v>
      </c>
      <c r="H60" s="36" t="s">
        <v>294</v>
      </c>
      <c r="I60" s="36" t="s">
        <v>292</v>
      </c>
      <c r="J60" s="36"/>
      <c r="K60" s="36"/>
      <c r="L60" s="36"/>
      <c r="M60" s="36"/>
      <c r="N60" s="36"/>
      <c r="O60" s="36"/>
      <c r="P60" s="36"/>
      <c r="Q60" s="36"/>
      <c r="R60" s="36"/>
    </row>
    <row r="61" spans="1:18" x14ac:dyDescent="0.25">
      <c r="A61" s="22" t="s">
        <v>295</v>
      </c>
      <c r="B61" s="22" t="s">
        <v>201</v>
      </c>
      <c r="C61" s="22" t="s">
        <v>202</v>
      </c>
      <c r="D61" s="22" t="s">
        <v>294</v>
      </c>
      <c r="E61" s="22" t="s">
        <v>45</v>
      </c>
      <c r="F61" s="23">
        <v>49300</v>
      </c>
      <c r="G61" s="24">
        <v>44377</v>
      </c>
      <c r="H61" s="22" t="s">
        <v>294</v>
      </c>
      <c r="I61" s="22"/>
      <c r="J61" s="22"/>
      <c r="K61" s="22"/>
      <c r="L61" s="22"/>
      <c r="M61" s="22"/>
      <c r="N61" s="22"/>
      <c r="O61" s="22"/>
      <c r="P61" s="22"/>
      <c r="Q61" s="22"/>
      <c r="R61" s="22"/>
    </row>
    <row r="62" spans="1:18" x14ac:dyDescent="0.25">
      <c r="A62" s="22" t="s">
        <v>295</v>
      </c>
      <c r="B62" s="22" t="s">
        <v>201</v>
      </c>
      <c r="C62" s="22" t="s">
        <v>202</v>
      </c>
      <c r="D62" s="22" t="s">
        <v>294</v>
      </c>
      <c r="E62" s="22" t="s">
        <v>45</v>
      </c>
      <c r="F62" s="23">
        <v>43700</v>
      </c>
      <c r="G62" s="24">
        <v>44377</v>
      </c>
      <c r="H62" s="22" t="s">
        <v>294</v>
      </c>
      <c r="I62" s="22"/>
      <c r="J62" s="22"/>
      <c r="K62" s="22"/>
      <c r="L62" s="22"/>
      <c r="M62" s="22"/>
      <c r="N62" s="22"/>
      <c r="O62" s="22"/>
      <c r="P62" s="22"/>
      <c r="Q62" s="22"/>
      <c r="R62" s="22"/>
    </row>
    <row r="63" spans="1:18" x14ac:dyDescent="0.25">
      <c r="A63" s="22" t="s">
        <v>295</v>
      </c>
      <c r="B63" s="22" t="s">
        <v>201</v>
      </c>
      <c r="C63" s="22" t="s">
        <v>202</v>
      </c>
      <c r="D63" s="22" t="s">
        <v>294</v>
      </c>
      <c r="E63" s="22" t="s">
        <v>45</v>
      </c>
      <c r="F63" s="23">
        <v>-53700</v>
      </c>
      <c r="G63" s="24">
        <v>44377</v>
      </c>
      <c r="H63" s="22" t="s">
        <v>294</v>
      </c>
      <c r="I63" s="22"/>
      <c r="J63" s="22"/>
      <c r="K63" s="22"/>
      <c r="L63" s="22"/>
      <c r="M63" s="22"/>
      <c r="N63" s="22"/>
      <c r="O63" s="22"/>
      <c r="P63" s="22"/>
      <c r="Q63" s="22"/>
      <c r="R63" s="22"/>
    </row>
    <row r="64" spans="1:18" x14ac:dyDescent="0.25">
      <c r="A64" s="22" t="s">
        <v>308</v>
      </c>
      <c r="B64" s="22" t="s">
        <v>201</v>
      </c>
      <c r="C64" s="22" t="s">
        <v>202</v>
      </c>
      <c r="D64" s="22" t="s">
        <v>307</v>
      </c>
      <c r="E64" s="22" t="s">
        <v>57</v>
      </c>
      <c r="F64" s="23">
        <v>-43700</v>
      </c>
      <c r="G64" s="24">
        <v>44376</v>
      </c>
      <c r="H64" s="22" t="s">
        <v>294</v>
      </c>
      <c r="I64" s="22" t="s">
        <v>309</v>
      </c>
      <c r="J64" s="22"/>
      <c r="K64" s="22"/>
      <c r="L64" s="22"/>
      <c r="M64" s="22"/>
      <c r="N64" s="22"/>
      <c r="O64" s="22"/>
      <c r="P64" s="22"/>
      <c r="Q64" s="22"/>
      <c r="R64" s="22"/>
    </row>
    <row r="65" spans="1:18" x14ac:dyDescent="0.25">
      <c r="A65" s="22" t="s">
        <v>295</v>
      </c>
      <c r="B65" s="22" t="s">
        <v>201</v>
      </c>
      <c r="C65" s="22" t="s">
        <v>202</v>
      </c>
      <c r="D65" s="22" t="s">
        <v>310</v>
      </c>
      <c r="E65" s="22" t="s">
        <v>57</v>
      </c>
      <c r="F65" s="23">
        <v>-49300</v>
      </c>
      <c r="G65" s="24">
        <v>44377</v>
      </c>
      <c r="H65" s="22" t="s">
        <v>294</v>
      </c>
      <c r="I65" s="22" t="s">
        <v>311</v>
      </c>
      <c r="J65" s="22"/>
      <c r="K65" s="22"/>
      <c r="L65" s="22"/>
      <c r="M65" s="22"/>
      <c r="N65" s="22"/>
      <c r="O65" s="22"/>
      <c r="P65" s="22"/>
      <c r="Q65" s="22"/>
      <c r="R65" s="22"/>
    </row>
    <row r="66" spans="1:18" s="39" customFormat="1" x14ac:dyDescent="0.25">
      <c r="A66" s="36" t="s">
        <v>313</v>
      </c>
      <c r="B66" s="36" t="s">
        <v>201</v>
      </c>
      <c r="C66" s="36" t="s">
        <v>202</v>
      </c>
      <c r="D66" s="36" t="s">
        <v>312</v>
      </c>
      <c r="E66" s="36" t="s">
        <v>42</v>
      </c>
      <c r="F66" s="37">
        <v>325300</v>
      </c>
      <c r="G66" s="38">
        <v>44508</v>
      </c>
      <c r="H66" s="36" t="s">
        <v>314</v>
      </c>
      <c r="I66" s="36" t="s">
        <v>292</v>
      </c>
      <c r="J66" s="36"/>
      <c r="K66" s="36"/>
      <c r="L66" s="36"/>
      <c r="M66" s="36"/>
      <c r="N66" s="36"/>
      <c r="O66" s="36"/>
      <c r="P66" s="36"/>
      <c r="Q66" s="36"/>
      <c r="R66" s="36"/>
    </row>
    <row r="67" spans="1:18" x14ac:dyDescent="0.25">
      <c r="A67" s="22" t="s">
        <v>315</v>
      </c>
      <c r="B67" s="22" t="s">
        <v>201</v>
      </c>
      <c r="C67" s="22" t="s">
        <v>202</v>
      </c>
      <c r="D67" s="22" t="s">
        <v>314</v>
      </c>
      <c r="E67" s="22" t="s">
        <v>45</v>
      </c>
      <c r="F67" s="23">
        <v>530200</v>
      </c>
      <c r="G67" s="24">
        <v>44477</v>
      </c>
      <c r="H67" s="22" t="s">
        <v>314</v>
      </c>
      <c r="I67" s="22"/>
      <c r="J67" s="22"/>
      <c r="K67" s="22"/>
      <c r="L67" s="22"/>
      <c r="M67" s="22"/>
      <c r="N67" s="22"/>
      <c r="O67" s="22"/>
      <c r="P67" s="22"/>
      <c r="Q67" s="22"/>
      <c r="R67" s="22"/>
    </row>
    <row r="68" spans="1:18" x14ac:dyDescent="0.25">
      <c r="A68" s="22" t="s">
        <v>315</v>
      </c>
      <c r="B68" s="22" t="s">
        <v>201</v>
      </c>
      <c r="C68" s="22" t="s">
        <v>202</v>
      </c>
      <c r="D68" s="22" t="s">
        <v>314</v>
      </c>
      <c r="E68" s="22" t="s">
        <v>45</v>
      </c>
      <c r="F68" s="23">
        <v>-325300</v>
      </c>
      <c r="G68" s="24">
        <v>44477</v>
      </c>
      <c r="H68" s="22" t="s">
        <v>314</v>
      </c>
      <c r="I68" s="22"/>
      <c r="J68" s="22"/>
      <c r="K68" s="22"/>
      <c r="L68" s="22"/>
      <c r="M68" s="22"/>
      <c r="N68" s="22"/>
      <c r="O68" s="22"/>
      <c r="P68" s="22"/>
      <c r="Q68" s="22"/>
      <c r="R68" s="22"/>
    </row>
    <row r="69" spans="1:18" x14ac:dyDescent="0.25">
      <c r="A69" s="22" t="s">
        <v>315</v>
      </c>
      <c r="B69" s="22" t="s">
        <v>201</v>
      </c>
      <c r="C69" s="22" t="s">
        <v>202</v>
      </c>
      <c r="D69" s="22" t="s">
        <v>316</v>
      </c>
      <c r="E69" s="22" t="s">
        <v>45</v>
      </c>
      <c r="F69" s="23">
        <v>-261700</v>
      </c>
      <c r="G69" s="24">
        <v>44477</v>
      </c>
      <c r="H69" s="22" t="s">
        <v>314</v>
      </c>
      <c r="I69" s="22" t="s">
        <v>241</v>
      </c>
      <c r="J69" s="22"/>
      <c r="K69" s="22"/>
      <c r="L69" s="22"/>
      <c r="M69" s="22"/>
      <c r="N69" s="22"/>
      <c r="O69" s="22"/>
      <c r="P69" s="22"/>
      <c r="Q69" s="22"/>
      <c r="R69" s="22"/>
    </row>
    <row r="70" spans="1:18" x14ac:dyDescent="0.25">
      <c r="A70" s="22" t="s">
        <v>318</v>
      </c>
      <c r="B70" s="22" t="s">
        <v>201</v>
      </c>
      <c r="C70" s="22" t="s">
        <v>202</v>
      </c>
      <c r="D70" s="22" t="s">
        <v>317</v>
      </c>
      <c r="E70" s="22" t="s">
        <v>57</v>
      </c>
      <c r="F70" s="23">
        <v>-106300</v>
      </c>
      <c r="G70" s="24">
        <v>44480</v>
      </c>
      <c r="H70" s="22" t="s">
        <v>314</v>
      </c>
      <c r="I70" s="22" t="s">
        <v>319</v>
      </c>
      <c r="J70" s="22"/>
      <c r="K70" s="22"/>
      <c r="L70" s="22"/>
      <c r="M70" s="22"/>
      <c r="N70" s="22"/>
      <c r="O70" s="22"/>
      <c r="P70" s="22"/>
      <c r="Q70" s="22"/>
      <c r="R70" s="22"/>
    </row>
    <row r="71" spans="1:18" x14ac:dyDescent="0.25">
      <c r="A71" s="22" t="s">
        <v>321</v>
      </c>
      <c r="B71" s="22" t="s">
        <v>201</v>
      </c>
      <c r="C71" s="22" t="s">
        <v>202</v>
      </c>
      <c r="D71" s="22" t="s">
        <v>320</v>
      </c>
      <c r="E71" s="22" t="s">
        <v>57</v>
      </c>
      <c r="F71" s="23">
        <v>-32700</v>
      </c>
      <c r="G71" s="24">
        <v>44477</v>
      </c>
      <c r="H71" s="22" t="s">
        <v>314</v>
      </c>
      <c r="I71" s="22" t="s">
        <v>212</v>
      </c>
      <c r="J71" s="22"/>
      <c r="K71" s="22"/>
      <c r="L71" s="22"/>
      <c r="M71" s="22"/>
      <c r="N71" s="22"/>
      <c r="O71" s="22"/>
      <c r="P71" s="22"/>
      <c r="Q71" s="22"/>
      <c r="R71" s="22"/>
    </row>
    <row r="72" spans="1:18" x14ac:dyDescent="0.25">
      <c r="A72" s="22" t="s">
        <v>323</v>
      </c>
      <c r="B72" s="22" t="s">
        <v>201</v>
      </c>
      <c r="C72" s="22" t="s">
        <v>202</v>
      </c>
      <c r="D72" s="22" t="s">
        <v>322</v>
      </c>
      <c r="E72" s="22" t="s">
        <v>57</v>
      </c>
      <c r="F72" s="23">
        <v>-42500</v>
      </c>
      <c r="G72" s="24">
        <v>44476</v>
      </c>
      <c r="H72" s="22" t="s">
        <v>314</v>
      </c>
      <c r="I72" s="22" t="s">
        <v>324</v>
      </c>
      <c r="J72" s="22"/>
      <c r="K72" s="22"/>
      <c r="L72" s="22"/>
      <c r="M72" s="22"/>
      <c r="N72" s="22"/>
      <c r="O72" s="22"/>
      <c r="P72" s="22"/>
      <c r="Q72" s="22"/>
      <c r="R72" s="22"/>
    </row>
    <row r="73" spans="1:18" x14ac:dyDescent="0.25">
      <c r="A73" s="22" t="s">
        <v>326</v>
      </c>
      <c r="B73" s="22" t="s">
        <v>201</v>
      </c>
      <c r="C73" s="22" t="s">
        <v>202</v>
      </c>
      <c r="D73" s="22" t="s">
        <v>325</v>
      </c>
      <c r="E73" s="22" t="s">
        <v>57</v>
      </c>
      <c r="F73" s="23">
        <v>-44200</v>
      </c>
      <c r="G73" s="24">
        <v>44475</v>
      </c>
      <c r="H73" s="22" t="s">
        <v>314</v>
      </c>
      <c r="I73" s="22" t="s">
        <v>212</v>
      </c>
      <c r="J73" s="22"/>
      <c r="K73" s="22"/>
      <c r="L73" s="22"/>
      <c r="M73" s="22"/>
      <c r="N73" s="22"/>
      <c r="O73" s="22"/>
      <c r="P73" s="22"/>
      <c r="Q73" s="22"/>
      <c r="R73" s="22"/>
    </row>
    <row r="74" spans="1:18" x14ac:dyDescent="0.25">
      <c r="A74" s="22" t="s">
        <v>328</v>
      </c>
      <c r="B74" s="22" t="s">
        <v>201</v>
      </c>
      <c r="C74" s="22" t="s">
        <v>202</v>
      </c>
      <c r="D74" s="22" t="s">
        <v>327</v>
      </c>
      <c r="E74" s="22" t="s">
        <v>57</v>
      </c>
      <c r="F74" s="23">
        <v>-32700</v>
      </c>
      <c r="G74" s="24">
        <v>44474</v>
      </c>
      <c r="H74" s="22" t="s">
        <v>314</v>
      </c>
      <c r="I74" s="22" t="s">
        <v>329</v>
      </c>
      <c r="J74" s="22"/>
      <c r="K74" s="22"/>
      <c r="L74" s="22"/>
      <c r="M74" s="22"/>
      <c r="N74" s="22"/>
      <c r="O74" s="22"/>
      <c r="P74" s="22"/>
      <c r="Q74" s="22"/>
      <c r="R74" s="22"/>
    </row>
    <row r="75" spans="1:18" x14ac:dyDescent="0.25">
      <c r="A75" s="22" t="s">
        <v>331</v>
      </c>
      <c r="B75" s="22" t="s">
        <v>201</v>
      </c>
      <c r="C75" s="22" t="s">
        <v>202</v>
      </c>
      <c r="D75" s="22" t="s">
        <v>330</v>
      </c>
      <c r="E75" s="22" t="s">
        <v>57</v>
      </c>
      <c r="F75" s="23">
        <v>-192100</v>
      </c>
      <c r="G75" s="24">
        <v>44516</v>
      </c>
      <c r="H75" s="22" t="s">
        <v>239</v>
      </c>
      <c r="I75" s="22" t="s">
        <v>332</v>
      </c>
      <c r="J75" s="22"/>
      <c r="K75" s="22"/>
      <c r="L75" s="22"/>
      <c r="M75" s="22"/>
      <c r="N75" s="22"/>
      <c r="O75" s="22"/>
      <c r="P75" s="22"/>
      <c r="Q75" s="22"/>
      <c r="R75" s="22"/>
    </row>
    <row r="76" spans="1:18" x14ac:dyDescent="0.25">
      <c r="A76" s="22" t="s">
        <v>240</v>
      </c>
      <c r="B76" s="22" t="s">
        <v>201</v>
      </c>
      <c r="C76" s="22" t="s">
        <v>202</v>
      </c>
      <c r="D76" s="22" t="s">
        <v>333</v>
      </c>
      <c r="E76" s="22" t="s">
        <v>57</v>
      </c>
      <c r="F76" s="23">
        <v>-47200</v>
      </c>
      <c r="G76" s="24">
        <v>44505</v>
      </c>
      <c r="H76" s="22" t="s">
        <v>239</v>
      </c>
      <c r="I76" s="22" t="s">
        <v>319</v>
      </c>
      <c r="J76" s="22"/>
      <c r="K76" s="22"/>
      <c r="L76" s="22"/>
      <c r="M76" s="22"/>
      <c r="N76" s="22"/>
      <c r="O76" s="22"/>
      <c r="P76" s="22"/>
      <c r="Q76" s="22"/>
      <c r="R76" s="22"/>
    </row>
    <row r="77" spans="1:18" x14ac:dyDescent="0.25">
      <c r="A77" s="22" t="s">
        <v>335</v>
      </c>
      <c r="B77" s="22" t="s">
        <v>201</v>
      </c>
      <c r="C77" s="22" t="s">
        <v>202</v>
      </c>
      <c r="D77" s="22" t="s">
        <v>334</v>
      </c>
      <c r="E77" s="22" t="s">
        <v>45</v>
      </c>
      <c r="F77" s="23">
        <v>32700</v>
      </c>
      <c r="G77" s="24">
        <v>44508</v>
      </c>
      <c r="H77" s="22" t="s">
        <v>334</v>
      </c>
      <c r="I77" s="22" t="s">
        <v>230</v>
      </c>
      <c r="J77" s="22"/>
      <c r="K77" s="22"/>
      <c r="L77" s="22"/>
      <c r="M77" s="22"/>
      <c r="N77" s="22"/>
      <c r="O77" s="22"/>
      <c r="P77" s="22"/>
      <c r="Q77" s="22"/>
      <c r="R77" s="22"/>
    </row>
    <row r="78" spans="1:18" x14ac:dyDescent="0.25">
      <c r="A78" s="22" t="s">
        <v>335</v>
      </c>
      <c r="B78" s="22" t="s">
        <v>201</v>
      </c>
      <c r="C78" s="22" t="s">
        <v>202</v>
      </c>
      <c r="D78" s="22" t="s">
        <v>334</v>
      </c>
      <c r="E78" s="22" t="s">
        <v>45</v>
      </c>
      <c r="F78" s="23">
        <v>-32700</v>
      </c>
      <c r="G78" s="24">
        <v>44508</v>
      </c>
      <c r="H78" s="22" t="s">
        <v>334</v>
      </c>
      <c r="I78" s="22" t="s">
        <v>230</v>
      </c>
      <c r="J78" s="22"/>
      <c r="K78" s="22"/>
      <c r="L78" s="22"/>
      <c r="M78" s="22"/>
      <c r="N78" s="22"/>
      <c r="O78" s="22"/>
      <c r="P78" s="22"/>
      <c r="Q78" s="22"/>
      <c r="R78" s="22"/>
    </row>
    <row r="79" spans="1:18" s="39" customFormat="1" x14ac:dyDescent="0.25">
      <c r="A79" s="36" t="s">
        <v>335</v>
      </c>
      <c r="B79" s="36" t="s">
        <v>201</v>
      </c>
      <c r="C79" s="36" t="s">
        <v>202</v>
      </c>
      <c r="D79" s="36" t="s">
        <v>336</v>
      </c>
      <c r="E79" s="36" t="s">
        <v>42</v>
      </c>
      <c r="F79" s="37">
        <v>32700</v>
      </c>
      <c r="G79" s="38">
        <v>44508</v>
      </c>
      <c r="H79" s="36" t="s">
        <v>334</v>
      </c>
      <c r="I79" s="36" t="s">
        <v>292</v>
      </c>
      <c r="J79" s="36"/>
      <c r="K79" s="36"/>
      <c r="L79" s="36"/>
      <c r="M79" s="36"/>
      <c r="N79" s="36"/>
      <c r="O79" s="36"/>
      <c r="P79" s="36"/>
      <c r="Q79" s="36"/>
      <c r="R79" s="36"/>
    </row>
    <row r="80" spans="1:18" x14ac:dyDescent="0.25">
      <c r="A80" s="22" t="s">
        <v>338</v>
      </c>
      <c r="B80" s="22" t="s">
        <v>201</v>
      </c>
      <c r="C80" s="22" t="s">
        <v>202</v>
      </c>
      <c r="D80" s="22" t="s">
        <v>337</v>
      </c>
      <c r="E80" s="22" t="s">
        <v>57</v>
      </c>
      <c r="F80" s="23">
        <v>-32700</v>
      </c>
      <c r="G80" s="24">
        <v>44547</v>
      </c>
      <c r="H80" s="22" t="s">
        <v>334</v>
      </c>
      <c r="I80" s="22" t="s">
        <v>339</v>
      </c>
      <c r="J80" s="22"/>
      <c r="K80" s="22"/>
      <c r="L80" s="22"/>
      <c r="M80" s="22"/>
      <c r="N80" s="22"/>
      <c r="O80" s="22"/>
      <c r="P80" s="22"/>
      <c r="Q80" s="22"/>
      <c r="R80" s="22"/>
    </row>
    <row r="81" spans="1:18" s="39" customFormat="1" x14ac:dyDescent="0.25">
      <c r="A81" s="36" t="s">
        <v>341</v>
      </c>
      <c r="B81" s="36" t="s">
        <v>201</v>
      </c>
      <c r="C81" s="36" t="s">
        <v>202</v>
      </c>
      <c r="D81" s="36" t="s">
        <v>340</v>
      </c>
      <c r="E81" s="36" t="s">
        <v>42</v>
      </c>
      <c r="F81" s="37">
        <v>1974983</v>
      </c>
      <c r="G81" s="38">
        <v>44537</v>
      </c>
      <c r="H81" s="36" t="s">
        <v>342</v>
      </c>
      <c r="I81" s="36" t="s">
        <v>227</v>
      </c>
      <c r="J81" s="36"/>
      <c r="K81" s="36"/>
      <c r="L81" s="36"/>
      <c r="M81" s="36"/>
      <c r="N81" s="36"/>
      <c r="O81" s="36"/>
      <c r="P81" s="36"/>
      <c r="Q81" s="36"/>
      <c r="R81" s="36"/>
    </row>
    <row r="82" spans="1:18" x14ac:dyDescent="0.25">
      <c r="A82" s="22" t="s">
        <v>341</v>
      </c>
      <c r="B82" s="22" t="s">
        <v>201</v>
      </c>
      <c r="C82" s="22" t="s">
        <v>202</v>
      </c>
      <c r="D82" s="22" t="s">
        <v>342</v>
      </c>
      <c r="E82" s="22" t="s">
        <v>45</v>
      </c>
      <c r="F82" s="23">
        <v>-1974983</v>
      </c>
      <c r="G82" s="24">
        <v>44537</v>
      </c>
      <c r="H82" s="22" t="s">
        <v>342</v>
      </c>
      <c r="I82" s="22"/>
      <c r="J82" s="22"/>
      <c r="K82" s="22"/>
      <c r="L82" s="22"/>
      <c r="M82" s="22"/>
      <c r="N82" s="22"/>
      <c r="O82" s="22"/>
      <c r="P82" s="22"/>
      <c r="Q82" s="22"/>
      <c r="R82" s="22"/>
    </row>
    <row r="83" spans="1:18" x14ac:dyDescent="0.25">
      <c r="A83" s="22" t="s">
        <v>341</v>
      </c>
      <c r="B83" s="22" t="s">
        <v>201</v>
      </c>
      <c r="C83" s="22" t="s">
        <v>202</v>
      </c>
      <c r="D83" s="22" t="s">
        <v>342</v>
      </c>
      <c r="E83" s="22" t="s">
        <v>45</v>
      </c>
      <c r="F83" s="23">
        <v>340570</v>
      </c>
      <c r="G83" s="24">
        <v>44537</v>
      </c>
      <c r="H83" s="22" t="s">
        <v>342</v>
      </c>
      <c r="I83" s="22"/>
      <c r="J83" s="22"/>
      <c r="K83" s="22"/>
      <c r="L83" s="22"/>
      <c r="M83" s="22"/>
      <c r="N83" s="22"/>
      <c r="O83" s="22"/>
      <c r="P83" s="22"/>
      <c r="Q83" s="22"/>
      <c r="R83" s="22"/>
    </row>
    <row r="84" spans="1:18" x14ac:dyDescent="0.25">
      <c r="A84" s="22" t="s">
        <v>344</v>
      </c>
      <c r="B84" s="22" t="s">
        <v>201</v>
      </c>
      <c r="C84" s="22" t="s">
        <v>202</v>
      </c>
      <c r="D84" s="22" t="s">
        <v>343</v>
      </c>
      <c r="E84" s="22" t="s">
        <v>57</v>
      </c>
      <c r="F84" s="23">
        <v>-340570</v>
      </c>
      <c r="G84" s="24">
        <v>44491</v>
      </c>
      <c r="H84" s="22" t="s">
        <v>342</v>
      </c>
      <c r="I84" s="22" t="s">
        <v>345</v>
      </c>
      <c r="J84" s="22"/>
      <c r="K84" s="22"/>
      <c r="L84" s="22"/>
      <c r="M84" s="22"/>
      <c r="N84" s="22"/>
      <c r="O84" s="22"/>
      <c r="P84" s="22"/>
      <c r="Q84" s="22"/>
      <c r="R84" s="22"/>
    </row>
    <row r="85" spans="1:18" s="39" customFormat="1" x14ac:dyDescent="0.25">
      <c r="A85" s="36" t="s">
        <v>347</v>
      </c>
      <c r="B85" s="36" t="s">
        <v>201</v>
      </c>
      <c r="C85" s="36" t="s">
        <v>202</v>
      </c>
      <c r="D85" s="36" t="s">
        <v>346</v>
      </c>
      <c r="E85" s="36" t="s">
        <v>42</v>
      </c>
      <c r="F85" s="37">
        <v>56289</v>
      </c>
      <c r="G85" s="38">
        <v>44537</v>
      </c>
      <c r="H85" s="36" t="s">
        <v>348</v>
      </c>
      <c r="I85" s="36" t="s">
        <v>227</v>
      </c>
      <c r="J85" s="36"/>
      <c r="K85" s="36"/>
      <c r="L85" s="36"/>
      <c r="M85" s="36"/>
      <c r="N85" s="36"/>
      <c r="O85" s="36"/>
      <c r="P85" s="36"/>
      <c r="Q85" s="36"/>
      <c r="R85" s="36"/>
    </row>
    <row r="86" spans="1:18" x14ac:dyDescent="0.25">
      <c r="A86" s="22" t="s">
        <v>349</v>
      </c>
      <c r="B86" s="22" t="s">
        <v>201</v>
      </c>
      <c r="C86" s="22" t="s">
        <v>202</v>
      </c>
      <c r="D86" s="22" t="s">
        <v>348</v>
      </c>
      <c r="E86" s="22" t="s">
        <v>45</v>
      </c>
      <c r="F86" s="23">
        <v>72146</v>
      </c>
      <c r="G86" s="24">
        <v>44479</v>
      </c>
      <c r="H86" s="22" t="s">
        <v>348</v>
      </c>
      <c r="I86" s="22"/>
      <c r="J86" s="22"/>
      <c r="K86" s="22"/>
      <c r="L86" s="22"/>
      <c r="M86" s="22"/>
      <c r="N86" s="22"/>
      <c r="O86" s="22"/>
      <c r="P86" s="22"/>
      <c r="Q86" s="22"/>
      <c r="R86" s="22"/>
    </row>
    <row r="87" spans="1:18" x14ac:dyDescent="0.25">
      <c r="A87" s="22" t="s">
        <v>349</v>
      </c>
      <c r="B87" s="22" t="s">
        <v>201</v>
      </c>
      <c r="C87" s="22" t="s">
        <v>202</v>
      </c>
      <c r="D87" s="22" t="s">
        <v>348</v>
      </c>
      <c r="E87" s="22" t="s">
        <v>45</v>
      </c>
      <c r="F87" s="23">
        <v>-56289</v>
      </c>
      <c r="G87" s="24">
        <v>44479</v>
      </c>
      <c r="H87" s="22" t="s">
        <v>348</v>
      </c>
      <c r="I87" s="22"/>
      <c r="J87" s="22"/>
      <c r="K87" s="22"/>
      <c r="L87" s="22"/>
      <c r="M87" s="22"/>
      <c r="N87" s="22"/>
      <c r="O87" s="22"/>
      <c r="P87" s="22"/>
      <c r="Q87" s="22"/>
      <c r="R87" s="22"/>
    </row>
    <row r="88" spans="1:18" x14ac:dyDescent="0.25">
      <c r="A88" s="22" t="s">
        <v>349</v>
      </c>
      <c r="B88" s="22" t="s">
        <v>201</v>
      </c>
      <c r="C88" s="22" t="s">
        <v>202</v>
      </c>
      <c r="D88" s="22" t="s">
        <v>350</v>
      </c>
      <c r="E88" s="22" t="s">
        <v>45</v>
      </c>
      <c r="F88" s="23">
        <v>-72146</v>
      </c>
      <c r="G88" s="24">
        <v>44479</v>
      </c>
      <c r="H88" s="22" t="s">
        <v>348</v>
      </c>
      <c r="I88" s="22" t="s">
        <v>351</v>
      </c>
      <c r="J88" s="22"/>
      <c r="K88" s="22"/>
      <c r="L88" s="22"/>
      <c r="M88" s="22"/>
      <c r="N88" s="22"/>
      <c r="O88" s="22"/>
      <c r="P88" s="22"/>
      <c r="Q88" s="22"/>
      <c r="R88" s="22"/>
    </row>
    <row r="89" spans="1:18" s="39" customFormat="1" x14ac:dyDescent="0.25">
      <c r="A89" s="36" t="s">
        <v>353</v>
      </c>
      <c r="B89" s="36" t="s">
        <v>201</v>
      </c>
      <c r="C89" s="36" t="s">
        <v>202</v>
      </c>
      <c r="D89" s="36" t="s">
        <v>352</v>
      </c>
      <c r="E89" s="36" t="s">
        <v>42</v>
      </c>
      <c r="F89" s="37">
        <v>2460849</v>
      </c>
      <c r="G89" s="38">
        <v>44508</v>
      </c>
      <c r="H89" s="36" t="s">
        <v>354</v>
      </c>
      <c r="I89" s="36" t="s">
        <v>292</v>
      </c>
      <c r="J89" s="36"/>
      <c r="K89" s="36"/>
      <c r="L89" s="36"/>
      <c r="M89" s="36"/>
      <c r="N89" s="36"/>
      <c r="O89" s="36"/>
      <c r="P89" s="36"/>
      <c r="Q89" s="36"/>
      <c r="R89" s="36"/>
    </row>
    <row r="90" spans="1:18" x14ac:dyDescent="0.25">
      <c r="A90" s="22" t="s">
        <v>355</v>
      </c>
      <c r="B90" s="22" t="s">
        <v>201</v>
      </c>
      <c r="C90" s="22" t="s">
        <v>202</v>
      </c>
      <c r="D90" s="22" t="s">
        <v>354</v>
      </c>
      <c r="E90" s="22" t="s">
        <v>45</v>
      </c>
      <c r="F90" s="23">
        <v>3632998</v>
      </c>
      <c r="G90" s="24">
        <v>44375</v>
      </c>
      <c r="H90" s="22" t="s">
        <v>354</v>
      </c>
      <c r="I90" s="22"/>
      <c r="J90" s="22"/>
      <c r="K90" s="22"/>
      <c r="L90" s="22"/>
      <c r="M90" s="22"/>
      <c r="N90" s="22"/>
      <c r="O90" s="22"/>
      <c r="P90" s="22"/>
      <c r="Q90" s="22"/>
      <c r="R90" s="22"/>
    </row>
    <row r="91" spans="1:18" x14ac:dyDescent="0.25">
      <c r="A91" s="22" t="s">
        <v>355</v>
      </c>
      <c r="B91" s="22" t="s">
        <v>201</v>
      </c>
      <c r="C91" s="22" t="s">
        <v>202</v>
      </c>
      <c r="D91" s="22" t="s">
        <v>354</v>
      </c>
      <c r="E91" s="22" t="s">
        <v>45</v>
      </c>
      <c r="F91" s="23">
        <v>-2460849</v>
      </c>
      <c r="G91" s="24">
        <v>44375</v>
      </c>
      <c r="H91" s="22" t="s">
        <v>354</v>
      </c>
      <c r="I91" s="22"/>
      <c r="J91" s="22"/>
      <c r="K91" s="22"/>
      <c r="L91" s="22"/>
      <c r="M91" s="22"/>
      <c r="N91" s="22"/>
      <c r="O91" s="22"/>
      <c r="P91" s="22"/>
      <c r="Q91" s="22"/>
      <c r="R91" s="22"/>
    </row>
    <row r="92" spans="1:18" x14ac:dyDescent="0.25">
      <c r="A92" s="22" t="s">
        <v>355</v>
      </c>
      <c r="B92" s="22" t="s">
        <v>201</v>
      </c>
      <c r="C92" s="22" t="s">
        <v>202</v>
      </c>
      <c r="D92" s="22" t="s">
        <v>356</v>
      </c>
      <c r="E92" s="22" t="s">
        <v>45</v>
      </c>
      <c r="F92" s="23">
        <v>-3632998</v>
      </c>
      <c r="G92" s="24">
        <v>44375</v>
      </c>
      <c r="H92" s="22" t="s">
        <v>354</v>
      </c>
      <c r="I92" s="22" t="s">
        <v>357</v>
      </c>
      <c r="J92" s="22"/>
      <c r="K92" s="22"/>
      <c r="L92" s="22"/>
      <c r="M92" s="22"/>
      <c r="N92" s="22"/>
      <c r="O92" s="22"/>
      <c r="P92" s="22"/>
      <c r="Q92" s="22"/>
      <c r="R92" s="22"/>
    </row>
    <row r="93" spans="1:18" s="39" customFormat="1" x14ac:dyDescent="0.25">
      <c r="A93" s="36" t="s">
        <v>359</v>
      </c>
      <c r="B93" s="36" t="s">
        <v>201</v>
      </c>
      <c r="C93" s="36" t="s">
        <v>202</v>
      </c>
      <c r="D93" s="36" t="s">
        <v>358</v>
      </c>
      <c r="E93" s="36" t="s">
        <v>42</v>
      </c>
      <c r="F93" s="37">
        <v>2753690</v>
      </c>
      <c r="G93" s="38">
        <v>44508</v>
      </c>
      <c r="H93" s="36" t="s">
        <v>356</v>
      </c>
      <c r="I93" s="36" t="s">
        <v>292</v>
      </c>
      <c r="J93" s="36"/>
      <c r="K93" s="36"/>
      <c r="L93" s="36"/>
      <c r="M93" s="36"/>
      <c r="N93" s="36"/>
      <c r="O93" s="36"/>
      <c r="P93" s="36"/>
      <c r="Q93" s="36"/>
      <c r="R93" s="36"/>
    </row>
    <row r="94" spans="1:18" x14ac:dyDescent="0.25">
      <c r="A94" s="22" t="s">
        <v>355</v>
      </c>
      <c r="B94" s="22" t="s">
        <v>201</v>
      </c>
      <c r="C94" s="22" t="s">
        <v>202</v>
      </c>
      <c r="D94" s="22" t="s">
        <v>356</v>
      </c>
      <c r="E94" s="22" t="s">
        <v>45</v>
      </c>
      <c r="F94" s="23">
        <v>6386688</v>
      </c>
      <c r="G94" s="24">
        <v>44375</v>
      </c>
      <c r="H94" s="22" t="s">
        <v>356</v>
      </c>
      <c r="I94" s="22"/>
      <c r="J94" s="22"/>
      <c r="K94" s="22"/>
      <c r="L94" s="22"/>
      <c r="M94" s="22"/>
      <c r="N94" s="22"/>
      <c r="O94" s="22"/>
      <c r="P94" s="22"/>
      <c r="Q94" s="22"/>
      <c r="R94" s="22"/>
    </row>
    <row r="95" spans="1:18" x14ac:dyDescent="0.25">
      <c r="A95" s="22" t="s">
        <v>355</v>
      </c>
      <c r="B95" s="22" t="s">
        <v>201</v>
      </c>
      <c r="C95" s="22" t="s">
        <v>202</v>
      </c>
      <c r="D95" s="22" t="s">
        <v>356</v>
      </c>
      <c r="E95" s="22" t="s">
        <v>45</v>
      </c>
      <c r="F95" s="23">
        <v>-2753690</v>
      </c>
      <c r="G95" s="24">
        <v>44375</v>
      </c>
      <c r="H95" s="22" t="s">
        <v>356</v>
      </c>
      <c r="I95" s="22"/>
      <c r="J95" s="22"/>
      <c r="K95" s="22"/>
      <c r="L95" s="22"/>
      <c r="M95" s="22"/>
      <c r="N95" s="22"/>
      <c r="O95" s="22"/>
      <c r="P95" s="22"/>
      <c r="Q95" s="22"/>
      <c r="R95" s="22"/>
    </row>
    <row r="96" spans="1:18" x14ac:dyDescent="0.25">
      <c r="A96" s="22" t="s">
        <v>361</v>
      </c>
      <c r="B96" s="22" t="s">
        <v>201</v>
      </c>
      <c r="C96" s="22" t="s">
        <v>202</v>
      </c>
      <c r="D96" s="22" t="s">
        <v>360</v>
      </c>
      <c r="E96" s="22" t="s">
        <v>45</v>
      </c>
      <c r="F96" s="23">
        <v>-1302886</v>
      </c>
      <c r="G96" s="24">
        <v>44389</v>
      </c>
      <c r="H96" s="22" t="s">
        <v>356</v>
      </c>
      <c r="I96" s="22" t="s">
        <v>362</v>
      </c>
      <c r="J96" s="22"/>
      <c r="K96" s="22"/>
      <c r="L96" s="22"/>
      <c r="M96" s="22"/>
      <c r="N96" s="22"/>
      <c r="O96" s="22"/>
      <c r="P96" s="22"/>
      <c r="Q96" s="22"/>
      <c r="R96" s="22"/>
    </row>
    <row r="97" spans="1:18" x14ac:dyDescent="0.25">
      <c r="A97" s="22" t="s">
        <v>302</v>
      </c>
      <c r="B97" s="22" t="s">
        <v>201</v>
      </c>
      <c r="C97" s="22" t="s">
        <v>202</v>
      </c>
      <c r="D97" s="22" t="s">
        <v>301</v>
      </c>
      <c r="E97" s="22" t="s">
        <v>45</v>
      </c>
      <c r="F97" s="23">
        <v>-237700</v>
      </c>
      <c r="G97" s="24">
        <v>44383</v>
      </c>
      <c r="H97" s="22" t="s">
        <v>356</v>
      </c>
      <c r="I97" s="22" t="s">
        <v>363</v>
      </c>
      <c r="J97" s="22"/>
      <c r="K97" s="22"/>
      <c r="L97" s="22"/>
      <c r="M97" s="22"/>
      <c r="N97" s="22"/>
      <c r="O97" s="22"/>
      <c r="P97" s="22"/>
      <c r="Q97" s="22"/>
      <c r="R97" s="22"/>
    </row>
    <row r="98" spans="1:18" x14ac:dyDescent="0.25">
      <c r="A98" s="22" t="s">
        <v>355</v>
      </c>
      <c r="B98" s="22" t="s">
        <v>201</v>
      </c>
      <c r="C98" s="22" t="s">
        <v>202</v>
      </c>
      <c r="D98" s="22" t="s">
        <v>364</v>
      </c>
      <c r="E98" s="22" t="s">
        <v>57</v>
      </c>
      <c r="F98" s="23">
        <v>-4846102</v>
      </c>
      <c r="G98" s="24">
        <v>44375</v>
      </c>
      <c r="H98" s="22" t="s">
        <v>356</v>
      </c>
      <c r="I98" s="22" t="s">
        <v>365</v>
      </c>
      <c r="J98" s="22"/>
      <c r="K98" s="22"/>
      <c r="L98" s="22"/>
      <c r="M98" s="22"/>
      <c r="N98" s="22"/>
      <c r="O98" s="22"/>
      <c r="P98" s="22"/>
      <c r="Q98" s="22"/>
      <c r="R98" s="22"/>
    </row>
    <row r="99" spans="1:18" x14ac:dyDescent="0.25">
      <c r="A99" s="22" t="s">
        <v>367</v>
      </c>
      <c r="B99" s="22" t="s">
        <v>201</v>
      </c>
      <c r="C99" s="22" t="s">
        <v>202</v>
      </c>
      <c r="D99" s="22" t="s">
        <v>366</v>
      </c>
      <c r="E99" s="22" t="s">
        <v>57</v>
      </c>
      <c r="F99" s="23">
        <v>-202124</v>
      </c>
      <c r="G99" s="24">
        <v>44512</v>
      </c>
      <c r="H99" s="22" t="s">
        <v>368</v>
      </c>
      <c r="I99" s="22" t="s">
        <v>369</v>
      </c>
      <c r="J99" s="22"/>
      <c r="K99" s="22"/>
      <c r="L99" s="22"/>
      <c r="M99" s="22"/>
      <c r="N99" s="22"/>
      <c r="O99" s="22"/>
      <c r="P99" s="22"/>
      <c r="Q99" s="22"/>
      <c r="R99" s="22"/>
    </row>
    <row r="100" spans="1:18" x14ac:dyDescent="0.25">
      <c r="A100" s="22" t="s">
        <v>371</v>
      </c>
      <c r="B100" s="22" t="s">
        <v>201</v>
      </c>
      <c r="C100" s="22" t="s">
        <v>202</v>
      </c>
      <c r="D100" s="22" t="s">
        <v>370</v>
      </c>
      <c r="E100" s="22" t="s">
        <v>57</v>
      </c>
      <c r="F100" s="23">
        <v>-239234</v>
      </c>
      <c r="G100" s="24">
        <v>44502</v>
      </c>
      <c r="H100" s="22" t="s">
        <v>368</v>
      </c>
      <c r="I100" s="22" t="s">
        <v>372</v>
      </c>
      <c r="J100" s="22"/>
      <c r="K100" s="22"/>
      <c r="L100" s="22"/>
      <c r="M100" s="22"/>
      <c r="N100" s="22"/>
      <c r="O100" s="22"/>
      <c r="P100" s="22"/>
      <c r="Q100" s="22"/>
      <c r="R100" s="22"/>
    </row>
    <row r="101" spans="1:18" x14ac:dyDescent="0.25">
      <c r="A101" s="22" t="s">
        <v>374</v>
      </c>
      <c r="B101" s="22" t="s">
        <v>201</v>
      </c>
      <c r="C101" s="22" t="s">
        <v>202</v>
      </c>
      <c r="D101" s="22" t="s">
        <v>373</v>
      </c>
      <c r="E101" s="22" t="s">
        <v>57</v>
      </c>
      <c r="F101" s="23">
        <v>-891000</v>
      </c>
      <c r="G101" s="24">
        <v>44503</v>
      </c>
      <c r="H101" s="22" t="s">
        <v>368</v>
      </c>
      <c r="I101" s="22" t="s">
        <v>375</v>
      </c>
      <c r="J101" s="22"/>
      <c r="K101" s="22"/>
      <c r="L101" s="22"/>
      <c r="M101" s="22"/>
      <c r="N101" s="22"/>
      <c r="O101" s="22"/>
      <c r="P101" s="22"/>
      <c r="Q101" s="22"/>
      <c r="R101" s="22"/>
    </row>
    <row r="102" spans="1:18" x14ac:dyDescent="0.25">
      <c r="A102" s="22" t="s">
        <v>377</v>
      </c>
      <c r="B102" s="22" t="s">
        <v>201</v>
      </c>
      <c r="C102" s="22" t="s">
        <v>202</v>
      </c>
      <c r="D102" s="22" t="s">
        <v>376</v>
      </c>
      <c r="E102" s="22" t="s">
        <v>57</v>
      </c>
      <c r="F102" s="23">
        <v>-18800</v>
      </c>
      <c r="G102" s="24">
        <v>44525</v>
      </c>
      <c r="H102" s="22" t="s">
        <v>368</v>
      </c>
      <c r="I102" s="22" t="s">
        <v>375</v>
      </c>
      <c r="J102" s="22"/>
      <c r="K102" s="22"/>
      <c r="L102" s="22"/>
      <c r="M102" s="22"/>
      <c r="N102" s="22"/>
      <c r="O102" s="22"/>
      <c r="P102" s="22"/>
      <c r="Q102" s="22"/>
      <c r="R102" s="22"/>
    </row>
    <row r="103" spans="1:18" x14ac:dyDescent="0.25">
      <c r="A103" s="22" t="s">
        <v>379</v>
      </c>
      <c r="B103" s="22" t="s">
        <v>201</v>
      </c>
      <c r="C103" s="22" t="s">
        <v>202</v>
      </c>
      <c r="D103" s="22" t="s">
        <v>378</v>
      </c>
      <c r="E103" s="22" t="s">
        <v>57</v>
      </c>
      <c r="F103" s="23">
        <v>-43700</v>
      </c>
      <c r="G103" s="24">
        <v>44524</v>
      </c>
      <c r="H103" s="22" t="s">
        <v>368</v>
      </c>
      <c r="I103" s="22" t="s">
        <v>375</v>
      </c>
      <c r="J103" s="22"/>
      <c r="K103" s="22"/>
      <c r="L103" s="22"/>
      <c r="M103" s="22"/>
      <c r="N103" s="22"/>
      <c r="O103" s="22"/>
      <c r="P103" s="22"/>
      <c r="Q103" s="22"/>
      <c r="R103" s="22"/>
    </row>
    <row r="104" spans="1:18" x14ac:dyDescent="0.25">
      <c r="A104" s="22" t="s">
        <v>381</v>
      </c>
      <c r="B104" s="22" t="s">
        <v>201</v>
      </c>
      <c r="C104" s="22" t="s">
        <v>202</v>
      </c>
      <c r="D104" s="22" t="s">
        <v>380</v>
      </c>
      <c r="E104" s="22" t="s">
        <v>57</v>
      </c>
      <c r="F104" s="23">
        <v>-28100</v>
      </c>
      <c r="G104" s="24">
        <v>44523</v>
      </c>
      <c r="H104" s="22" t="s">
        <v>368</v>
      </c>
      <c r="I104" s="22" t="s">
        <v>375</v>
      </c>
      <c r="J104" s="22"/>
      <c r="K104" s="22"/>
      <c r="L104" s="22"/>
      <c r="M104" s="22"/>
      <c r="N104" s="22"/>
      <c r="O104" s="22"/>
      <c r="P104" s="22"/>
      <c r="Q104" s="22"/>
      <c r="R104" s="22"/>
    </row>
    <row r="105" spans="1:18" x14ac:dyDescent="0.25">
      <c r="A105" s="22" t="s">
        <v>383</v>
      </c>
      <c r="B105" s="22" t="s">
        <v>201</v>
      </c>
      <c r="C105" s="22" t="s">
        <v>202</v>
      </c>
      <c r="D105" s="22" t="s">
        <v>382</v>
      </c>
      <c r="E105" s="22" t="s">
        <v>57</v>
      </c>
      <c r="F105" s="23">
        <v>-68100</v>
      </c>
      <c r="G105" s="24">
        <v>44522</v>
      </c>
      <c r="H105" s="22" t="s">
        <v>368</v>
      </c>
      <c r="I105" s="22" t="s">
        <v>375</v>
      </c>
      <c r="J105" s="22"/>
      <c r="K105" s="22"/>
      <c r="L105" s="22"/>
      <c r="M105" s="22"/>
      <c r="N105" s="22"/>
      <c r="O105" s="22"/>
      <c r="P105" s="22"/>
      <c r="Q105" s="22"/>
      <c r="R105" s="22"/>
    </row>
    <row r="106" spans="1:18" x14ac:dyDescent="0.25">
      <c r="A106" s="22" t="s">
        <v>385</v>
      </c>
      <c r="B106" s="22" t="s">
        <v>201</v>
      </c>
      <c r="C106" s="22" t="s">
        <v>202</v>
      </c>
      <c r="D106" s="22" t="s">
        <v>384</v>
      </c>
      <c r="E106" s="22" t="s">
        <v>57</v>
      </c>
      <c r="F106" s="23">
        <v>-20200</v>
      </c>
      <c r="G106" s="24">
        <v>44511</v>
      </c>
      <c r="H106" s="22" t="s">
        <v>368</v>
      </c>
      <c r="I106" s="22" t="s">
        <v>375</v>
      </c>
      <c r="J106" s="22"/>
      <c r="K106" s="22"/>
      <c r="L106" s="22"/>
      <c r="M106" s="22"/>
      <c r="N106" s="22"/>
      <c r="O106" s="22"/>
      <c r="P106" s="22"/>
      <c r="Q106" s="22"/>
      <c r="R106" s="22"/>
    </row>
    <row r="107" spans="1:18" x14ac:dyDescent="0.25">
      <c r="A107" s="22" t="s">
        <v>387</v>
      </c>
      <c r="B107" s="22" t="s">
        <v>201</v>
      </c>
      <c r="C107" s="22" t="s">
        <v>202</v>
      </c>
      <c r="D107" s="22" t="s">
        <v>386</v>
      </c>
      <c r="E107" s="22" t="s">
        <v>57</v>
      </c>
      <c r="F107" s="23">
        <v>-6600</v>
      </c>
      <c r="G107" s="24">
        <v>44502</v>
      </c>
      <c r="H107" s="22" t="s">
        <v>368</v>
      </c>
      <c r="I107" s="22" t="s">
        <v>375</v>
      </c>
      <c r="J107" s="22"/>
      <c r="K107" s="22"/>
      <c r="L107" s="22"/>
      <c r="M107" s="22"/>
      <c r="N107" s="22"/>
      <c r="O107" s="22"/>
      <c r="P107" s="22"/>
      <c r="Q107" s="22"/>
      <c r="R107" s="22"/>
    </row>
    <row r="108" spans="1:18" x14ac:dyDescent="0.25">
      <c r="A108" s="22" t="s">
        <v>389</v>
      </c>
      <c r="B108" s="22" t="s">
        <v>201</v>
      </c>
      <c r="C108" s="22" t="s">
        <v>202</v>
      </c>
      <c r="D108" s="22" t="s">
        <v>388</v>
      </c>
      <c r="E108" s="22" t="s">
        <v>57</v>
      </c>
      <c r="F108" s="23">
        <v>-29200</v>
      </c>
      <c r="G108" s="24">
        <v>44560</v>
      </c>
      <c r="H108" s="22" t="s">
        <v>368</v>
      </c>
      <c r="I108" s="22" t="s">
        <v>390</v>
      </c>
      <c r="J108" s="22"/>
      <c r="K108" s="22"/>
      <c r="L108" s="22"/>
      <c r="M108" s="22"/>
      <c r="N108" s="22"/>
      <c r="O108" s="22"/>
      <c r="P108" s="22"/>
      <c r="Q108" s="22"/>
      <c r="R108" s="22"/>
    </row>
    <row r="109" spans="1:18" x14ac:dyDescent="0.25">
      <c r="A109" s="22" t="s">
        <v>392</v>
      </c>
      <c r="B109" s="22" t="s">
        <v>201</v>
      </c>
      <c r="C109" s="22" t="s">
        <v>202</v>
      </c>
      <c r="D109" s="22" t="s">
        <v>391</v>
      </c>
      <c r="E109" s="22" t="s">
        <v>57</v>
      </c>
      <c r="F109" s="23">
        <v>-28100</v>
      </c>
      <c r="G109" s="24">
        <v>44553</v>
      </c>
      <c r="H109" s="22" t="s">
        <v>368</v>
      </c>
      <c r="I109" s="22" t="s">
        <v>375</v>
      </c>
      <c r="J109" s="22"/>
      <c r="K109" s="22"/>
      <c r="L109" s="22"/>
      <c r="M109" s="22"/>
      <c r="N109" s="22"/>
      <c r="O109" s="22"/>
      <c r="P109" s="22"/>
      <c r="Q109" s="22"/>
      <c r="R109" s="22"/>
    </row>
    <row r="110" spans="1:18" x14ac:dyDescent="0.25">
      <c r="A110" s="22" t="s">
        <v>394</v>
      </c>
      <c r="B110" s="22" t="s">
        <v>201</v>
      </c>
      <c r="C110" s="22" t="s">
        <v>202</v>
      </c>
      <c r="D110" s="22" t="s">
        <v>393</v>
      </c>
      <c r="E110" s="22" t="s">
        <v>57</v>
      </c>
      <c r="F110" s="23">
        <v>-43700</v>
      </c>
      <c r="G110" s="24">
        <v>44547</v>
      </c>
      <c r="H110" s="22" t="s">
        <v>368</v>
      </c>
      <c r="I110" s="22" t="s">
        <v>375</v>
      </c>
      <c r="J110" s="22"/>
      <c r="K110" s="22"/>
      <c r="L110" s="22"/>
      <c r="M110" s="22"/>
      <c r="N110" s="22"/>
      <c r="O110" s="22"/>
      <c r="P110" s="22"/>
      <c r="Q110" s="22"/>
      <c r="R110" s="22"/>
    </row>
    <row r="111" spans="1:18" x14ac:dyDescent="0.25">
      <c r="A111" s="22" t="s">
        <v>396</v>
      </c>
      <c r="B111" s="22" t="s">
        <v>201</v>
      </c>
      <c r="C111" s="22" t="s">
        <v>202</v>
      </c>
      <c r="D111" s="22" t="s">
        <v>395</v>
      </c>
      <c r="E111" s="22" t="s">
        <v>57</v>
      </c>
      <c r="F111" s="23">
        <v>-255200</v>
      </c>
      <c r="G111" s="24">
        <v>44546</v>
      </c>
      <c r="H111" s="22" t="s">
        <v>368</v>
      </c>
      <c r="I111" s="22" t="s">
        <v>375</v>
      </c>
      <c r="J111" s="22"/>
      <c r="K111" s="22"/>
      <c r="L111" s="22"/>
      <c r="M111" s="22"/>
      <c r="N111" s="22"/>
      <c r="O111" s="22"/>
      <c r="P111" s="22"/>
      <c r="Q111" s="22"/>
      <c r="R111" s="22"/>
    </row>
    <row r="112" spans="1:18" x14ac:dyDescent="0.25">
      <c r="A112" s="22" t="s">
        <v>398</v>
      </c>
      <c r="B112" s="22" t="s">
        <v>201</v>
      </c>
      <c r="C112" s="22" t="s">
        <v>202</v>
      </c>
      <c r="D112" s="22" t="s">
        <v>397</v>
      </c>
      <c r="E112" s="22" t="s">
        <v>57</v>
      </c>
      <c r="F112" s="23">
        <v>-47200</v>
      </c>
      <c r="G112" s="24">
        <v>44554</v>
      </c>
      <c r="H112" s="22" t="s">
        <v>368</v>
      </c>
      <c r="I112" s="22" t="s">
        <v>399</v>
      </c>
      <c r="J112" s="22"/>
      <c r="K112" s="22"/>
      <c r="L112" s="22"/>
      <c r="M112" s="22"/>
      <c r="N112" s="22"/>
      <c r="O112" s="22"/>
      <c r="P112" s="22"/>
      <c r="Q112" s="22"/>
      <c r="R112" s="22"/>
    </row>
    <row r="113" spans="1:18" x14ac:dyDescent="0.25">
      <c r="A113" s="22" t="s">
        <v>401</v>
      </c>
      <c r="B113" s="22" t="s">
        <v>201</v>
      </c>
      <c r="C113" s="22" t="s">
        <v>202</v>
      </c>
      <c r="D113" s="22" t="s">
        <v>400</v>
      </c>
      <c r="E113" s="22" t="s">
        <v>45</v>
      </c>
      <c r="F113" s="23">
        <v>-5521</v>
      </c>
      <c r="G113" s="24">
        <v>44532</v>
      </c>
      <c r="H113" s="22" t="s">
        <v>368</v>
      </c>
      <c r="I113" s="22" t="s">
        <v>402</v>
      </c>
      <c r="J113" s="22"/>
      <c r="K113" s="22"/>
      <c r="L113" s="22"/>
      <c r="M113" s="22"/>
      <c r="N113" s="22"/>
      <c r="O113" s="22"/>
      <c r="P113" s="22"/>
      <c r="Q113" s="22"/>
      <c r="R113" s="22"/>
    </row>
    <row r="114" spans="1:18" x14ac:dyDescent="0.25">
      <c r="A114" s="22" t="s">
        <v>267</v>
      </c>
      <c r="B114" s="22" t="s">
        <v>201</v>
      </c>
      <c r="C114" s="22" t="s">
        <v>202</v>
      </c>
      <c r="D114" s="22" t="s">
        <v>403</v>
      </c>
      <c r="E114" s="22" t="s">
        <v>45</v>
      </c>
      <c r="F114" s="23">
        <v>-293426</v>
      </c>
      <c r="G114" s="24">
        <v>44541</v>
      </c>
      <c r="H114" s="22" t="s">
        <v>368</v>
      </c>
      <c r="I114" s="22" t="s">
        <v>404</v>
      </c>
      <c r="J114" s="22"/>
      <c r="K114" s="22"/>
      <c r="L114" s="22"/>
      <c r="M114" s="22"/>
      <c r="N114" s="22"/>
      <c r="O114" s="22"/>
      <c r="P114" s="22"/>
      <c r="Q114" s="22"/>
      <c r="R114" s="22"/>
    </row>
    <row r="115" spans="1:18" x14ac:dyDescent="0.25">
      <c r="A115" s="22" t="s">
        <v>406</v>
      </c>
      <c r="B115" s="22" t="s">
        <v>201</v>
      </c>
      <c r="C115" s="22" t="s">
        <v>202</v>
      </c>
      <c r="D115" s="22" t="s">
        <v>405</v>
      </c>
      <c r="E115" s="22" t="s">
        <v>57</v>
      </c>
      <c r="F115" s="23">
        <v>-53700</v>
      </c>
      <c r="G115" s="24">
        <v>44561</v>
      </c>
      <c r="H115" s="22" t="s">
        <v>368</v>
      </c>
      <c r="I115" s="22" t="s">
        <v>375</v>
      </c>
      <c r="J115" s="22"/>
      <c r="K115" s="22"/>
      <c r="L115" s="22"/>
      <c r="M115" s="22"/>
      <c r="N115" s="22"/>
      <c r="O115" s="22"/>
      <c r="P115" s="22"/>
      <c r="Q115" s="22"/>
      <c r="R115" s="22"/>
    </row>
    <row r="116" spans="1:18" x14ac:dyDescent="0.25">
      <c r="A116" s="22" t="s">
        <v>408</v>
      </c>
      <c r="B116" s="22" t="s">
        <v>201</v>
      </c>
      <c r="C116" s="22" t="s">
        <v>202</v>
      </c>
      <c r="D116" s="22" t="s">
        <v>407</v>
      </c>
      <c r="E116" s="22" t="s">
        <v>57</v>
      </c>
      <c r="F116" s="23">
        <v>-55561</v>
      </c>
      <c r="G116" s="24">
        <v>44559</v>
      </c>
      <c r="H116" s="22" t="s">
        <v>368</v>
      </c>
      <c r="I116" s="22" t="s">
        <v>375</v>
      </c>
      <c r="J116" s="22"/>
      <c r="K116" s="22"/>
      <c r="L116" s="22"/>
      <c r="M116" s="22"/>
      <c r="N116" s="22"/>
      <c r="O116" s="22"/>
      <c r="P116" s="22"/>
      <c r="Q116" s="22"/>
      <c r="R116" s="22"/>
    </row>
    <row r="117" spans="1:18" x14ac:dyDescent="0.25">
      <c r="A117" s="22" t="s">
        <v>410</v>
      </c>
      <c r="B117" s="22" t="s">
        <v>201</v>
      </c>
      <c r="C117" s="22" t="s">
        <v>202</v>
      </c>
      <c r="D117" s="22" t="s">
        <v>409</v>
      </c>
      <c r="E117" s="22" t="s">
        <v>57</v>
      </c>
      <c r="F117" s="23">
        <v>-128135</v>
      </c>
      <c r="G117" s="24">
        <v>44556</v>
      </c>
      <c r="H117" s="22" t="s">
        <v>368</v>
      </c>
      <c r="I117" s="22" t="s">
        <v>390</v>
      </c>
      <c r="J117" s="22"/>
      <c r="K117" s="22"/>
      <c r="L117" s="22"/>
      <c r="M117" s="22"/>
      <c r="N117" s="22"/>
      <c r="O117" s="22"/>
      <c r="P117" s="22"/>
      <c r="Q117" s="22"/>
      <c r="R117" s="22"/>
    </row>
    <row r="118" spans="1:18" x14ac:dyDescent="0.25">
      <c r="A118" s="22" t="s">
        <v>412</v>
      </c>
      <c r="B118" s="22" t="s">
        <v>201</v>
      </c>
      <c r="C118" s="22" t="s">
        <v>202</v>
      </c>
      <c r="D118" s="22" t="s">
        <v>411</v>
      </c>
      <c r="E118" s="22" t="s">
        <v>57</v>
      </c>
      <c r="F118" s="23">
        <v>-1861844</v>
      </c>
      <c r="G118" s="24">
        <v>44552</v>
      </c>
      <c r="H118" s="22" t="s">
        <v>368</v>
      </c>
      <c r="I118" s="22" t="s">
        <v>413</v>
      </c>
      <c r="J118" s="22"/>
      <c r="K118" s="22"/>
      <c r="L118" s="22"/>
      <c r="M118" s="22"/>
      <c r="N118" s="22"/>
      <c r="O118" s="22"/>
      <c r="P118" s="22"/>
      <c r="Q118" s="22"/>
      <c r="R118" s="22"/>
    </row>
    <row r="119" spans="1:18" x14ac:dyDescent="0.25">
      <c r="A119" s="22" t="s">
        <v>415</v>
      </c>
      <c r="B119" s="22" t="s">
        <v>201</v>
      </c>
      <c r="C119" s="22" t="s">
        <v>202</v>
      </c>
      <c r="D119" s="22" t="s">
        <v>414</v>
      </c>
      <c r="E119" s="22" t="s">
        <v>57</v>
      </c>
      <c r="F119" s="23">
        <v>-55445</v>
      </c>
      <c r="G119" s="24">
        <v>44550</v>
      </c>
      <c r="H119" s="22" t="s">
        <v>368</v>
      </c>
      <c r="I119" s="22" t="s">
        <v>375</v>
      </c>
      <c r="J119" s="22"/>
      <c r="K119" s="22"/>
      <c r="L119" s="22"/>
      <c r="M119" s="22"/>
      <c r="N119" s="22"/>
      <c r="O119" s="22"/>
      <c r="P119" s="22"/>
      <c r="Q119" s="22"/>
      <c r="R119" s="22"/>
    </row>
    <row r="120" spans="1:18" x14ac:dyDescent="0.25">
      <c r="A120" s="22" t="s">
        <v>417</v>
      </c>
      <c r="B120" s="22" t="s">
        <v>201</v>
      </c>
      <c r="C120" s="22" t="s">
        <v>202</v>
      </c>
      <c r="D120" s="22" t="s">
        <v>416</v>
      </c>
      <c r="E120" s="22" t="s">
        <v>57</v>
      </c>
      <c r="F120" s="23">
        <v>-54578</v>
      </c>
      <c r="G120" s="24">
        <v>44547</v>
      </c>
      <c r="H120" s="22" t="s">
        <v>368</v>
      </c>
      <c r="I120" s="22" t="s">
        <v>375</v>
      </c>
      <c r="J120" s="22"/>
      <c r="K120" s="22"/>
      <c r="L120" s="22"/>
      <c r="M120" s="22"/>
      <c r="N120" s="22"/>
      <c r="O120" s="22"/>
      <c r="P120" s="22"/>
      <c r="Q120" s="22"/>
      <c r="R120" s="22"/>
    </row>
    <row r="121" spans="1:18" x14ac:dyDescent="0.25">
      <c r="A121" s="22" t="s">
        <v>419</v>
      </c>
      <c r="B121" s="22" t="s">
        <v>201</v>
      </c>
      <c r="C121" s="22" t="s">
        <v>202</v>
      </c>
      <c r="D121" s="22" t="s">
        <v>418</v>
      </c>
      <c r="E121" s="22" t="s">
        <v>57</v>
      </c>
      <c r="F121" s="23">
        <v>-217707</v>
      </c>
      <c r="G121" s="24">
        <v>44546</v>
      </c>
      <c r="H121" s="22" t="s">
        <v>368</v>
      </c>
      <c r="I121" s="22" t="s">
        <v>420</v>
      </c>
      <c r="J121" s="22"/>
      <c r="K121" s="22"/>
      <c r="L121" s="22"/>
      <c r="M121" s="22"/>
      <c r="N121" s="22"/>
      <c r="O121" s="22"/>
      <c r="P121" s="22"/>
      <c r="Q121" s="22"/>
      <c r="R121" s="22"/>
    </row>
    <row r="122" spans="1:18" x14ac:dyDescent="0.25">
      <c r="A122" s="22" t="s">
        <v>422</v>
      </c>
      <c r="B122" s="22" t="s">
        <v>201</v>
      </c>
      <c r="C122" s="22" t="s">
        <v>202</v>
      </c>
      <c r="D122" s="22" t="s">
        <v>421</v>
      </c>
      <c r="E122" s="22" t="s">
        <v>57</v>
      </c>
      <c r="F122" s="23">
        <v>-55561</v>
      </c>
      <c r="G122" s="24">
        <v>44540</v>
      </c>
      <c r="H122" s="22" t="s">
        <v>368</v>
      </c>
      <c r="I122" s="22" t="s">
        <v>375</v>
      </c>
      <c r="J122" s="22"/>
      <c r="K122" s="22"/>
      <c r="L122" s="22"/>
      <c r="M122" s="22"/>
      <c r="N122" s="22"/>
      <c r="O122" s="22"/>
      <c r="P122" s="22"/>
      <c r="Q122" s="22"/>
      <c r="R122" s="22"/>
    </row>
    <row r="123" spans="1:18" x14ac:dyDescent="0.25">
      <c r="A123" s="22" t="s">
        <v>424</v>
      </c>
      <c r="B123" s="22" t="s">
        <v>201</v>
      </c>
      <c r="C123" s="22" t="s">
        <v>202</v>
      </c>
      <c r="D123" s="22" t="s">
        <v>423</v>
      </c>
      <c r="E123" s="22" t="s">
        <v>45</v>
      </c>
      <c r="F123" s="23">
        <v>-102284</v>
      </c>
      <c r="G123" s="24">
        <v>44526</v>
      </c>
      <c r="H123" s="22" t="s">
        <v>423</v>
      </c>
      <c r="I123" s="22"/>
      <c r="J123" s="22"/>
      <c r="K123" s="22"/>
      <c r="L123" s="22"/>
      <c r="M123" s="22"/>
      <c r="N123" s="22"/>
      <c r="O123" s="22"/>
      <c r="P123" s="22"/>
      <c r="Q123" s="22"/>
      <c r="R123" s="22"/>
    </row>
    <row r="124" spans="1:18" x14ac:dyDescent="0.25">
      <c r="A124" s="22" t="s">
        <v>426</v>
      </c>
      <c r="B124" s="22" t="s">
        <v>201</v>
      </c>
      <c r="C124" s="22" t="s">
        <v>202</v>
      </c>
      <c r="D124" s="22" t="s">
        <v>425</v>
      </c>
      <c r="E124" s="22" t="s">
        <v>57</v>
      </c>
      <c r="F124" s="23">
        <v>-84600</v>
      </c>
      <c r="G124" s="24">
        <v>44525</v>
      </c>
      <c r="H124" s="22" t="s">
        <v>423</v>
      </c>
      <c r="I124" s="22" t="s">
        <v>427</v>
      </c>
      <c r="J124" s="22"/>
      <c r="K124" s="22"/>
      <c r="L124" s="22"/>
      <c r="M124" s="22"/>
      <c r="N124" s="22"/>
      <c r="O124" s="22"/>
      <c r="P124" s="22"/>
      <c r="Q124" s="22"/>
      <c r="R124" s="22"/>
    </row>
    <row r="125" spans="1:18" x14ac:dyDescent="0.25">
      <c r="A125" s="22" t="s">
        <v>429</v>
      </c>
      <c r="B125" s="22" t="s">
        <v>201</v>
      </c>
      <c r="C125" s="22" t="s">
        <v>202</v>
      </c>
      <c r="D125" s="22" t="s">
        <v>428</v>
      </c>
      <c r="E125" s="22" t="s">
        <v>57</v>
      </c>
      <c r="F125" s="23">
        <v>-31600</v>
      </c>
      <c r="G125" s="24">
        <v>44523</v>
      </c>
      <c r="H125" s="22" t="s">
        <v>423</v>
      </c>
      <c r="I125" s="22" t="s">
        <v>427</v>
      </c>
      <c r="J125" s="22"/>
      <c r="K125" s="22"/>
      <c r="L125" s="22"/>
      <c r="M125" s="22"/>
      <c r="N125" s="22"/>
      <c r="O125" s="22"/>
      <c r="P125" s="22"/>
      <c r="Q125" s="22"/>
      <c r="R125" s="22"/>
    </row>
    <row r="126" spans="1:18" x14ac:dyDescent="0.25">
      <c r="A126" s="22" t="s">
        <v>424</v>
      </c>
      <c r="B126" s="22" t="s">
        <v>201</v>
      </c>
      <c r="C126" s="22" t="s">
        <v>202</v>
      </c>
      <c r="D126" s="22" t="s">
        <v>430</v>
      </c>
      <c r="E126" s="22" t="s">
        <v>57</v>
      </c>
      <c r="F126" s="23">
        <v>-1410675</v>
      </c>
      <c r="G126" s="24">
        <v>44526</v>
      </c>
      <c r="H126" s="22" t="s">
        <v>423</v>
      </c>
      <c r="I126" s="22" t="s">
        <v>431</v>
      </c>
      <c r="J126" s="22"/>
      <c r="K126" s="22"/>
      <c r="L126" s="22"/>
      <c r="M126" s="22"/>
      <c r="N126" s="22"/>
      <c r="O126" s="22"/>
      <c r="P126" s="22"/>
      <c r="Q126" s="22"/>
      <c r="R126" s="22"/>
    </row>
    <row r="127" spans="1:18" x14ac:dyDescent="0.25">
      <c r="A127" s="22" t="s">
        <v>433</v>
      </c>
      <c r="B127" s="22" t="s">
        <v>201</v>
      </c>
      <c r="C127" s="22" t="s">
        <v>202</v>
      </c>
      <c r="D127" s="22" t="s">
        <v>432</v>
      </c>
      <c r="E127" s="22" t="s">
        <v>57</v>
      </c>
      <c r="F127" s="23">
        <v>-126200</v>
      </c>
      <c r="G127" s="24">
        <v>44516</v>
      </c>
      <c r="H127" s="22" t="s">
        <v>423</v>
      </c>
      <c r="I127" s="22" t="s">
        <v>434</v>
      </c>
      <c r="J127" s="22"/>
      <c r="K127" s="22"/>
      <c r="L127" s="22"/>
      <c r="M127" s="22"/>
      <c r="N127" s="22"/>
      <c r="O127" s="22"/>
      <c r="P127" s="22"/>
      <c r="Q127" s="22"/>
      <c r="R127" s="22"/>
    </row>
    <row r="128" spans="1:18" s="39" customFormat="1" x14ac:dyDescent="0.25">
      <c r="A128" s="36" t="s">
        <v>436</v>
      </c>
      <c r="B128" s="36" t="s">
        <v>201</v>
      </c>
      <c r="C128" s="36" t="s">
        <v>202</v>
      </c>
      <c r="D128" s="36" t="s">
        <v>435</v>
      </c>
      <c r="E128" s="36" t="s">
        <v>42</v>
      </c>
      <c r="F128" s="37">
        <v>11072004</v>
      </c>
      <c r="G128" s="38">
        <v>44537</v>
      </c>
      <c r="H128" s="36" t="s">
        <v>368</v>
      </c>
      <c r="I128" s="36" t="s">
        <v>227</v>
      </c>
      <c r="J128" s="36"/>
      <c r="K128" s="36"/>
      <c r="L128" s="36"/>
      <c r="M128" s="36"/>
      <c r="N128" s="36"/>
      <c r="O128" s="36"/>
      <c r="P128" s="36"/>
      <c r="Q128" s="36"/>
      <c r="R128" s="36"/>
    </row>
    <row r="129" spans="1:18" x14ac:dyDescent="0.25">
      <c r="A129" s="22" t="s">
        <v>419</v>
      </c>
      <c r="B129" s="22" t="s">
        <v>201</v>
      </c>
      <c r="C129" s="22" t="s">
        <v>202</v>
      </c>
      <c r="D129" s="22" t="s">
        <v>368</v>
      </c>
      <c r="E129" s="22" t="s">
        <v>45</v>
      </c>
      <c r="F129" s="23">
        <v>4644003</v>
      </c>
      <c r="G129" s="24">
        <v>44546</v>
      </c>
      <c r="H129" s="22" t="s">
        <v>368</v>
      </c>
      <c r="I129" s="22"/>
      <c r="J129" s="22"/>
      <c r="K129" s="22"/>
      <c r="L129" s="22"/>
      <c r="M129" s="22"/>
      <c r="N129" s="22"/>
      <c r="O129" s="22"/>
      <c r="P129" s="22"/>
      <c r="Q129" s="22"/>
      <c r="R129" s="22"/>
    </row>
    <row r="130" spans="1:18" x14ac:dyDescent="0.25">
      <c r="A130" s="22" t="s">
        <v>419</v>
      </c>
      <c r="B130" s="22" t="s">
        <v>201</v>
      </c>
      <c r="C130" s="22" t="s">
        <v>202</v>
      </c>
      <c r="D130" s="22" t="s">
        <v>368</v>
      </c>
      <c r="E130" s="22" t="s">
        <v>45</v>
      </c>
      <c r="F130" s="23">
        <v>-11072004</v>
      </c>
      <c r="G130" s="24">
        <v>44546</v>
      </c>
      <c r="H130" s="22" t="s">
        <v>368</v>
      </c>
      <c r="I130" s="22"/>
      <c r="J130" s="22"/>
      <c r="K130" s="22"/>
      <c r="L130" s="22"/>
      <c r="M130" s="22"/>
      <c r="N130" s="22"/>
      <c r="O130" s="22"/>
      <c r="P130" s="22"/>
      <c r="Q130" s="22"/>
      <c r="R130" s="22"/>
    </row>
    <row r="131" spans="1:18" x14ac:dyDescent="0.25">
      <c r="A131" s="22" t="s">
        <v>419</v>
      </c>
      <c r="B131" s="22" t="s">
        <v>201</v>
      </c>
      <c r="C131" s="22" t="s">
        <v>202</v>
      </c>
      <c r="D131" s="22" t="s">
        <v>368</v>
      </c>
      <c r="E131" s="22" t="s">
        <v>45</v>
      </c>
      <c r="F131" s="23">
        <v>6502562</v>
      </c>
      <c r="G131" s="24">
        <v>44546</v>
      </c>
      <c r="H131" s="22" t="s">
        <v>368</v>
      </c>
      <c r="I131" s="22"/>
      <c r="J131" s="22"/>
      <c r="K131" s="22"/>
      <c r="L131" s="22"/>
      <c r="M131" s="22"/>
      <c r="N131" s="22"/>
      <c r="O131" s="22"/>
      <c r="P131" s="22"/>
      <c r="Q131" s="22"/>
      <c r="R131" s="22"/>
    </row>
    <row r="132" spans="1:18" x14ac:dyDescent="0.25">
      <c r="A132" s="22" t="s">
        <v>438</v>
      </c>
      <c r="B132" s="22" t="s">
        <v>201</v>
      </c>
      <c r="C132" s="22" t="s">
        <v>202</v>
      </c>
      <c r="D132" s="22" t="s">
        <v>437</v>
      </c>
      <c r="E132" s="22" t="s">
        <v>57</v>
      </c>
      <c r="F132" s="23">
        <v>-557900</v>
      </c>
      <c r="G132" s="24">
        <v>44510</v>
      </c>
      <c r="H132" s="22" t="s">
        <v>368</v>
      </c>
      <c r="I132" s="22" t="s">
        <v>439</v>
      </c>
      <c r="J132" s="22"/>
      <c r="K132" s="22"/>
      <c r="L132" s="22"/>
      <c r="M132" s="22"/>
      <c r="N132" s="22"/>
      <c r="O132" s="22"/>
      <c r="P132" s="22"/>
      <c r="Q132" s="22"/>
      <c r="R132" s="22"/>
    </row>
    <row r="133" spans="1:18" x14ac:dyDescent="0.25">
      <c r="A133" s="22" t="s">
        <v>441</v>
      </c>
      <c r="B133" s="22" t="s">
        <v>201</v>
      </c>
      <c r="C133" s="22" t="s">
        <v>202</v>
      </c>
      <c r="D133" s="22" t="s">
        <v>440</v>
      </c>
      <c r="E133" s="22" t="s">
        <v>57</v>
      </c>
      <c r="F133" s="23">
        <v>-256400</v>
      </c>
      <c r="G133" s="24">
        <v>44509</v>
      </c>
      <c r="H133" s="22" t="s">
        <v>368</v>
      </c>
      <c r="I133" s="22" t="s">
        <v>249</v>
      </c>
      <c r="J133" s="22"/>
      <c r="K133" s="22"/>
      <c r="L133" s="22"/>
      <c r="M133" s="22"/>
      <c r="N133" s="22"/>
      <c r="O133" s="22"/>
      <c r="P133" s="22"/>
      <c r="Q133" s="22"/>
      <c r="R133" s="22"/>
    </row>
    <row r="134" spans="1:18" x14ac:dyDescent="0.25">
      <c r="A134" s="22" t="s">
        <v>443</v>
      </c>
      <c r="B134" s="22" t="s">
        <v>201</v>
      </c>
      <c r="C134" s="22" t="s">
        <v>202</v>
      </c>
      <c r="D134" s="22" t="s">
        <v>442</v>
      </c>
      <c r="E134" s="22" t="s">
        <v>57</v>
      </c>
      <c r="F134" s="23">
        <v>-24600</v>
      </c>
      <c r="G134" s="24">
        <v>44508</v>
      </c>
      <c r="H134" s="22" t="s">
        <v>368</v>
      </c>
      <c r="I134" s="22" t="s">
        <v>249</v>
      </c>
      <c r="J134" s="22"/>
      <c r="K134" s="22"/>
      <c r="L134" s="22"/>
      <c r="M134" s="22"/>
      <c r="N134" s="22"/>
      <c r="O134" s="22"/>
      <c r="P134" s="22"/>
      <c r="Q134" s="22"/>
      <c r="R134" s="22"/>
    </row>
    <row r="135" spans="1:18" x14ac:dyDescent="0.25">
      <c r="A135" s="22" t="s">
        <v>445</v>
      </c>
      <c r="B135" s="22" t="s">
        <v>201</v>
      </c>
      <c r="C135" s="22" t="s">
        <v>202</v>
      </c>
      <c r="D135" s="22" t="s">
        <v>444</v>
      </c>
      <c r="E135" s="22" t="s">
        <v>57</v>
      </c>
      <c r="F135" s="23">
        <v>-31600</v>
      </c>
      <c r="G135" s="24">
        <v>44505</v>
      </c>
      <c r="H135" s="22" t="s">
        <v>368</v>
      </c>
      <c r="I135" s="22" t="s">
        <v>249</v>
      </c>
      <c r="J135" s="22"/>
      <c r="K135" s="22"/>
      <c r="L135" s="22"/>
      <c r="M135" s="22"/>
      <c r="N135" s="22"/>
      <c r="O135" s="22"/>
      <c r="P135" s="22"/>
      <c r="Q135" s="22"/>
      <c r="R135" s="22"/>
    </row>
    <row r="136" spans="1:18" x14ac:dyDescent="0.25">
      <c r="A136" s="22" t="s">
        <v>447</v>
      </c>
      <c r="B136" s="22" t="s">
        <v>201</v>
      </c>
      <c r="C136" s="22" t="s">
        <v>202</v>
      </c>
      <c r="D136" s="22" t="s">
        <v>446</v>
      </c>
      <c r="E136" s="22" t="s">
        <v>57</v>
      </c>
      <c r="F136" s="23">
        <v>-103580</v>
      </c>
      <c r="G136" s="24">
        <v>44527</v>
      </c>
      <c r="H136" s="22" t="s">
        <v>368</v>
      </c>
      <c r="I136" s="22" t="s">
        <v>375</v>
      </c>
      <c r="J136" s="22"/>
      <c r="K136" s="22"/>
      <c r="L136" s="22"/>
      <c r="M136" s="22"/>
      <c r="N136" s="22"/>
      <c r="O136" s="22"/>
      <c r="P136" s="22"/>
      <c r="Q136" s="22"/>
      <c r="R136" s="22"/>
    </row>
    <row r="137" spans="1:18" x14ac:dyDescent="0.25">
      <c r="A137" s="22" t="s">
        <v>449</v>
      </c>
      <c r="B137" s="22" t="s">
        <v>201</v>
      </c>
      <c r="C137" s="22" t="s">
        <v>202</v>
      </c>
      <c r="D137" s="22" t="s">
        <v>448</v>
      </c>
      <c r="E137" s="22" t="s">
        <v>57</v>
      </c>
      <c r="F137" s="23">
        <v>-121524</v>
      </c>
      <c r="G137" s="24">
        <v>44522</v>
      </c>
      <c r="H137" s="22" t="s">
        <v>368</v>
      </c>
      <c r="I137" s="22" t="s">
        <v>450</v>
      </c>
      <c r="J137" s="22"/>
      <c r="K137" s="22"/>
      <c r="L137" s="22"/>
      <c r="M137" s="22"/>
      <c r="N137" s="22"/>
      <c r="O137" s="22"/>
      <c r="P137" s="22"/>
      <c r="Q137" s="22"/>
      <c r="R137" s="22"/>
    </row>
    <row r="138" spans="1:18" x14ac:dyDescent="0.25">
      <c r="A138" s="22" t="s">
        <v>452</v>
      </c>
      <c r="B138" s="22" t="s">
        <v>201</v>
      </c>
      <c r="C138" s="22" t="s">
        <v>202</v>
      </c>
      <c r="D138" s="22" t="s">
        <v>451</v>
      </c>
      <c r="E138" s="22" t="s">
        <v>57</v>
      </c>
      <c r="F138" s="23">
        <v>-165800</v>
      </c>
      <c r="G138" s="24">
        <v>44522</v>
      </c>
      <c r="H138" s="22" t="s">
        <v>368</v>
      </c>
      <c r="I138" s="22" t="s">
        <v>453</v>
      </c>
      <c r="J138" s="22"/>
      <c r="K138" s="22"/>
      <c r="L138" s="22"/>
      <c r="M138" s="22"/>
      <c r="N138" s="22"/>
      <c r="O138" s="22"/>
      <c r="P138" s="22"/>
      <c r="Q138" s="22"/>
      <c r="R138" s="22"/>
    </row>
    <row r="139" spans="1:18" x14ac:dyDescent="0.25">
      <c r="A139" s="22" t="s">
        <v>455</v>
      </c>
      <c r="B139" s="22" t="s">
        <v>201</v>
      </c>
      <c r="C139" s="22" t="s">
        <v>202</v>
      </c>
      <c r="D139" s="22" t="s">
        <v>454</v>
      </c>
      <c r="E139" s="22" t="s">
        <v>57</v>
      </c>
      <c r="F139" s="23">
        <v>-1226207</v>
      </c>
      <c r="G139" s="24">
        <v>44519</v>
      </c>
      <c r="H139" s="22" t="s">
        <v>368</v>
      </c>
      <c r="I139" s="22" t="s">
        <v>456</v>
      </c>
      <c r="J139" s="22"/>
      <c r="K139" s="22"/>
      <c r="L139" s="22"/>
      <c r="M139" s="22"/>
      <c r="N139" s="22"/>
      <c r="O139" s="22"/>
      <c r="P139" s="22"/>
      <c r="Q139" s="22"/>
      <c r="R139" s="22"/>
    </row>
    <row r="140" spans="1:18" x14ac:dyDescent="0.25">
      <c r="A140" s="22" t="s">
        <v>458</v>
      </c>
      <c r="B140" s="22" t="s">
        <v>201</v>
      </c>
      <c r="C140" s="22" t="s">
        <v>202</v>
      </c>
      <c r="D140" s="22" t="s">
        <v>457</v>
      </c>
      <c r="E140" s="22" t="s">
        <v>57</v>
      </c>
      <c r="F140" s="23">
        <v>-227532</v>
      </c>
      <c r="G140" s="24">
        <v>44519</v>
      </c>
      <c r="H140" s="22" t="s">
        <v>368</v>
      </c>
      <c r="I140" s="22" t="s">
        <v>453</v>
      </c>
      <c r="J140" s="22"/>
      <c r="K140" s="22"/>
      <c r="L140" s="22"/>
      <c r="M140" s="22"/>
      <c r="N140" s="22"/>
      <c r="O140" s="22"/>
      <c r="P140" s="22"/>
      <c r="Q140" s="22"/>
      <c r="R140" s="22"/>
    </row>
    <row r="141" spans="1:18" x14ac:dyDescent="0.25">
      <c r="A141" s="22" t="s">
        <v>460</v>
      </c>
      <c r="B141" s="22" t="s">
        <v>201</v>
      </c>
      <c r="C141" s="22" t="s">
        <v>202</v>
      </c>
      <c r="D141" s="22" t="s">
        <v>459</v>
      </c>
      <c r="E141" s="22" t="s">
        <v>57</v>
      </c>
      <c r="F141" s="23">
        <v>-103600</v>
      </c>
      <c r="G141" s="24">
        <v>44516</v>
      </c>
      <c r="H141" s="22" t="s">
        <v>368</v>
      </c>
      <c r="I141" s="22" t="s">
        <v>453</v>
      </c>
      <c r="J141" s="22"/>
      <c r="K141" s="22"/>
      <c r="L141" s="22"/>
      <c r="M141" s="22"/>
      <c r="N141" s="22"/>
      <c r="O141" s="22"/>
      <c r="P141" s="22"/>
      <c r="Q141" s="22"/>
      <c r="R141" s="22"/>
    </row>
    <row r="142" spans="1:18" x14ac:dyDescent="0.25">
      <c r="A142" s="22" t="s">
        <v>462</v>
      </c>
      <c r="B142" s="22" t="s">
        <v>201</v>
      </c>
      <c r="C142" s="22" t="s">
        <v>202</v>
      </c>
      <c r="D142" s="22" t="s">
        <v>461</v>
      </c>
      <c r="E142" s="22" t="s">
        <v>57</v>
      </c>
      <c r="F142" s="23">
        <v>-105461</v>
      </c>
      <c r="G142" s="24">
        <v>44512</v>
      </c>
      <c r="H142" s="22" t="s">
        <v>368</v>
      </c>
      <c r="I142" s="22" t="s">
        <v>453</v>
      </c>
      <c r="J142" s="22"/>
      <c r="K142" s="22"/>
      <c r="L142" s="22"/>
      <c r="M142" s="22"/>
      <c r="N142" s="22"/>
      <c r="O142" s="22"/>
      <c r="P142" s="22"/>
      <c r="Q142" s="22"/>
      <c r="R142" s="22"/>
    </row>
    <row r="143" spans="1:18" x14ac:dyDescent="0.25">
      <c r="A143" s="22" t="s">
        <v>464</v>
      </c>
      <c r="B143" s="22" t="s">
        <v>201</v>
      </c>
      <c r="C143" s="22" t="s">
        <v>202</v>
      </c>
      <c r="D143" s="22" t="s">
        <v>463</v>
      </c>
      <c r="E143" s="22" t="s">
        <v>57</v>
      </c>
      <c r="F143" s="23">
        <v>-54780</v>
      </c>
      <c r="G143" s="24">
        <v>44510</v>
      </c>
      <c r="H143" s="22" t="s">
        <v>368</v>
      </c>
      <c r="I143" s="22" t="s">
        <v>375</v>
      </c>
      <c r="J143" s="22"/>
      <c r="K143" s="22"/>
      <c r="L143" s="22"/>
      <c r="M143" s="22"/>
      <c r="N143" s="22"/>
      <c r="O143" s="22"/>
      <c r="P143" s="22"/>
      <c r="Q143" s="22"/>
      <c r="R143" s="22"/>
    </row>
    <row r="144" spans="1:18" x14ac:dyDescent="0.25">
      <c r="A144" s="22" t="s">
        <v>466</v>
      </c>
      <c r="B144" s="22" t="s">
        <v>201</v>
      </c>
      <c r="C144" s="22" t="s">
        <v>202</v>
      </c>
      <c r="D144" s="22" t="s">
        <v>465</v>
      </c>
      <c r="E144" s="22" t="s">
        <v>57</v>
      </c>
      <c r="F144" s="23">
        <v>-126200</v>
      </c>
      <c r="G144" s="24">
        <v>44508</v>
      </c>
      <c r="H144" s="22" t="s">
        <v>368</v>
      </c>
      <c r="I144" s="22" t="s">
        <v>453</v>
      </c>
      <c r="J144" s="22"/>
      <c r="K144" s="22"/>
      <c r="L144" s="22"/>
      <c r="M144" s="22"/>
      <c r="N144" s="22"/>
      <c r="O144" s="22"/>
      <c r="P144" s="22"/>
      <c r="Q144" s="22"/>
      <c r="R144" s="22"/>
    </row>
    <row r="145" spans="1:18" x14ac:dyDescent="0.25">
      <c r="A145" s="22" t="s">
        <v>468</v>
      </c>
      <c r="B145" s="22" t="s">
        <v>201</v>
      </c>
      <c r="C145" s="22" t="s">
        <v>202</v>
      </c>
      <c r="D145" s="22" t="s">
        <v>467</v>
      </c>
      <c r="E145" s="22" t="s">
        <v>45</v>
      </c>
      <c r="F145" s="23">
        <v>-858456</v>
      </c>
      <c r="G145" s="24">
        <v>44526</v>
      </c>
      <c r="H145" s="22" t="s">
        <v>368</v>
      </c>
      <c r="I145" s="22" t="s">
        <v>469</v>
      </c>
      <c r="J145" s="22"/>
      <c r="K145" s="22"/>
      <c r="L145" s="22"/>
      <c r="M145" s="22"/>
      <c r="N145" s="22"/>
      <c r="O145" s="22"/>
      <c r="P145" s="22"/>
      <c r="Q145" s="22"/>
      <c r="R145" s="22"/>
    </row>
    <row r="146" spans="1:18" x14ac:dyDescent="0.25">
      <c r="A146" s="22" t="s">
        <v>471</v>
      </c>
      <c r="B146" s="22" t="s">
        <v>201</v>
      </c>
      <c r="C146" s="22" t="s">
        <v>202</v>
      </c>
      <c r="D146" s="22" t="s">
        <v>470</v>
      </c>
      <c r="E146" s="22" t="s">
        <v>57</v>
      </c>
      <c r="F146" s="23">
        <v>-2279772</v>
      </c>
      <c r="G146" s="24">
        <v>44514</v>
      </c>
      <c r="H146" s="22" t="s">
        <v>368</v>
      </c>
      <c r="I146" s="22" t="s">
        <v>472</v>
      </c>
      <c r="J146" s="22"/>
      <c r="K146" s="22"/>
      <c r="L146" s="22"/>
      <c r="M146" s="22"/>
      <c r="N146" s="22"/>
      <c r="O146" s="22"/>
      <c r="P146" s="22"/>
      <c r="Q146" s="22"/>
      <c r="R146" s="22"/>
    </row>
    <row r="147" spans="1:18" x14ac:dyDescent="0.25">
      <c r="A147" s="22" t="s">
        <v>474</v>
      </c>
      <c r="B147" s="22" t="s">
        <v>201</v>
      </c>
      <c r="C147" s="22" t="s">
        <v>202</v>
      </c>
      <c r="D147" s="22" t="s">
        <v>473</v>
      </c>
      <c r="E147" s="22" t="s">
        <v>57</v>
      </c>
      <c r="F147" s="23">
        <v>-92139</v>
      </c>
      <c r="G147" s="24">
        <v>44559</v>
      </c>
      <c r="H147" s="22" t="s">
        <v>368</v>
      </c>
      <c r="I147" s="22" t="s">
        <v>475</v>
      </c>
      <c r="J147" s="22"/>
      <c r="K147" s="22"/>
      <c r="L147" s="22"/>
      <c r="M147" s="22"/>
      <c r="N147" s="22"/>
      <c r="O147" s="22"/>
      <c r="P147" s="22"/>
      <c r="Q147" s="22"/>
      <c r="R147" s="22"/>
    </row>
    <row r="148" spans="1:18" x14ac:dyDescent="0.25">
      <c r="A148" s="22" t="s">
        <v>477</v>
      </c>
      <c r="B148" s="22" t="s">
        <v>201</v>
      </c>
      <c r="C148" s="22" t="s">
        <v>202</v>
      </c>
      <c r="D148" s="22" t="s">
        <v>476</v>
      </c>
      <c r="E148" s="22" t="s">
        <v>57</v>
      </c>
      <c r="F148" s="23">
        <v>-10039</v>
      </c>
      <c r="G148" s="24">
        <v>44523</v>
      </c>
      <c r="H148" s="22" t="s">
        <v>400</v>
      </c>
      <c r="I148" s="22" t="s">
        <v>478</v>
      </c>
      <c r="J148" s="22"/>
      <c r="K148" s="22"/>
      <c r="L148" s="22"/>
      <c r="M148" s="22"/>
      <c r="N148" s="22"/>
      <c r="O148" s="22"/>
      <c r="P148" s="22"/>
      <c r="Q148" s="22"/>
      <c r="R148" s="22"/>
    </row>
    <row r="149" spans="1:18" x14ac:dyDescent="0.25">
      <c r="A149" s="22" t="s">
        <v>480</v>
      </c>
      <c r="B149" s="22" t="s">
        <v>201</v>
      </c>
      <c r="C149" s="22" t="s">
        <v>202</v>
      </c>
      <c r="D149" s="22" t="s">
        <v>479</v>
      </c>
      <c r="E149" s="22" t="s">
        <v>57</v>
      </c>
      <c r="F149" s="23">
        <v>-43700</v>
      </c>
      <c r="G149" s="24">
        <v>44519</v>
      </c>
      <c r="H149" s="22" t="s">
        <v>400</v>
      </c>
      <c r="I149" s="22" t="s">
        <v>280</v>
      </c>
      <c r="J149" s="22"/>
      <c r="K149" s="22"/>
      <c r="L149" s="22"/>
      <c r="M149" s="22"/>
      <c r="N149" s="22"/>
      <c r="O149" s="22"/>
      <c r="P149" s="22"/>
      <c r="Q149" s="22"/>
      <c r="R149" s="22"/>
    </row>
    <row r="150" spans="1:18" x14ac:dyDescent="0.25">
      <c r="A150" s="22" t="s">
        <v>482</v>
      </c>
      <c r="B150" s="22" t="s">
        <v>201</v>
      </c>
      <c r="C150" s="22" t="s">
        <v>202</v>
      </c>
      <c r="D150" s="22" t="s">
        <v>481</v>
      </c>
      <c r="E150" s="22" t="s">
        <v>57</v>
      </c>
      <c r="F150" s="23">
        <v>-29200</v>
      </c>
      <c r="G150" s="24">
        <v>44519</v>
      </c>
      <c r="H150" s="22" t="s">
        <v>400</v>
      </c>
      <c r="I150" s="22" t="s">
        <v>483</v>
      </c>
      <c r="J150" s="22"/>
      <c r="K150" s="22"/>
      <c r="L150" s="22"/>
      <c r="M150" s="22"/>
      <c r="N150" s="22"/>
      <c r="O150" s="22"/>
      <c r="P150" s="22"/>
      <c r="Q150" s="22"/>
      <c r="R150" s="22"/>
    </row>
    <row r="151" spans="1:18" x14ac:dyDescent="0.25">
      <c r="A151" s="22" t="s">
        <v>485</v>
      </c>
      <c r="B151" s="22" t="s">
        <v>201</v>
      </c>
      <c r="C151" s="22" t="s">
        <v>202</v>
      </c>
      <c r="D151" s="22" t="s">
        <v>484</v>
      </c>
      <c r="E151" s="22" t="s">
        <v>57</v>
      </c>
      <c r="F151" s="23">
        <v>-43700</v>
      </c>
      <c r="G151" s="24">
        <v>44511</v>
      </c>
      <c r="H151" s="22" t="s">
        <v>400</v>
      </c>
      <c r="I151" s="22" t="s">
        <v>486</v>
      </c>
      <c r="J151" s="22"/>
      <c r="K151" s="22"/>
      <c r="L151" s="22"/>
      <c r="M151" s="22"/>
      <c r="N151" s="22"/>
      <c r="O151" s="22"/>
      <c r="P151" s="22"/>
      <c r="Q151" s="22"/>
      <c r="R151" s="22"/>
    </row>
    <row r="152" spans="1:18" x14ac:dyDescent="0.25">
      <c r="A152" s="22" t="s">
        <v>488</v>
      </c>
      <c r="B152" s="22" t="s">
        <v>201</v>
      </c>
      <c r="C152" s="22" t="s">
        <v>202</v>
      </c>
      <c r="D152" s="22" t="s">
        <v>487</v>
      </c>
      <c r="E152" s="22" t="s">
        <v>57</v>
      </c>
      <c r="F152" s="23">
        <v>-33200</v>
      </c>
      <c r="G152" s="24">
        <v>44509</v>
      </c>
      <c r="H152" s="22" t="s">
        <v>400</v>
      </c>
      <c r="I152" s="22" t="s">
        <v>478</v>
      </c>
      <c r="J152" s="22"/>
      <c r="K152" s="22"/>
      <c r="L152" s="22"/>
      <c r="M152" s="22"/>
      <c r="N152" s="22"/>
      <c r="O152" s="22"/>
      <c r="P152" s="22"/>
      <c r="Q152" s="22"/>
      <c r="R152" s="22"/>
    </row>
    <row r="153" spans="1:18" x14ac:dyDescent="0.25">
      <c r="A153" s="22" t="s">
        <v>490</v>
      </c>
      <c r="B153" s="22" t="s">
        <v>201</v>
      </c>
      <c r="C153" s="22" t="s">
        <v>202</v>
      </c>
      <c r="D153" s="22" t="s">
        <v>489</v>
      </c>
      <c r="E153" s="22" t="s">
        <v>57</v>
      </c>
      <c r="F153" s="23">
        <v>-18800</v>
      </c>
      <c r="G153" s="24">
        <v>44543</v>
      </c>
      <c r="H153" s="22" t="s">
        <v>400</v>
      </c>
      <c r="I153" s="22" t="s">
        <v>491</v>
      </c>
      <c r="J153" s="22"/>
      <c r="K153" s="22"/>
      <c r="L153" s="22"/>
      <c r="M153" s="22"/>
      <c r="N153" s="22"/>
      <c r="O153" s="22"/>
      <c r="P153" s="22"/>
      <c r="Q153" s="22"/>
      <c r="R153" s="22"/>
    </row>
    <row r="154" spans="1:18" x14ac:dyDescent="0.25">
      <c r="A154" s="22" t="s">
        <v>493</v>
      </c>
      <c r="B154" s="22" t="s">
        <v>201</v>
      </c>
      <c r="C154" s="22" t="s">
        <v>202</v>
      </c>
      <c r="D154" s="22" t="s">
        <v>492</v>
      </c>
      <c r="E154" s="22" t="s">
        <v>57</v>
      </c>
      <c r="F154" s="23">
        <v>-20200</v>
      </c>
      <c r="G154" s="24">
        <v>44543</v>
      </c>
      <c r="H154" s="22" t="s">
        <v>400</v>
      </c>
      <c r="I154" s="22" t="s">
        <v>494</v>
      </c>
      <c r="J154" s="22"/>
      <c r="K154" s="22"/>
      <c r="L154" s="22"/>
      <c r="M154" s="22"/>
      <c r="N154" s="22"/>
      <c r="O154" s="22"/>
      <c r="P154" s="22"/>
      <c r="Q154" s="22"/>
      <c r="R154" s="22"/>
    </row>
    <row r="155" spans="1:18" x14ac:dyDescent="0.25">
      <c r="A155" s="22" t="s">
        <v>496</v>
      </c>
      <c r="B155" s="22" t="s">
        <v>201</v>
      </c>
      <c r="C155" s="22" t="s">
        <v>202</v>
      </c>
      <c r="D155" s="22" t="s">
        <v>495</v>
      </c>
      <c r="E155" s="22" t="s">
        <v>57</v>
      </c>
      <c r="F155" s="23">
        <v>-75500</v>
      </c>
      <c r="G155" s="24">
        <v>44543</v>
      </c>
      <c r="H155" s="22" t="s">
        <v>400</v>
      </c>
      <c r="I155" s="22" t="s">
        <v>494</v>
      </c>
      <c r="J155" s="22"/>
      <c r="K155" s="22"/>
      <c r="L155" s="22"/>
      <c r="M155" s="22"/>
      <c r="N155" s="22"/>
      <c r="O155" s="22"/>
      <c r="P155" s="22"/>
      <c r="Q155" s="22"/>
      <c r="R155" s="22"/>
    </row>
    <row r="156" spans="1:18" x14ac:dyDescent="0.25">
      <c r="A156" s="22" t="s">
        <v>498</v>
      </c>
      <c r="B156" s="22" t="s">
        <v>201</v>
      </c>
      <c r="C156" s="22" t="s">
        <v>202</v>
      </c>
      <c r="D156" s="22" t="s">
        <v>497</v>
      </c>
      <c r="E156" s="22" t="s">
        <v>57</v>
      </c>
      <c r="F156" s="23">
        <v>-29200</v>
      </c>
      <c r="G156" s="24">
        <v>44540</v>
      </c>
      <c r="H156" s="22" t="s">
        <v>400</v>
      </c>
      <c r="I156" s="22" t="s">
        <v>483</v>
      </c>
      <c r="J156" s="22"/>
      <c r="K156" s="22"/>
      <c r="L156" s="22"/>
      <c r="M156" s="22"/>
      <c r="N156" s="22"/>
      <c r="O156" s="22"/>
      <c r="P156" s="22"/>
      <c r="Q156" s="22"/>
      <c r="R156" s="22"/>
    </row>
    <row r="157" spans="1:18" x14ac:dyDescent="0.25">
      <c r="A157" s="22" t="s">
        <v>500</v>
      </c>
      <c r="B157" s="22" t="s">
        <v>201</v>
      </c>
      <c r="C157" s="22" t="s">
        <v>202</v>
      </c>
      <c r="D157" s="22" t="s">
        <v>499</v>
      </c>
      <c r="E157" s="22" t="s">
        <v>57</v>
      </c>
      <c r="F157" s="23">
        <v>-19400</v>
      </c>
      <c r="G157" s="24">
        <v>44537</v>
      </c>
      <c r="H157" s="22" t="s">
        <v>400</v>
      </c>
      <c r="I157" s="22" t="s">
        <v>494</v>
      </c>
      <c r="J157" s="22"/>
      <c r="K157" s="22"/>
      <c r="L157" s="22"/>
      <c r="M157" s="22"/>
      <c r="N157" s="22"/>
      <c r="O157" s="22"/>
      <c r="P157" s="22"/>
      <c r="Q157" s="22"/>
      <c r="R157" s="22"/>
    </row>
    <row r="158" spans="1:18" x14ac:dyDescent="0.25">
      <c r="A158" s="22" t="s">
        <v>502</v>
      </c>
      <c r="B158" s="22" t="s">
        <v>201</v>
      </c>
      <c r="C158" s="22" t="s">
        <v>202</v>
      </c>
      <c r="D158" s="22" t="s">
        <v>501</v>
      </c>
      <c r="E158" s="22" t="s">
        <v>57</v>
      </c>
      <c r="F158" s="23">
        <v>-29200</v>
      </c>
      <c r="G158" s="24">
        <v>44532</v>
      </c>
      <c r="H158" s="22" t="s">
        <v>400</v>
      </c>
      <c r="I158" s="22" t="s">
        <v>494</v>
      </c>
      <c r="J158" s="22"/>
      <c r="K158" s="22"/>
      <c r="L158" s="22"/>
      <c r="M158" s="22"/>
      <c r="N158" s="22"/>
      <c r="O158" s="22"/>
      <c r="P158" s="22"/>
      <c r="Q158" s="22"/>
      <c r="R158" s="22"/>
    </row>
    <row r="159" spans="1:18" x14ac:dyDescent="0.25">
      <c r="A159" s="22" t="s">
        <v>504</v>
      </c>
      <c r="B159" s="22" t="s">
        <v>201</v>
      </c>
      <c r="C159" s="22" t="s">
        <v>202</v>
      </c>
      <c r="D159" s="22" t="s">
        <v>503</v>
      </c>
      <c r="E159" s="22" t="s">
        <v>57</v>
      </c>
      <c r="F159" s="23">
        <v>-47200</v>
      </c>
      <c r="G159" s="24">
        <v>44536</v>
      </c>
      <c r="H159" s="22" t="s">
        <v>400</v>
      </c>
      <c r="I159" s="22" t="s">
        <v>505</v>
      </c>
      <c r="J159" s="22"/>
      <c r="K159" s="22"/>
      <c r="L159" s="22"/>
      <c r="M159" s="22"/>
      <c r="N159" s="22"/>
      <c r="O159" s="22"/>
      <c r="P159" s="22"/>
      <c r="Q159" s="22"/>
      <c r="R159" s="22"/>
    </row>
    <row r="160" spans="1:18" x14ac:dyDescent="0.25">
      <c r="A160" s="22" t="s">
        <v>507</v>
      </c>
      <c r="B160" s="22" t="s">
        <v>201</v>
      </c>
      <c r="C160" s="22" t="s">
        <v>202</v>
      </c>
      <c r="D160" s="22" t="s">
        <v>506</v>
      </c>
      <c r="E160" s="22" t="s">
        <v>57</v>
      </c>
      <c r="F160" s="23">
        <v>-53700</v>
      </c>
      <c r="G160" s="24">
        <v>44539</v>
      </c>
      <c r="H160" s="22" t="s">
        <v>400</v>
      </c>
      <c r="I160" s="22" t="s">
        <v>494</v>
      </c>
      <c r="J160" s="22"/>
      <c r="K160" s="22"/>
      <c r="L160" s="22"/>
      <c r="M160" s="22"/>
      <c r="N160" s="22"/>
      <c r="O160" s="22"/>
      <c r="P160" s="22"/>
      <c r="Q160" s="22"/>
      <c r="R160" s="22"/>
    </row>
    <row r="161" spans="1:18" x14ac:dyDescent="0.25">
      <c r="A161" s="22" t="s">
        <v>509</v>
      </c>
      <c r="B161" s="22" t="s">
        <v>201</v>
      </c>
      <c r="C161" s="22" t="s">
        <v>202</v>
      </c>
      <c r="D161" s="22" t="s">
        <v>508</v>
      </c>
      <c r="E161" s="22" t="s">
        <v>57</v>
      </c>
      <c r="F161" s="23">
        <v>-176400</v>
      </c>
      <c r="G161" s="24">
        <v>44532</v>
      </c>
      <c r="H161" s="22" t="s">
        <v>400</v>
      </c>
      <c r="I161" s="22" t="s">
        <v>494</v>
      </c>
      <c r="J161" s="22"/>
      <c r="K161" s="22"/>
      <c r="L161" s="22"/>
      <c r="M161" s="22"/>
      <c r="N161" s="22"/>
      <c r="O161" s="22"/>
      <c r="P161" s="22"/>
      <c r="Q161" s="22"/>
      <c r="R161" s="22"/>
    </row>
    <row r="162" spans="1:18" x14ac:dyDescent="0.25">
      <c r="A162" s="22" t="s">
        <v>401</v>
      </c>
      <c r="B162" s="22" t="s">
        <v>201</v>
      </c>
      <c r="C162" s="22" t="s">
        <v>202</v>
      </c>
      <c r="D162" s="22" t="s">
        <v>510</v>
      </c>
      <c r="E162" s="22" t="s">
        <v>57</v>
      </c>
      <c r="F162" s="23">
        <v>-154724</v>
      </c>
      <c r="G162" s="24">
        <v>44532</v>
      </c>
      <c r="H162" s="22" t="s">
        <v>400</v>
      </c>
      <c r="I162" s="22" t="s">
        <v>511</v>
      </c>
      <c r="J162" s="22"/>
      <c r="K162" s="22"/>
      <c r="L162" s="22"/>
      <c r="M162" s="22"/>
      <c r="N162" s="22"/>
      <c r="O162" s="22"/>
      <c r="P162" s="22"/>
      <c r="Q162" s="22"/>
      <c r="R162" s="22"/>
    </row>
    <row r="163" spans="1:18" x14ac:dyDescent="0.25">
      <c r="A163" s="22" t="s">
        <v>513</v>
      </c>
      <c r="B163" s="22" t="s">
        <v>201</v>
      </c>
      <c r="C163" s="22" t="s">
        <v>202</v>
      </c>
      <c r="D163" s="22" t="s">
        <v>512</v>
      </c>
      <c r="E163" s="22" t="s">
        <v>57</v>
      </c>
      <c r="F163" s="23">
        <v>-79148</v>
      </c>
      <c r="G163" s="24">
        <v>44542</v>
      </c>
      <c r="H163" s="22" t="s">
        <v>400</v>
      </c>
      <c r="I163" s="22" t="s">
        <v>505</v>
      </c>
      <c r="J163" s="22"/>
      <c r="K163" s="22"/>
      <c r="L163" s="22"/>
      <c r="M163" s="22"/>
      <c r="N163" s="22"/>
      <c r="O163" s="22"/>
      <c r="P163" s="22"/>
      <c r="Q163" s="22"/>
      <c r="R163" s="22"/>
    </row>
    <row r="164" spans="1:18" s="39" customFormat="1" x14ac:dyDescent="0.25">
      <c r="A164" s="36" t="s">
        <v>515</v>
      </c>
      <c r="B164" s="36" t="s">
        <v>201</v>
      </c>
      <c r="C164" s="36" t="s">
        <v>202</v>
      </c>
      <c r="D164" s="36" t="s">
        <v>514</v>
      </c>
      <c r="E164" s="36" t="s">
        <v>42</v>
      </c>
      <c r="F164" s="37">
        <v>6032217</v>
      </c>
      <c r="G164" s="38">
        <v>44537</v>
      </c>
      <c r="H164" s="36" t="s">
        <v>467</v>
      </c>
      <c r="I164" s="36" t="s">
        <v>516</v>
      </c>
      <c r="J164" s="36"/>
      <c r="K164" s="36"/>
      <c r="L164" s="36"/>
      <c r="M164" s="36"/>
      <c r="N164" s="36"/>
      <c r="O164" s="36"/>
      <c r="P164" s="36"/>
      <c r="Q164" s="36"/>
      <c r="R164" s="36"/>
    </row>
    <row r="165" spans="1:18" x14ac:dyDescent="0.25">
      <c r="A165" s="22" t="s">
        <v>468</v>
      </c>
      <c r="B165" s="22" t="s">
        <v>201</v>
      </c>
      <c r="C165" s="22" t="s">
        <v>202</v>
      </c>
      <c r="D165" s="22" t="s">
        <v>467</v>
      </c>
      <c r="E165" s="22" t="s">
        <v>45</v>
      </c>
      <c r="F165" s="23">
        <v>6890673</v>
      </c>
      <c r="G165" s="24">
        <v>44526</v>
      </c>
      <c r="H165" s="22" t="s">
        <v>467</v>
      </c>
      <c r="I165" s="22"/>
      <c r="J165" s="22"/>
      <c r="K165" s="22"/>
      <c r="L165" s="22"/>
      <c r="M165" s="22"/>
      <c r="N165" s="22"/>
      <c r="O165" s="22"/>
      <c r="P165" s="22"/>
      <c r="Q165" s="22"/>
      <c r="R165" s="22"/>
    </row>
    <row r="166" spans="1:18" x14ac:dyDescent="0.25">
      <c r="A166" s="22" t="s">
        <v>468</v>
      </c>
      <c r="B166" s="22" t="s">
        <v>201</v>
      </c>
      <c r="C166" s="22" t="s">
        <v>202</v>
      </c>
      <c r="D166" s="22" t="s">
        <v>467</v>
      </c>
      <c r="E166" s="22" t="s">
        <v>45</v>
      </c>
      <c r="F166" s="23">
        <v>-6032217</v>
      </c>
      <c r="G166" s="24">
        <v>44526</v>
      </c>
      <c r="H166" s="22" t="s">
        <v>467</v>
      </c>
      <c r="I166" s="22"/>
      <c r="J166" s="22"/>
      <c r="K166" s="22"/>
      <c r="L166" s="22"/>
      <c r="M166" s="22"/>
      <c r="N166" s="22"/>
      <c r="O166" s="22"/>
      <c r="P166" s="22"/>
      <c r="Q166" s="22"/>
      <c r="R166" s="22"/>
    </row>
    <row r="167" spans="1:18" x14ac:dyDescent="0.25">
      <c r="A167" s="22" t="s">
        <v>468</v>
      </c>
      <c r="B167" s="22" t="s">
        <v>201</v>
      </c>
      <c r="C167" s="22" t="s">
        <v>202</v>
      </c>
      <c r="D167" s="22" t="s">
        <v>517</v>
      </c>
      <c r="E167" s="22" t="s">
        <v>57</v>
      </c>
      <c r="F167" s="23">
        <v>-6890673</v>
      </c>
      <c r="G167" s="24">
        <v>44526</v>
      </c>
      <c r="H167" s="22" t="s">
        <v>467</v>
      </c>
      <c r="I167" s="22" t="s">
        <v>399</v>
      </c>
      <c r="J167" s="22"/>
      <c r="K167" s="22"/>
      <c r="L167" s="22"/>
      <c r="M167" s="22"/>
      <c r="N167" s="22"/>
      <c r="O167" s="22"/>
      <c r="P167" s="22"/>
      <c r="Q167" s="22"/>
      <c r="R167" s="22"/>
    </row>
    <row r="168" spans="1:18" s="39" customFormat="1" x14ac:dyDescent="0.25">
      <c r="A168" s="36" t="s">
        <v>519</v>
      </c>
      <c r="B168" s="36" t="s">
        <v>201</v>
      </c>
      <c r="C168" s="36" t="s">
        <v>202</v>
      </c>
      <c r="D168" s="36" t="s">
        <v>518</v>
      </c>
      <c r="E168" s="36" t="s">
        <v>42</v>
      </c>
      <c r="F168" s="37">
        <v>4641207</v>
      </c>
      <c r="G168" s="38">
        <v>44580</v>
      </c>
      <c r="H168" s="36" t="s">
        <v>248</v>
      </c>
      <c r="I168" s="36" t="s">
        <v>520</v>
      </c>
      <c r="J168" s="36"/>
      <c r="K168" s="36"/>
      <c r="L168" s="36"/>
      <c r="M168" s="36"/>
      <c r="N168" s="36"/>
      <c r="O168" s="36"/>
      <c r="P168" s="36"/>
      <c r="Q168" s="36"/>
      <c r="R168" s="36"/>
    </row>
    <row r="169" spans="1:18" x14ac:dyDescent="0.25">
      <c r="A169" s="22" t="s">
        <v>251</v>
      </c>
      <c r="B169" s="22" t="s">
        <v>201</v>
      </c>
      <c r="C169" s="22" t="s">
        <v>202</v>
      </c>
      <c r="D169" s="22" t="s">
        <v>248</v>
      </c>
      <c r="E169" s="22" t="s">
        <v>45</v>
      </c>
      <c r="F169" s="23">
        <v>4773727</v>
      </c>
      <c r="G169" s="24">
        <v>44543</v>
      </c>
      <c r="H169" s="22" t="s">
        <v>248</v>
      </c>
      <c r="I169" s="22"/>
      <c r="J169" s="22"/>
      <c r="K169" s="22"/>
      <c r="L169" s="22"/>
      <c r="M169" s="22"/>
      <c r="N169" s="22"/>
      <c r="O169" s="22"/>
      <c r="P169" s="22"/>
      <c r="Q169" s="22"/>
      <c r="R169" s="22"/>
    </row>
    <row r="170" spans="1:18" x14ac:dyDescent="0.25">
      <c r="A170" s="22" t="s">
        <v>251</v>
      </c>
      <c r="B170" s="22" t="s">
        <v>201</v>
      </c>
      <c r="C170" s="22" t="s">
        <v>202</v>
      </c>
      <c r="D170" s="22" t="s">
        <v>248</v>
      </c>
      <c r="E170" s="22" t="s">
        <v>45</v>
      </c>
      <c r="F170" s="23">
        <v>-4641207</v>
      </c>
      <c r="G170" s="24">
        <v>44543</v>
      </c>
      <c r="H170" s="22" t="s">
        <v>248</v>
      </c>
      <c r="I170" s="22"/>
      <c r="J170" s="22"/>
      <c r="K170" s="22"/>
      <c r="L170" s="22"/>
      <c r="M170" s="22"/>
      <c r="N170" s="22"/>
      <c r="O170" s="22"/>
      <c r="P170" s="22"/>
      <c r="Q170" s="22"/>
      <c r="R170" s="22"/>
    </row>
    <row r="171" spans="1:18" x14ac:dyDescent="0.25">
      <c r="A171" s="22" t="s">
        <v>522</v>
      </c>
      <c r="B171" s="22" t="s">
        <v>201</v>
      </c>
      <c r="C171" s="22" t="s">
        <v>202</v>
      </c>
      <c r="D171" s="22" t="s">
        <v>521</v>
      </c>
      <c r="E171" s="22" t="s">
        <v>57</v>
      </c>
      <c r="F171" s="23">
        <v>-217519</v>
      </c>
      <c r="G171" s="24">
        <v>44531</v>
      </c>
      <c r="H171" s="22" t="s">
        <v>248</v>
      </c>
      <c r="I171" s="22" t="s">
        <v>249</v>
      </c>
      <c r="J171" s="22"/>
      <c r="K171" s="22"/>
      <c r="L171" s="22"/>
      <c r="M171" s="22"/>
      <c r="N171" s="22"/>
      <c r="O171" s="22"/>
      <c r="P171" s="22"/>
      <c r="Q171" s="22"/>
      <c r="R171" s="22"/>
    </row>
    <row r="172" spans="1:18" x14ac:dyDescent="0.25">
      <c r="A172" s="22" t="s">
        <v>524</v>
      </c>
      <c r="B172" s="22" t="s">
        <v>201</v>
      </c>
      <c r="C172" s="22" t="s">
        <v>202</v>
      </c>
      <c r="D172" s="22" t="s">
        <v>523</v>
      </c>
      <c r="E172" s="22" t="s">
        <v>57</v>
      </c>
      <c r="F172" s="23">
        <v>-53700</v>
      </c>
      <c r="G172" s="24">
        <v>44548</v>
      </c>
      <c r="H172" s="22" t="s">
        <v>368</v>
      </c>
      <c r="I172" s="22" t="s">
        <v>525</v>
      </c>
      <c r="J172" s="22"/>
      <c r="K172" s="22"/>
      <c r="L172" s="22"/>
      <c r="M172" s="22"/>
      <c r="N172" s="22"/>
      <c r="O172" s="22"/>
      <c r="P172" s="22"/>
      <c r="Q172" s="22"/>
      <c r="R172" s="22"/>
    </row>
    <row r="173" spans="1:18" x14ac:dyDescent="0.25">
      <c r="A173" s="22" t="s">
        <v>527</v>
      </c>
      <c r="B173" s="22" t="s">
        <v>201</v>
      </c>
      <c r="C173" s="22" t="s">
        <v>202</v>
      </c>
      <c r="D173" s="22" t="s">
        <v>526</v>
      </c>
      <c r="E173" s="22" t="s">
        <v>57</v>
      </c>
      <c r="F173" s="23">
        <v>-54578</v>
      </c>
      <c r="G173" s="24">
        <v>44533</v>
      </c>
      <c r="H173" s="22" t="s">
        <v>368</v>
      </c>
      <c r="I173" s="22" t="s">
        <v>249</v>
      </c>
      <c r="J173" s="22"/>
      <c r="K173" s="22"/>
      <c r="L173" s="22"/>
      <c r="M173" s="22"/>
      <c r="N173" s="22"/>
      <c r="O173" s="22"/>
      <c r="P173" s="22"/>
      <c r="Q173" s="22"/>
      <c r="R173" s="22"/>
    </row>
    <row r="174" spans="1:18" s="39" customFormat="1" x14ac:dyDescent="0.25">
      <c r="A174" s="36" t="s">
        <v>529</v>
      </c>
      <c r="B174" s="36" t="s">
        <v>201</v>
      </c>
      <c r="C174" s="36" t="s">
        <v>202</v>
      </c>
      <c r="D174" s="36" t="s">
        <v>528</v>
      </c>
      <c r="E174" s="36" t="s">
        <v>42</v>
      </c>
      <c r="F174" s="37">
        <v>9380620</v>
      </c>
      <c r="G174" s="38">
        <v>44580</v>
      </c>
      <c r="H174" s="36" t="s">
        <v>400</v>
      </c>
      <c r="I174" s="36" t="s">
        <v>520</v>
      </c>
      <c r="J174" s="36"/>
      <c r="K174" s="36"/>
      <c r="L174" s="36"/>
      <c r="M174" s="36"/>
      <c r="N174" s="36"/>
      <c r="O174" s="36"/>
      <c r="P174" s="36"/>
      <c r="Q174" s="36"/>
      <c r="R174" s="36"/>
    </row>
    <row r="175" spans="1:18" x14ac:dyDescent="0.25">
      <c r="A175" s="22" t="s">
        <v>401</v>
      </c>
      <c r="B175" s="22" t="s">
        <v>201</v>
      </c>
      <c r="C175" s="22" t="s">
        <v>202</v>
      </c>
      <c r="D175" s="22" t="s">
        <v>400</v>
      </c>
      <c r="E175" s="22" t="s">
        <v>45</v>
      </c>
      <c r="F175" s="23">
        <v>8351354</v>
      </c>
      <c r="G175" s="24">
        <v>44532</v>
      </c>
      <c r="H175" s="22" t="s">
        <v>400</v>
      </c>
      <c r="I175" s="22"/>
      <c r="J175" s="22"/>
      <c r="K175" s="22"/>
      <c r="L175" s="22"/>
      <c r="M175" s="22"/>
      <c r="N175" s="22"/>
      <c r="O175" s="22"/>
      <c r="P175" s="22"/>
      <c r="Q175" s="22"/>
      <c r="R175" s="22"/>
    </row>
    <row r="176" spans="1:18" x14ac:dyDescent="0.25">
      <c r="A176" s="22" t="s">
        <v>401</v>
      </c>
      <c r="B176" s="22" t="s">
        <v>201</v>
      </c>
      <c r="C176" s="22" t="s">
        <v>202</v>
      </c>
      <c r="D176" s="22" t="s">
        <v>400</v>
      </c>
      <c r="E176" s="22" t="s">
        <v>45</v>
      </c>
      <c r="F176" s="23">
        <v>980063</v>
      </c>
      <c r="G176" s="24">
        <v>44532</v>
      </c>
      <c r="H176" s="22" t="s">
        <v>400</v>
      </c>
      <c r="I176" s="22"/>
      <c r="J176" s="22"/>
      <c r="K176" s="22"/>
      <c r="L176" s="22"/>
      <c r="M176" s="22"/>
      <c r="N176" s="22"/>
      <c r="O176" s="22"/>
      <c r="P176" s="22"/>
      <c r="Q176" s="22"/>
      <c r="R176" s="22"/>
    </row>
    <row r="177" spans="1:18" x14ac:dyDescent="0.25">
      <c r="A177" s="22" t="s">
        <v>401</v>
      </c>
      <c r="B177" s="22" t="s">
        <v>201</v>
      </c>
      <c r="C177" s="22" t="s">
        <v>202</v>
      </c>
      <c r="D177" s="22" t="s">
        <v>400</v>
      </c>
      <c r="E177" s="22" t="s">
        <v>45</v>
      </c>
      <c r="F177" s="23">
        <v>-9325896</v>
      </c>
      <c r="G177" s="24">
        <v>44532</v>
      </c>
      <c r="H177" s="22" t="s">
        <v>400</v>
      </c>
      <c r="I177" s="22"/>
      <c r="J177" s="22"/>
      <c r="K177" s="22"/>
      <c r="L177" s="22"/>
      <c r="M177" s="22"/>
      <c r="N177" s="22"/>
      <c r="O177" s="22"/>
      <c r="P177" s="22"/>
      <c r="Q177" s="22"/>
      <c r="R177" s="22"/>
    </row>
    <row r="178" spans="1:18" x14ac:dyDescent="0.25">
      <c r="A178" s="22" t="s">
        <v>531</v>
      </c>
      <c r="B178" s="22" t="s">
        <v>201</v>
      </c>
      <c r="C178" s="22" t="s">
        <v>202</v>
      </c>
      <c r="D178" s="22" t="s">
        <v>530</v>
      </c>
      <c r="E178" s="22" t="s">
        <v>57</v>
      </c>
      <c r="F178" s="23">
        <v>-14500</v>
      </c>
      <c r="G178" s="24">
        <v>44530</v>
      </c>
      <c r="H178" s="22" t="s">
        <v>400</v>
      </c>
      <c r="I178" s="22" t="s">
        <v>532</v>
      </c>
      <c r="J178" s="22"/>
      <c r="K178" s="22"/>
      <c r="L178" s="22"/>
      <c r="M178" s="22"/>
      <c r="N178" s="22"/>
      <c r="O178" s="22"/>
      <c r="P178" s="22"/>
      <c r="Q178" s="22"/>
      <c r="R178" s="22"/>
    </row>
    <row r="179" spans="1:18" x14ac:dyDescent="0.25">
      <c r="A179" s="22" t="s">
        <v>534</v>
      </c>
      <c r="B179" s="22" t="s">
        <v>201</v>
      </c>
      <c r="C179" s="22" t="s">
        <v>202</v>
      </c>
      <c r="D179" s="22" t="s">
        <v>533</v>
      </c>
      <c r="E179" s="22" t="s">
        <v>57</v>
      </c>
      <c r="F179" s="23">
        <v>-47200</v>
      </c>
      <c r="G179" s="24">
        <v>44524</v>
      </c>
      <c r="H179" s="22" t="s">
        <v>400</v>
      </c>
      <c r="I179" s="22" t="s">
        <v>505</v>
      </c>
      <c r="J179" s="22"/>
      <c r="K179" s="22"/>
      <c r="L179" s="22"/>
      <c r="M179" s="22"/>
      <c r="N179" s="22"/>
      <c r="O179" s="22"/>
      <c r="P179" s="22"/>
      <c r="Q179" s="22"/>
      <c r="R179" s="22"/>
    </row>
    <row r="180" spans="1:18" x14ac:dyDescent="0.25">
      <c r="A180" s="22" t="s">
        <v>536</v>
      </c>
      <c r="B180" s="22" t="s">
        <v>201</v>
      </c>
      <c r="C180" s="22" t="s">
        <v>202</v>
      </c>
      <c r="D180" s="22" t="s">
        <v>535</v>
      </c>
      <c r="E180" s="22" t="s">
        <v>57</v>
      </c>
      <c r="F180" s="23">
        <v>-31600</v>
      </c>
      <c r="G180" s="24">
        <v>44522</v>
      </c>
      <c r="H180" s="22" t="s">
        <v>400</v>
      </c>
      <c r="I180" s="22" t="s">
        <v>537</v>
      </c>
      <c r="J180" s="22"/>
      <c r="K180" s="22"/>
      <c r="L180" s="22"/>
      <c r="M180" s="22"/>
      <c r="N180" s="22"/>
      <c r="O180" s="22"/>
      <c r="P180" s="22"/>
      <c r="Q180" s="22"/>
      <c r="R180" s="22"/>
    </row>
    <row r="181" spans="1:18" x14ac:dyDescent="0.25">
      <c r="A181" s="22" t="s">
        <v>539</v>
      </c>
      <c r="B181" s="22" t="s">
        <v>201</v>
      </c>
      <c r="C181" s="22" t="s">
        <v>202</v>
      </c>
      <c r="D181" s="22" t="s">
        <v>538</v>
      </c>
      <c r="E181" s="22" t="s">
        <v>57</v>
      </c>
      <c r="F181" s="23">
        <v>-32700</v>
      </c>
      <c r="G181" s="24">
        <v>44519</v>
      </c>
      <c r="H181" s="22" t="s">
        <v>400</v>
      </c>
      <c r="I181" s="22" t="s">
        <v>532</v>
      </c>
      <c r="J181" s="22"/>
      <c r="K181" s="22"/>
      <c r="L181" s="22"/>
      <c r="M181" s="22"/>
      <c r="N181" s="22"/>
      <c r="O181" s="22"/>
      <c r="P181" s="22"/>
      <c r="Q181" s="22"/>
      <c r="R181" s="22"/>
    </row>
    <row r="182" spans="1:18" x14ac:dyDescent="0.25">
      <c r="A182" s="22" t="s">
        <v>541</v>
      </c>
      <c r="B182" s="22" t="s">
        <v>201</v>
      </c>
      <c r="C182" s="22" t="s">
        <v>202</v>
      </c>
      <c r="D182" s="22" t="s">
        <v>540</v>
      </c>
      <c r="E182" s="22" t="s">
        <v>57</v>
      </c>
      <c r="F182" s="23">
        <v>-76100</v>
      </c>
      <c r="G182" s="24">
        <v>44518</v>
      </c>
      <c r="H182" s="22" t="s">
        <v>400</v>
      </c>
      <c r="I182" s="22" t="s">
        <v>542</v>
      </c>
      <c r="J182" s="22"/>
      <c r="K182" s="22"/>
      <c r="L182" s="22"/>
      <c r="M182" s="22"/>
      <c r="N182" s="22"/>
      <c r="O182" s="22"/>
      <c r="P182" s="22"/>
      <c r="Q182" s="22"/>
      <c r="R182" s="22"/>
    </row>
    <row r="183" spans="1:18" x14ac:dyDescent="0.25">
      <c r="A183" s="22" t="s">
        <v>544</v>
      </c>
      <c r="B183" s="22" t="s">
        <v>201</v>
      </c>
      <c r="C183" s="22" t="s">
        <v>202</v>
      </c>
      <c r="D183" s="22" t="s">
        <v>543</v>
      </c>
      <c r="E183" s="22" t="s">
        <v>57</v>
      </c>
      <c r="F183" s="23">
        <v>-13600</v>
      </c>
      <c r="G183" s="24">
        <v>44516</v>
      </c>
      <c r="H183" s="22" t="s">
        <v>400</v>
      </c>
      <c r="I183" s="22" t="s">
        <v>427</v>
      </c>
      <c r="J183" s="22"/>
      <c r="K183" s="22"/>
      <c r="L183" s="22"/>
      <c r="M183" s="22"/>
      <c r="N183" s="22"/>
      <c r="O183" s="22"/>
      <c r="P183" s="22"/>
      <c r="Q183" s="22"/>
      <c r="R183" s="22"/>
    </row>
    <row r="184" spans="1:18" x14ac:dyDescent="0.25">
      <c r="A184" s="22" t="s">
        <v>546</v>
      </c>
      <c r="B184" s="22" t="s">
        <v>201</v>
      </c>
      <c r="C184" s="22" t="s">
        <v>202</v>
      </c>
      <c r="D184" s="22" t="s">
        <v>545</v>
      </c>
      <c r="E184" s="22" t="s">
        <v>57</v>
      </c>
      <c r="F184" s="23">
        <v>-54724</v>
      </c>
      <c r="G184" s="24">
        <v>44527</v>
      </c>
      <c r="H184" s="22" t="s">
        <v>400</v>
      </c>
      <c r="I184" s="22" t="s">
        <v>547</v>
      </c>
      <c r="J184" s="22"/>
      <c r="K184" s="22"/>
      <c r="L184" s="22"/>
      <c r="M184" s="22"/>
      <c r="N184" s="22"/>
      <c r="O184" s="22"/>
      <c r="P184" s="22"/>
      <c r="Q184" s="22"/>
      <c r="R184" s="22"/>
    </row>
    <row r="185" spans="1:18" x14ac:dyDescent="0.25">
      <c r="A185" s="22" t="s">
        <v>549</v>
      </c>
      <c r="B185" s="22" t="s">
        <v>201</v>
      </c>
      <c r="C185" s="22" t="s">
        <v>202</v>
      </c>
      <c r="D185" s="22" t="s">
        <v>548</v>
      </c>
      <c r="E185" s="22" t="s">
        <v>57</v>
      </c>
      <c r="F185" s="23">
        <v>-215700</v>
      </c>
      <c r="G185" s="24">
        <v>44528</v>
      </c>
      <c r="H185" s="22" t="s">
        <v>400</v>
      </c>
      <c r="I185" s="22" t="s">
        <v>550</v>
      </c>
      <c r="J185" s="22"/>
      <c r="K185" s="22"/>
      <c r="L185" s="22"/>
      <c r="M185" s="22"/>
      <c r="N185" s="22"/>
      <c r="O185" s="22"/>
      <c r="P185" s="22"/>
      <c r="Q185" s="22"/>
      <c r="R185" s="22"/>
    </row>
    <row r="186" spans="1:18" x14ac:dyDescent="0.25">
      <c r="A186" s="22" t="s">
        <v>552</v>
      </c>
      <c r="B186" s="22" t="s">
        <v>201</v>
      </c>
      <c r="C186" s="22" t="s">
        <v>202</v>
      </c>
      <c r="D186" s="22" t="s">
        <v>551</v>
      </c>
      <c r="E186" s="22" t="s">
        <v>57</v>
      </c>
      <c r="F186" s="23">
        <v>-81907</v>
      </c>
      <c r="G186" s="24">
        <v>44525</v>
      </c>
      <c r="H186" s="22" t="s">
        <v>400</v>
      </c>
      <c r="I186" s="22" t="s">
        <v>550</v>
      </c>
      <c r="J186" s="22"/>
      <c r="K186" s="22"/>
      <c r="L186" s="22"/>
      <c r="M186" s="22"/>
      <c r="N186" s="22"/>
      <c r="O186" s="22"/>
      <c r="P186" s="22"/>
      <c r="Q186" s="22"/>
      <c r="R186" s="22"/>
    </row>
    <row r="187" spans="1:18" x14ac:dyDescent="0.25">
      <c r="A187" s="22" t="s">
        <v>554</v>
      </c>
      <c r="B187" s="22" t="s">
        <v>201</v>
      </c>
      <c r="C187" s="22" t="s">
        <v>202</v>
      </c>
      <c r="D187" s="22" t="s">
        <v>553</v>
      </c>
      <c r="E187" s="22" t="s">
        <v>57</v>
      </c>
      <c r="F187" s="23">
        <v>-106308</v>
      </c>
      <c r="G187" s="24">
        <v>44521</v>
      </c>
      <c r="H187" s="22" t="s">
        <v>400</v>
      </c>
      <c r="I187" s="22" t="s">
        <v>550</v>
      </c>
      <c r="J187" s="22"/>
      <c r="K187" s="22"/>
      <c r="L187" s="22"/>
      <c r="M187" s="22"/>
      <c r="N187" s="22"/>
      <c r="O187" s="22"/>
      <c r="P187" s="22"/>
      <c r="Q187" s="22"/>
      <c r="R187" s="22"/>
    </row>
    <row r="188" spans="1:18" x14ac:dyDescent="0.25">
      <c r="A188" s="22" t="s">
        <v>97</v>
      </c>
      <c r="B188" s="22" t="s">
        <v>201</v>
      </c>
      <c r="C188" s="22" t="s">
        <v>202</v>
      </c>
      <c r="D188" s="22" t="s">
        <v>99</v>
      </c>
      <c r="E188" s="22" t="s">
        <v>57</v>
      </c>
      <c r="F188" s="23">
        <v>-7605391</v>
      </c>
      <c r="G188" s="24">
        <v>44512</v>
      </c>
      <c r="H188" s="22" t="s">
        <v>400</v>
      </c>
      <c r="I188" s="22" t="s">
        <v>427</v>
      </c>
      <c r="J188" s="22"/>
      <c r="K188" s="22"/>
      <c r="L188" s="22"/>
      <c r="M188" s="22"/>
      <c r="N188" s="22"/>
      <c r="O188" s="22"/>
      <c r="P188" s="22"/>
      <c r="Q188" s="22"/>
      <c r="R188" s="22"/>
    </row>
    <row r="189" spans="1:18" x14ac:dyDescent="0.25">
      <c r="A189" s="22" t="s">
        <v>556</v>
      </c>
      <c r="B189" s="22" t="s">
        <v>201</v>
      </c>
      <c r="C189" s="22" t="s">
        <v>202</v>
      </c>
      <c r="D189" s="22" t="s">
        <v>555</v>
      </c>
      <c r="E189" s="22" t="s">
        <v>57</v>
      </c>
      <c r="F189" s="23">
        <v>-19400</v>
      </c>
      <c r="G189" s="24">
        <v>44530</v>
      </c>
      <c r="H189" s="22" t="s">
        <v>400</v>
      </c>
      <c r="I189" s="22" t="s">
        <v>494</v>
      </c>
      <c r="J189" s="22"/>
      <c r="K189" s="22"/>
      <c r="L189" s="22"/>
      <c r="M189" s="22"/>
      <c r="N189" s="22"/>
      <c r="O189" s="22"/>
      <c r="P189" s="22"/>
      <c r="Q189" s="22"/>
      <c r="R189" s="22"/>
    </row>
    <row r="190" spans="1:18" x14ac:dyDescent="0.25">
      <c r="A190" s="22" t="s">
        <v>558</v>
      </c>
      <c r="B190" s="22" t="s">
        <v>201</v>
      </c>
      <c r="C190" s="22" t="s">
        <v>202</v>
      </c>
      <c r="D190" s="22" t="s">
        <v>557</v>
      </c>
      <c r="E190" s="22" t="s">
        <v>57</v>
      </c>
      <c r="F190" s="23">
        <v>-29200</v>
      </c>
      <c r="G190" s="24">
        <v>44530</v>
      </c>
      <c r="H190" s="22" t="s">
        <v>400</v>
      </c>
      <c r="I190" s="22" t="s">
        <v>559</v>
      </c>
      <c r="J190" s="22"/>
      <c r="K190" s="22"/>
      <c r="L190" s="22"/>
      <c r="M190" s="22"/>
      <c r="N190" s="22"/>
      <c r="O190" s="22"/>
      <c r="P190" s="22"/>
      <c r="Q190" s="22"/>
      <c r="R190" s="22"/>
    </row>
    <row r="191" spans="1:18" x14ac:dyDescent="0.25">
      <c r="A191" s="22" t="s">
        <v>561</v>
      </c>
      <c r="B191" s="22" t="s">
        <v>201</v>
      </c>
      <c r="C191" s="22" t="s">
        <v>202</v>
      </c>
      <c r="D191" s="22" t="s">
        <v>560</v>
      </c>
      <c r="E191" s="22" t="s">
        <v>57</v>
      </c>
      <c r="F191" s="23">
        <v>-18800</v>
      </c>
      <c r="G191" s="24">
        <v>44529</v>
      </c>
      <c r="H191" s="22" t="s">
        <v>400</v>
      </c>
      <c r="I191" s="22" t="s">
        <v>494</v>
      </c>
      <c r="J191" s="22"/>
      <c r="K191" s="22"/>
      <c r="L191" s="22"/>
      <c r="M191" s="22"/>
      <c r="N191" s="22"/>
      <c r="O191" s="22"/>
      <c r="P191" s="22"/>
      <c r="Q191" s="22"/>
      <c r="R191" s="22"/>
    </row>
    <row r="192" spans="1:18" x14ac:dyDescent="0.25">
      <c r="A192" s="22" t="s">
        <v>563</v>
      </c>
      <c r="B192" s="22" t="s">
        <v>201</v>
      </c>
      <c r="C192" s="22" t="s">
        <v>202</v>
      </c>
      <c r="D192" s="22" t="s">
        <v>562</v>
      </c>
      <c r="E192" s="22" t="s">
        <v>57</v>
      </c>
      <c r="F192" s="23">
        <v>-20200</v>
      </c>
      <c r="G192" s="24">
        <v>44526</v>
      </c>
      <c r="H192" s="22" t="s">
        <v>400</v>
      </c>
      <c r="I192" s="22" t="s">
        <v>494</v>
      </c>
      <c r="J192" s="22"/>
      <c r="K192" s="22"/>
      <c r="L192" s="22"/>
      <c r="M192" s="22"/>
      <c r="N192" s="22"/>
      <c r="O192" s="22"/>
      <c r="P192" s="22"/>
      <c r="Q192" s="22"/>
      <c r="R192" s="22"/>
    </row>
    <row r="193" spans="1:18" x14ac:dyDescent="0.25">
      <c r="A193" s="22" t="s">
        <v>565</v>
      </c>
      <c r="B193" s="22" t="s">
        <v>201</v>
      </c>
      <c r="C193" s="22" t="s">
        <v>202</v>
      </c>
      <c r="D193" s="22" t="s">
        <v>564</v>
      </c>
      <c r="E193" s="22" t="s">
        <v>57</v>
      </c>
      <c r="F193" s="23">
        <v>-68100</v>
      </c>
      <c r="G193" s="24">
        <v>44524</v>
      </c>
      <c r="H193" s="22" t="s">
        <v>400</v>
      </c>
      <c r="I193" s="22" t="s">
        <v>491</v>
      </c>
      <c r="J193" s="22"/>
      <c r="K193" s="22"/>
      <c r="L193" s="22"/>
      <c r="M193" s="22"/>
      <c r="N193" s="22"/>
      <c r="O193" s="22"/>
      <c r="P193" s="22"/>
      <c r="Q193" s="22"/>
      <c r="R193" s="22"/>
    </row>
    <row r="194" spans="1:18" x14ac:dyDescent="0.25">
      <c r="A194" s="22" t="s">
        <v>567</v>
      </c>
      <c r="B194" s="22" t="s">
        <v>201</v>
      </c>
      <c r="C194" s="22" t="s">
        <v>202</v>
      </c>
      <c r="D194" s="22" t="s">
        <v>566</v>
      </c>
      <c r="E194" s="22" t="s">
        <v>57</v>
      </c>
      <c r="F194" s="23">
        <v>-43700</v>
      </c>
      <c r="G194" s="24">
        <v>44524</v>
      </c>
      <c r="H194" s="22" t="s">
        <v>400</v>
      </c>
      <c r="I194" s="22" t="s">
        <v>486</v>
      </c>
      <c r="J194" s="22"/>
      <c r="K194" s="22"/>
      <c r="L194" s="22"/>
      <c r="M194" s="22"/>
      <c r="N194" s="22"/>
      <c r="O194" s="22"/>
      <c r="P194" s="22"/>
      <c r="Q194" s="22"/>
      <c r="R194" s="22"/>
    </row>
    <row r="195" spans="1:18" x14ac:dyDescent="0.25">
      <c r="A195" s="22" t="s">
        <v>569</v>
      </c>
      <c r="B195" s="22" t="s">
        <v>201</v>
      </c>
      <c r="C195" s="22" t="s">
        <v>202</v>
      </c>
      <c r="D195" s="22" t="s">
        <v>568</v>
      </c>
      <c r="E195" s="22" t="s">
        <v>57</v>
      </c>
      <c r="F195" s="23">
        <v>-43700</v>
      </c>
      <c r="G195" s="24">
        <v>44524</v>
      </c>
      <c r="H195" s="22" t="s">
        <v>400</v>
      </c>
      <c r="I195" s="22" t="s">
        <v>282</v>
      </c>
      <c r="J195" s="22"/>
      <c r="K195" s="22"/>
      <c r="L195" s="22"/>
      <c r="M195" s="22"/>
      <c r="N195" s="22"/>
      <c r="O195" s="22"/>
      <c r="P195" s="22"/>
      <c r="Q195" s="22"/>
      <c r="R195" s="22"/>
    </row>
    <row r="196" spans="1:18" x14ac:dyDescent="0.25">
      <c r="A196" s="22" t="s">
        <v>571</v>
      </c>
      <c r="B196" s="22" t="s">
        <v>201</v>
      </c>
      <c r="C196" s="22" t="s">
        <v>202</v>
      </c>
      <c r="D196" s="22" t="s">
        <v>570</v>
      </c>
      <c r="E196" s="22" t="s">
        <v>57</v>
      </c>
      <c r="F196" s="23">
        <v>-90988</v>
      </c>
      <c r="G196" s="24">
        <v>44420</v>
      </c>
      <c r="H196" s="22" t="s">
        <v>572</v>
      </c>
      <c r="I196" s="22" t="s">
        <v>573</v>
      </c>
      <c r="J196" s="22"/>
      <c r="K196" s="22"/>
      <c r="L196" s="22"/>
      <c r="M196" s="22"/>
      <c r="N196" s="22"/>
      <c r="O196" s="22"/>
      <c r="P196" s="22"/>
      <c r="Q196" s="22"/>
      <c r="R196" s="22"/>
    </row>
    <row r="197" spans="1:18" x14ac:dyDescent="0.25">
      <c r="A197" s="22" t="s">
        <v>571</v>
      </c>
      <c r="B197" s="22" t="s">
        <v>201</v>
      </c>
      <c r="C197" s="22" t="s">
        <v>202</v>
      </c>
      <c r="D197" s="22" t="s">
        <v>572</v>
      </c>
      <c r="E197" s="22" t="s">
        <v>45</v>
      </c>
      <c r="F197" s="23">
        <v>226650</v>
      </c>
      <c r="G197" s="24">
        <v>44420</v>
      </c>
      <c r="H197" s="22" t="s">
        <v>572</v>
      </c>
      <c r="I197" s="22"/>
      <c r="J197" s="22"/>
      <c r="K197" s="22"/>
      <c r="L197" s="22"/>
      <c r="M197" s="22"/>
      <c r="N197" s="22"/>
      <c r="O197" s="22"/>
      <c r="P197" s="22"/>
      <c r="Q197" s="22"/>
      <c r="R197" s="22"/>
    </row>
    <row r="198" spans="1:18" x14ac:dyDescent="0.25">
      <c r="A198" s="22" t="s">
        <v>571</v>
      </c>
      <c r="B198" s="22" t="s">
        <v>201</v>
      </c>
      <c r="C198" s="22" t="s">
        <v>202</v>
      </c>
      <c r="D198" s="22" t="s">
        <v>572</v>
      </c>
      <c r="E198" s="22" t="s">
        <v>45</v>
      </c>
      <c r="F198" s="23">
        <v>-164450</v>
      </c>
      <c r="G198" s="24">
        <v>44420</v>
      </c>
      <c r="H198" s="22" t="s">
        <v>572</v>
      </c>
      <c r="I198" s="22"/>
      <c r="J198" s="22"/>
      <c r="K198" s="22"/>
      <c r="L198" s="22"/>
      <c r="M198" s="22"/>
      <c r="N198" s="22"/>
      <c r="O198" s="22"/>
      <c r="P198" s="22"/>
      <c r="Q198" s="22"/>
      <c r="R198" s="22"/>
    </row>
    <row r="199" spans="1:18" s="39" customFormat="1" x14ac:dyDescent="0.25">
      <c r="A199" s="36" t="s">
        <v>575</v>
      </c>
      <c r="B199" s="36" t="s">
        <v>201</v>
      </c>
      <c r="C199" s="36" t="s">
        <v>202</v>
      </c>
      <c r="D199" s="36" t="s">
        <v>574</v>
      </c>
      <c r="E199" s="36" t="s">
        <v>42</v>
      </c>
      <c r="F199" s="37">
        <v>27549</v>
      </c>
      <c r="G199" s="38">
        <v>44476</v>
      </c>
      <c r="H199" s="36" t="s">
        <v>576</v>
      </c>
      <c r="I199" s="36" t="s">
        <v>577</v>
      </c>
      <c r="J199" s="36"/>
      <c r="K199" s="36"/>
      <c r="L199" s="36"/>
      <c r="M199" s="36"/>
      <c r="N199" s="36"/>
      <c r="O199" s="36"/>
      <c r="P199" s="36"/>
      <c r="Q199" s="36"/>
      <c r="R199" s="36"/>
    </row>
    <row r="200" spans="1:18" x14ac:dyDescent="0.25">
      <c r="A200" s="22" t="s">
        <v>579</v>
      </c>
      <c r="B200" s="22" t="s">
        <v>201</v>
      </c>
      <c r="C200" s="22" t="s">
        <v>202</v>
      </c>
      <c r="D200" s="22" t="s">
        <v>578</v>
      </c>
      <c r="E200" s="22" t="s">
        <v>57</v>
      </c>
      <c r="F200" s="23">
        <v>-55097</v>
      </c>
      <c r="G200" s="24">
        <v>44417</v>
      </c>
      <c r="H200" s="22" t="s">
        <v>576</v>
      </c>
      <c r="I200" s="22" t="s">
        <v>580</v>
      </c>
      <c r="J200" s="22"/>
      <c r="K200" s="22"/>
      <c r="L200" s="22"/>
      <c r="M200" s="22"/>
      <c r="N200" s="22"/>
      <c r="O200" s="22"/>
      <c r="P200" s="22"/>
      <c r="Q200" s="22"/>
      <c r="R200" s="22"/>
    </row>
    <row r="201" spans="1:18" x14ac:dyDescent="0.25">
      <c r="A201" s="22" t="s">
        <v>579</v>
      </c>
      <c r="B201" s="22" t="s">
        <v>201</v>
      </c>
      <c r="C201" s="22" t="s">
        <v>202</v>
      </c>
      <c r="D201" s="22" t="s">
        <v>576</v>
      </c>
      <c r="E201" s="22" t="s">
        <v>45</v>
      </c>
      <c r="F201" s="23">
        <v>-27549</v>
      </c>
      <c r="G201" s="24">
        <v>44417</v>
      </c>
      <c r="H201" s="22" t="s">
        <v>576</v>
      </c>
      <c r="I201" s="22"/>
      <c r="J201" s="22"/>
      <c r="K201" s="22"/>
      <c r="L201" s="22"/>
      <c r="M201" s="22"/>
      <c r="N201" s="22"/>
      <c r="O201" s="22"/>
      <c r="P201" s="22"/>
      <c r="Q201" s="22"/>
      <c r="R201" s="22"/>
    </row>
    <row r="202" spans="1:18" x14ac:dyDescent="0.25">
      <c r="A202" s="22" t="s">
        <v>579</v>
      </c>
      <c r="B202" s="22" t="s">
        <v>201</v>
      </c>
      <c r="C202" s="22" t="s">
        <v>202</v>
      </c>
      <c r="D202" s="22" t="s">
        <v>576</v>
      </c>
      <c r="E202" s="22" t="s">
        <v>45</v>
      </c>
      <c r="F202" s="23">
        <v>55097</v>
      </c>
      <c r="G202" s="24">
        <v>44417</v>
      </c>
      <c r="H202" s="22" t="s">
        <v>576</v>
      </c>
      <c r="I202" s="22"/>
      <c r="J202" s="22"/>
      <c r="K202" s="22"/>
      <c r="L202" s="22"/>
      <c r="M202" s="22"/>
      <c r="N202" s="22"/>
      <c r="O202" s="22"/>
      <c r="P202" s="22"/>
      <c r="Q202" s="22"/>
      <c r="R202" s="22"/>
    </row>
    <row r="203" spans="1:18" s="39" customFormat="1" x14ac:dyDescent="0.25">
      <c r="A203" s="36" t="s">
        <v>582</v>
      </c>
      <c r="B203" s="36" t="s">
        <v>201</v>
      </c>
      <c r="C203" s="36" t="s">
        <v>202</v>
      </c>
      <c r="D203" s="36" t="s">
        <v>581</v>
      </c>
      <c r="E203" s="36" t="s">
        <v>42</v>
      </c>
      <c r="F203" s="37">
        <v>57800</v>
      </c>
      <c r="G203" s="38">
        <v>44476</v>
      </c>
      <c r="H203" s="36" t="s">
        <v>583</v>
      </c>
      <c r="I203" s="36" t="s">
        <v>577</v>
      </c>
      <c r="J203" s="36"/>
      <c r="K203" s="36"/>
      <c r="L203" s="36"/>
      <c r="M203" s="36"/>
      <c r="N203" s="36"/>
      <c r="O203" s="36"/>
      <c r="P203" s="36"/>
      <c r="Q203" s="36"/>
      <c r="R203" s="36"/>
    </row>
    <row r="204" spans="1:18" x14ac:dyDescent="0.25">
      <c r="A204" s="22" t="s">
        <v>584</v>
      </c>
      <c r="B204" s="22" t="s">
        <v>201</v>
      </c>
      <c r="C204" s="22" t="s">
        <v>202</v>
      </c>
      <c r="D204" s="22" t="s">
        <v>583</v>
      </c>
      <c r="E204" s="22" t="s">
        <v>45</v>
      </c>
      <c r="F204" s="23">
        <v>-57800</v>
      </c>
      <c r="G204" s="24">
        <v>44461</v>
      </c>
      <c r="H204" s="22" t="s">
        <v>583</v>
      </c>
      <c r="I204" s="22"/>
      <c r="J204" s="22"/>
      <c r="K204" s="22"/>
      <c r="L204" s="22"/>
      <c r="M204" s="22"/>
      <c r="N204" s="22"/>
      <c r="O204" s="22"/>
      <c r="P204" s="22"/>
      <c r="Q204" s="22"/>
      <c r="R204" s="22"/>
    </row>
    <row r="205" spans="1:18" x14ac:dyDescent="0.25">
      <c r="A205" s="22" t="s">
        <v>584</v>
      </c>
      <c r="B205" s="22" t="s">
        <v>201</v>
      </c>
      <c r="C205" s="22" t="s">
        <v>202</v>
      </c>
      <c r="D205" s="22" t="s">
        <v>583</v>
      </c>
      <c r="E205" s="22" t="s">
        <v>45</v>
      </c>
      <c r="F205" s="23">
        <v>75498</v>
      </c>
      <c r="G205" s="24">
        <v>44461</v>
      </c>
      <c r="H205" s="22" t="s">
        <v>583</v>
      </c>
      <c r="I205" s="22"/>
      <c r="J205" s="22"/>
      <c r="K205" s="22"/>
      <c r="L205" s="22"/>
      <c r="M205" s="22"/>
      <c r="N205" s="22"/>
      <c r="O205" s="22"/>
      <c r="P205" s="22"/>
      <c r="Q205" s="22"/>
      <c r="R205" s="22"/>
    </row>
    <row r="206" spans="1:18" x14ac:dyDescent="0.25">
      <c r="A206" s="22" t="s">
        <v>584</v>
      </c>
      <c r="B206" s="22" t="s">
        <v>201</v>
      </c>
      <c r="C206" s="22" t="s">
        <v>202</v>
      </c>
      <c r="D206" s="22" t="s">
        <v>585</v>
      </c>
      <c r="E206" s="22" t="s">
        <v>45</v>
      </c>
      <c r="F206" s="23">
        <v>-75498</v>
      </c>
      <c r="G206" s="24">
        <v>44461</v>
      </c>
      <c r="H206" s="22" t="s">
        <v>583</v>
      </c>
      <c r="I206" s="22" t="s">
        <v>586</v>
      </c>
      <c r="J206" s="22"/>
      <c r="K206" s="22"/>
      <c r="L206" s="22"/>
      <c r="M206" s="22"/>
      <c r="N206" s="22"/>
      <c r="O206" s="22"/>
      <c r="P206" s="22"/>
      <c r="Q206" s="22"/>
      <c r="R206" s="22"/>
    </row>
    <row r="207" spans="1:18" x14ac:dyDescent="0.25">
      <c r="A207" s="22" t="s">
        <v>589</v>
      </c>
      <c r="B207" s="22" t="s">
        <v>201</v>
      </c>
      <c r="C207" s="22" t="s">
        <v>202</v>
      </c>
      <c r="D207" s="22" t="s">
        <v>587</v>
      </c>
      <c r="E207" s="22" t="s">
        <v>588</v>
      </c>
      <c r="F207" s="23">
        <v>-39163</v>
      </c>
      <c r="G207" s="24">
        <v>44322</v>
      </c>
      <c r="H207" s="22" t="s">
        <v>590</v>
      </c>
      <c r="I207" s="22" t="s">
        <v>591</v>
      </c>
      <c r="J207" s="22"/>
      <c r="K207" s="22"/>
      <c r="L207" s="22"/>
      <c r="M207" s="22"/>
      <c r="N207" s="22"/>
      <c r="O207" s="22"/>
      <c r="P207" s="22"/>
      <c r="Q207" s="22"/>
      <c r="R207" s="22"/>
    </row>
    <row r="208" spans="1:18" s="39" customFormat="1" x14ac:dyDescent="0.25">
      <c r="A208" s="36" t="s">
        <v>593</v>
      </c>
      <c r="B208" s="36" t="s">
        <v>201</v>
      </c>
      <c r="C208" s="36" t="s">
        <v>202</v>
      </c>
      <c r="D208" s="36" t="s">
        <v>592</v>
      </c>
      <c r="E208" s="36" t="s">
        <v>42</v>
      </c>
      <c r="F208" s="37">
        <v>21850</v>
      </c>
      <c r="G208" s="38">
        <v>44476</v>
      </c>
      <c r="H208" s="36" t="s">
        <v>590</v>
      </c>
      <c r="I208" s="36" t="s">
        <v>577</v>
      </c>
      <c r="J208" s="36"/>
      <c r="K208" s="36"/>
      <c r="L208" s="36"/>
      <c r="M208" s="36"/>
      <c r="N208" s="36"/>
      <c r="O208" s="36"/>
      <c r="P208" s="36"/>
      <c r="Q208" s="36"/>
      <c r="R208" s="36"/>
    </row>
    <row r="209" spans="1:18" x14ac:dyDescent="0.25">
      <c r="A209" s="22" t="s">
        <v>589</v>
      </c>
      <c r="B209" s="22" t="s">
        <v>201</v>
      </c>
      <c r="C209" s="22" t="s">
        <v>202</v>
      </c>
      <c r="D209" s="22" t="s">
        <v>590</v>
      </c>
      <c r="E209" s="22" t="s">
        <v>45</v>
      </c>
      <c r="F209" s="23">
        <v>50320</v>
      </c>
      <c r="G209" s="24">
        <v>44322</v>
      </c>
      <c r="H209" s="22" t="s">
        <v>590</v>
      </c>
      <c r="I209" s="22"/>
      <c r="J209" s="22"/>
      <c r="K209" s="22"/>
      <c r="L209" s="22"/>
      <c r="M209" s="22"/>
      <c r="N209" s="22"/>
      <c r="O209" s="22"/>
      <c r="P209" s="22"/>
      <c r="Q209" s="22"/>
      <c r="R209" s="22"/>
    </row>
    <row r="210" spans="1:18" x14ac:dyDescent="0.25">
      <c r="A210" s="22" t="s">
        <v>589</v>
      </c>
      <c r="B210" s="22" t="s">
        <v>201</v>
      </c>
      <c r="C210" s="22" t="s">
        <v>202</v>
      </c>
      <c r="D210" s="22" t="s">
        <v>590</v>
      </c>
      <c r="E210" s="22" t="s">
        <v>45</v>
      </c>
      <c r="F210" s="23">
        <v>-21850</v>
      </c>
      <c r="G210" s="24">
        <v>44322</v>
      </c>
      <c r="H210" s="22" t="s">
        <v>590</v>
      </c>
      <c r="I210" s="22"/>
      <c r="J210" s="22"/>
      <c r="K210" s="22"/>
      <c r="L210" s="22"/>
      <c r="M210" s="22"/>
      <c r="N210" s="22"/>
      <c r="O210" s="22"/>
      <c r="P210" s="22"/>
      <c r="Q210" s="22"/>
      <c r="R210" s="22"/>
    </row>
    <row r="211" spans="1:18" x14ac:dyDescent="0.25">
      <c r="A211" s="22" t="s">
        <v>595</v>
      </c>
      <c r="B211" s="22" t="s">
        <v>201</v>
      </c>
      <c r="C211" s="22" t="s">
        <v>202</v>
      </c>
      <c r="D211" s="22" t="s">
        <v>594</v>
      </c>
      <c r="E211" s="22" t="s">
        <v>45</v>
      </c>
      <c r="F211" s="23">
        <v>-11157</v>
      </c>
      <c r="G211" s="24">
        <v>44467</v>
      </c>
      <c r="H211" s="22" t="s">
        <v>590</v>
      </c>
      <c r="I211" s="22" t="s">
        <v>596</v>
      </c>
      <c r="J211" s="22"/>
      <c r="K211" s="22"/>
      <c r="L211" s="22"/>
      <c r="M211" s="22"/>
      <c r="N211" s="22"/>
      <c r="O211" s="22"/>
      <c r="P211" s="22"/>
      <c r="Q211" s="22"/>
      <c r="R211" s="22"/>
    </row>
    <row r="212" spans="1:18" s="39" customFormat="1" x14ac:dyDescent="0.25">
      <c r="A212" s="36" t="s">
        <v>598</v>
      </c>
      <c r="B212" s="36" t="s">
        <v>201</v>
      </c>
      <c r="C212" s="36" t="s">
        <v>202</v>
      </c>
      <c r="D212" s="36" t="s">
        <v>597</v>
      </c>
      <c r="E212" s="36" t="s">
        <v>42</v>
      </c>
      <c r="F212" s="37">
        <v>2005007</v>
      </c>
      <c r="G212" s="38">
        <v>44476</v>
      </c>
      <c r="H212" s="36" t="s">
        <v>599</v>
      </c>
      <c r="I212" s="36" t="s">
        <v>577</v>
      </c>
      <c r="J212" s="36"/>
      <c r="K212" s="36"/>
      <c r="L212" s="36"/>
      <c r="M212" s="36"/>
      <c r="N212" s="36"/>
      <c r="O212" s="36"/>
      <c r="P212" s="36"/>
      <c r="Q212" s="36"/>
      <c r="R212" s="36"/>
    </row>
    <row r="213" spans="1:18" x14ac:dyDescent="0.25">
      <c r="A213" s="22" t="s">
        <v>600</v>
      </c>
      <c r="B213" s="22" t="s">
        <v>201</v>
      </c>
      <c r="C213" s="22" t="s">
        <v>202</v>
      </c>
      <c r="D213" s="22" t="s">
        <v>599</v>
      </c>
      <c r="E213" s="22" t="s">
        <v>45</v>
      </c>
      <c r="F213" s="23">
        <v>6274997</v>
      </c>
      <c r="G213" s="24">
        <v>44449</v>
      </c>
      <c r="H213" s="22" t="s">
        <v>599</v>
      </c>
      <c r="I213" s="22"/>
      <c r="J213" s="22"/>
      <c r="K213" s="22"/>
      <c r="L213" s="22"/>
      <c r="M213" s="22"/>
      <c r="N213" s="22"/>
      <c r="O213" s="22"/>
      <c r="P213" s="22"/>
      <c r="Q213" s="22"/>
      <c r="R213" s="22"/>
    </row>
    <row r="214" spans="1:18" x14ac:dyDescent="0.25">
      <c r="A214" s="22" t="s">
        <v>600</v>
      </c>
      <c r="B214" s="22" t="s">
        <v>201</v>
      </c>
      <c r="C214" s="22" t="s">
        <v>202</v>
      </c>
      <c r="D214" s="22" t="s">
        <v>599</v>
      </c>
      <c r="E214" s="22" t="s">
        <v>45</v>
      </c>
      <c r="F214" s="23">
        <v>-2005007</v>
      </c>
      <c r="G214" s="24">
        <v>44449</v>
      </c>
      <c r="H214" s="22" t="s">
        <v>599</v>
      </c>
      <c r="I214" s="22"/>
      <c r="J214" s="22"/>
      <c r="K214" s="22"/>
      <c r="L214" s="22"/>
      <c r="M214" s="22"/>
      <c r="N214" s="22"/>
      <c r="O214" s="22"/>
      <c r="P214" s="22"/>
      <c r="Q214" s="22"/>
      <c r="R214" s="22"/>
    </row>
    <row r="215" spans="1:18" x14ac:dyDescent="0.25">
      <c r="A215" s="22" t="s">
        <v>600</v>
      </c>
      <c r="B215" s="22" t="s">
        <v>201</v>
      </c>
      <c r="C215" s="22" t="s">
        <v>202</v>
      </c>
      <c r="D215" s="22" t="s">
        <v>601</v>
      </c>
      <c r="E215" s="22" t="s">
        <v>57</v>
      </c>
      <c r="F215" s="23">
        <v>-6274997</v>
      </c>
      <c r="G215" s="24">
        <v>44449</v>
      </c>
      <c r="H215" s="22" t="s">
        <v>599</v>
      </c>
      <c r="I215" s="22" t="s">
        <v>365</v>
      </c>
      <c r="J215" s="22"/>
      <c r="K215" s="22"/>
      <c r="L215" s="22"/>
      <c r="M215" s="22"/>
      <c r="N215" s="22"/>
      <c r="O215" s="22"/>
      <c r="P215" s="22"/>
      <c r="Q215" s="22"/>
      <c r="R215" s="22"/>
    </row>
    <row r="216" spans="1:18" s="39" customFormat="1" x14ac:dyDescent="0.25">
      <c r="A216" s="36" t="s">
        <v>603</v>
      </c>
      <c r="B216" s="36" t="s">
        <v>201</v>
      </c>
      <c r="C216" s="36" t="s">
        <v>202</v>
      </c>
      <c r="D216" s="36" t="s">
        <v>602</v>
      </c>
      <c r="E216" s="36" t="s">
        <v>42</v>
      </c>
      <c r="F216" s="37">
        <v>507550</v>
      </c>
      <c r="G216" s="38">
        <v>44446</v>
      </c>
      <c r="H216" s="36" t="s">
        <v>604</v>
      </c>
      <c r="I216" s="36" t="s">
        <v>605</v>
      </c>
      <c r="J216" s="36"/>
      <c r="K216" s="36"/>
      <c r="L216" s="36"/>
      <c r="M216" s="36"/>
      <c r="N216" s="36"/>
      <c r="O216" s="36"/>
      <c r="P216" s="36"/>
      <c r="Q216" s="36"/>
      <c r="R216" s="36"/>
    </row>
    <row r="217" spans="1:18" x14ac:dyDescent="0.25">
      <c r="A217" s="22" t="s">
        <v>607</v>
      </c>
      <c r="B217" s="22" t="s">
        <v>201</v>
      </c>
      <c r="C217" s="22" t="s">
        <v>202</v>
      </c>
      <c r="D217" s="22" t="s">
        <v>606</v>
      </c>
      <c r="E217" s="22" t="s">
        <v>57</v>
      </c>
      <c r="F217" s="23">
        <v>-40300</v>
      </c>
      <c r="G217" s="24">
        <v>44432</v>
      </c>
      <c r="H217" s="22" t="s">
        <v>604</v>
      </c>
      <c r="I217" s="22" t="s">
        <v>608</v>
      </c>
      <c r="J217" s="22"/>
      <c r="K217" s="22"/>
      <c r="L217" s="22"/>
      <c r="M217" s="22"/>
      <c r="N217" s="22"/>
      <c r="O217" s="22"/>
      <c r="P217" s="22"/>
      <c r="Q217" s="22"/>
      <c r="R217" s="22"/>
    </row>
    <row r="218" spans="1:18" x14ac:dyDescent="0.25">
      <c r="A218" s="22" t="s">
        <v>610</v>
      </c>
      <c r="B218" s="22" t="s">
        <v>201</v>
      </c>
      <c r="C218" s="22" t="s">
        <v>202</v>
      </c>
      <c r="D218" s="22" t="s">
        <v>609</v>
      </c>
      <c r="E218" s="22" t="s">
        <v>57</v>
      </c>
      <c r="F218" s="23">
        <v>-47200</v>
      </c>
      <c r="G218" s="24">
        <v>44432</v>
      </c>
      <c r="H218" s="22" t="s">
        <v>604</v>
      </c>
      <c r="I218" s="22" t="s">
        <v>611</v>
      </c>
      <c r="J218" s="22"/>
      <c r="K218" s="22"/>
      <c r="L218" s="22"/>
      <c r="M218" s="22"/>
      <c r="N218" s="22"/>
      <c r="O218" s="22"/>
      <c r="P218" s="22"/>
      <c r="Q218" s="22"/>
      <c r="R218" s="22"/>
    </row>
    <row r="219" spans="1:18" x14ac:dyDescent="0.25">
      <c r="A219" s="22" t="s">
        <v>613</v>
      </c>
      <c r="B219" s="22" t="s">
        <v>201</v>
      </c>
      <c r="C219" s="22" t="s">
        <v>202</v>
      </c>
      <c r="D219" s="22" t="s">
        <v>612</v>
      </c>
      <c r="E219" s="22" t="s">
        <v>45</v>
      </c>
      <c r="F219" s="23">
        <v>-510376</v>
      </c>
      <c r="G219" s="24">
        <v>44433</v>
      </c>
      <c r="H219" s="22" t="s">
        <v>604</v>
      </c>
      <c r="I219" s="22" t="s">
        <v>614</v>
      </c>
      <c r="J219" s="22"/>
      <c r="K219" s="22"/>
      <c r="L219" s="22"/>
      <c r="M219" s="22"/>
      <c r="N219" s="22"/>
      <c r="O219" s="22"/>
      <c r="P219" s="22"/>
      <c r="Q219" s="22"/>
      <c r="R219" s="22"/>
    </row>
    <row r="220" spans="1:18" x14ac:dyDescent="0.25">
      <c r="A220" s="22" t="s">
        <v>571</v>
      </c>
      <c r="B220" s="22" t="s">
        <v>201</v>
      </c>
      <c r="C220" s="22" t="s">
        <v>202</v>
      </c>
      <c r="D220" s="22" t="s">
        <v>572</v>
      </c>
      <c r="E220" s="22" t="s">
        <v>45</v>
      </c>
      <c r="F220" s="23">
        <v>-62200</v>
      </c>
      <c r="G220" s="24">
        <v>44420</v>
      </c>
      <c r="H220" s="22" t="s">
        <v>615</v>
      </c>
      <c r="I220" s="22" t="s">
        <v>614</v>
      </c>
      <c r="J220" s="22"/>
      <c r="K220" s="22"/>
      <c r="L220" s="22"/>
      <c r="M220" s="22"/>
      <c r="N220" s="22"/>
      <c r="O220" s="22"/>
      <c r="P220" s="22"/>
      <c r="Q220" s="22"/>
      <c r="R220" s="22"/>
    </row>
    <row r="221" spans="1:18" x14ac:dyDescent="0.25">
      <c r="A221" s="22" t="s">
        <v>613</v>
      </c>
      <c r="B221" s="22" t="s">
        <v>201</v>
      </c>
      <c r="C221" s="22" t="s">
        <v>202</v>
      </c>
      <c r="D221" s="22" t="s">
        <v>604</v>
      </c>
      <c r="E221" s="22" t="s">
        <v>45</v>
      </c>
      <c r="F221" s="23">
        <v>-90326</v>
      </c>
      <c r="G221" s="24">
        <v>44433</v>
      </c>
      <c r="H221" s="22" t="s">
        <v>615</v>
      </c>
      <c r="I221" s="22" t="s">
        <v>616</v>
      </c>
      <c r="J221" s="22"/>
      <c r="K221" s="22"/>
      <c r="L221" s="22"/>
      <c r="M221" s="22"/>
      <c r="N221" s="22"/>
      <c r="O221" s="22"/>
      <c r="P221" s="22"/>
      <c r="Q221" s="22"/>
      <c r="R221" s="22"/>
    </row>
    <row r="222" spans="1:18" x14ac:dyDescent="0.25">
      <c r="A222" s="22" t="s">
        <v>618</v>
      </c>
      <c r="B222" s="22" t="s">
        <v>201</v>
      </c>
      <c r="C222" s="22" t="s">
        <v>202</v>
      </c>
      <c r="D222" s="22" t="s">
        <v>617</v>
      </c>
      <c r="E222" s="22" t="s">
        <v>45</v>
      </c>
      <c r="F222" s="23">
        <v>-19534</v>
      </c>
      <c r="G222" s="24">
        <v>44439</v>
      </c>
      <c r="H222" s="22" t="s">
        <v>615</v>
      </c>
      <c r="I222" s="22" t="s">
        <v>619</v>
      </c>
      <c r="J222" s="22"/>
      <c r="K222" s="22"/>
      <c r="L222" s="22"/>
      <c r="M222" s="22"/>
      <c r="N222" s="22"/>
      <c r="O222" s="22"/>
      <c r="P222" s="22"/>
      <c r="Q222" s="22"/>
      <c r="R222" s="22"/>
    </row>
    <row r="223" spans="1:18" x14ac:dyDescent="0.25">
      <c r="A223" s="22" t="s">
        <v>621</v>
      </c>
      <c r="B223" s="22" t="s">
        <v>201</v>
      </c>
      <c r="C223" s="22" t="s">
        <v>202</v>
      </c>
      <c r="D223" s="22" t="s">
        <v>620</v>
      </c>
      <c r="E223" s="22" t="s">
        <v>45</v>
      </c>
      <c r="F223" s="23">
        <v>-587340</v>
      </c>
      <c r="G223" s="24">
        <v>44438</v>
      </c>
      <c r="H223" s="22" t="s">
        <v>615</v>
      </c>
      <c r="I223" s="22" t="s">
        <v>622</v>
      </c>
      <c r="J223" s="22"/>
      <c r="K223" s="22"/>
      <c r="L223" s="22"/>
      <c r="M223" s="22"/>
      <c r="N223" s="22"/>
      <c r="O223" s="22"/>
      <c r="P223" s="22"/>
      <c r="Q223" s="22"/>
      <c r="R223" s="22"/>
    </row>
    <row r="224" spans="1:18" x14ac:dyDescent="0.25">
      <c r="A224" s="22" t="s">
        <v>624</v>
      </c>
      <c r="B224" s="22" t="s">
        <v>201</v>
      </c>
      <c r="C224" s="22" t="s">
        <v>202</v>
      </c>
      <c r="D224" s="22" t="s">
        <v>623</v>
      </c>
      <c r="E224" s="22" t="s">
        <v>57</v>
      </c>
      <c r="F224" s="23">
        <v>-53700</v>
      </c>
      <c r="G224" s="24">
        <v>44419</v>
      </c>
      <c r="H224" s="22" t="s">
        <v>615</v>
      </c>
      <c r="I224" s="22" t="s">
        <v>625</v>
      </c>
      <c r="J224" s="22"/>
      <c r="K224" s="22"/>
      <c r="L224" s="22"/>
      <c r="M224" s="22"/>
      <c r="N224" s="22"/>
      <c r="O224" s="22"/>
      <c r="P224" s="22"/>
      <c r="Q224" s="22"/>
      <c r="R224" s="22"/>
    </row>
    <row r="225" spans="1:18" x14ac:dyDescent="0.25">
      <c r="A225" s="22" t="s">
        <v>627</v>
      </c>
      <c r="B225" s="22" t="s">
        <v>201</v>
      </c>
      <c r="C225" s="22" t="s">
        <v>202</v>
      </c>
      <c r="D225" s="22" t="s">
        <v>626</v>
      </c>
      <c r="E225" s="22" t="s">
        <v>57</v>
      </c>
      <c r="F225" s="23">
        <v>-64900</v>
      </c>
      <c r="G225" s="24">
        <v>44436</v>
      </c>
      <c r="H225" s="22" t="s">
        <v>615</v>
      </c>
      <c r="I225" s="22" t="s">
        <v>628</v>
      </c>
      <c r="J225" s="22"/>
      <c r="K225" s="22"/>
      <c r="L225" s="22"/>
      <c r="M225" s="22"/>
      <c r="N225" s="22"/>
      <c r="O225" s="22"/>
      <c r="P225" s="22"/>
      <c r="Q225" s="22"/>
      <c r="R225" s="22"/>
    </row>
    <row r="226" spans="1:18" x14ac:dyDescent="0.25">
      <c r="A226" s="22" t="s">
        <v>579</v>
      </c>
      <c r="B226" s="22" t="s">
        <v>201</v>
      </c>
      <c r="C226" s="22" t="s">
        <v>202</v>
      </c>
      <c r="D226" s="22" t="s">
        <v>576</v>
      </c>
      <c r="E226" s="22" t="s">
        <v>45</v>
      </c>
      <c r="F226" s="23">
        <v>-27548</v>
      </c>
      <c r="G226" s="24">
        <v>44417</v>
      </c>
      <c r="H226" s="22" t="s">
        <v>615</v>
      </c>
      <c r="I226" s="22" t="s">
        <v>629</v>
      </c>
      <c r="J226" s="22"/>
      <c r="K226" s="22"/>
      <c r="L226" s="22"/>
      <c r="M226" s="22"/>
      <c r="N226" s="22"/>
      <c r="O226" s="22"/>
      <c r="P226" s="22"/>
      <c r="Q226" s="22"/>
      <c r="R226" s="22"/>
    </row>
    <row r="227" spans="1:18" x14ac:dyDescent="0.25">
      <c r="A227" s="22" t="s">
        <v>630</v>
      </c>
      <c r="B227" s="22" t="s">
        <v>201</v>
      </c>
      <c r="C227" s="22" t="s">
        <v>202</v>
      </c>
      <c r="D227" s="22" t="s">
        <v>615</v>
      </c>
      <c r="E227" s="22" t="s">
        <v>45</v>
      </c>
      <c r="F227" s="23">
        <v>3881345</v>
      </c>
      <c r="G227" s="24">
        <v>44451</v>
      </c>
      <c r="H227" s="22" t="s">
        <v>615</v>
      </c>
      <c r="I227" s="22"/>
      <c r="J227" s="22"/>
      <c r="K227" s="22"/>
      <c r="L227" s="22"/>
      <c r="M227" s="22"/>
      <c r="N227" s="22"/>
      <c r="O227" s="22"/>
      <c r="P227" s="22"/>
      <c r="Q227" s="22"/>
      <c r="R227" s="22"/>
    </row>
    <row r="228" spans="1:18" x14ac:dyDescent="0.25">
      <c r="A228" s="22" t="s">
        <v>630</v>
      </c>
      <c r="B228" s="22" t="s">
        <v>201</v>
      </c>
      <c r="C228" s="22" t="s">
        <v>202</v>
      </c>
      <c r="D228" s="22" t="s">
        <v>615</v>
      </c>
      <c r="E228" s="22" t="s">
        <v>45</v>
      </c>
      <c r="F228" s="23">
        <v>-3805296</v>
      </c>
      <c r="G228" s="24">
        <v>44451</v>
      </c>
      <c r="H228" s="22" t="s">
        <v>615</v>
      </c>
      <c r="I228" s="22"/>
      <c r="J228" s="22"/>
      <c r="K228" s="22"/>
      <c r="L228" s="22"/>
      <c r="M228" s="22"/>
      <c r="N228" s="22"/>
      <c r="O228" s="22"/>
      <c r="P228" s="22"/>
      <c r="Q228" s="22"/>
      <c r="R228" s="22"/>
    </row>
    <row r="229" spans="1:18" x14ac:dyDescent="0.25">
      <c r="A229" s="22" t="s">
        <v>630</v>
      </c>
      <c r="B229" s="22" t="s">
        <v>201</v>
      </c>
      <c r="C229" s="22" t="s">
        <v>202</v>
      </c>
      <c r="D229" s="22" t="s">
        <v>615</v>
      </c>
      <c r="E229" s="22" t="s">
        <v>45</v>
      </c>
      <c r="F229" s="23">
        <v>214362</v>
      </c>
      <c r="G229" s="24">
        <v>44451</v>
      </c>
      <c r="H229" s="22" t="s">
        <v>615</v>
      </c>
      <c r="I229" s="22"/>
      <c r="J229" s="22"/>
      <c r="K229" s="22"/>
      <c r="L229" s="22"/>
      <c r="M229" s="22"/>
      <c r="N229" s="22"/>
      <c r="O229" s="22"/>
      <c r="P229" s="22"/>
      <c r="Q229" s="22"/>
      <c r="R229" s="22"/>
    </row>
    <row r="230" spans="1:18" x14ac:dyDescent="0.25">
      <c r="A230" s="22" t="s">
        <v>7912</v>
      </c>
      <c r="B230" s="22" t="s">
        <v>201</v>
      </c>
      <c r="C230" s="22" t="s">
        <v>202</v>
      </c>
      <c r="D230" s="22" t="s">
        <v>631</v>
      </c>
      <c r="E230" s="22" t="s">
        <v>57</v>
      </c>
      <c r="F230" s="23">
        <v>-32700</v>
      </c>
      <c r="G230" s="24">
        <v>44469</v>
      </c>
      <c r="H230" s="22" t="s">
        <v>615</v>
      </c>
      <c r="I230" s="22" t="s">
        <v>633</v>
      </c>
      <c r="J230" s="22"/>
      <c r="K230" s="22"/>
      <c r="L230" s="22"/>
      <c r="M230" s="22"/>
      <c r="N230" s="22"/>
      <c r="O230" s="22"/>
      <c r="P230" s="22"/>
      <c r="Q230" s="22"/>
      <c r="R230" s="22"/>
    </row>
    <row r="231" spans="1:18" x14ac:dyDescent="0.25">
      <c r="A231" s="22" t="s">
        <v>630</v>
      </c>
      <c r="B231" s="22" t="s">
        <v>201</v>
      </c>
      <c r="C231" s="22" t="s">
        <v>202</v>
      </c>
      <c r="D231" s="22" t="s">
        <v>634</v>
      </c>
      <c r="E231" s="22" t="s">
        <v>57</v>
      </c>
      <c r="F231" s="23">
        <v>-2009198</v>
      </c>
      <c r="G231" s="24">
        <v>44451</v>
      </c>
      <c r="H231" s="22" t="s">
        <v>615</v>
      </c>
      <c r="I231" s="22" t="s">
        <v>628</v>
      </c>
      <c r="J231" s="22"/>
      <c r="K231" s="22"/>
      <c r="L231" s="22"/>
      <c r="M231" s="22"/>
      <c r="N231" s="22"/>
      <c r="O231" s="22"/>
      <c r="P231" s="22"/>
      <c r="Q231" s="22"/>
      <c r="R231" s="22"/>
    </row>
    <row r="232" spans="1:18" x14ac:dyDescent="0.25">
      <c r="A232" s="22" t="s">
        <v>636</v>
      </c>
      <c r="B232" s="22" t="s">
        <v>201</v>
      </c>
      <c r="C232" s="22" t="s">
        <v>202</v>
      </c>
      <c r="D232" s="22" t="s">
        <v>635</v>
      </c>
      <c r="E232" s="22" t="s">
        <v>57</v>
      </c>
      <c r="F232" s="23">
        <v>-175543</v>
      </c>
      <c r="G232" s="24">
        <v>44468</v>
      </c>
      <c r="H232" s="22" t="s">
        <v>615</v>
      </c>
      <c r="I232" s="22" t="s">
        <v>637</v>
      </c>
      <c r="J232" s="22"/>
      <c r="K232" s="22"/>
      <c r="L232" s="22"/>
      <c r="M232" s="22"/>
      <c r="N232" s="22"/>
      <c r="O232" s="22"/>
      <c r="P232" s="22"/>
      <c r="Q232" s="22"/>
      <c r="R232" s="22"/>
    </row>
    <row r="233" spans="1:18" x14ac:dyDescent="0.25">
      <c r="A233" s="22" t="s">
        <v>639</v>
      </c>
      <c r="B233" s="22" t="s">
        <v>201</v>
      </c>
      <c r="C233" s="22" t="s">
        <v>202</v>
      </c>
      <c r="D233" s="22" t="s">
        <v>638</v>
      </c>
      <c r="E233" s="22" t="s">
        <v>57</v>
      </c>
      <c r="F233" s="23">
        <v>-152400</v>
      </c>
      <c r="G233" s="24">
        <v>44467</v>
      </c>
      <c r="H233" s="22" t="s">
        <v>615</v>
      </c>
      <c r="I233" s="22" t="s">
        <v>375</v>
      </c>
      <c r="J233" s="22"/>
      <c r="K233" s="22"/>
      <c r="L233" s="22"/>
      <c r="M233" s="22"/>
      <c r="N233" s="22"/>
      <c r="O233" s="22"/>
      <c r="P233" s="22"/>
      <c r="Q233" s="22"/>
      <c r="R233" s="22"/>
    </row>
    <row r="234" spans="1:18" x14ac:dyDescent="0.25">
      <c r="A234" s="22" t="s">
        <v>641</v>
      </c>
      <c r="B234" s="22" t="s">
        <v>201</v>
      </c>
      <c r="C234" s="22" t="s">
        <v>202</v>
      </c>
      <c r="D234" s="22" t="s">
        <v>640</v>
      </c>
      <c r="E234" s="22" t="s">
        <v>57</v>
      </c>
      <c r="F234" s="23">
        <v>-110524</v>
      </c>
      <c r="G234" s="24">
        <v>44464</v>
      </c>
      <c r="H234" s="22" t="s">
        <v>615</v>
      </c>
      <c r="I234" s="22" t="s">
        <v>642</v>
      </c>
      <c r="J234" s="22"/>
      <c r="K234" s="22"/>
      <c r="L234" s="22"/>
      <c r="M234" s="22"/>
      <c r="N234" s="22"/>
      <c r="O234" s="22"/>
      <c r="P234" s="22"/>
      <c r="Q234" s="22"/>
      <c r="R234" s="22"/>
    </row>
    <row r="235" spans="1:18" x14ac:dyDescent="0.25">
      <c r="A235" s="22" t="s">
        <v>644</v>
      </c>
      <c r="B235" s="22" t="s">
        <v>201</v>
      </c>
      <c r="C235" s="22" t="s">
        <v>202</v>
      </c>
      <c r="D235" s="22" t="s">
        <v>643</v>
      </c>
      <c r="E235" s="22" t="s">
        <v>57</v>
      </c>
      <c r="F235" s="23">
        <v>-54780</v>
      </c>
      <c r="G235" s="24">
        <v>44440</v>
      </c>
      <c r="H235" s="22" t="s">
        <v>615</v>
      </c>
      <c r="I235" s="22" t="s">
        <v>249</v>
      </c>
      <c r="J235" s="22"/>
      <c r="K235" s="22"/>
      <c r="L235" s="22"/>
      <c r="M235" s="22"/>
      <c r="N235" s="22"/>
      <c r="O235" s="22"/>
      <c r="P235" s="22"/>
      <c r="Q235" s="22"/>
      <c r="R235" s="22"/>
    </row>
    <row r="236" spans="1:18" x14ac:dyDescent="0.25">
      <c r="A236" s="22" t="s">
        <v>584</v>
      </c>
      <c r="B236" s="22" t="s">
        <v>201</v>
      </c>
      <c r="C236" s="22" t="s">
        <v>202</v>
      </c>
      <c r="D236" s="22" t="s">
        <v>583</v>
      </c>
      <c r="E236" s="22" t="s">
        <v>45</v>
      </c>
      <c r="F236" s="23">
        <v>-17698</v>
      </c>
      <c r="G236" s="24">
        <v>44461</v>
      </c>
      <c r="H236" s="22" t="s">
        <v>615</v>
      </c>
      <c r="I236" s="22" t="s">
        <v>645</v>
      </c>
      <c r="J236" s="22"/>
      <c r="K236" s="22"/>
      <c r="L236" s="22"/>
      <c r="M236" s="22"/>
      <c r="N236" s="22"/>
      <c r="O236" s="22"/>
      <c r="P236" s="22"/>
      <c r="Q236" s="22"/>
      <c r="R236" s="22"/>
    </row>
    <row r="237" spans="1:18" x14ac:dyDescent="0.25">
      <c r="A237" s="22" t="s">
        <v>647</v>
      </c>
      <c r="B237" s="22" t="s">
        <v>201</v>
      </c>
      <c r="C237" s="22" t="s">
        <v>202</v>
      </c>
      <c r="D237" s="22" t="s">
        <v>646</v>
      </c>
      <c r="E237" s="22" t="s">
        <v>45</v>
      </c>
      <c r="F237" s="23">
        <v>-277</v>
      </c>
      <c r="G237" s="24">
        <v>44452</v>
      </c>
      <c r="H237" s="22" t="s">
        <v>615</v>
      </c>
      <c r="I237" s="22" t="s">
        <v>648</v>
      </c>
      <c r="J237" s="22"/>
      <c r="K237" s="22"/>
      <c r="L237" s="22"/>
      <c r="M237" s="22"/>
      <c r="N237" s="22"/>
      <c r="O237" s="22"/>
      <c r="P237" s="22"/>
      <c r="Q237" s="22"/>
      <c r="R237" s="22"/>
    </row>
    <row r="238" spans="1:18" x14ac:dyDescent="0.25">
      <c r="A238" s="22" t="s">
        <v>650</v>
      </c>
      <c r="B238" s="22" t="s">
        <v>201</v>
      </c>
      <c r="C238" s="22" t="s">
        <v>202</v>
      </c>
      <c r="D238" s="22" t="s">
        <v>649</v>
      </c>
      <c r="E238" s="22" t="s">
        <v>57</v>
      </c>
      <c r="F238" s="23">
        <v>-56289</v>
      </c>
      <c r="G238" s="24">
        <v>44450</v>
      </c>
      <c r="H238" s="22" t="s">
        <v>615</v>
      </c>
      <c r="I238" s="22" t="s">
        <v>651</v>
      </c>
      <c r="J238" s="22"/>
      <c r="K238" s="22"/>
      <c r="L238" s="22"/>
      <c r="M238" s="22"/>
      <c r="N238" s="22"/>
      <c r="O238" s="22"/>
      <c r="P238" s="22"/>
      <c r="Q238" s="22"/>
      <c r="R238" s="22"/>
    </row>
    <row r="239" spans="1:18" x14ac:dyDescent="0.25">
      <c r="A239" s="22" t="s">
        <v>653</v>
      </c>
      <c r="B239" s="22" t="s">
        <v>201</v>
      </c>
      <c r="C239" s="22" t="s">
        <v>202</v>
      </c>
      <c r="D239" s="22" t="s">
        <v>652</v>
      </c>
      <c r="E239" s="22" t="s">
        <v>57</v>
      </c>
      <c r="F239" s="23">
        <v>-99800</v>
      </c>
      <c r="G239" s="24">
        <v>44443</v>
      </c>
      <c r="H239" s="22" t="s">
        <v>615</v>
      </c>
      <c r="I239" s="22" t="s">
        <v>654</v>
      </c>
      <c r="J239" s="22"/>
      <c r="K239" s="22"/>
      <c r="L239" s="22"/>
      <c r="M239" s="22"/>
      <c r="N239" s="22"/>
      <c r="O239" s="22"/>
      <c r="P239" s="22"/>
      <c r="Q239" s="22"/>
      <c r="R239" s="22"/>
    </row>
    <row r="240" spans="1:18" s="39" customFormat="1" x14ac:dyDescent="0.25">
      <c r="A240" s="36" t="s">
        <v>656</v>
      </c>
      <c r="B240" s="36" t="s">
        <v>201</v>
      </c>
      <c r="C240" s="36" t="s">
        <v>202</v>
      </c>
      <c r="D240" s="36" t="s">
        <v>655</v>
      </c>
      <c r="E240" s="36" t="s">
        <v>42</v>
      </c>
      <c r="F240" s="37">
        <v>164450</v>
      </c>
      <c r="G240" s="38">
        <v>44476</v>
      </c>
      <c r="H240" s="36" t="s">
        <v>572</v>
      </c>
      <c r="I240" s="36" t="s">
        <v>577</v>
      </c>
      <c r="J240" s="36"/>
      <c r="K240" s="36"/>
      <c r="L240" s="36"/>
      <c r="M240" s="36"/>
      <c r="N240" s="36"/>
      <c r="O240" s="36"/>
      <c r="P240" s="36"/>
      <c r="Q240" s="36"/>
      <c r="R240" s="36"/>
    </row>
    <row r="241" spans="1:18" x14ac:dyDescent="0.25">
      <c r="A241" s="22" t="s">
        <v>589</v>
      </c>
      <c r="B241" s="22" t="s">
        <v>201</v>
      </c>
      <c r="C241" s="22" t="s">
        <v>202</v>
      </c>
      <c r="D241" s="22" t="s">
        <v>590</v>
      </c>
      <c r="E241" s="22" t="s">
        <v>45</v>
      </c>
      <c r="F241" s="23">
        <v>-28470</v>
      </c>
      <c r="G241" s="24">
        <v>44322</v>
      </c>
      <c r="H241" s="22" t="s">
        <v>572</v>
      </c>
      <c r="I241" s="22" t="s">
        <v>657</v>
      </c>
      <c r="J241" s="22"/>
      <c r="K241" s="22"/>
      <c r="L241" s="22"/>
      <c r="M241" s="22"/>
      <c r="N241" s="22"/>
      <c r="O241" s="22"/>
      <c r="P241" s="22"/>
      <c r="Q241" s="22"/>
      <c r="R241" s="22"/>
    </row>
    <row r="242" spans="1:18" x14ac:dyDescent="0.25">
      <c r="A242" s="22" t="s">
        <v>659</v>
      </c>
      <c r="B242" s="22" t="s">
        <v>201</v>
      </c>
      <c r="C242" s="22" t="s">
        <v>202</v>
      </c>
      <c r="D242" s="22" t="s">
        <v>658</v>
      </c>
      <c r="E242" s="22" t="s">
        <v>588</v>
      </c>
      <c r="F242" s="23">
        <v>-68029</v>
      </c>
      <c r="G242" s="24">
        <v>44322</v>
      </c>
      <c r="H242" s="22" t="s">
        <v>572</v>
      </c>
      <c r="I242" s="22" t="s">
        <v>660</v>
      </c>
      <c r="J242" s="22"/>
      <c r="K242" s="22"/>
      <c r="L242" s="22"/>
      <c r="M242" s="22"/>
      <c r="N242" s="22"/>
      <c r="O242" s="22"/>
      <c r="P242" s="22"/>
      <c r="Q242" s="22"/>
      <c r="R242" s="22"/>
    </row>
    <row r="243" spans="1:18" x14ac:dyDescent="0.25">
      <c r="A243" s="22" t="s">
        <v>662</v>
      </c>
      <c r="B243" s="22" t="s">
        <v>201</v>
      </c>
      <c r="C243" s="22" t="s">
        <v>202</v>
      </c>
      <c r="D243" s="22" t="s">
        <v>661</v>
      </c>
      <c r="E243" s="22" t="s">
        <v>588</v>
      </c>
      <c r="F243" s="23">
        <v>-39163</v>
      </c>
      <c r="G243" s="24">
        <v>44322</v>
      </c>
      <c r="H243" s="22" t="s">
        <v>572</v>
      </c>
      <c r="I243" s="22" t="s">
        <v>663</v>
      </c>
      <c r="J243" s="22"/>
      <c r="K243" s="22"/>
      <c r="L243" s="22"/>
      <c r="M243" s="22"/>
      <c r="N243" s="22"/>
      <c r="O243" s="22"/>
      <c r="P243" s="22"/>
      <c r="Q243" s="22"/>
      <c r="R243" s="22"/>
    </row>
    <row r="244" spans="1:18" x14ac:dyDescent="0.25">
      <c r="A244" s="22" t="s">
        <v>613</v>
      </c>
      <c r="B244" s="22" t="s">
        <v>201</v>
      </c>
      <c r="C244" s="22" t="s">
        <v>202</v>
      </c>
      <c r="D244" s="22" t="s">
        <v>604</v>
      </c>
      <c r="E244" s="22" t="s">
        <v>45</v>
      </c>
      <c r="F244" s="23">
        <v>597876</v>
      </c>
      <c r="G244" s="24">
        <v>44433</v>
      </c>
      <c r="H244" s="22" t="s">
        <v>604</v>
      </c>
      <c r="I244" s="22"/>
      <c r="J244" s="22"/>
      <c r="K244" s="22"/>
      <c r="L244" s="22"/>
      <c r="M244" s="22"/>
      <c r="N244" s="22"/>
      <c r="O244" s="22"/>
      <c r="P244" s="22"/>
      <c r="Q244" s="22"/>
      <c r="R244" s="22"/>
    </row>
    <row r="245" spans="1:18" x14ac:dyDescent="0.25">
      <c r="A245" s="22" t="s">
        <v>665</v>
      </c>
      <c r="B245" s="22" t="s">
        <v>201</v>
      </c>
      <c r="C245" s="22" t="s">
        <v>202</v>
      </c>
      <c r="D245" s="22" t="s">
        <v>664</v>
      </c>
      <c r="E245" s="22" t="s">
        <v>57</v>
      </c>
      <c r="F245" s="23">
        <v>-18800</v>
      </c>
      <c r="G245" s="24">
        <v>44462</v>
      </c>
      <c r="H245" s="22" t="s">
        <v>585</v>
      </c>
      <c r="I245" s="22" t="s">
        <v>494</v>
      </c>
      <c r="J245" s="22"/>
      <c r="K245" s="22"/>
      <c r="L245" s="22"/>
      <c r="M245" s="22"/>
      <c r="N245" s="22"/>
      <c r="O245" s="22"/>
      <c r="P245" s="22"/>
      <c r="Q245" s="22"/>
      <c r="R245" s="22"/>
    </row>
    <row r="246" spans="1:18" x14ac:dyDescent="0.25">
      <c r="A246" s="22" t="s">
        <v>584</v>
      </c>
      <c r="B246" s="22" t="s">
        <v>201</v>
      </c>
      <c r="C246" s="22" t="s">
        <v>202</v>
      </c>
      <c r="D246" s="22" t="s">
        <v>666</v>
      </c>
      <c r="E246" s="22" t="s">
        <v>57</v>
      </c>
      <c r="F246" s="23">
        <v>-108600</v>
      </c>
      <c r="G246" s="24">
        <v>44461</v>
      </c>
      <c r="H246" s="22" t="s">
        <v>585</v>
      </c>
      <c r="I246" s="22" t="s">
        <v>667</v>
      </c>
      <c r="J246" s="22"/>
      <c r="K246" s="22"/>
      <c r="L246" s="22"/>
      <c r="M246" s="22"/>
      <c r="N246" s="22"/>
      <c r="O246" s="22"/>
      <c r="P246" s="22"/>
      <c r="Q246" s="22"/>
      <c r="R246" s="22"/>
    </row>
    <row r="247" spans="1:18" x14ac:dyDescent="0.25">
      <c r="A247" s="22" t="s">
        <v>669</v>
      </c>
      <c r="B247" s="22" t="s">
        <v>201</v>
      </c>
      <c r="C247" s="22" t="s">
        <v>202</v>
      </c>
      <c r="D247" s="22" t="s">
        <v>668</v>
      </c>
      <c r="E247" s="22" t="s">
        <v>57</v>
      </c>
      <c r="F247" s="23">
        <v>-108600</v>
      </c>
      <c r="G247" s="24">
        <v>44459</v>
      </c>
      <c r="H247" s="22" t="s">
        <v>585</v>
      </c>
      <c r="I247" s="22" t="s">
        <v>494</v>
      </c>
      <c r="J247" s="22"/>
      <c r="K247" s="22"/>
      <c r="L247" s="22"/>
      <c r="M247" s="22"/>
      <c r="N247" s="22"/>
      <c r="O247" s="22"/>
      <c r="P247" s="22"/>
      <c r="Q247" s="22"/>
      <c r="R247" s="22"/>
    </row>
    <row r="248" spans="1:18" x14ac:dyDescent="0.25">
      <c r="A248" s="22" t="s">
        <v>671</v>
      </c>
      <c r="B248" s="22" t="s">
        <v>201</v>
      </c>
      <c r="C248" s="22" t="s">
        <v>202</v>
      </c>
      <c r="D248" s="22" t="s">
        <v>670</v>
      </c>
      <c r="E248" s="22" t="s">
        <v>57</v>
      </c>
      <c r="F248" s="23">
        <v>-29200</v>
      </c>
      <c r="G248" s="24">
        <v>44459</v>
      </c>
      <c r="H248" s="22" t="s">
        <v>585</v>
      </c>
      <c r="I248" s="22" t="s">
        <v>667</v>
      </c>
      <c r="J248" s="22"/>
      <c r="K248" s="22"/>
      <c r="L248" s="22"/>
      <c r="M248" s="22"/>
      <c r="N248" s="22"/>
      <c r="O248" s="22"/>
      <c r="P248" s="22"/>
      <c r="Q248" s="22"/>
      <c r="R248" s="22"/>
    </row>
    <row r="249" spans="1:18" x14ac:dyDescent="0.25">
      <c r="A249" s="22" t="s">
        <v>673</v>
      </c>
      <c r="B249" s="22" t="s">
        <v>201</v>
      </c>
      <c r="C249" s="22" t="s">
        <v>202</v>
      </c>
      <c r="D249" s="22" t="s">
        <v>672</v>
      </c>
      <c r="E249" s="22" t="s">
        <v>57</v>
      </c>
      <c r="F249" s="23">
        <v>-29200</v>
      </c>
      <c r="G249" s="24">
        <v>44459</v>
      </c>
      <c r="H249" s="22" t="s">
        <v>585</v>
      </c>
      <c r="I249" s="22" t="s">
        <v>667</v>
      </c>
      <c r="J249" s="22"/>
      <c r="K249" s="22"/>
      <c r="L249" s="22"/>
      <c r="M249" s="22"/>
      <c r="N249" s="22"/>
      <c r="O249" s="22"/>
      <c r="P249" s="22"/>
      <c r="Q249" s="22"/>
      <c r="R249" s="22"/>
    </row>
    <row r="250" spans="1:18" x14ac:dyDescent="0.25">
      <c r="A250" s="22" t="s">
        <v>675</v>
      </c>
      <c r="B250" s="22" t="s">
        <v>201</v>
      </c>
      <c r="C250" s="22" t="s">
        <v>202</v>
      </c>
      <c r="D250" s="22" t="s">
        <v>674</v>
      </c>
      <c r="E250" s="22" t="s">
        <v>57</v>
      </c>
      <c r="F250" s="23">
        <v>-29200</v>
      </c>
      <c r="G250" s="24">
        <v>44459</v>
      </c>
      <c r="H250" s="22" t="s">
        <v>585</v>
      </c>
      <c r="I250" s="22" t="s">
        <v>667</v>
      </c>
      <c r="J250" s="22"/>
      <c r="K250" s="22"/>
      <c r="L250" s="22"/>
      <c r="M250" s="22"/>
      <c r="N250" s="22"/>
      <c r="O250" s="22"/>
      <c r="P250" s="22"/>
      <c r="Q250" s="22"/>
      <c r="R250" s="22"/>
    </row>
    <row r="251" spans="1:18" x14ac:dyDescent="0.25">
      <c r="A251" s="22" t="s">
        <v>677</v>
      </c>
      <c r="B251" s="22" t="s">
        <v>201</v>
      </c>
      <c r="C251" s="22" t="s">
        <v>202</v>
      </c>
      <c r="D251" s="22" t="s">
        <v>676</v>
      </c>
      <c r="E251" s="22" t="s">
        <v>57</v>
      </c>
      <c r="F251" s="23">
        <v>-6600</v>
      </c>
      <c r="G251" s="24">
        <v>44456</v>
      </c>
      <c r="H251" s="22" t="s">
        <v>585</v>
      </c>
      <c r="I251" s="22" t="s">
        <v>494</v>
      </c>
      <c r="J251" s="22"/>
      <c r="K251" s="22"/>
      <c r="L251" s="22"/>
      <c r="M251" s="22"/>
      <c r="N251" s="22"/>
      <c r="O251" s="22"/>
      <c r="P251" s="22"/>
      <c r="Q251" s="22"/>
      <c r="R251" s="22"/>
    </row>
    <row r="252" spans="1:18" x14ac:dyDescent="0.25">
      <c r="A252" s="22" t="s">
        <v>679</v>
      </c>
      <c r="B252" s="22" t="s">
        <v>201</v>
      </c>
      <c r="C252" s="22" t="s">
        <v>202</v>
      </c>
      <c r="D252" s="22" t="s">
        <v>678</v>
      </c>
      <c r="E252" s="22" t="s">
        <v>57</v>
      </c>
      <c r="F252" s="23">
        <v>-32700</v>
      </c>
      <c r="G252" s="24">
        <v>44448</v>
      </c>
      <c r="H252" s="22" t="s">
        <v>585</v>
      </c>
      <c r="I252" s="22" t="s">
        <v>494</v>
      </c>
      <c r="J252" s="22"/>
      <c r="K252" s="22"/>
      <c r="L252" s="22"/>
      <c r="M252" s="22"/>
      <c r="N252" s="22"/>
      <c r="O252" s="22"/>
      <c r="P252" s="22"/>
      <c r="Q252" s="22"/>
      <c r="R252" s="22"/>
    </row>
    <row r="253" spans="1:18" x14ac:dyDescent="0.25">
      <c r="A253" s="22" t="s">
        <v>681</v>
      </c>
      <c r="B253" s="22" t="s">
        <v>201</v>
      </c>
      <c r="C253" s="22" t="s">
        <v>202</v>
      </c>
      <c r="D253" s="22" t="s">
        <v>680</v>
      </c>
      <c r="E253" s="22" t="s">
        <v>57</v>
      </c>
      <c r="F253" s="23">
        <v>-148024</v>
      </c>
      <c r="G253" s="24">
        <v>44449</v>
      </c>
      <c r="H253" s="22" t="s">
        <v>585</v>
      </c>
      <c r="I253" s="22" t="s">
        <v>494</v>
      </c>
      <c r="J253" s="22"/>
      <c r="K253" s="22"/>
      <c r="L253" s="22"/>
      <c r="M253" s="22"/>
      <c r="N253" s="22"/>
      <c r="O253" s="22"/>
      <c r="P253" s="22"/>
      <c r="Q253" s="22"/>
      <c r="R253" s="22"/>
    </row>
    <row r="254" spans="1:18" x14ac:dyDescent="0.25">
      <c r="A254" s="22" t="s">
        <v>683</v>
      </c>
      <c r="B254" s="22" t="s">
        <v>201</v>
      </c>
      <c r="C254" s="22" t="s">
        <v>202</v>
      </c>
      <c r="D254" s="22" t="s">
        <v>682</v>
      </c>
      <c r="E254" s="22" t="s">
        <v>57</v>
      </c>
      <c r="F254" s="23">
        <v>-56554</v>
      </c>
      <c r="G254" s="24">
        <v>44441</v>
      </c>
      <c r="H254" s="22" t="s">
        <v>585</v>
      </c>
      <c r="I254" s="22" t="s">
        <v>494</v>
      </c>
      <c r="J254" s="22"/>
      <c r="K254" s="22"/>
      <c r="L254" s="22"/>
      <c r="M254" s="22"/>
      <c r="N254" s="22"/>
      <c r="O254" s="22"/>
      <c r="P254" s="22"/>
      <c r="Q254" s="22"/>
      <c r="R254" s="22"/>
    </row>
    <row r="255" spans="1:18" x14ac:dyDescent="0.25">
      <c r="A255" s="22" t="s">
        <v>685</v>
      </c>
      <c r="B255" s="22" t="s">
        <v>201</v>
      </c>
      <c r="C255" s="22" t="s">
        <v>202</v>
      </c>
      <c r="D255" s="22" t="s">
        <v>684</v>
      </c>
      <c r="E255" s="22" t="s">
        <v>45</v>
      </c>
      <c r="F255" s="23">
        <v>-575858</v>
      </c>
      <c r="G255" s="24">
        <v>44322</v>
      </c>
      <c r="H255" s="22" t="s">
        <v>646</v>
      </c>
      <c r="I255" s="22" t="s">
        <v>686</v>
      </c>
      <c r="J255" s="22"/>
      <c r="K255" s="22"/>
      <c r="L255" s="22"/>
      <c r="M255" s="22"/>
      <c r="N255" s="22"/>
      <c r="O255" s="22"/>
      <c r="P255" s="22"/>
      <c r="Q255" s="22"/>
      <c r="R255" s="22"/>
    </row>
    <row r="256" spans="1:18" s="39" customFormat="1" x14ac:dyDescent="0.25">
      <c r="A256" s="36" t="s">
        <v>688</v>
      </c>
      <c r="B256" s="36" t="s">
        <v>201</v>
      </c>
      <c r="C256" s="36" t="s">
        <v>202</v>
      </c>
      <c r="D256" s="36" t="s">
        <v>687</v>
      </c>
      <c r="E256" s="36" t="s">
        <v>42</v>
      </c>
      <c r="F256" s="37">
        <v>955911</v>
      </c>
      <c r="G256" s="38">
        <v>44446</v>
      </c>
      <c r="H256" s="36" t="s">
        <v>646</v>
      </c>
      <c r="I256" s="36" t="s">
        <v>605</v>
      </c>
      <c r="J256" s="36"/>
      <c r="K256" s="36"/>
      <c r="L256" s="36"/>
      <c r="M256" s="36"/>
      <c r="N256" s="36"/>
      <c r="O256" s="36"/>
      <c r="P256" s="36"/>
      <c r="Q256" s="36"/>
      <c r="R256" s="36"/>
    </row>
    <row r="257" spans="1:18" x14ac:dyDescent="0.25">
      <c r="A257" s="22" t="s">
        <v>690</v>
      </c>
      <c r="B257" s="22" t="s">
        <v>201</v>
      </c>
      <c r="C257" s="22" t="s">
        <v>202</v>
      </c>
      <c r="D257" s="22" t="s">
        <v>689</v>
      </c>
      <c r="E257" s="22" t="s">
        <v>57</v>
      </c>
      <c r="F257" s="23">
        <v>-31600</v>
      </c>
      <c r="G257" s="24">
        <v>44421</v>
      </c>
      <c r="H257" s="22" t="s">
        <v>646</v>
      </c>
      <c r="I257" s="22" t="s">
        <v>637</v>
      </c>
      <c r="J257" s="22"/>
      <c r="K257" s="22"/>
      <c r="L257" s="22"/>
      <c r="M257" s="22"/>
      <c r="N257" s="22"/>
      <c r="O257" s="22"/>
      <c r="P257" s="22"/>
      <c r="Q257" s="22"/>
      <c r="R257" s="22"/>
    </row>
    <row r="258" spans="1:18" x14ac:dyDescent="0.25">
      <c r="A258" s="22" t="s">
        <v>647</v>
      </c>
      <c r="B258" s="22" t="s">
        <v>201</v>
      </c>
      <c r="C258" s="22" t="s">
        <v>202</v>
      </c>
      <c r="D258" s="22" t="s">
        <v>646</v>
      </c>
      <c r="E258" s="22" t="s">
        <v>45</v>
      </c>
      <c r="F258" s="23">
        <v>607458</v>
      </c>
      <c r="G258" s="24">
        <v>44452</v>
      </c>
      <c r="H258" s="22" t="s">
        <v>646</v>
      </c>
      <c r="I258" s="22"/>
      <c r="J258" s="22"/>
      <c r="K258" s="22"/>
      <c r="L258" s="22"/>
      <c r="M258" s="22"/>
      <c r="N258" s="22"/>
      <c r="O258" s="22"/>
      <c r="P258" s="22"/>
      <c r="Q258" s="22"/>
      <c r="R258" s="22"/>
    </row>
    <row r="259" spans="1:18" x14ac:dyDescent="0.25">
      <c r="A259" s="22" t="s">
        <v>647</v>
      </c>
      <c r="B259" s="22" t="s">
        <v>201</v>
      </c>
      <c r="C259" s="22" t="s">
        <v>202</v>
      </c>
      <c r="D259" s="22" t="s">
        <v>646</v>
      </c>
      <c r="E259" s="22" t="s">
        <v>45</v>
      </c>
      <c r="F259" s="23">
        <v>-955911</v>
      </c>
      <c r="G259" s="24">
        <v>44452</v>
      </c>
      <c r="H259" s="22" t="s">
        <v>646</v>
      </c>
      <c r="I259" s="22"/>
      <c r="J259" s="22"/>
      <c r="K259" s="22"/>
      <c r="L259" s="22"/>
      <c r="M259" s="22"/>
      <c r="N259" s="22"/>
      <c r="O259" s="22"/>
      <c r="P259" s="22"/>
      <c r="Q259" s="22"/>
      <c r="R259" s="22"/>
    </row>
    <row r="260" spans="1:18" x14ac:dyDescent="0.25">
      <c r="A260" s="22" t="s">
        <v>647</v>
      </c>
      <c r="B260" s="22" t="s">
        <v>201</v>
      </c>
      <c r="C260" s="22" t="s">
        <v>202</v>
      </c>
      <c r="D260" s="22" t="s">
        <v>646</v>
      </c>
      <c r="E260" s="22" t="s">
        <v>45</v>
      </c>
      <c r="F260" s="23">
        <v>348730</v>
      </c>
      <c r="G260" s="24">
        <v>44452</v>
      </c>
      <c r="H260" s="22" t="s">
        <v>646</v>
      </c>
      <c r="I260" s="22"/>
      <c r="J260" s="22"/>
      <c r="K260" s="22"/>
      <c r="L260" s="22"/>
      <c r="M260" s="22"/>
      <c r="N260" s="22"/>
      <c r="O260" s="22"/>
      <c r="P260" s="22"/>
      <c r="Q260" s="22"/>
      <c r="R260" s="22"/>
    </row>
    <row r="261" spans="1:18" x14ac:dyDescent="0.25">
      <c r="A261" s="22" t="s">
        <v>647</v>
      </c>
      <c r="B261" s="22" t="s">
        <v>201</v>
      </c>
      <c r="C261" s="22" t="s">
        <v>202</v>
      </c>
      <c r="D261" s="22" t="s">
        <v>691</v>
      </c>
      <c r="E261" s="22" t="s">
        <v>45</v>
      </c>
      <c r="F261" s="23">
        <v>-23769</v>
      </c>
      <c r="G261" s="24">
        <v>44452</v>
      </c>
      <c r="H261" s="22" t="s">
        <v>646</v>
      </c>
      <c r="I261" s="22" t="s">
        <v>692</v>
      </c>
      <c r="J261" s="22"/>
      <c r="K261" s="22"/>
      <c r="L261" s="22"/>
      <c r="M261" s="22"/>
      <c r="N261" s="22"/>
      <c r="O261" s="22"/>
      <c r="P261" s="22"/>
      <c r="Q261" s="22"/>
      <c r="R261" s="22"/>
    </row>
    <row r="262" spans="1:18" x14ac:dyDescent="0.25">
      <c r="A262" s="22" t="s">
        <v>694</v>
      </c>
      <c r="B262" s="22" t="s">
        <v>201</v>
      </c>
      <c r="C262" s="22" t="s">
        <v>202</v>
      </c>
      <c r="D262" s="22" t="s">
        <v>693</v>
      </c>
      <c r="E262" s="22" t="s">
        <v>57</v>
      </c>
      <c r="F262" s="23">
        <v>-53700</v>
      </c>
      <c r="G262" s="24">
        <v>44460</v>
      </c>
      <c r="H262" s="22" t="s">
        <v>646</v>
      </c>
      <c r="I262" s="22" t="s">
        <v>695</v>
      </c>
      <c r="J262" s="22"/>
      <c r="K262" s="22"/>
      <c r="L262" s="22"/>
      <c r="M262" s="22"/>
      <c r="N262" s="22"/>
      <c r="O262" s="22"/>
      <c r="P262" s="22"/>
      <c r="Q262" s="22"/>
      <c r="R262" s="22"/>
    </row>
    <row r="263" spans="1:18" x14ac:dyDescent="0.25">
      <c r="A263" s="22" t="s">
        <v>697</v>
      </c>
      <c r="B263" s="22" t="s">
        <v>201</v>
      </c>
      <c r="C263" s="22" t="s">
        <v>202</v>
      </c>
      <c r="D263" s="22" t="s">
        <v>696</v>
      </c>
      <c r="E263" s="22" t="s">
        <v>57</v>
      </c>
      <c r="F263" s="23">
        <v>-53700</v>
      </c>
      <c r="G263" s="24">
        <v>44460</v>
      </c>
      <c r="H263" s="22" t="s">
        <v>646</v>
      </c>
      <c r="I263" s="22" t="s">
        <v>698</v>
      </c>
      <c r="J263" s="22"/>
      <c r="K263" s="22"/>
      <c r="L263" s="22"/>
      <c r="M263" s="22"/>
      <c r="N263" s="22"/>
      <c r="O263" s="22"/>
      <c r="P263" s="22"/>
      <c r="Q263" s="22"/>
      <c r="R263" s="22"/>
    </row>
    <row r="264" spans="1:18" x14ac:dyDescent="0.25">
      <c r="A264" s="22" t="s">
        <v>700</v>
      </c>
      <c r="B264" s="22" t="s">
        <v>201</v>
      </c>
      <c r="C264" s="22" t="s">
        <v>202</v>
      </c>
      <c r="D264" s="22" t="s">
        <v>699</v>
      </c>
      <c r="E264" s="22" t="s">
        <v>57</v>
      </c>
      <c r="F264" s="23">
        <v>-217561</v>
      </c>
      <c r="G264" s="24">
        <v>44448</v>
      </c>
      <c r="H264" s="22" t="s">
        <v>646</v>
      </c>
      <c r="I264" s="22" t="s">
        <v>695</v>
      </c>
      <c r="J264" s="22"/>
      <c r="K264" s="22"/>
      <c r="L264" s="22"/>
      <c r="M264" s="22"/>
      <c r="N264" s="22"/>
      <c r="O264" s="22"/>
      <c r="P264" s="22"/>
      <c r="Q264" s="22"/>
      <c r="R264" s="22"/>
    </row>
    <row r="265" spans="1:18" x14ac:dyDescent="0.25">
      <c r="A265" s="22" t="s">
        <v>702</v>
      </c>
      <c r="B265" s="22" t="s">
        <v>201</v>
      </c>
      <c r="C265" s="22" t="s">
        <v>202</v>
      </c>
      <c r="D265" s="22" t="s">
        <v>701</v>
      </c>
      <c r="E265" s="22" t="s">
        <v>588</v>
      </c>
      <c r="F265" s="23">
        <v>-2127690</v>
      </c>
      <c r="G265" s="24">
        <v>44322</v>
      </c>
      <c r="H265" s="22" t="s">
        <v>703</v>
      </c>
      <c r="I265" s="22" t="s">
        <v>704</v>
      </c>
      <c r="J265" s="22"/>
      <c r="K265" s="22"/>
      <c r="L265" s="22"/>
      <c r="M265" s="22"/>
      <c r="N265" s="22"/>
      <c r="O265" s="22"/>
      <c r="P265" s="22"/>
      <c r="Q265" s="22"/>
      <c r="R265" s="22"/>
    </row>
    <row r="266" spans="1:18" x14ac:dyDescent="0.25">
      <c r="A266" s="22" t="s">
        <v>3212</v>
      </c>
      <c r="B266" s="22" t="s">
        <v>201</v>
      </c>
      <c r="C266" s="22" t="s">
        <v>202</v>
      </c>
      <c r="D266" s="22" t="s">
        <v>705</v>
      </c>
      <c r="E266" s="22" t="s">
        <v>588</v>
      </c>
      <c r="F266" s="23">
        <v>-462000</v>
      </c>
      <c r="G266" s="24">
        <v>43531</v>
      </c>
      <c r="H266" s="22" t="s">
        <v>703</v>
      </c>
      <c r="I266" s="22" t="s">
        <v>706</v>
      </c>
      <c r="J266" s="22"/>
      <c r="K266" s="22"/>
      <c r="L266" s="22"/>
      <c r="M266" s="22"/>
      <c r="N266" s="22"/>
      <c r="O266" s="22"/>
      <c r="P266" s="22"/>
      <c r="Q266" s="22"/>
      <c r="R266" s="22"/>
    </row>
    <row r="267" spans="1:18" s="39" customFormat="1" x14ac:dyDescent="0.25">
      <c r="A267" s="36" t="s">
        <v>708</v>
      </c>
      <c r="B267" s="36" t="s">
        <v>201</v>
      </c>
      <c r="C267" s="36" t="s">
        <v>202</v>
      </c>
      <c r="D267" s="36" t="s">
        <v>707</v>
      </c>
      <c r="E267" s="36" t="s">
        <v>42</v>
      </c>
      <c r="F267" s="37">
        <v>1403400</v>
      </c>
      <c r="G267" s="38">
        <v>44446</v>
      </c>
      <c r="H267" s="36" t="s">
        <v>703</v>
      </c>
      <c r="I267" s="36" t="s">
        <v>605</v>
      </c>
      <c r="J267" s="36"/>
      <c r="K267" s="36"/>
      <c r="L267" s="36"/>
      <c r="M267" s="36"/>
      <c r="N267" s="36"/>
      <c r="O267" s="36"/>
      <c r="P267" s="36"/>
      <c r="Q267" s="36"/>
      <c r="R267" s="36"/>
    </row>
    <row r="268" spans="1:18" x14ac:dyDescent="0.25">
      <c r="A268" s="22" t="s">
        <v>710</v>
      </c>
      <c r="B268" s="22" t="s">
        <v>201</v>
      </c>
      <c r="C268" s="22" t="s">
        <v>202</v>
      </c>
      <c r="D268" s="22" t="s">
        <v>709</v>
      </c>
      <c r="E268" s="22" t="s">
        <v>57</v>
      </c>
      <c r="F268" s="23">
        <v>-6200</v>
      </c>
      <c r="G268" s="24">
        <v>44412</v>
      </c>
      <c r="H268" s="22" t="s">
        <v>703</v>
      </c>
      <c r="I268" s="22" t="s">
        <v>711</v>
      </c>
      <c r="J268" s="22"/>
      <c r="K268" s="22"/>
      <c r="L268" s="22"/>
      <c r="M268" s="22"/>
      <c r="N268" s="22"/>
      <c r="O268" s="22"/>
      <c r="P268" s="22"/>
      <c r="Q268" s="22"/>
      <c r="R268" s="22"/>
    </row>
    <row r="269" spans="1:18" x14ac:dyDescent="0.25">
      <c r="A269" s="22" t="s">
        <v>613</v>
      </c>
      <c r="B269" s="22" t="s">
        <v>201</v>
      </c>
      <c r="C269" s="22" t="s">
        <v>202</v>
      </c>
      <c r="D269" s="22" t="s">
        <v>604</v>
      </c>
      <c r="E269" s="22" t="s">
        <v>45</v>
      </c>
      <c r="F269" s="23">
        <v>-507550</v>
      </c>
      <c r="G269" s="24">
        <v>44433</v>
      </c>
      <c r="H269" s="22" t="s">
        <v>604</v>
      </c>
      <c r="I269" s="22"/>
      <c r="J269" s="22"/>
      <c r="K269" s="22"/>
      <c r="L269" s="22"/>
      <c r="M269" s="22"/>
      <c r="N269" s="22"/>
      <c r="O269" s="22"/>
      <c r="P269" s="22"/>
      <c r="Q269" s="22"/>
      <c r="R269" s="22"/>
    </row>
    <row r="270" spans="1:18" s="39" customFormat="1" x14ac:dyDescent="0.25">
      <c r="A270" s="36" t="s">
        <v>713</v>
      </c>
      <c r="B270" s="36" t="s">
        <v>201</v>
      </c>
      <c r="C270" s="36" t="s">
        <v>202</v>
      </c>
      <c r="D270" s="36" t="s">
        <v>712</v>
      </c>
      <c r="E270" s="36" t="s">
        <v>42</v>
      </c>
      <c r="F270" s="37">
        <v>9761877</v>
      </c>
      <c r="G270" s="38">
        <v>44446</v>
      </c>
      <c r="H270" s="36" t="s">
        <v>714</v>
      </c>
      <c r="I270" s="36" t="s">
        <v>605</v>
      </c>
      <c r="J270" s="36"/>
      <c r="K270" s="36"/>
      <c r="L270" s="36"/>
      <c r="M270" s="36"/>
      <c r="N270" s="36"/>
      <c r="O270" s="36"/>
      <c r="P270" s="36"/>
      <c r="Q270" s="36"/>
      <c r="R270" s="36"/>
    </row>
    <row r="271" spans="1:18" x14ac:dyDescent="0.25">
      <c r="A271" s="22" t="s">
        <v>63</v>
      </c>
      <c r="B271" s="22" t="s">
        <v>201</v>
      </c>
      <c r="C271" s="22" t="s">
        <v>202</v>
      </c>
      <c r="D271" s="22" t="s">
        <v>714</v>
      </c>
      <c r="E271" s="22" t="s">
        <v>45</v>
      </c>
      <c r="F271" s="23">
        <v>14048453</v>
      </c>
      <c r="G271" s="24">
        <v>44474</v>
      </c>
      <c r="H271" s="22" t="s">
        <v>714</v>
      </c>
      <c r="I271" s="22"/>
      <c r="J271" s="22"/>
      <c r="K271" s="22"/>
      <c r="L271" s="22"/>
      <c r="M271" s="22"/>
      <c r="N271" s="22"/>
      <c r="O271" s="22"/>
      <c r="P271" s="22"/>
      <c r="Q271" s="22"/>
      <c r="R271" s="22"/>
    </row>
    <row r="272" spans="1:18" x14ac:dyDescent="0.25">
      <c r="A272" s="22" t="s">
        <v>63</v>
      </c>
      <c r="B272" s="22" t="s">
        <v>201</v>
      </c>
      <c r="C272" s="22" t="s">
        <v>202</v>
      </c>
      <c r="D272" s="22" t="s">
        <v>714</v>
      </c>
      <c r="E272" s="22" t="s">
        <v>45</v>
      </c>
      <c r="F272" s="23">
        <v>-9761877</v>
      </c>
      <c r="G272" s="24">
        <v>44474</v>
      </c>
      <c r="H272" s="22" t="s">
        <v>714</v>
      </c>
      <c r="I272" s="22"/>
      <c r="J272" s="22"/>
      <c r="K272" s="22"/>
      <c r="L272" s="22"/>
      <c r="M272" s="22"/>
      <c r="N272" s="22"/>
      <c r="O272" s="22"/>
      <c r="P272" s="22"/>
      <c r="Q272" s="22"/>
      <c r="R272" s="22"/>
    </row>
    <row r="273" spans="1:18" x14ac:dyDescent="0.25">
      <c r="A273" s="22" t="s">
        <v>63</v>
      </c>
      <c r="B273" s="22" t="s">
        <v>201</v>
      </c>
      <c r="C273" s="22" t="s">
        <v>202</v>
      </c>
      <c r="D273" s="22" t="s">
        <v>65</v>
      </c>
      <c r="E273" s="22" t="s">
        <v>57</v>
      </c>
      <c r="F273" s="23">
        <v>-14048453</v>
      </c>
      <c r="G273" s="24">
        <v>44474</v>
      </c>
      <c r="H273" s="22" t="s">
        <v>714</v>
      </c>
      <c r="I273" s="22" t="s">
        <v>715</v>
      </c>
      <c r="J273" s="22"/>
      <c r="K273" s="22"/>
      <c r="L273" s="22"/>
      <c r="M273" s="22"/>
      <c r="N273" s="22"/>
      <c r="O273" s="22"/>
      <c r="P273" s="22"/>
      <c r="Q273" s="22"/>
      <c r="R273" s="22"/>
    </row>
    <row r="274" spans="1:18" s="39" customFormat="1" x14ac:dyDescent="0.25">
      <c r="A274" s="36" t="s">
        <v>717</v>
      </c>
      <c r="B274" s="36" t="s">
        <v>201</v>
      </c>
      <c r="C274" s="36" t="s">
        <v>202</v>
      </c>
      <c r="D274" s="36" t="s">
        <v>716</v>
      </c>
      <c r="E274" s="36" t="s">
        <v>42</v>
      </c>
      <c r="F274" s="37">
        <v>499632</v>
      </c>
      <c r="G274" s="38">
        <v>44446</v>
      </c>
      <c r="H274" s="36" t="s">
        <v>617</v>
      </c>
      <c r="I274" s="36" t="s">
        <v>605</v>
      </c>
      <c r="J274" s="36"/>
      <c r="K274" s="36"/>
      <c r="L274" s="36"/>
      <c r="M274" s="36"/>
      <c r="N274" s="36"/>
      <c r="O274" s="36"/>
      <c r="P274" s="36"/>
      <c r="Q274" s="36"/>
      <c r="R274" s="36"/>
    </row>
    <row r="275" spans="1:18" x14ac:dyDescent="0.25">
      <c r="A275" s="22" t="s">
        <v>719</v>
      </c>
      <c r="B275" s="22" t="s">
        <v>201</v>
      </c>
      <c r="C275" s="22" t="s">
        <v>202</v>
      </c>
      <c r="D275" s="22" t="s">
        <v>718</v>
      </c>
      <c r="E275" s="22" t="s">
        <v>45</v>
      </c>
      <c r="F275" s="23">
        <v>-4033</v>
      </c>
      <c r="G275" s="24">
        <v>44322</v>
      </c>
      <c r="H275" s="22" t="s">
        <v>617</v>
      </c>
      <c r="I275" s="22" t="s">
        <v>720</v>
      </c>
      <c r="J275" s="22"/>
      <c r="K275" s="22"/>
      <c r="L275" s="22"/>
      <c r="M275" s="22"/>
      <c r="N275" s="22"/>
      <c r="O275" s="22"/>
      <c r="P275" s="22"/>
      <c r="Q275" s="22"/>
      <c r="R275" s="22"/>
    </row>
    <row r="276" spans="1:18" x14ac:dyDescent="0.25">
      <c r="A276" s="22" t="s">
        <v>722</v>
      </c>
      <c r="B276" s="22" t="s">
        <v>201</v>
      </c>
      <c r="C276" s="22" t="s">
        <v>202</v>
      </c>
      <c r="D276" s="22" t="s">
        <v>721</v>
      </c>
      <c r="E276" s="22" t="s">
        <v>57</v>
      </c>
      <c r="F276" s="23">
        <v>-30800</v>
      </c>
      <c r="G276" s="24">
        <v>44410</v>
      </c>
      <c r="H276" s="22" t="s">
        <v>617</v>
      </c>
      <c r="I276" s="22" t="s">
        <v>723</v>
      </c>
      <c r="J276" s="22"/>
      <c r="K276" s="22"/>
      <c r="L276" s="22"/>
      <c r="M276" s="22"/>
      <c r="N276" s="22"/>
      <c r="O276" s="22"/>
      <c r="P276" s="22"/>
      <c r="Q276" s="22"/>
      <c r="R276" s="22"/>
    </row>
    <row r="277" spans="1:18" x14ac:dyDescent="0.25">
      <c r="A277" s="22" t="s">
        <v>618</v>
      </c>
      <c r="B277" s="22" t="s">
        <v>201</v>
      </c>
      <c r="C277" s="22" t="s">
        <v>202</v>
      </c>
      <c r="D277" s="22" t="s">
        <v>724</v>
      </c>
      <c r="E277" s="22" t="s">
        <v>45</v>
      </c>
      <c r="F277" s="23">
        <v>-484333</v>
      </c>
      <c r="G277" s="24">
        <v>44439</v>
      </c>
      <c r="H277" s="22" t="s">
        <v>617</v>
      </c>
      <c r="I277" s="22" t="s">
        <v>725</v>
      </c>
      <c r="J277" s="22"/>
      <c r="K277" s="22"/>
      <c r="L277" s="22"/>
      <c r="M277" s="22"/>
      <c r="N277" s="22"/>
      <c r="O277" s="22"/>
      <c r="P277" s="22"/>
      <c r="Q277" s="22"/>
      <c r="R277" s="22"/>
    </row>
    <row r="278" spans="1:18" x14ac:dyDescent="0.25">
      <c r="A278" s="22" t="s">
        <v>618</v>
      </c>
      <c r="B278" s="22" t="s">
        <v>201</v>
      </c>
      <c r="C278" s="22" t="s">
        <v>202</v>
      </c>
      <c r="D278" s="22" t="s">
        <v>617</v>
      </c>
      <c r="E278" s="22" t="s">
        <v>45</v>
      </c>
      <c r="F278" s="23">
        <v>515133</v>
      </c>
      <c r="G278" s="24">
        <v>44439</v>
      </c>
      <c r="H278" s="22" t="s">
        <v>617</v>
      </c>
      <c r="I278" s="22"/>
      <c r="J278" s="22"/>
      <c r="K278" s="22"/>
      <c r="L278" s="22"/>
      <c r="M278" s="22"/>
      <c r="N278" s="22"/>
      <c r="O278" s="22"/>
      <c r="P278" s="22"/>
      <c r="Q278" s="22"/>
      <c r="R278" s="22"/>
    </row>
    <row r="279" spans="1:18" x14ac:dyDescent="0.25">
      <c r="A279" s="22" t="s">
        <v>618</v>
      </c>
      <c r="B279" s="22" t="s">
        <v>201</v>
      </c>
      <c r="C279" s="22" t="s">
        <v>202</v>
      </c>
      <c r="D279" s="22" t="s">
        <v>617</v>
      </c>
      <c r="E279" s="22" t="s">
        <v>45</v>
      </c>
      <c r="F279" s="23">
        <v>-495599</v>
      </c>
      <c r="G279" s="24">
        <v>44439</v>
      </c>
      <c r="H279" s="22" t="s">
        <v>617</v>
      </c>
      <c r="I279" s="22"/>
      <c r="J279" s="22"/>
      <c r="K279" s="22"/>
      <c r="L279" s="22"/>
      <c r="M279" s="22"/>
      <c r="N279" s="22"/>
      <c r="O279" s="22"/>
      <c r="P279" s="22"/>
      <c r="Q279" s="22"/>
      <c r="R279" s="22"/>
    </row>
    <row r="280" spans="1:18" x14ac:dyDescent="0.25">
      <c r="A280" s="22" t="s">
        <v>702</v>
      </c>
      <c r="B280" s="22" t="s">
        <v>201</v>
      </c>
      <c r="C280" s="22" t="s">
        <v>202</v>
      </c>
      <c r="D280" s="22" t="s">
        <v>703</v>
      </c>
      <c r="E280" s="22" t="s">
        <v>45</v>
      </c>
      <c r="F280" s="23">
        <v>-1825461</v>
      </c>
      <c r="G280" s="24">
        <v>44322</v>
      </c>
      <c r="H280" s="22" t="s">
        <v>585</v>
      </c>
      <c r="I280" s="22" t="s">
        <v>726</v>
      </c>
      <c r="J280" s="22"/>
      <c r="K280" s="22"/>
      <c r="L280" s="22"/>
      <c r="M280" s="22"/>
      <c r="N280" s="22"/>
      <c r="O280" s="22"/>
      <c r="P280" s="22"/>
      <c r="Q280" s="22"/>
      <c r="R280" s="22"/>
    </row>
    <row r="281" spans="1:18" x14ac:dyDescent="0.25">
      <c r="A281" s="22" t="s">
        <v>728</v>
      </c>
      <c r="B281" s="22" t="s">
        <v>201</v>
      </c>
      <c r="C281" s="22" t="s">
        <v>202</v>
      </c>
      <c r="D281" s="22" t="s">
        <v>727</v>
      </c>
      <c r="E281" s="22" t="s">
        <v>588</v>
      </c>
      <c r="F281" s="23">
        <v>-102400</v>
      </c>
      <c r="G281" s="24">
        <v>44322</v>
      </c>
      <c r="H281" s="22" t="s">
        <v>585</v>
      </c>
      <c r="I281" s="22" t="s">
        <v>729</v>
      </c>
      <c r="J281" s="22"/>
      <c r="K281" s="22"/>
      <c r="L281" s="22"/>
      <c r="M281" s="22"/>
      <c r="N281" s="22"/>
      <c r="O281" s="22"/>
      <c r="P281" s="22"/>
      <c r="Q281" s="22"/>
      <c r="R281" s="22"/>
    </row>
    <row r="282" spans="1:18" s="39" customFormat="1" x14ac:dyDescent="0.25">
      <c r="A282" s="36" t="s">
        <v>731</v>
      </c>
      <c r="B282" s="36" t="s">
        <v>201</v>
      </c>
      <c r="C282" s="36" t="s">
        <v>202</v>
      </c>
      <c r="D282" s="36" t="s">
        <v>730</v>
      </c>
      <c r="E282" s="36" t="s">
        <v>42</v>
      </c>
      <c r="F282" s="37">
        <v>2695263</v>
      </c>
      <c r="G282" s="38">
        <v>44446</v>
      </c>
      <c r="H282" s="36" t="s">
        <v>585</v>
      </c>
      <c r="I282" s="36" t="s">
        <v>605</v>
      </c>
      <c r="J282" s="36"/>
      <c r="K282" s="36"/>
      <c r="L282" s="36"/>
      <c r="M282" s="36"/>
      <c r="N282" s="36"/>
      <c r="O282" s="36"/>
      <c r="P282" s="36"/>
      <c r="Q282" s="36"/>
      <c r="R282" s="36"/>
    </row>
    <row r="283" spans="1:18" x14ac:dyDescent="0.25">
      <c r="A283" s="22" t="s">
        <v>733</v>
      </c>
      <c r="B283" s="22" t="s">
        <v>201</v>
      </c>
      <c r="C283" s="22" t="s">
        <v>202</v>
      </c>
      <c r="D283" s="22" t="s">
        <v>732</v>
      </c>
      <c r="E283" s="22" t="s">
        <v>57</v>
      </c>
      <c r="F283" s="23">
        <v>-29200</v>
      </c>
      <c r="G283" s="24">
        <v>44434</v>
      </c>
      <c r="H283" s="22" t="s">
        <v>585</v>
      </c>
      <c r="I283" s="22" t="s">
        <v>667</v>
      </c>
      <c r="J283" s="22"/>
      <c r="K283" s="22"/>
      <c r="L283" s="22"/>
      <c r="M283" s="22"/>
      <c r="N283" s="22"/>
      <c r="O283" s="22"/>
      <c r="P283" s="22"/>
      <c r="Q283" s="22"/>
      <c r="R283" s="22"/>
    </row>
    <row r="284" spans="1:18" x14ac:dyDescent="0.25">
      <c r="A284" s="22" t="s">
        <v>735</v>
      </c>
      <c r="B284" s="22" t="s">
        <v>201</v>
      </c>
      <c r="C284" s="22" t="s">
        <v>202</v>
      </c>
      <c r="D284" s="22" t="s">
        <v>734</v>
      </c>
      <c r="E284" s="22" t="s">
        <v>57</v>
      </c>
      <c r="F284" s="23">
        <v>-68100</v>
      </c>
      <c r="G284" s="24">
        <v>44426</v>
      </c>
      <c r="H284" s="22" t="s">
        <v>585</v>
      </c>
      <c r="I284" s="22" t="s">
        <v>280</v>
      </c>
      <c r="J284" s="22"/>
      <c r="K284" s="22"/>
      <c r="L284" s="22"/>
      <c r="M284" s="22"/>
      <c r="N284" s="22"/>
      <c r="O284" s="22"/>
      <c r="P284" s="22"/>
      <c r="Q284" s="22"/>
      <c r="R284" s="22"/>
    </row>
    <row r="285" spans="1:18" x14ac:dyDescent="0.25">
      <c r="A285" s="22" t="s">
        <v>737</v>
      </c>
      <c r="B285" s="22" t="s">
        <v>201</v>
      </c>
      <c r="C285" s="22" t="s">
        <v>202</v>
      </c>
      <c r="D285" s="22" t="s">
        <v>736</v>
      </c>
      <c r="E285" s="22" t="s">
        <v>57</v>
      </c>
      <c r="F285" s="23">
        <v>-90700</v>
      </c>
      <c r="G285" s="24">
        <v>44410</v>
      </c>
      <c r="H285" s="22" t="s">
        <v>585</v>
      </c>
      <c r="I285" s="22" t="s">
        <v>280</v>
      </c>
      <c r="J285" s="22"/>
      <c r="K285" s="22"/>
      <c r="L285" s="22"/>
      <c r="M285" s="22"/>
      <c r="N285" s="22"/>
      <c r="O285" s="22"/>
      <c r="P285" s="22"/>
      <c r="Q285" s="22"/>
      <c r="R285" s="22"/>
    </row>
    <row r="286" spans="1:18" x14ac:dyDescent="0.25">
      <c r="A286" s="22" t="s">
        <v>739</v>
      </c>
      <c r="B286" s="22" t="s">
        <v>201</v>
      </c>
      <c r="C286" s="22" t="s">
        <v>202</v>
      </c>
      <c r="D286" s="22" t="s">
        <v>738</v>
      </c>
      <c r="E286" s="22" t="s">
        <v>57</v>
      </c>
      <c r="F286" s="23">
        <v>-31600</v>
      </c>
      <c r="G286" s="24">
        <v>44435</v>
      </c>
      <c r="H286" s="22" t="s">
        <v>585</v>
      </c>
      <c r="I286" s="22" t="s">
        <v>740</v>
      </c>
      <c r="J286" s="22"/>
      <c r="K286" s="22"/>
      <c r="L286" s="22"/>
      <c r="M286" s="22"/>
      <c r="N286" s="22"/>
      <c r="O286" s="22"/>
      <c r="P286" s="22"/>
      <c r="Q286" s="22"/>
      <c r="R286" s="22"/>
    </row>
    <row r="287" spans="1:18" x14ac:dyDescent="0.25">
      <c r="A287" s="22" t="s">
        <v>742</v>
      </c>
      <c r="B287" s="22" t="s">
        <v>201</v>
      </c>
      <c r="C287" s="22" t="s">
        <v>202</v>
      </c>
      <c r="D287" s="22" t="s">
        <v>741</v>
      </c>
      <c r="E287" s="22" t="s">
        <v>57</v>
      </c>
      <c r="F287" s="23">
        <v>-40300</v>
      </c>
      <c r="G287" s="24">
        <v>44432</v>
      </c>
      <c r="H287" s="22" t="s">
        <v>585</v>
      </c>
      <c r="I287" s="22" t="s">
        <v>743</v>
      </c>
      <c r="J287" s="22"/>
      <c r="K287" s="22"/>
      <c r="L287" s="22"/>
      <c r="M287" s="22"/>
      <c r="N287" s="22"/>
      <c r="O287" s="22"/>
      <c r="P287" s="22"/>
      <c r="Q287" s="22"/>
      <c r="R287" s="22"/>
    </row>
    <row r="288" spans="1:18" x14ac:dyDescent="0.25">
      <c r="A288" s="22" t="s">
        <v>584</v>
      </c>
      <c r="B288" s="22" t="s">
        <v>201</v>
      </c>
      <c r="C288" s="22" t="s">
        <v>202</v>
      </c>
      <c r="D288" s="22" t="s">
        <v>585</v>
      </c>
      <c r="E288" s="22" t="s">
        <v>45</v>
      </c>
      <c r="F288" s="23">
        <v>1912883</v>
      </c>
      <c r="G288" s="24">
        <v>44461</v>
      </c>
      <c r="H288" s="22" t="s">
        <v>585</v>
      </c>
      <c r="I288" s="22"/>
      <c r="J288" s="22"/>
      <c r="K288" s="22"/>
      <c r="L288" s="22"/>
      <c r="M288" s="22"/>
      <c r="N288" s="22"/>
      <c r="O288" s="22"/>
      <c r="P288" s="22"/>
      <c r="Q288" s="22"/>
      <c r="R288" s="22"/>
    </row>
    <row r="289" spans="1:18" x14ac:dyDescent="0.25">
      <c r="A289" s="22" t="s">
        <v>584</v>
      </c>
      <c r="B289" s="22" t="s">
        <v>201</v>
      </c>
      <c r="C289" s="22" t="s">
        <v>202</v>
      </c>
      <c r="D289" s="22" t="s">
        <v>585</v>
      </c>
      <c r="E289" s="22" t="s">
        <v>45</v>
      </c>
      <c r="F289" s="23">
        <v>102400</v>
      </c>
      <c r="G289" s="24">
        <v>44461</v>
      </c>
      <c r="H289" s="22" t="s">
        <v>585</v>
      </c>
      <c r="I289" s="22"/>
      <c r="J289" s="22"/>
      <c r="K289" s="22"/>
      <c r="L289" s="22"/>
      <c r="M289" s="22"/>
      <c r="N289" s="22"/>
      <c r="O289" s="22"/>
      <c r="P289" s="22"/>
      <c r="Q289" s="22"/>
      <c r="R289" s="22"/>
    </row>
    <row r="290" spans="1:18" x14ac:dyDescent="0.25">
      <c r="A290" s="22" t="s">
        <v>584</v>
      </c>
      <c r="B290" s="22" t="s">
        <v>201</v>
      </c>
      <c r="C290" s="22" t="s">
        <v>202</v>
      </c>
      <c r="D290" s="22" t="s">
        <v>585</v>
      </c>
      <c r="E290" s="22" t="s">
        <v>45</v>
      </c>
      <c r="F290" s="23">
        <v>755478</v>
      </c>
      <c r="G290" s="24">
        <v>44461</v>
      </c>
      <c r="H290" s="22" t="s">
        <v>585</v>
      </c>
      <c r="I290" s="22"/>
      <c r="J290" s="22"/>
      <c r="K290" s="22"/>
      <c r="L290" s="22"/>
      <c r="M290" s="22"/>
      <c r="N290" s="22"/>
      <c r="O290" s="22"/>
      <c r="P290" s="22"/>
      <c r="Q290" s="22"/>
      <c r="R290" s="22"/>
    </row>
    <row r="291" spans="1:18" x14ac:dyDescent="0.25">
      <c r="A291" s="22" t="s">
        <v>584</v>
      </c>
      <c r="B291" s="22" t="s">
        <v>201</v>
      </c>
      <c r="C291" s="22" t="s">
        <v>202</v>
      </c>
      <c r="D291" s="22" t="s">
        <v>585</v>
      </c>
      <c r="E291" s="22" t="s">
        <v>45</v>
      </c>
      <c r="F291" s="23">
        <v>-2695263</v>
      </c>
      <c r="G291" s="24">
        <v>44461</v>
      </c>
      <c r="H291" s="22" t="s">
        <v>585</v>
      </c>
      <c r="I291" s="22"/>
      <c r="J291" s="22"/>
      <c r="K291" s="22"/>
      <c r="L291" s="22"/>
      <c r="M291" s="22"/>
      <c r="N291" s="22"/>
      <c r="O291" s="22"/>
      <c r="P291" s="22"/>
      <c r="Q291" s="22"/>
      <c r="R291" s="22"/>
    </row>
    <row r="292" spans="1:18" x14ac:dyDescent="0.25">
      <c r="A292" s="22" t="s">
        <v>745</v>
      </c>
      <c r="B292" s="22" t="s">
        <v>201</v>
      </c>
      <c r="C292" s="22" t="s">
        <v>202</v>
      </c>
      <c r="D292" s="22" t="s">
        <v>744</v>
      </c>
      <c r="E292" s="22" t="s">
        <v>45</v>
      </c>
      <c r="F292" s="23">
        <v>-15522</v>
      </c>
      <c r="G292" s="24">
        <v>44459</v>
      </c>
      <c r="H292" s="22" t="s">
        <v>585</v>
      </c>
      <c r="I292" s="22" t="s">
        <v>746</v>
      </c>
      <c r="J292" s="22"/>
      <c r="K292" s="22"/>
      <c r="L292" s="22"/>
      <c r="M292" s="22"/>
      <c r="N292" s="22"/>
      <c r="O292" s="22"/>
      <c r="P292" s="22"/>
      <c r="Q292" s="22"/>
      <c r="R292" s="22"/>
    </row>
    <row r="293" spans="1:18" x14ac:dyDescent="0.25">
      <c r="A293" s="22" t="s">
        <v>748</v>
      </c>
      <c r="B293" s="22" t="s">
        <v>201</v>
      </c>
      <c r="C293" s="22" t="s">
        <v>202</v>
      </c>
      <c r="D293" s="22" t="s">
        <v>747</v>
      </c>
      <c r="E293" s="22" t="s">
        <v>57</v>
      </c>
      <c r="F293" s="23">
        <v>-125300</v>
      </c>
      <c r="G293" s="24">
        <v>44358</v>
      </c>
      <c r="H293" s="22" t="s">
        <v>360</v>
      </c>
      <c r="I293" s="22" t="s">
        <v>749</v>
      </c>
      <c r="J293" s="22"/>
      <c r="K293" s="22"/>
      <c r="L293" s="22"/>
      <c r="M293" s="22"/>
      <c r="N293" s="22"/>
      <c r="O293" s="22"/>
      <c r="P293" s="22"/>
      <c r="Q293" s="22"/>
      <c r="R293" s="22"/>
    </row>
    <row r="294" spans="1:18" x14ac:dyDescent="0.25">
      <c r="A294" s="22" t="s">
        <v>751</v>
      </c>
      <c r="B294" s="22" t="s">
        <v>201</v>
      </c>
      <c r="C294" s="22" t="s">
        <v>202</v>
      </c>
      <c r="D294" s="22" t="s">
        <v>750</v>
      </c>
      <c r="E294" s="22" t="s">
        <v>57</v>
      </c>
      <c r="F294" s="23">
        <v>-129507</v>
      </c>
      <c r="G294" s="24">
        <v>44353</v>
      </c>
      <c r="H294" s="22" t="s">
        <v>360</v>
      </c>
      <c r="I294" s="22" t="s">
        <v>752</v>
      </c>
      <c r="J294" s="22"/>
      <c r="K294" s="22"/>
      <c r="L294" s="22"/>
      <c r="M294" s="22"/>
      <c r="N294" s="22"/>
      <c r="O294" s="22"/>
      <c r="P294" s="22"/>
      <c r="Q294" s="22"/>
      <c r="R294" s="22"/>
    </row>
    <row r="295" spans="1:18" x14ac:dyDescent="0.25">
      <c r="A295" s="22" t="s">
        <v>754</v>
      </c>
      <c r="B295" s="22" t="s">
        <v>201</v>
      </c>
      <c r="C295" s="22" t="s">
        <v>202</v>
      </c>
      <c r="D295" s="22" t="s">
        <v>753</v>
      </c>
      <c r="E295" s="22" t="s">
        <v>57</v>
      </c>
      <c r="F295" s="23">
        <v>-32700</v>
      </c>
      <c r="G295" s="24">
        <v>44377</v>
      </c>
      <c r="H295" s="22" t="s">
        <v>360</v>
      </c>
      <c r="I295" s="22" t="s">
        <v>723</v>
      </c>
      <c r="J295" s="22"/>
      <c r="K295" s="22"/>
      <c r="L295" s="22"/>
      <c r="M295" s="22"/>
      <c r="N295" s="22"/>
      <c r="O295" s="22"/>
      <c r="P295" s="22"/>
      <c r="Q295" s="22"/>
      <c r="R295" s="22"/>
    </row>
    <row r="296" spans="1:18" x14ac:dyDescent="0.25">
      <c r="A296" s="22" t="s">
        <v>756</v>
      </c>
      <c r="B296" s="22" t="s">
        <v>201</v>
      </c>
      <c r="C296" s="22" t="s">
        <v>202</v>
      </c>
      <c r="D296" s="22" t="s">
        <v>755</v>
      </c>
      <c r="E296" s="22" t="s">
        <v>57</v>
      </c>
      <c r="F296" s="23">
        <v>-32700</v>
      </c>
      <c r="G296" s="24">
        <v>44376</v>
      </c>
      <c r="H296" s="22" t="s">
        <v>360</v>
      </c>
      <c r="I296" s="22" t="s">
        <v>757</v>
      </c>
      <c r="J296" s="22"/>
      <c r="K296" s="22"/>
      <c r="L296" s="22"/>
      <c r="M296" s="22"/>
      <c r="N296" s="22"/>
      <c r="O296" s="22"/>
      <c r="P296" s="22"/>
      <c r="Q296" s="22"/>
      <c r="R296" s="22"/>
    </row>
    <row r="297" spans="1:18" x14ac:dyDescent="0.25">
      <c r="A297" s="22" t="s">
        <v>759</v>
      </c>
      <c r="B297" s="22" t="s">
        <v>201</v>
      </c>
      <c r="C297" s="22" t="s">
        <v>202</v>
      </c>
      <c r="D297" s="22" t="s">
        <v>758</v>
      </c>
      <c r="E297" s="22" t="s">
        <v>57</v>
      </c>
      <c r="F297" s="23">
        <v>-47200</v>
      </c>
      <c r="G297" s="24">
        <v>44376</v>
      </c>
      <c r="H297" s="22" t="s">
        <v>360</v>
      </c>
      <c r="I297" s="22" t="s">
        <v>311</v>
      </c>
      <c r="J297" s="22"/>
      <c r="K297" s="22"/>
      <c r="L297" s="22"/>
      <c r="M297" s="22"/>
      <c r="N297" s="22"/>
      <c r="O297" s="22"/>
      <c r="P297" s="22"/>
      <c r="Q297" s="22"/>
      <c r="R297" s="22"/>
    </row>
    <row r="298" spans="1:18" x14ac:dyDescent="0.25">
      <c r="A298" s="22" t="s">
        <v>761</v>
      </c>
      <c r="B298" s="22" t="s">
        <v>201</v>
      </c>
      <c r="C298" s="22" t="s">
        <v>202</v>
      </c>
      <c r="D298" s="22" t="s">
        <v>760</v>
      </c>
      <c r="E298" s="22" t="s">
        <v>57</v>
      </c>
      <c r="F298" s="23">
        <v>-161400</v>
      </c>
      <c r="G298" s="24">
        <v>44372</v>
      </c>
      <c r="H298" s="22" t="s">
        <v>360</v>
      </c>
      <c r="I298" s="22" t="s">
        <v>542</v>
      </c>
      <c r="J298" s="22"/>
      <c r="K298" s="22"/>
      <c r="L298" s="22"/>
      <c r="M298" s="22"/>
      <c r="N298" s="22"/>
      <c r="O298" s="22"/>
      <c r="P298" s="22"/>
      <c r="Q298" s="22"/>
      <c r="R298" s="22"/>
    </row>
    <row r="299" spans="1:18" x14ac:dyDescent="0.25">
      <c r="A299" s="22" t="s">
        <v>763</v>
      </c>
      <c r="B299" s="22" t="s">
        <v>201</v>
      </c>
      <c r="C299" s="22" t="s">
        <v>202</v>
      </c>
      <c r="D299" s="22" t="s">
        <v>762</v>
      </c>
      <c r="E299" s="22" t="s">
        <v>57</v>
      </c>
      <c r="F299" s="23">
        <v>-32700</v>
      </c>
      <c r="G299" s="24">
        <v>44372</v>
      </c>
      <c r="H299" s="22" t="s">
        <v>360</v>
      </c>
      <c r="I299" s="22" t="s">
        <v>764</v>
      </c>
      <c r="J299" s="22"/>
      <c r="K299" s="22"/>
      <c r="L299" s="22"/>
      <c r="M299" s="22"/>
      <c r="N299" s="22"/>
      <c r="O299" s="22"/>
      <c r="P299" s="22"/>
      <c r="Q299" s="22"/>
      <c r="R299" s="22"/>
    </row>
    <row r="300" spans="1:18" x14ac:dyDescent="0.25">
      <c r="A300" s="22" t="s">
        <v>766</v>
      </c>
      <c r="B300" s="22" t="s">
        <v>201</v>
      </c>
      <c r="C300" s="22" t="s">
        <v>202</v>
      </c>
      <c r="D300" s="22" t="s">
        <v>765</v>
      </c>
      <c r="E300" s="22" t="s">
        <v>57</v>
      </c>
      <c r="F300" s="23">
        <v>-32700</v>
      </c>
      <c r="G300" s="24">
        <v>44372</v>
      </c>
      <c r="H300" s="22" t="s">
        <v>360</v>
      </c>
      <c r="I300" s="22" t="s">
        <v>637</v>
      </c>
      <c r="J300" s="22"/>
      <c r="K300" s="22"/>
      <c r="L300" s="22"/>
      <c r="M300" s="22"/>
      <c r="N300" s="22"/>
      <c r="O300" s="22"/>
      <c r="P300" s="22"/>
      <c r="Q300" s="22"/>
      <c r="R300" s="22"/>
    </row>
    <row r="301" spans="1:18" x14ac:dyDescent="0.25">
      <c r="A301" s="22" t="s">
        <v>768</v>
      </c>
      <c r="B301" s="22" t="s">
        <v>201</v>
      </c>
      <c r="C301" s="22" t="s">
        <v>202</v>
      </c>
      <c r="D301" s="22" t="s">
        <v>767</v>
      </c>
      <c r="E301" s="22" t="s">
        <v>57</v>
      </c>
      <c r="F301" s="23">
        <v>-267400</v>
      </c>
      <c r="G301" s="24">
        <v>44372</v>
      </c>
      <c r="H301" s="22" t="s">
        <v>360</v>
      </c>
      <c r="I301" s="22" t="s">
        <v>542</v>
      </c>
      <c r="J301" s="22"/>
      <c r="K301" s="22"/>
      <c r="L301" s="22"/>
      <c r="M301" s="22"/>
      <c r="N301" s="22"/>
      <c r="O301" s="22"/>
      <c r="P301" s="22"/>
      <c r="Q301" s="22"/>
      <c r="R301" s="22"/>
    </row>
    <row r="302" spans="1:18" x14ac:dyDescent="0.25">
      <c r="A302" s="22" t="s">
        <v>770</v>
      </c>
      <c r="B302" s="22" t="s">
        <v>201</v>
      </c>
      <c r="C302" s="22" t="s">
        <v>202</v>
      </c>
      <c r="D302" s="22" t="s">
        <v>769</v>
      </c>
      <c r="E302" s="22" t="s">
        <v>57</v>
      </c>
      <c r="F302" s="23">
        <v>-47200</v>
      </c>
      <c r="G302" s="24">
        <v>44371</v>
      </c>
      <c r="H302" s="22" t="s">
        <v>360</v>
      </c>
      <c r="I302" s="22" t="s">
        <v>637</v>
      </c>
      <c r="J302" s="22"/>
      <c r="K302" s="22"/>
      <c r="L302" s="22"/>
      <c r="M302" s="22"/>
      <c r="N302" s="22"/>
      <c r="O302" s="22"/>
      <c r="P302" s="22"/>
      <c r="Q302" s="22"/>
      <c r="R302" s="22"/>
    </row>
    <row r="303" spans="1:18" x14ac:dyDescent="0.25">
      <c r="A303" s="22" t="s">
        <v>772</v>
      </c>
      <c r="B303" s="22" t="s">
        <v>201</v>
      </c>
      <c r="C303" s="22" t="s">
        <v>202</v>
      </c>
      <c r="D303" s="22" t="s">
        <v>771</v>
      </c>
      <c r="E303" s="22" t="s">
        <v>57</v>
      </c>
      <c r="F303" s="23">
        <v>-457900</v>
      </c>
      <c r="G303" s="24">
        <v>44371</v>
      </c>
      <c r="H303" s="22" t="s">
        <v>360</v>
      </c>
      <c r="I303" s="22" t="s">
        <v>542</v>
      </c>
      <c r="J303" s="22"/>
      <c r="K303" s="22"/>
      <c r="L303" s="22"/>
      <c r="M303" s="22"/>
      <c r="N303" s="22"/>
      <c r="O303" s="22"/>
      <c r="P303" s="22"/>
      <c r="Q303" s="22"/>
      <c r="R303" s="22"/>
    </row>
    <row r="304" spans="1:18" x14ac:dyDescent="0.25">
      <c r="A304" s="22" t="s">
        <v>774</v>
      </c>
      <c r="B304" s="22" t="s">
        <v>201</v>
      </c>
      <c r="C304" s="22" t="s">
        <v>202</v>
      </c>
      <c r="D304" s="22" t="s">
        <v>773</v>
      </c>
      <c r="E304" s="22" t="s">
        <v>57</v>
      </c>
      <c r="F304" s="23">
        <v>-32700</v>
      </c>
      <c r="G304" s="24">
        <v>44371</v>
      </c>
      <c r="H304" s="22" t="s">
        <v>360</v>
      </c>
      <c r="I304" s="22" t="s">
        <v>249</v>
      </c>
      <c r="J304" s="22"/>
      <c r="K304" s="22"/>
      <c r="L304" s="22"/>
      <c r="M304" s="22"/>
      <c r="N304" s="22"/>
      <c r="O304" s="22"/>
      <c r="P304" s="22"/>
      <c r="Q304" s="22"/>
      <c r="R304" s="22"/>
    </row>
    <row r="305" spans="1:18" x14ac:dyDescent="0.25">
      <c r="A305" s="22" t="s">
        <v>776</v>
      </c>
      <c r="B305" s="22" t="s">
        <v>201</v>
      </c>
      <c r="C305" s="22" t="s">
        <v>202</v>
      </c>
      <c r="D305" s="22" t="s">
        <v>775</v>
      </c>
      <c r="E305" s="22" t="s">
        <v>57</v>
      </c>
      <c r="F305" s="23">
        <v>-47200</v>
      </c>
      <c r="G305" s="24">
        <v>44370</v>
      </c>
      <c r="H305" s="22" t="s">
        <v>360</v>
      </c>
      <c r="I305" s="22" t="s">
        <v>740</v>
      </c>
      <c r="J305" s="22"/>
      <c r="K305" s="22"/>
      <c r="L305" s="22"/>
      <c r="M305" s="22"/>
      <c r="N305" s="22"/>
      <c r="O305" s="22"/>
      <c r="P305" s="22"/>
      <c r="Q305" s="22"/>
      <c r="R305" s="22"/>
    </row>
    <row r="306" spans="1:18" x14ac:dyDescent="0.25">
      <c r="A306" s="22" t="s">
        <v>778</v>
      </c>
      <c r="B306" s="22" t="s">
        <v>201</v>
      </c>
      <c r="C306" s="22" t="s">
        <v>202</v>
      </c>
      <c r="D306" s="22" t="s">
        <v>777</v>
      </c>
      <c r="E306" s="22" t="s">
        <v>57</v>
      </c>
      <c r="F306" s="23">
        <v>-23700</v>
      </c>
      <c r="G306" s="24">
        <v>44369</v>
      </c>
      <c r="H306" s="22" t="s">
        <v>360</v>
      </c>
      <c r="I306" s="22" t="s">
        <v>764</v>
      </c>
      <c r="J306" s="22"/>
      <c r="K306" s="22"/>
      <c r="L306" s="22"/>
      <c r="M306" s="22"/>
      <c r="N306" s="22"/>
      <c r="O306" s="22"/>
      <c r="P306" s="22"/>
      <c r="Q306" s="22"/>
      <c r="R306" s="22"/>
    </row>
    <row r="307" spans="1:18" x14ac:dyDescent="0.25">
      <c r="A307" s="22" t="s">
        <v>780</v>
      </c>
      <c r="B307" s="22" t="s">
        <v>201</v>
      </c>
      <c r="C307" s="22" t="s">
        <v>202</v>
      </c>
      <c r="D307" s="22" t="s">
        <v>779</v>
      </c>
      <c r="E307" s="22" t="s">
        <v>57</v>
      </c>
      <c r="F307" s="23">
        <v>-47200</v>
      </c>
      <c r="G307" s="24">
        <v>44368</v>
      </c>
      <c r="H307" s="22" t="s">
        <v>360</v>
      </c>
      <c r="I307" s="22" t="s">
        <v>764</v>
      </c>
      <c r="J307" s="22"/>
      <c r="K307" s="22"/>
      <c r="L307" s="22"/>
      <c r="M307" s="22"/>
      <c r="N307" s="22"/>
      <c r="O307" s="22"/>
      <c r="P307" s="22"/>
      <c r="Q307" s="22"/>
      <c r="R307" s="22"/>
    </row>
    <row r="308" spans="1:18" x14ac:dyDescent="0.25">
      <c r="A308" s="22" t="s">
        <v>782</v>
      </c>
      <c r="B308" s="22" t="s">
        <v>201</v>
      </c>
      <c r="C308" s="22" t="s">
        <v>202</v>
      </c>
      <c r="D308" s="22" t="s">
        <v>781</v>
      </c>
      <c r="E308" s="22" t="s">
        <v>57</v>
      </c>
      <c r="F308" s="23">
        <v>-46100</v>
      </c>
      <c r="G308" s="24">
        <v>44365</v>
      </c>
      <c r="H308" s="22" t="s">
        <v>360</v>
      </c>
      <c r="I308" s="22" t="s">
        <v>608</v>
      </c>
      <c r="J308" s="22"/>
      <c r="K308" s="22"/>
      <c r="L308" s="22"/>
      <c r="M308" s="22"/>
      <c r="N308" s="22"/>
      <c r="O308" s="22"/>
      <c r="P308" s="22"/>
      <c r="Q308" s="22"/>
      <c r="R308" s="22"/>
    </row>
    <row r="309" spans="1:18" x14ac:dyDescent="0.25">
      <c r="A309" s="22" t="s">
        <v>784</v>
      </c>
      <c r="B309" s="22" t="s">
        <v>201</v>
      </c>
      <c r="C309" s="22" t="s">
        <v>202</v>
      </c>
      <c r="D309" s="22" t="s">
        <v>783</v>
      </c>
      <c r="E309" s="22" t="s">
        <v>57</v>
      </c>
      <c r="F309" s="23">
        <v>-354864</v>
      </c>
      <c r="G309" s="24">
        <v>44350</v>
      </c>
      <c r="H309" s="22" t="s">
        <v>360</v>
      </c>
      <c r="I309" s="22" t="s">
        <v>785</v>
      </c>
      <c r="J309" s="22"/>
      <c r="K309" s="22"/>
      <c r="L309" s="22"/>
      <c r="M309" s="22"/>
      <c r="N309" s="22"/>
      <c r="O309" s="22"/>
      <c r="P309" s="22"/>
      <c r="Q309" s="22"/>
      <c r="R309" s="22"/>
    </row>
    <row r="310" spans="1:18" x14ac:dyDescent="0.25">
      <c r="A310" s="22" t="s">
        <v>787</v>
      </c>
      <c r="B310" s="22" t="s">
        <v>201</v>
      </c>
      <c r="C310" s="22" t="s">
        <v>202</v>
      </c>
      <c r="D310" s="22" t="s">
        <v>786</v>
      </c>
      <c r="E310" s="22" t="s">
        <v>57</v>
      </c>
      <c r="F310" s="23">
        <v>-186000</v>
      </c>
      <c r="G310" s="24">
        <v>44496</v>
      </c>
      <c r="H310" s="22" t="s">
        <v>360</v>
      </c>
      <c r="I310" s="22" t="s">
        <v>788</v>
      </c>
      <c r="J310" s="22"/>
      <c r="K310" s="22"/>
      <c r="L310" s="22"/>
      <c r="M310" s="22"/>
      <c r="N310" s="22"/>
      <c r="O310" s="22"/>
      <c r="P310" s="22"/>
      <c r="Q310" s="22"/>
      <c r="R310" s="22"/>
    </row>
    <row r="311" spans="1:18" x14ac:dyDescent="0.25">
      <c r="A311" s="22" t="s">
        <v>790</v>
      </c>
      <c r="B311" s="22" t="s">
        <v>201</v>
      </c>
      <c r="C311" s="22" t="s">
        <v>202</v>
      </c>
      <c r="D311" s="22" t="s">
        <v>789</v>
      </c>
      <c r="E311" s="22" t="s">
        <v>57</v>
      </c>
      <c r="F311" s="23">
        <v>-311500</v>
      </c>
      <c r="G311" s="24">
        <v>44495</v>
      </c>
      <c r="H311" s="22" t="s">
        <v>360</v>
      </c>
      <c r="I311" s="22" t="s">
        <v>550</v>
      </c>
      <c r="J311" s="22"/>
      <c r="K311" s="22"/>
      <c r="L311" s="22"/>
      <c r="M311" s="22"/>
      <c r="N311" s="22"/>
      <c r="O311" s="22"/>
      <c r="P311" s="22"/>
      <c r="Q311" s="22"/>
      <c r="R311" s="22"/>
    </row>
    <row r="312" spans="1:18" x14ac:dyDescent="0.25">
      <c r="A312" s="22" t="s">
        <v>792</v>
      </c>
      <c r="B312" s="22" t="s">
        <v>201</v>
      </c>
      <c r="C312" s="22" t="s">
        <v>202</v>
      </c>
      <c r="D312" s="22" t="s">
        <v>791</v>
      </c>
      <c r="E312" s="22" t="s">
        <v>57</v>
      </c>
      <c r="F312" s="23">
        <v>-29200</v>
      </c>
      <c r="G312" s="24">
        <v>44495</v>
      </c>
      <c r="H312" s="22" t="s">
        <v>360</v>
      </c>
      <c r="I312" s="22" t="s">
        <v>375</v>
      </c>
      <c r="J312" s="22"/>
      <c r="K312" s="22"/>
      <c r="L312" s="22"/>
      <c r="M312" s="22"/>
      <c r="N312" s="22"/>
      <c r="O312" s="22"/>
      <c r="P312" s="22"/>
      <c r="Q312" s="22"/>
      <c r="R312" s="22"/>
    </row>
    <row r="313" spans="1:18" x14ac:dyDescent="0.25">
      <c r="A313" s="22" t="s">
        <v>794</v>
      </c>
      <c r="B313" s="22" t="s">
        <v>201</v>
      </c>
      <c r="C313" s="22" t="s">
        <v>202</v>
      </c>
      <c r="D313" s="22" t="s">
        <v>793</v>
      </c>
      <c r="E313" s="22" t="s">
        <v>57</v>
      </c>
      <c r="F313" s="23">
        <v>-33200</v>
      </c>
      <c r="G313" s="24">
        <v>44494</v>
      </c>
      <c r="H313" s="22" t="s">
        <v>360</v>
      </c>
      <c r="I313" s="22" t="s">
        <v>478</v>
      </c>
      <c r="J313" s="22"/>
      <c r="K313" s="22"/>
      <c r="L313" s="22"/>
      <c r="M313" s="22"/>
      <c r="N313" s="22"/>
      <c r="O313" s="22"/>
      <c r="P313" s="22"/>
      <c r="Q313" s="22"/>
      <c r="R313" s="22"/>
    </row>
    <row r="314" spans="1:18" x14ac:dyDescent="0.25">
      <c r="A314" s="22" t="s">
        <v>796</v>
      </c>
      <c r="B314" s="22" t="s">
        <v>201</v>
      </c>
      <c r="C314" s="22" t="s">
        <v>202</v>
      </c>
      <c r="D314" s="22" t="s">
        <v>795</v>
      </c>
      <c r="E314" s="22" t="s">
        <v>57</v>
      </c>
      <c r="F314" s="23">
        <v>-92700</v>
      </c>
      <c r="G314" s="24">
        <v>44494</v>
      </c>
      <c r="H314" s="22" t="s">
        <v>360</v>
      </c>
      <c r="I314" s="22" t="s">
        <v>478</v>
      </c>
      <c r="J314" s="22"/>
      <c r="K314" s="22"/>
      <c r="L314" s="22"/>
      <c r="M314" s="22"/>
      <c r="N314" s="22"/>
      <c r="O314" s="22"/>
      <c r="P314" s="22"/>
      <c r="Q314" s="22"/>
      <c r="R314" s="22"/>
    </row>
    <row r="315" spans="1:18" x14ac:dyDescent="0.25">
      <c r="A315" s="22" t="s">
        <v>798</v>
      </c>
      <c r="B315" s="22" t="s">
        <v>201</v>
      </c>
      <c r="C315" s="22" t="s">
        <v>202</v>
      </c>
      <c r="D315" s="22" t="s">
        <v>797</v>
      </c>
      <c r="E315" s="22" t="s">
        <v>57</v>
      </c>
      <c r="F315" s="23">
        <v>-43700</v>
      </c>
      <c r="G315" s="24">
        <v>44491</v>
      </c>
      <c r="H315" s="22" t="s">
        <v>360</v>
      </c>
      <c r="I315" s="22" t="s">
        <v>799</v>
      </c>
      <c r="J315" s="22"/>
      <c r="K315" s="22"/>
      <c r="L315" s="22"/>
      <c r="M315" s="22"/>
      <c r="N315" s="22"/>
      <c r="O315" s="22"/>
      <c r="P315" s="22"/>
      <c r="Q315" s="22"/>
      <c r="R315" s="22"/>
    </row>
    <row r="316" spans="1:18" x14ac:dyDescent="0.25">
      <c r="A316" s="22" t="s">
        <v>801</v>
      </c>
      <c r="B316" s="22" t="s">
        <v>201</v>
      </c>
      <c r="C316" s="22" t="s">
        <v>202</v>
      </c>
      <c r="D316" s="22" t="s">
        <v>800</v>
      </c>
      <c r="E316" s="22" t="s">
        <v>57</v>
      </c>
      <c r="F316" s="23">
        <v>-33200</v>
      </c>
      <c r="G316" s="24">
        <v>44491</v>
      </c>
      <c r="H316" s="22" t="s">
        <v>360</v>
      </c>
      <c r="I316" s="22" t="s">
        <v>802</v>
      </c>
      <c r="J316" s="22"/>
      <c r="K316" s="22"/>
      <c r="L316" s="22"/>
      <c r="M316" s="22"/>
      <c r="N316" s="22"/>
      <c r="O316" s="22"/>
      <c r="P316" s="22"/>
      <c r="Q316" s="22"/>
      <c r="R316" s="22"/>
    </row>
    <row r="317" spans="1:18" x14ac:dyDescent="0.25">
      <c r="A317" s="22" t="s">
        <v>804</v>
      </c>
      <c r="B317" s="22" t="s">
        <v>201</v>
      </c>
      <c r="C317" s="22" t="s">
        <v>202</v>
      </c>
      <c r="D317" s="22" t="s">
        <v>803</v>
      </c>
      <c r="E317" s="22" t="s">
        <v>57</v>
      </c>
      <c r="F317" s="23">
        <v>-10100</v>
      </c>
      <c r="G317" s="24">
        <v>44474</v>
      </c>
      <c r="H317" s="22" t="s">
        <v>314</v>
      </c>
      <c r="I317" s="22" t="s">
        <v>249</v>
      </c>
      <c r="J317" s="22"/>
      <c r="K317" s="22"/>
      <c r="L317" s="22"/>
      <c r="M317" s="22"/>
      <c r="N317" s="22"/>
      <c r="O317" s="22"/>
      <c r="P317" s="22"/>
      <c r="Q317" s="22"/>
      <c r="R317" s="22"/>
    </row>
    <row r="318" spans="1:18" s="39" customFormat="1" x14ac:dyDescent="0.25">
      <c r="A318" s="36" t="s">
        <v>806</v>
      </c>
      <c r="B318" s="36" t="s">
        <v>201</v>
      </c>
      <c r="C318" s="36" t="s">
        <v>202</v>
      </c>
      <c r="D318" s="36" t="s">
        <v>805</v>
      </c>
      <c r="E318" s="36" t="s">
        <v>42</v>
      </c>
      <c r="F318" s="37">
        <v>196200</v>
      </c>
      <c r="G318" s="38">
        <v>44508</v>
      </c>
      <c r="H318" s="36" t="s">
        <v>316</v>
      </c>
      <c r="I318" s="36" t="s">
        <v>292</v>
      </c>
      <c r="J318" s="36"/>
      <c r="K318" s="36"/>
      <c r="L318" s="36"/>
      <c r="M318" s="36"/>
      <c r="N318" s="36"/>
      <c r="O318" s="36"/>
      <c r="P318" s="36"/>
      <c r="Q318" s="36"/>
      <c r="R318" s="36"/>
    </row>
    <row r="319" spans="1:18" x14ac:dyDescent="0.25">
      <c r="A319" s="22" t="s">
        <v>315</v>
      </c>
      <c r="B319" s="22" t="s">
        <v>201</v>
      </c>
      <c r="C319" s="22" t="s">
        <v>202</v>
      </c>
      <c r="D319" s="22" t="s">
        <v>316</v>
      </c>
      <c r="E319" s="22" t="s">
        <v>45</v>
      </c>
      <c r="F319" s="23">
        <v>457900</v>
      </c>
      <c r="G319" s="24">
        <v>44477</v>
      </c>
      <c r="H319" s="22" t="s">
        <v>316</v>
      </c>
      <c r="I319" s="22"/>
      <c r="J319" s="22"/>
      <c r="K319" s="22"/>
      <c r="L319" s="22"/>
      <c r="M319" s="22"/>
      <c r="N319" s="22"/>
      <c r="O319" s="22"/>
      <c r="P319" s="22"/>
      <c r="Q319" s="22"/>
      <c r="R319" s="22"/>
    </row>
    <row r="320" spans="1:18" x14ac:dyDescent="0.25">
      <c r="A320" s="22" t="s">
        <v>315</v>
      </c>
      <c r="B320" s="22" t="s">
        <v>201</v>
      </c>
      <c r="C320" s="22" t="s">
        <v>202</v>
      </c>
      <c r="D320" s="22" t="s">
        <v>316</v>
      </c>
      <c r="E320" s="22" t="s">
        <v>45</v>
      </c>
      <c r="F320" s="23">
        <v>-196200</v>
      </c>
      <c r="G320" s="24">
        <v>44477</v>
      </c>
      <c r="H320" s="22" t="s">
        <v>316</v>
      </c>
      <c r="I320" s="22"/>
      <c r="J320" s="22"/>
      <c r="K320" s="22"/>
      <c r="L320" s="22"/>
      <c r="M320" s="22"/>
      <c r="N320" s="22"/>
      <c r="O320" s="22"/>
      <c r="P320" s="22"/>
      <c r="Q320" s="22"/>
      <c r="R320" s="22"/>
    </row>
    <row r="321" spans="1:18" x14ac:dyDescent="0.25">
      <c r="A321" s="22" t="s">
        <v>315</v>
      </c>
      <c r="B321" s="22" t="s">
        <v>201</v>
      </c>
      <c r="C321" s="22" t="s">
        <v>202</v>
      </c>
      <c r="D321" s="22" t="s">
        <v>807</v>
      </c>
      <c r="E321" s="22" t="s">
        <v>57</v>
      </c>
      <c r="F321" s="23">
        <v>-457900</v>
      </c>
      <c r="G321" s="24">
        <v>44477</v>
      </c>
      <c r="H321" s="22" t="s">
        <v>316</v>
      </c>
      <c r="I321" s="22" t="s">
        <v>319</v>
      </c>
      <c r="J321" s="22"/>
      <c r="K321" s="22"/>
      <c r="L321" s="22"/>
      <c r="M321" s="22"/>
      <c r="N321" s="22"/>
      <c r="O321" s="22"/>
      <c r="P321" s="22"/>
      <c r="Q321" s="22"/>
      <c r="R321" s="22"/>
    </row>
    <row r="322" spans="1:18" s="39" customFormat="1" x14ac:dyDescent="0.25">
      <c r="A322" s="36" t="s">
        <v>809</v>
      </c>
      <c r="B322" s="36" t="s">
        <v>201</v>
      </c>
      <c r="C322" s="36" t="s">
        <v>202</v>
      </c>
      <c r="D322" s="36" t="s">
        <v>808</v>
      </c>
      <c r="E322" s="36" t="s">
        <v>42</v>
      </c>
      <c r="F322" s="37">
        <v>5830185</v>
      </c>
      <c r="G322" s="38">
        <v>44537</v>
      </c>
      <c r="H322" s="36" t="s">
        <v>360</v>
      </c>
      <c r="I322" s="36" t="s">
        <v>227</v>
      </c>
      <c r="J322" s="36"/>
      <c r="K322" s="36"/>
      <c r="L322" s="36"/>
      <c r="M322" s="36"/>
      <c r="N322" s="36"/>
      <c r="O322" s="36"/>
      <c r="P322" s="36"/>
      <c r="Q322" s="36"/>
      <c r="R322" s="36"/>
    </row>
    <row r="323" spans="1:18" x14ac:dyDescent="0.25">
      <c r="A323" s="22" t="s">
        <v>361</v>
      </c>
      <c r="B323" s="22" t="s">
        <v>201</v>
      </c>
      <c r="C323" s="22" t="s">
        <v>202</v>
      </c>
      <c r="D323" s="22" t="s">
        <v>360</v>
      </c>
      <c r="E323" s="22" t="s">
        <v>45</v>
      </c>
      <c r="F323" s="23">
        <v>3150607</v>
      </c>
      <c r="G323" s="24">
        <v>44389</v>
      </c>
      <c r="H323" s="22" t="s">
        <v>360</v>
      </c>
      <c r="I323" s="22"/>
      <c r="J323" s="22"/>
      <c r="K323" s="22"/>
      <c r="L323" s="22"/>
      <c r="M323" s="22"/>
      <c r="N323" s="22"/>
      <c r="O323" s="22"/>
      <c r="P323" s="22"/>
      <c r="Q323" s="22"/>
      <c r="R323" s="22"/>
    </row>
    <row r="324" spans="1:18" x14ac:dyDescent="0.25">
      <c r="A324" s="22" t="s">
        <v>361</v>
      </c>
      <c r="B324" s="22" t="s">
        <v>201</v>
      </c>
      <c r="C324" s="22" t="s">
        <v>202</v>
      </c>
      <c r="D324" s="22" t="s">
        <v>360</v>
      </c>
      <c r="E324" s="22" t="s">
        <v>45</v>
      </c>
      <c r="F324" s="23">
        <v>-5830185</v>
      </c>
      <c r="G324" s="24">
        <v>44389</v>
      </c>
      <c r="H324" s="22" t="s">
        <v>360</v>
      </c>
      <c r="I324" s="22"/>
      <c r="J324" s="22"/>
      <c r="K324" s="22"/>
      <c r="L324" s="22"/>
      <c r="M324" s="22"/>
      <c r="N324" s="22"/>
      <c r="O324" s="22"/>
      <c r="P324" s="22"/>
      <c r="Q324" s="22"/>
      <c r="R324" s="22"/>
    </row>
    <row r="325" spans="1:18" x14ac:dyDescent="0.25">
      <c r="A325" s="22" t="s">
        <v>361</v>
      </c>
      <c r="B325" s="22" t="s">
        <v>201</v>
      </c>
      <c r="C325" s="22" t="s">
        <v>202</v>
      </c>
      <c r="D325" s="22" t="s">
        <v>360</v>
      </c>
      <c r="E325" s="22" t="s">
        <v>45</v>
      </c>
      <c r="F325" s="23">
        <v>3982464</v>
      </c>
      <c r="G325" s="24">
        <v>44389</v>
      </c>
      <c r="H325" s="22" t="s">
        <v>360</v>
      </c>
      <c r="I325" s="22"/>
      <c r="J325" s="22"/>
      <c r="K325" s="22"/>
      <c r="L325" s="22"/>
      <c r="M325" s="22"/>
      <c r="N325" s="22"/>
      <c r="O325" s="22"/>
      <c r="P325" s="22"/>
      <c r="Q325" s="22"/>
      <c r="R325" s="22"/>
    </row>
    <row r="326" spans="1:18" x14ac:dyDescent="0.25">
      <c r="A326" s="22" t="s">
        <v>811</v>
      </c>
      <c r="B326" s="22" t="s">
        <v>201</v>
      </c>
      <c r="C326" s="22" t="s">
        <v>202</v>
      </c>
      <c r="D326" s="22" t="s">
        <v>810</v>
      </c>
      <c r="E326" s="22" t="s">
        <v>57</v>
      </c>
      <c r="F326" s="23">
        <v>-143100</v>
      </c>
      <c r="G326" s="24">
        <v>44376</v>
      </c>
      <c r="H326" s="22" t="s">
        <v>360</v>
      </c>
      <c r="I326" s="22" t="s">
        <v>280</v>
      </c>
      <c r="J326" s="22"/>
      <c r="K326" s="22"/>
      <c r="L326" s="22"/>
      <c r="M326" s="22"/>
      <c r="N326" s="22"/>
      <c r="O326" s="22"/>
      <c r="P326" s="22"/>
      <c r="Q326" s="22"/>
      <c r="R326" s="22"/>
    </row>
    <row r="327" spans="1:18" x14ac:dyDescent="0.25">
      <c r="A327" s="22" t="s">
        <v>813</v>
      </c>
      <c r="B327" s="22" t="s">
        <v>201</v>
      </c>
      <c r="C327" s="22" t="s">
        <v>202</v>
      </c>
      <c r="D327" s="22" t="s">
        <v>812</v>
      </c>
      <c r="E327" s="22" t="s">
        <v>57</v>
      </c>
      <c r="F327" s="23">
        <v>-105500</v>
      </c>
      <c r="G327" s="24">
        <v>44372</v>
      </c>
      <c r="H327" s="22" t="s">
        <v>360</v>
      </c>
      <c r="I327" s="22" t="s">
        <v>550</v>
      </c>
      <c r="J327" s="22"/>
      <c r="K327" s="22"/>
      <c r="L327" s="22"/>
      <c r="M327" s="22"/>
      <c r="N327" s="22"/>
      <c r="O327" s="22"/>
      <c r="P327" s="22"/>
      <c r="Q327" s="22"/>
      <c r="R327" s="22"/>
    </row>
    <row r="328" spans="1:18" x14ac:dyDescent="0.25">
      <c r="A328" s="22" t="s">
        <v>815</v>
      </c>
      <c r="B328" s="22" t="s">
        <v>201</v>
      </c>
      <c r="C328" s="22" t="s">
        <v>202</v>
      </c>
      <c r="D328" s="22" t="s">
        <v>814</v>
      </c>
      <c r="E328" s="22" t="s">
        <v>57</v>
      </c>
      <c r="F328" s="23">
        <v>-122600</v>
      </c>
      <c r="G328" s="24">
        <v>44370</v>
      </c>
      <c r="H328" s="22" t="s">
        <v>360</v>
      </c>
      <c r="I328" s="22" t="s">
        <v>550</v>
      </c>
      <c r="J328" s="22"/>
      <c r="K328" s="22"/>
      <c r="L328" s="22"/>
      <c r="M328" s="22"/>
      <c r="N328" s="22"/>
      <c r="O328" s="22"/>
      <c r="P328" s="22"/>
      <c r="Q328" s="22"/>
      <c r="R328" s="22"/>
    </row>
    <row r="329" spans="1:18" x14ac:dyDescent="0.25">
      <c r="A329" s="22" t="s">
        <v>817</v>
      </c>
      <c r="B329" s="22" t="s">
        <v>201</v>
      </c>
      <c r="C329" s="22" t="s">
        <v>202</v>
      </c>
      <c r="D329" s="22" t="s">
        <v>816</v>
      </c>
      <c r="E329" s="22" t="s">
        <v>57</v>
      </c>
      <c r="F329" s="23">
        <v>-33600</v>
      </c>
      <c r="G329" s="24">
        <v>44370</v>
      </c>
      <c r="H329" s="22" t="s">
        <v>360</v>
      </c>
      <c r="I329" s="22" t="s">
        <v>550</v>
      </c>
      <c r="J329" s="22"/>
      <c r="K329" s="22"/>
      <c r="L329" s="22"/>
      <c r="M329" s="22"/>
      <c r="N329" s="22"/>
      <c r="O329" s="22"/>
      <c r="P329" s="22"/>
      <c r="Q329" s="22"/>
      <c r="R329" s="22"/>
    </row>
    <row r="330" spans="1:18" x14ac:dyDescent="0.25">
      <c r="A330" s="22" t="s">
        <v>819</v>
      </c>
      <c r="B330" s="22" t="s">
        <v>201</v>
      </c>
      <c r="C330" s="22" t="s">
        <v>202</v>
      </c>
      <c r="D330" s="22" t="s">
        <v>818</v>
      </c>
      <c r="E330" s="22" t="s">
        <v>57</v>
      </c>
      <c r="F330" s="23">
        <v>-18800</v>
      </c>
      <c r="G330" s="24">
        <v>44369</v>
      </c>
      <c r="H330" s="22" t="s">
        <v>360</v>
      </c>
      <c r="I330" s="22" t="s">
        <v>820</v>
      </c>
      <c r="J330" s="22"/>
      <c r="K330" s="22"/>
      <c r="L330" s="22"/>
      <c r="M330" s="22"/>
      <c r="N330" s="22"/>
      <c r="O330" s="22"/>
      <c r="P330" s="22"/>
      <c r="Q330" s="22"/>
      <c r="R330" s="22"/>
    </row>
    <row r="331" spans="1:18" x14ac:dyDescent="0.25">
      <c r="A331" s="22" t="s">
        <v>822</v>
      </c>
      <c r="B331" s="22" t="s">
        <v>201</v>
      </c>
      <c r="C331" s="22" t="s">
        <v>202</v>
      </c>
      <c r="D331" s="22" t="s">
        <v>821</v>
      </c>
      <c r="E331" s="22" t="s">
        <v>57</v>
      </c>
      <c r="F331" s="23">
        <v>-452800</v>
      </c>
      <c r="G331" s="24">
        <v>44369</v>
      </c>
      <c r="H331" s="22" t="s">
        <v>360</v>
      </c>
      <c r="I331" s="22" t="s">
        <v>823</v>
      </c>
      <c r="J331" s="22"/>
      <c r="K331" s="22"/>
      <c r="L331" s="22"/>
      <c r="M331" s="22"/>
      <c r="N331" s="22"/>
      <c r="O331" s="22"/>
      <c r="P331" s="22"/>
      <c r="Q331" s="22"/>
      <c r="R331" s="22"/>
    </row>
    <row r="332" spans="1:18" x14ac:dyDescent="0.25">
      <c r="A332" s="22" t="s">
        <v>825</v>
      </c>
      <c r="B332" s="22" t="s">
        <v>201</v>
      </c>
      <c r="C332" s="22" t="s">
        <v>202</v>
      </c>
      <c r="D332" s="22" t="s">
        <v>824</v>
      </c>
      <c r="E332" s="22" t="s">
        <v>57</v>
      </c>
      <c r="F332" s="23">
        <v>-43700</v>
      </c>
      <c r="G332" s="24">
        <v>44368</v>
      </c>
      <c r="H332" s="22" t="s">
        <v>360</v>
      </c>
      <c r="I332" s="22" t="s">
        <v>559</v>
      </c>
      <c r="J332" s="22"/>
      <c r="K332" s="22"/>
      <c r="L332" s="22"/>
      <c r="M332" s="22"/>
      <c r="N332" s="22"/>
      <c r="O332" s="22"/>
      <c r="P332" s="22"/>
      <c r="Q332" s="22"/>
      <c r="R332" s="22"/>
    </row>
    <row r="333" spans="1:18" x14ac:dyDescent="0.25">
      <c r="A333" s="22" t="s">
        <v>827</v>
      </c>
      <c r="B333" s="22" t="s">
        <v>201</v>
      </c>
      <c r="C333" s="22" t="s">
        <v>202</v>
      </c>
      <c r="D333" s="22" t="s">
        <v>826</v>
      </c>
      <c r="E333" s="22" t="s">
        <v>57</v>
      </c>
      <c r="F333" s="23">
        <v>-41800</v>
      </c>
      <c r="G333" s="24">
        <v>44368</v>
      </c>
      <c r="H333" s="22" t="s">
        <v>360</v>
      </c>
      <c r="I333" s="22" t="s">
        <v>820</v>
      </c>
      <c r="J333" s="22"/>
      <c r="K333" s="22"/>
      <c r="L333" s="22"/>
      <c r="M333" s="22"/>
      <c r="N333" s="22"/>
      <c r="O333" s="22"/>
      <c r="P333" s="22"/>
      <c r="Q333" s="22"/>
      <c r="R333" s="22"/>
    </row>
    <row r="334" spans="1:18" x14ac:dyDescent="0.25">
      <c r="A334" s="22" t="s">
        <v>829</v>
      </c>
      <c r="B334" s="22" t="s">
        <v>201</v>
      </c>
      <c r="C334" s="22" t="s">
        <v>202</v>
      </c>
      <c r="D334" s="22" t="s">
        <v>828</v>
      </c>
      <c r="E334" s="22" t="s">
        <v>57</v>
      </c>
      <c r="F334" s="23">
        <v>-29200</v>
      </c>
      <c r="G334" s="24">
        <v>44364</v>
      </c>
      <c r="H334" s="22" t="s">
        <v>360</v>
      </c>
      <c r="I334" s="22" t="s">
        <v>280</v>
      </c>
      <c r="J334" s="22"/>
      <c r="K334" s="22"/>
      <c r="L334" s="22"/>
      <c r="M334" s="22"/>
      <c r="N334" s="22"/>
      <c r="O334" s="22"/>
      <c r="P334" s="22"/>
      <c r="Q334" s="22"/>
      <c r="R334" s="22"/>
    </row>
    <row r="335" spans="1:18" x14ac:dyDescent="0.25">
      <c r="A335" s="22" t="s">
        <v>831</v>
      </c>
      <c r="B335" s="22" t="s">
        <v>201</v>
      </c>
      <c r="C335" s="22" t="s">
        <v>202</v>
      </c>
      <c r="D335" s="22" t="s">
        <v>830</v>
      </c>
      <c r="E335" s="22" t="s">
        <v>57</v>
      </c>
      <c r="F335" s="23">
        <v>-105500</v>
      </c>
      <c r="G335" s="24">
        <v>44362</v>
      </c>
      <c r="H335" s="22" t="s">
        <v>360</v>
      </c>
      <c r="I335" s="22" t="s">
        <v>550</v>
      </c>
      <c r="J335" s="22"/>
      <c r="K335" s="22"/>
      <c r="L335" s="22"/>
      <c r="M335" s="22"/>
      <c r="N335" s="22"/>
      <c r="O335" s="22"/>
      <c r="P335" s="22"/>
      <c r="Q335" s="22"/>
      <c r="R335" s="22"/>
    </row>
    <row r="336" spans="1:18" x14ac:dyDescent="0.25">
      <c r="A336" s="22" t="s">
        <v>833</v>
      </c>
      <c r="B336" s="22" t="s">
        <v>201</v>
      </c>
      <c r="C336" s="22" t="s">
        <v>202</v>
      </c>
      <c r="D336" s="22" t="s">
        <v>832</v>
      </c>
      <c r="E336" s="22" t="s">
        <v>57</v>
      </c>
      <c r="F336" s="23">
        <v>-43700</v>
      </c>
      <c r="G336" s="24">
        <v>44358</v>
      </c>
      <c r="H336" s="22" t="s">
        <v>360</v>
      </c>
      <c r="I336" s="22" t="s">
        <v>550</v>
      </c>
      <c r="J336" s="22"/>
      <c r="K336" s="22"/>
      <c r="L336" s="22"/>
      <c r="M336" s="22"/>
      <c r="N336" s="22"/>
      <c r="O336" s="22"/>
      <c r="P336" s="22"/>
      <c r="Q336" s="22"/>
      <c r="R336" s="22"/>
    </row>
    <row r="337" spans="1:18" x14ac:dyDescent="0.25">
      <c r="A337" s="22" t="s">
        <v>835</v>
      </c>
      <c r="B337" s="22" t="s">
        <v>201</v>
      </c>
      <c r="C337" s="22" t="s">
        <v>202</v>
      </c>
      <c r="D337" s="22" t="s">
        <v>834</v>
      </c>
      <c r="E337" s="22" t="s">
        <v>57</v>
      </c>
      <c r="F337" s="23">
        <v>-43700</v>
      </c>
      <c r="G337" s="24">
        <v>44358</v>
      </c>
      <c r="H337" s="22" t="s">
        <v>360</v>
      </c>
      <c r="I337" s="22" t="s">
        <v>836</v>
      </c>
      <c r="J337" s="22"/>
      <c r="K337" s="22"/>
      <c r="L337" s="22"/>
      <c r="M337" s="22"/>
      <c r="N337" s="22"/>
      <c r="O337" s="22"/>
      <c r="P337" s="22"/>
      <c r="Q337" s="22"/>
      <c r="R337" s="22"/>
    </row>
    <row r="338" spans="1:18" x14ac:dyDescent="0.25">
      <c r="A338" s="22" t="s">
        <v>838</v>
      </c>
      <c r="B338" s="22" t="s">
        <v>201</v>
      </c>
      <c r="C338" s="22" t="s">
        <v>202</v>
      </c>
      <c r="D338" s="22" t="s">
        <v>837</v>
      </c>
      <c r="E338" s="22" t="s">
        <v>57</v>
      </c>
      <c r="F338" s="23">
        <v>-540400</v>
      </c>
      <c r="G338" s="24">
        <v>44357</v>
      </c>
      <c r="H338" s="22" t="s">
        <v>360</v>
      </c>
      <c r="I338" s="22" t="s">
        <v>839</v>
      </c>
      <c r="J338" s="22"/>
      <c r="K338" s="22"/>
      <c r="L338" s="22"/>
      <c r="M338" s="22"/>
      <c r="N338" s="22"/>
      <c r="O338" s="22"/>
      <c r="P338" s="22"/>
      <c r="Q338" s="22"/>
      <c r="R338" s="22"/>
    </row>
    <row r="339" spans="1:18" x14ac:dyDescent="0.25">
      <c r="A339" s="22" t="s">
        <v>841</v>
      </c>
      <c r="B339" s="22" t="s">
        <v>201</v>
      </c>
      <c r="C339" s="22" t="s">
        <v>202</v>
      </c>
      <c r="D339" s="22" t="s">
        <v>840</v>
      </c>
      <c r="E339" s="22" t="s">
        <v>57</v>
      </c>
      <c r="F339" s="23">
        <v>-29200</v>
      </c>
      <c r="G339" s="24">
        <v>44349</v>
      </c>
      <c r="H339" s="22" t="s">
        <v>360</v>
      </c>
      <c r="I339" s="22" t="s">
        <v>550</v>
      </c>
      <c r="J339" s="22"/>
      <c r="K339" s="22"/>
      <c r="L339" s="22"/>
      <c r="M339" s="22"/>
      <c r="N339" s="22"/>
      <c r="O339" s="22"/>
      <c r="P339" s="22"/>
      <c r="Q339" s="22"/>
      <c r="R339" s="22"/>
    </row>
    <row r="340" spans="1:18" x14ac:dyDescent="0.25">
      <c r="A340" s="22" t="s">
        <v>361</v>
      </c>
      <c r="B340" s="22" t="s">
        <v>201</v>
      </c>
      <c r="C340" s="22" t="s">
        <v>202</v>
      </c>
      <c r="D340" s="22" t="s">
        <v>842</v>
      </c>
      <c r="E340" s="22" t="s">
        <v>57</v>
      </c>
      <c r="F340" s="23">
        <v>-1587000</v>
      </c>
      <c r="G340" s="24">
        <v>44389</v>
      </c>
      <c r="H340" s="22" t="s">
        <v>360</v>
      </c>
      <c r="I340" s="22" t="s">
        <v>843</v>
      </c>
      <c r="J340" s="22"/>
      <c r="K340" s="22"/>
      <c r="L340" s="22"/>
      <c r="M340" s="22"/>
      <c r="N340" s="22"/>
      <c r="O340" s="22"/>
      <c r="P340" s="22"/>
      <c r="Q340" s="22"/>
      <c r="R340" s="22"/>
    </row>
    <row r="341" spans="1:18" x14ac:dyDescent="0.25">
      <c r="A341" s="22" t="s">
        <v>845</v>
      </c>
      <c r="B341" s="22" t="s">
        <v>201</v>
      </c>
      <c r="C341" s="22" t="s">
        <v>202</v>
      </c>
      <c r="D341" s="22" t="s">
        <v>844</v>
      </c>
      <c r="E341" s="22" t="s">
        <v>57</v>
      </c>
      <c r="F341" s="23">
        <v>-43700</v>
      </c>
      <c r="G341" s="24">
        <v>44490</v>
      </c>
      <c r="H341" s="22" t="s">
        <v>360</v>
      </c>
      <c r="I341" s="22" t="s">
        <v>282</v>
      </c>
      <c r="J341" s="22"/>
      <c r="K341" s="22"/>
      <c r="L341" s="22"/>
      <c r="M341" s="22"/>
      <c r="N341" s="22"/>
      <c r="O341" s="22"/>
      <c r="P341" s="22"/>
      <c r="Q341" s="22"/>
      <c r="R341" s="22"/>
    </row>
    <row r="342" spans="1:18" x14ac:dyDescent="0.25">
      <c r="A342" s="22" t="s">
        <v>847</v>
      </c>
      <c r="B342" s="22" t="s">
        <v>201</v>
      </c>
      <c r="C342" s="22" t="s">
        <v>202</v>
      </c>
      <c r="D342" s="22" t="s">
        <v>846</v>
      </c>
      <c r="E342" s="22" t="s">
        <v>57</v>
      </c>
      <c r="F342" s="23">
        <v>-32700</v>
      </c>
      <c r="G342" s="24">
        <v>44459</v>
      </c>
      <c r="H342" s="22" t="s">
        <v>848</v>
      </c>
      <c r="I342" s="22" t="s">
        <v>427</v>
      </c>
      <c r="J342" s="22"/>
      <c r="K342" s="22"/>
      <c r="L342" s="22"/>
      <c r="M342" s="22"/>
      <c r="N342" s="22"/>
      <c r="O342" s="22"/>
      <c r="P342" s="22"/>
      <c r="Q342" s="22"/>
      <c r="R342" s="22"/>
    </row>
    <row r="343" spans="1:18" x14ac:dyDescent="0.25">
      <c r="A343" s="22" t="s">
        <v>850</v>
      </c>
      <c r="B343" s="22" t="s">
        <v>201</v>
      </c>
      <c r="C343" s="22" t="s">
        <v>202</v>
      </c>
      <c r="D343" s="22" t="s">
        <v>849</v>
      </c>
      <c r="E343" s="22" t="s">
        <v>57</v>
      </c>
      <c r="F343" s="23">
        <v>-71600</v>
      </c>
      <c r="G343" s="24">
        <v>44466</v>
      </c>
      <c r="H343" s="22" t="s">
        <v>848</v>
      </c>
      <c r="I343" s="22" t="s">
        <v>637</v>
      </c>
      <c r="J343" s="22"/>
      <c r="K343" s="22"/>
      <c r="L343" s="22"/>
      <c r="M343" s="22"/>
      <c r="N343" s="22"/>
      <c r="O343" s="22"/>
      <c r="P343" s="22"/>
      <c r="Q343" s="22"/>
      <c r="R343" s="22"/>
    </row>
    <row r="344" spans="1:18" x14ac:dyDescent="0.25">
      <c r="A344" s="22" t="s">
        <v>852</v>
      </c>
      <c r="B344" s="22" t="s">
        <v>201</v>
      </c>
      <c r="C344" s="22" t="s">
        <v>202</v>
      </c>
      <c r="D344" s="22" t="s">
        <v>851</v>
      </c>
      <c r="E344" s="22" t="s">
        <v>57</v>
      </c>
      <c r="F344" s="23">
        <v>-38400</v>
      </c>
      <c r="G344" s="24">
        <v>44452</v>
      </c>
      <c r="H344" s="22" t="s">
        <v>848</v>
      </c>
      <c r="I344" s="22" t="s">
        <v>249</v>
      </c>
      <c r="J344" s="22"/>
      <c r="K344" s="22"/>
      <c r="L344" s="22"/>
      <c r="M344" s="22"/>
      <c r="N344" s="22"/>
      <c r="O344" s="22"/>
      <c r="P344" s="22"/>
      <c r="Q344" s="22"/>
      <c r="R344" s="22"/>
    </row>
    <row r="345" spans="1:18" x14ac:dyDescent="0.25">
      <c r="A345" s="22" t="s">
        <v>854</v>
      </c>
      <c r="B345" s="22" t="s">
        <v>201</v>
      </c>
      <c r="C345" s="22" t="s">
        <v>202</v>
      </c>
      <c r="D345" s="22" t="s">
        <v>853</v>
      </c>
      <c r="E345" s="22" t="s">
        <v>57</v>
      </c>
      <c r="F345" s="23">
        <v>-32700</v>
      </c>
      <c r="G345" s="24">
        <v>44455</v>
      </c>
      <c r="H345" s="22" t="s">
        <v>848</v>
      </c>
      <c r="I345" s="22" t="s">
        <v>249</v>
      </c>
      <c r="J345" s="22"/>
      <c r="K345" s="22"/>
      <c r="L345" s="22"/>
      <c r="M345" s="22"/>
      <c r="N345" s="22"/>
      <c r="O345" s="22"/>
      <c r="P345" s="22"/>
      <c r="Q345" s="22"/>
      <c r="R345" s="22"/>
    </row>
    <row r="346" spans="1:18" x14ac:dyDescent="0.25">
      <c r="A346" s="22" t="s">
        <v>856</v>
      </c>
      <c r="B346" s="22" t="s">
        <v>201</v>
      </c>
      <c r="C346" s="22" t="s">
        <v>202</v>
      </c>
      <c r="D346" s="22" t="s">
        <v>855</v>
      </c>
      <c r="E346" s="22" t="s">
        <v>45</v>
      </c>
      <c r="F346" s="23">
        <v>-397184</v>
      </c>
      <c r="G346" s="24">
        <v>44470</v>
      </c>
      <c r="H346" s="22" t="s">
        <v>848</v>
      </c>
      <c r="I346" s="22" t="s">
        <v>857</v>
      </c>
      <c r="J346" s="22"/>
      <c r="K346" s="22"/>
      <c r="L346" s="22"/>
      <c r="M346" s="22"/>
      <c r="N346" s="22"/>
      <c r="O346" s="22"/>
      <c r="P346" s="22"/>
      <c r="Q346" s="22"/>
      <c r="R346" s="22"/>
    </row>
    <row r="347" spans="1:18" x14ac:dyDescent="0.25">
      <c r="A347" s="22" t="s">
        <v>630</v>
      </c>
      <c r="B347" s="22" t="s">
        <v>201</v>
      </c>
      <c r="C347" s="22" t="s">
        <v>202</v>
      </c>
      <c r="D347" s="22" t="s">
        <v>615</v>
      </c>
      <c r="E347" s="22" t="s">
        <v>45</v>
      </c>
      <c r="F347" s="23">
        <v>-290411</v>
      </c>
      <c r="G347" s="24">
        <v>44451</v>
      </c>
      <c r="H347" s="22" t="s">
        <v>848</v>
      </c>
      <c r="I347" s="22" t="s">
        <v>858</v>
      </c>
      <c r="J347" s="22"/>
      <c r="K347" s="22"/>
      <c r="L347" s="22"/>
      <c r="M347" s="22"/>
      <c r="N347" s="22"/>
      <c r="O347" s="22"/>
      <c r="P347" s="22"/>
      <c r="Q347" s="22"/>
      <c r="R347" s="22"/>
    </row>
    <row r="348" spans="1:18" x14ac:dyDescent="0.25">
      <c r="A348" s="22" t="s">
        <v>600</v>
      </c>
      <c r="B348" s="22" t="s">
        <v>201</v>
      </c>
      <c r="C348" s="22" t="s">
        <v>202</v>
      </c>
      <c r="D348" s="22" t="s">
        <v>599</v>
      </c>
      <c r="E348" s="22" t="s">
        <v>45</v>
      </c>
      <c r="F348" s="23">
        <v>-4269990</v>
      </c>
      <c r="G348" s="24">
        <v>44449</v>
      </c>
      <c r="H348" s="22" t="s">
        <v>848</v>
      </c>
      <c r="I348" s="22" t="s">
        <v>357</v>
      </c>
      <c r="J348" s="22"/>
      <c r="K348" s="22"/>
      <c r="L348" s="22"/>
      <c r="M348" s="22"/>
      <c r="N348" s="22"/>
      <c r="O348" s="22"/>
      <c r="P348" s="22"/>
      <c r="Q348" s="22"/>
      <c r="R348" s="22"/>
    </row>
    <row r="349" spans="1:18" x14ac:dyDescent="0.25">
      <c r="A349" s="22" t="s">
        <v>63</v>
      </c>
      <c r="B349" s="22" t="s">
        <v>201</v>
      </c>
      <c r="C349" s="22" t="s">
        <v>202</v>
      </c>
      <c r="D349" s="22" t="s">
        <v>714</v>
      </c>
      <c r="E349" s="22" t="s">
        <v>45</v>
      </c>
      <c r="F349" s="23">
        <v>-4286576</v>
      </c>
      <c r="G349" s="24">
        <v>44474</v>
      </c>
      <c r="H349" s="22" t="s">
        <v>848</v>
      </c>
      <c r="I349" s="22" t="s">
        <v>859</v>
      </c>
      <c r="J349" s="22"/>
      <c r="K349" s="22"/>
      <c r="L349" s="22"/>
      <c r="M349" s="22"/>
      <c r="N349" s="22"/>
      <c r="O349" s="22"/>
      <c r="P349" s="22"/>
      <c r="Q349" s="22"/>
      <c r="R349" s="22"/>
    </row>
    <row r="350" spans="1:18" s="39" customFormat="1" x14ac:dyDescent="0.25">
      <c r="A350" s="36" t="s">
        <v>861</v>
      </c>
      <c r="B350" s="36" t="s">
        <v>201</v>
      </c>
      <c r="C350" s="36" t="s">
        <v>202</v>
      </c>
      <c r="D350" s="36" t="s">
        <v>860</v>
      </c>
      <c r="E350" s="36" t="s">
        <v>42</v>
      </c>
      <c r="F350" s="37">
        <v>1164827</v>
      </c>
      <c r="G350" s="38">
        <v>44476</v>
      </c>
      <c r="H350" s="36" t="s">
        <v>855</v>
      </c>
      <c r="I350" s="36" t="s">
        <v>577</v>
      </c>
      <c r="J350" s="36"/>
      <c r="K350" s="36"/>
      <c r="L350" s="36"/>
      <c r="M350" s="36"/>
      <c r="N350" s="36"/>
      <c r="O350" s="36"/>
      <c r="P350" s="36"/>
      <c r="Q350" s="36"/>
      <c r="R350" s="36"/>
    </row>
    <row r="351" spans="1:18" x14ac:dyDescent="0.25">
      <c r="A351" s="22" t="s">
        <v>856</v>
      </c>
      <c r="B351" s="22" t="s">
        <v>201</v>
      </c>
      <c r="C351" s="22" t="s">
        <v>202</v>
      </c>
      <c r="D351" s="22" t="s">
        <v>855</v>
      </c>
      <c r="E351" s="22" t="s">
        <v>45</v>
      </c>
      <c r="F351" s="23">
        <v>1562011</v>
      </c>
      <c r="G351" s="24">
        <v>44470</v>
      </c>
      <c r="H351" s="22" t="s">
        <v>855</v>
      </c>
      <c r="I351" s="22"/>
      <c r="J351" s="22"/>
      <c r="K351" s="22"/>
      <c r="L351" s="22"/>
      <c r="M351" s="22"/>
      <c r="N351" s="22"/>
      <c r="O351" s="22"/>
      <c r="P351" s="22"/>
      <c r="Q351" s="22"/>
      <c r="R351" s="22"/>
    </row>
    <row r="352" spans="1:18" x14ac:dyDescent="0.25">
      <c r="A352" s="22" t="s">
        <v>856</v>
      </c>
      <c r="B352" s="22" t="s">
        <v>201</v>
      </c>
      <c r="C352" s="22" t="s">
        <v>202</v>
      </c>
      <c r="D352" s="22" t="s">
        <v>855</v>
      </c>
      <c r="E352" s="22" t="s">
        <v>45</v>
      </c>
      <c r="F352" s="23">
        <v>-1164827</v>
      </c>
      <c r="G352" s="24">
        <v>44470</v>
      </c>
      <c r="H352" s="22" t="s">
        <v>855</v>
      </c>
      <c r="I352" s="22"/>
      <c r="J352" s="22"/>
      <c r="K352" s="22"/>
      <c r="L352" s="22"/>
      <c r="M352" s="22"/>
      <c r="N352" s="22"/>
      <c r="O352" s="22"/>
      <c r="P352" s="22"/>
      <c r="Q352" s="22"/>
      <c r="R352" s="22"/>
    </row>
    <row r="353" spans="1:18" x14ac:dyDescent="0.25">
      <c r="A353" s="22" t="s">
        <v>856</v>
      </c>
      <c r="B353" s="22" t="s">
        <v>201</v>
      </c>
      <c r="C353" s="22" t="s">
        <v>202</v>
      </c>
      <c r="D353" s="22" t="s">
        <v>862</v>
      </c>
      <c r="E353" s="22" t="s">
        <v>45</v>
      </c>
      <c r="F353" s="23">
        <v>-1462415</v>
      </c>
      <c r="G353" s="24">
        <v>44470</v>
      </c>
      <c r="H353" s="22" t="s">
        <v>855</v>
      </c>
      <c r="I353" s="22" t="s">
        <v>863</v>
      </c>
      <c r="J353" s="22"/>
      <c r="K353" s="22"/>
      <c r="L353" s="22"/>
      <c r="M353" s="22"/>
      <c r="N353" s="22"/>
      <c r="O353" s="22"/>
      <c r="P353" s="22"/>
      <c r="Q353" s="22"/>
      <c r="R353" s="22"/>
    </row>
    <row r="354" spans="1:18" x14ac:dyDescent="0.25">
      <c r="A354" s="22" t="s">
        <v>865</v>
      </c>
      <c r="B354" s="22" t="s">
        <v>201</v>
      </c>
      <c r="C354" s="22" t="s">
        <v>202</v>
      </c>
      <c r="D354" s="22" t="s">
        <v>864</v>
      </c>
      <c r="E354" s="22" t="s">
        <v>45</v>
      </c>
      <c r="F354" s="23">
        <v>-99596</v>
      </c>
      <c r="G354" s="24">
        <v>44449</v>
      </c>
      <c r="H354" s="22" t="s">
        <v>855</v>
      </c>
      <c r="I354" s="22" t="s">
        <v>866</v>
      </c>
      <c r="J354" s="22"/>
      <c r="K354" s="22"/>
      <c r="L354" s="22"/>
      <c r="M354" s="22"/>
      <c r="N354" s="22"/>
      <c r="O354" s="22"/>
      <c r="P354" s="22"/>
      <c r="Q354" s="22"/>
      <c r="R354" s="22"/>
    </row>
    <row r="355" spans="1:18" s="39" customFormat="1" x14ac:dyDescent="0.25">
      <c r="A355" s="36" t="s">
        <v>868</v>
      </c>
      <c r="B355" s="36" t="s">
        <v>201</v>
      </c>
      <c r="C355" s="36" t="s">
        <v>202</v>
      </c>
      <c r="D355" s="36" t="s">
        <v>867</v>
      </c>
      <c r="E355" s="36" t="s">
        <v>42</v>
      </c>
      <c r="F355" s="37">
        <v>3805296</v>
      </c>
      <c r="G355" s="38">
        <v>44476</v>
      </c>
      <c r="H355" s="36" t="s">
        <v>615</v>
      </c>
      <c r="I355" s="36" t="s">
        <v>577</v>
      </c>
      <c r="J355" s="36"/>
      <c r="K355" s="36"/>
      <c r="L355" s="36"/>
      <c r="M355" s="36"/>
      <c r="N355" s="36"/>
      <c r="O355" s="36"/>
      <c r="P355" s="36"/>
      <c r="Q355" s="36"/>
      <c r="R355" s="36"/>
    </row>
    <row r="356" spans="1:18" x14ac:dyDescent="0.25">
      <c r="A356" s="22" t="s">
        <v>870</v>
      </c>
      <c r="B356" s="22" t="s">
        <v>201</v>
      </c>
      <c r="C356" s="22" t="s">
        <v>202</v>
      </c>
      <c r="D356" s="22" t="s">
        <v>869</v>
      </c>
      <c r="E356" s="22" t="s">
        <v>45</v>
      </c>
      <c r="F356" s="23">
        <v>-12750</v>
      </c>
      <c r="G356" s="24">
        <v>44446</v>
      </c>
      <c r="H356" s="22" t="s">
        <v>615</v>
      </c>
      <c r="I356" s="22" t="s">
        <v>871</v>
      </c>
      <c r="J356" s="22"/>
      <c r="K356" s="22"/>
      <c r="L356" s="22"/>
      <c r="M356" s="22"/>
      <c r="N356" s="22"/>
      <c r="O356" s="22"/>
      <c r="P356" s="22"/>
      <c r="Q356" s="22"/>
      <c r="R356" s="22"/>
    </row>
    <row r="357" spans="1:18" x14ac:dyDescent="0.25">
      <c r="A357" s="22" t="s">
        <v>873</v>
      </c>
      <c r="B357" s="22" t="s">
        <v>201</v>
      </c>
      <c r="C357" s="22" t="s">
        <v>202</v>
      </c>
      <c r="D357" s="22" t="s">
        <v>872</v>
      </c>
      <c r="E357" s="22" t="s">
        <v>45</v>
      </c>
      <c r="F357" s="23">
        <v>-13800</v>
      </c>
      <c r="G357" s="24">
        <v>44427</v>
      </c>
      <c r="H357" s="22" t="s">
        <v>615</v>
      </c>
      <c r="I357" s="22" t="s">
        <v>874</v>
      </c>
      <c r="J357" s="22"/>
      <c r="K357" s="22"/>
      <c r="L357" s="22"/>
      <c r="M357" s="22"/>
      <c r="N357" s="22"/>
      <c r="O357" s="22"/>
      <c r="P357" s="22"/>
      <c r="Q357" s="22"/>
      <c r="R357" s="22"/>
    </row>
    <row r="358" spans="1:18" x14ac:dyDescent="0.25">
      <c r="A358" s="22" t="s">
        <v>876</v>
      </c>
      <c r="B358" s="22" t="s">
        <v>201</v>
      </c>
      <c r="C358" s="22" t="s">
        <v>202</v>
      </c>
      <c r="D358" s="22" t="s">
        <v>875</v>
      </c>
      <c r="E358" s="22" t="s">
        <v>45</v>
      </c>
      <c r="F358" s="23">
        <v>-14800</v>
      </c>
      <c r="G358" s="24">
        <v>44426</v>
      </c>
      <c r="H358" s="22" t="s">
        <v>615</v>
      </c>
      <c r="I358" s="22" t="s">
        <v>596</v>
      </c>
      <c r="J358" s="22"/>
      <c r="K358" s="22"/>
      <c r="L358" s="22"/>
      <c r="M358" s="22"/>
      <c r="N358" s="22"/>
      <c r="O358" s="22"/>
      <c r="P358" s="22"/>
      <c r="Q358" s="22"/>
      <c r="R358" s="22"/>
    </row>
    <row r="359" spans="1:18" x14ac:dyDescent="0.25">
      <c r="A359" s="22" t="s">
        <v>878</v>
      </c>
      <c r="B359" s="22" t="s">
        <v>201</v>
      </c>
      <c r="C359" s="22" t="s">
        <v>202</v>
      </c>
      <c r="D359" s="22" t="s">
        <v>877</v>
      </c>
      <c r="E359" s="22" t="s">
        <v>45</v>
      </c>
      <c r="F359" s="23">
        <v>-21700</v>
      </c>
      <c r="G359" s="24">
        <v>44410</v>
      </c>
      <c r="H359" s="22" t="s">
        <v>615</v>
      </c>
      <c r="I359" s="22" t="s">
        <v>879</v>
      </c>
      <c r="J359" s="22"/>
      <c r="K359" s="22"/>
      <c r="L359" s="22"/>
      <c r="M359" s="22"/>
      <c r="N359" s="22"/>
      <c r="O359" s="22"/>
      <c r="P359" s="22"/>
      <c r="Q359" s="22"/>
      <c r="R359" s="22"/>
    </row>
    <row r="360" spans="1:18" x14ac:dyDescent="0.25">
      <c r="A360" s="22" t="s">
        <v>881</v>
      </c>
      <c r="B360" s="22" t="s">
        <v>201</v>
      </c>
      <c r="C360" s="22" t="s">
        <v>202</v>
      </c>
      <c r="D360" s="22" t="s">
        <v>880</v>
      </c>
      <c r="E360" s="22" t="s">
        <v>57</v>
      </c>
      <c r="F360" s="23">
        <v>-47200</v>
      </c>
      <c r="G360" s="24">
        <v>44433</v>
      </c>
      <c r="H360" s="22" t="s">
        <v>615</v>
      </c>
      <c r="I360" s="22" t="s">
        <v>637</v>
      </c>
      <c r="J360" s="22"/>
      <c r="K360" s="22"/>
      <c r="L360" s="22"/>
      <c r="M360" s="22"/>
      <c r="N360" s="22"/>
      <c r="O360" s="22"/>
      <c r="P360" s="22"/>
      <c r="Q360" s="22"/>
      <c r="R360" s="22"/>
    </row>
    <row r="361" spans="1:18" x14ac:dyDescent="0.25">
      <c r="A361" s="22" t="s">
        <v>883</v>
      </c>
      <c r="B361" s="22" t="s">
        <v>201</v>
      </c>
      <c r="C361" s="22" t="s">
        <v>202</v>
      </c>
      <c r="D361" s="22" t="s">
        <v>882</v>
      </c>
      <c r="E361" s="22" t="s">
        <v>57</v>
      </c>
      <c r="F361" s="23">
        <v>-23700</v>
      </c>
      <c r="G361" s="24">
        <v>44427</v>
      </c>
      <c r="H361" s="22" t="s">
        <v>615</v>
      </c>
      <c r="I361" s="22" t="s">
        <v>637</v>
      </c>
      <c r="J361" s="22"/>
      <c r="K361" s="22"/>
      <c r="L361" s="22"/>
      <c r="M361" s="22"/>
      <c r="N361" s="22"/>
      <c r="O361" s="22"/>
      <c r="P361" s="22"/>
      <c r="Q361" s="22"/>
      <c r="R361" s="22"/>
    </row>
    <row r="362" spans="1:18" x14ac:dyDescent="0.25">
      <c r="A362" s="22" t="s">
        <v>885</v>
      </c>
      <c r="B362" s="22" t="s">
        <v>201</v>
      </c>
      <c r="C362" s="22" t="s">
        <v>202</v>
      </c>
      <c r="D362" s="22" t="s">
        <v>884</v>
      </c>
      <c r="E362" s="22" t="s">
        <v>57</v>
      </c>
      <c r="F362" s="23">
        <v>-47200</v>
      </c>
      <c r="G362" s="24">
        <v>44417</v>
      </c>
      <c r="H362" s="22" t="s">
        <v>615</v>
      </c>
      <c r="I362" s="22" t="s">
        <v>637</v>
      </c>
      <c r="J362" s="22"/>
      <c r="K362" s="22"/>
      <c r="L362" s="22"/>
      <c r="M362" s="22"/>
      <c r="N362" s="22"/>
      <c r="O362" s="22"/>
      <c r="P362" s="22"/>
      <c r="Q362" s="22"/>
      <c r="R362" s="22"/>
    </row>
    <row r="363" spans="1:18" x14ac:dyDescent="0.25">
      <c r="A363" s="22" t="s">
        <v>887</v>
      </c>
      <c r="B363" s="22" t="s">
        <v>201</v>
      </c>
      <c r="C363" s="22" t="s">
        <v>202</v>
      </c>
      <c r="D363" s="22" t="s">
        <v>886</v>
      </c>
      <c r="E363" s="22" t="s">
        <v>57</v>
      </c>
      <c r="F363" s="23">
        <v>-47200</v>
      </c>
      <c r="G363" s="24">
        <v>44412</v>
      </c>
      <c r="H363" s="22" t="s">
        <v>615</v>
      </c>
      <c r="I363" s="22" t="s">
        <v>637</v>
      </c>
      <c r="J363" s="22"/>
      <c r="K363" s="22"/>
      <c r="L363" s="22"/>
      <c r="M363" s="22"/>
      <c r="N363" s="22"/>
      <c r="O363" s="22"/>
      <c r="P363" s="22"/>
      <c r="Q363" s="22"/>
      <c r="R363" s="22"/>
    </row>
    <row r="364" spans="1:18" x14ac:dyDescent="0.25">
      <c r="A364" s="22" t="s">
        <v>889</v>
      </c>
      <c r="B364" s="22" t="s">
        <v>201</v>
      </c>
      <c r="C364" s="22" t="s">
        <v>202</v>
      </c>
      <c r="D364" s="22" t="s">
        <v>888</v>
      </c>
      <c r="E364" s="22" t="s">
        <v>57</v>
      </c>
      <c r="F364" s="23">
        <v>-87500</v>
      </c>
      <c r="G364" s="24">
        <v>44412</v>
      </c>
      <c r="H364" s="22" t="s">
        <v>615</v>
      </c>
      <c r="I364" s="22" t="s">
        <v>890</v>
      </c>
      <c r="J364" s="22"/>
      <c r="K364" s="22"/>
      <c r="L364" s="22"/>
      <c r="M364" s="22"/>
      <c r="N364" s="22"/>
      <c r="O364" s="22"/>
      <c r="P364" s="22"/>
      <c r="Q364" s="22"/>
      <c r="R364" s="22"/>
    </row>
    <row r="365" spans="1:18" x14ac:dyDescent="0.25">
      <c r="A365" s="22" t="s">
        <v>892</v>
      </c>
      <c r="B365" s="22" t="s">
        <v>201</v>
      </c>
      <c r="C365" s="22" t="s">
        <v>202</v>
      </c>
      <c r="D365" s="22" t="s">
        <v>891</v>
      </c>
      <c r="E365" s="22" t="s">
        <v>57</v>
      </c>
      <c r="F365" s="23">
        <v>-165100</v>
      </c>
      <c r="G365" s="24">
        <v>44398</v>
      </c>
      <c r="H365" s="22" t="s">
        <v>615</v>
      </c>
      <c r="I365" s="22" t="s">
        <v>637</v>
      </c>
      <c r="J365" s="22"/>
      <c r="K365" s="22"/>
      <c r="L365" s="22"/>
      <c r="M365" s="22"/>
      <c r="N365" s="22"/>
      <c r="O365" s="22"/>
      <c r="P365" s="22"/>
      <c r="Q365" s="22"/>
      <c r="R365" s="22"/>
    </row>
    <row r="366" spans="1:18" x14ac:dyDescent="0.25">
      <c r="A366" s="22" t="s">
        <v>894</v>
      </c>
      <c r="B366" s="22" t="s">
        <v>201</v>
      </c>
      <c r="C366" s="22" t="s">
        <v>202</v>
      </c>
      <c r="D366" s="22" t="s">
        <v>893</v>
      </c>
      <c r="E366" s="22" t="s">
        <v>57</v>
      </c>
      <c r="F366" s="23">
        <v>-29200</v>
      </c>
      <c r="G366" s="24">
        <v>44489</v>
      </c>
      <c r="H366" s="22" t="s">
        <v>360</v>
      </c>
      <c r="I366" s="22" t="s">
        <v>491</v>
      </c>
      <c r="J366" s="22"/>
      <c r="K366" s="22"/>
      <c r="L366" s="22"/>
      <c r="M366" s="22"/>
      <c r="N366" s="22"/>
      <c r="O366" s="22"/>
      <c r="P366" s="22"/>
      <c r="Q366" s="22"/>
      <c r="R366" s="22"/>
    </row>
    <row r="367" spans="1:18" x14ac:dyDescent="0.25">
      <c r="A367" s="22" t="s">
        <v>896</v>
      </c>
      <c r="B367" s="22" t="s">
        <v>201</v>
      </c>
      <c r="C367" s="22" t="s">
        <v>202</v>
      </c>
      <c r="D367" s="22" t="s">
        <v>895</v>
      </c>
      <c r="E367" s="22" t="s">
        <v>57</v>
      </c>
      <c r="F367" s="23">
        <v>-36800</v>
      </c>
      <c r="G367" s="24">
        <v>44488</v>
      </c>
      <c r="H367" s="22" t="s">
        <v>360</v>
      </c>
      <c r="I367" s="22" t="s">
        <v>897</v>
      </c>
      <c r="J367" s="22"/>
      <c r="K367" s="22"/>
      <c r="L367" s="22"/>
      <c r="M367" s="22"/>
      <c r="N367" s="22"/>
      <c r="O367" s="22"/>
      <c r="P367" s="22"/>
      <c r="Q367" s="22"/>
      <c r="R367" s="22"/>
    </row>
    <row r="368" spans="1:18" x14ac:dyDescent="0.25">
      <c r="A368" s="22" t="s">
        <v>899</v>
      </c>
      <c r="B368" s="22" t="s">
        <v>201</v>
      </c>
      <c r="C368" s="22" t="s">
        <v>202</v>
      </c>
      <c r="D368" s="22" t="s">
        <v>898</v>
      </c>
      <c r="E368" s="22" t="s">
        <v>57</v>
      </c>
      <c r="F368" s="23">
        <v>-151600</v>
      </c>
      <c r="G368" s="24">
        <v>44488</v>
      </c>
      <c r="H368" s="22" t="s">
        <v>360</v>
      </c>
      <c r="I368" s="22" t="s">
        <v>280</v>
      </c>
      <c r="J368" s="22"/>
      <c r="K368" s="22"/>
      <c r="L368" s="22"/>
      <c r="M368" s="22"/>
      <c r="N368" s="22"/>
      <c r="O368" s="22"/>
      <c r="P368" s="22"/>
      <c r="Q368" s="22"/>
      <c r="R368" s="22"/>
    </row>
    <row r="369" spans="1:18" x14ac:dyDescent="0.25">
      <c r="A369" s="22" t="s">
        <v>901</v>
      </c>
      <c r="B369" s="22" t="s">
        <v>201</v>
      </c>
      <c r="C369" s="22" t="s">
        <v>202</v>
      </c>
      <c r="D369" s="22" t="s">
        <v>900</v>
      </c>
      <c r="E369" s="22" t="s">
        <v>57</v>
      </c>
      <c r="F369" s="23">
        <v>-43700</v>
      </c>
      <c r="G369" s="24">
        <v>44488</v>
      </c>
      <c r="H369" s="22" t="s">
        <v>360</v>
      </c>
      <c r="I369" s="22" t="s">
        <v>550</v>
      </c>
      <c r="J369" s="22"/>
      <c r="K369" s="22"/>
      <c r="L369" s="22"/>
      <c r="M369" s="22"/>
      <c r="N369" s="22"/>
      <c r="O369" s="22"/>
      <c r="P369" s="22"/>
      <c r="Q369" s="22"/>
      <c r="R369" s="22"/>
    </row>
    <row r="370" spans="1:18" x14ac:dyDescent="0.25">
      <c r="A370" s="22" t="s">
        <v>903</v>
      </c>
      <c r="B370" s="22" t="s">
        <v>201</v>
      </c>
      <c r="C370" s="22" t="s">
        <v>202</v>
      </c>
      <c r="D370" s="22" t="s">
        <v>902</v>
      </c>
      <c r="E370" s="22" t="s">
        <v>57</v>
      </c>
      <c r="F370" s="23">
        <v>-41800</v>
      </c>
      <c r="G370" s="24">
        <v>44484</v>
      </c>
      <c r="H370" s="22" t="s">
        <v>360</v>
      </c>
      <c r="I370" s="22" t="s">
        <v>282</v>
      </c>
      <c r="J370" s="22"/>
      <c r="K370" s="22"/>
      <c r="L370" s="22"/>
      <c r="M370" s="22"/>
      <c r="N370" s="22"/>
      <c r="O370" s="22"/>
      <c r="P370" s="22"/>
      <c r="Q370" s="22"/>
      <c r="R370" s="22"/>
    </row>
    <row r="371" spans="1:18" x14ac:dyDescent="0.25">
      <c r="A371" s="22" t="s">
        <v>905</v>
      </c>
      <c r="B371" s="22" t="s">
        <v>201</v>
      </c>
      <c r="C371" s="22" t="s">
        <v>202</v>
      </c>
      <c r="D371" s="22" t="s">
        <v>904</v>
      </c>
      <c r="E371" s="22" t="s">
        <v>57</v>
      </c>
      <c r="F371" s="23">
        <v>-24600</v>
      </c>
      <c r="G371" s="24">
        <v>44484</v>
      </c>
      <c r="H371" s="22" t="s">
        <v>360</v>
      </c>
      <c r="I371" s="22" t="s">
        <v>280</v>
      </c>
      <c r="J371" s="22"/>
      <c r="K371" s="22"/>
      <c r="L371" s="22"/>
      <c r="M371" s="22"/>
      <c r="N371" s="22"/>
      <c r="O371" s="22"/>
      <c r="P371" s="22"/>
      <c r="Q371" s="22"/>
      <c r="R371" s="22"/>
    </row>
    <row r="372" spans="1:18" x14ac:dyDescent="0.25">
      <c r="A372" s="22" t="s">
        <v>907</v>
      </c>
      <c r="B372" s="22" t="s">
        <v>201</v>
      </c>
      <c r="C372" s="22" t="s">
        <v>202</v>
      </c>
      <c r="D372" s="22" t="s">
        <v>906</v>
      </c>
      <c r="E372" s="22" t="s">
        <v>57</v>
      </c>
      <c r="F372" s="23">
        <v>-28100</v>
      </c>
      <c r="G372" s="24">
        <v>44483</v>
      </c>
      <c r="H372" s="22" t="s">
        <v>360</v>
      </c>
      <c r="I372" s="22" t="s">
        <v>280</v>
      </c>
      <c r="J372" s="22"/>
      <c r="K372" s="22"/>
      <c r="L372" s="22"/>
      <c r="M372" s="22"/>
      <c r="N372" s="22"/>
      <c r="O372" s="22"/>
      <c r="P372" s="22"/>
      <c r="Q372" s="22"/>
      <c r="R372" s="22"/>
    </row>
    <row r="373" spans="1:18" x14ac:dyDescent="0.25">
      <c r="A373" s="22" t="s">
        <v>909</v>
      </c>
      <c r="B373" s="22" t="s">
        <v>201</v>
      </c>
      <c r="C373" s="22" t="s">
        <v>202</v>
      </c>
      <c r="D373" s="22" t="s">
        <v>908</v>
      </c>
      <c r="E373" s="22" t="s">
        <v>57</v>
      </c>
      <c r="F373" s="23">
        <v>-43700</v>
      </c>
      <c r="G373" s="24">
        <v>44483</v>
      </c>
      <c r="H373" s="22" t="s">
        <v>360</v>
      </c>
      <c r="I373" s="22" t="s">
        <v>280</v>
      </c>
      <c r="J373" s="22"/>
      <c r="K373" s="22"/>
      <c r="L373" s="22"/>
      <c r="M373" s="22"/>
      <c r="N373" s="22"/>
      <c r="O373" s="22"/>
      <c r="P373" s="22"/>
      <c r="Q373" s="22"/>
      <c r="R373" s="22"/>
    </row>
    <row r="374" spans="1:18" x14ac:dyDescent="0.25">
      <c r="A374" s="22" t="s">
        <v>911</v>
      </c>
      <c r="B374" s="22" t="s">
        <v>201</v>
      </c>
      <c r="C374" s="22" t="s">
        <v>202</v>
      </c>
      <c r="D374" s="22" t="s">
        <v>910</v>
      </c>
      <c r="E374" s="22" t="s">
        <v>57</v>
      </c>
      <c r="F374" s="23">
        <v>-43700</v>
      </c>
      <c r="G374" s="24">
        <v>44483</v>
      </c>
      <c r="H374" s="22" t="s">
        <v>360</v>
      </c>
      <c r="I374" s="22" t="s">
        <v>912</v>
      </c>
      <c r="J374" s="22"/>
      <c r="K374" s="22"/>
      <c r="L374" s="22"/>
      <c r="M374" s="22"/>
      <c r="N374" s="22"/>
      <c r="O374" s="22"/>
      <c r="P374" s="22"/>
      <c r="Q374" s="22"/>
      <c r="R374" s="22"/>
    </row>
    <row r="375" spans="1:18" x14ac:dyDescent="0.25">
      <c r="A375" s="22" t="s">
        <v>914</v>
      </c>
      <c r="B375" s="22" t="s">
        <v>201</v>
      </c>
      <c r="C375" s="22" t="s">
        <v>202</v>
      </c>
      <c r="D375" s="22" t="s">
        <v>913</v>
      </c>
      <c r="E375" s="22" t="s">
        <v>57</v>
      </c>
      <c r="F375" s="23">
        <v>-29200</v>
      </c>
      <c r="G375" s="24">
        <v>44481</v>
      </c>
      <c r="H375" s="22" t="s">
        <v>360</v>
      </c>
      <c r="I375" s="22" t="s">
        <v>912</v>
      </c>
      <c r="J375" s="22"/>
      <c r="K375" s="22"/>
      <c r="L375" s="22"/>
      <c r="M375" s="22"/>
      <c r="N375" s="22"/>
      <c r="O375" s="22"/>
      <c r="P375" s="22"/>
      <c r="Q375" s="22"/>
      <c r="R375" s="22"/>
    </row>
    <row r="376" spans="1:18" x14ac:dyDescent="0.25">
      <c r="A376" s="22" t="s">
        <v>916</v>
      </c>
      <c r="B376" s="22" t="s">
        <v>201</v>
      </c>
      <c r="C376" s="22" t="s">
        <v>202</v>
      </c>
      <c r="D376" s="22" t="s">
        <v>915</v>
      </c>
      <c r="E376" s="22" t="s">
        <v>57</v>
      </c>
      <c r="F376" s="23">
        <v>-29200</v>
      </c>
      <c r="G376" s="24">
        <v>44476</v>
      </c>
      <c r="H376" s="22" t="s">
        <v>360</v>
      </c>
      <c r="I376" s="22" t="s">
        <v>483</v>
      </c>
      <c r="J376" s="22"/>
      <c r="K376" s="22"/>
      <c r="L376" s="22"/>
      <c r="M376" s="22"/>
      <c r="N376" s="22"/>
      <c r="O376" s="22"/>
      <c r="P376" s="22"/>
      <c r="Q376" s="22"/>
      <c r="R376" s="22"/>
    </row>
    <row r="377" spans="1:18" x14ac:dyDescent="0.25">
      <c r="A377" s="22" t="s">
        <v>918</v>
      </c>
      <c r="B377" s="22" t="s">
        <v>201</v>
      </c>
      <c r="C377" s="22" t="s">
        <v>202</v>
      </c>
      <c r="D377" s="22" t="s">
        <v>917</v>
      </c>
      <c r="E377" s="22" t="s">
        <v>57</v>
      </c>
      <c r="F377" s="23">
        <v>-43700</v>
      </c>
      <c r="G377" s="24">
        <v>44475</v>
      </c>
      <c r="H377" s="22" t="s">
        <v>360</v>
      </c>
      <c r="I377" s="22" t="s">
        <v>919</v>
      </c>
      <c r="J377" s="22"/>
      <c r="K377" s="22"/>
      <c r="L377" s="22"/>
      <c r="M377" s="22"/>
      <c r="N377" s="22"/>
      <c r="O377" s="22"/>
      <c r="P377" s="22"/>
      <c r="Q377" s="22"/>
      <c r="R377" s="22"/>
    </row>
    <row r="378" spans="1:18" x14ac:dyDescent="0.25">
      <c r="A378" s="22" t="s">
        <v>921</v>
      </c>
      <c r="B378" s="22" t="s">
        <v>201</v>
      </c>
      <c r="C378" s="22" t="s">
        <v>202</v>
      </c>
      <c r="D378" s="22" t="s">
        <v>920</v>
      </c>
      <c r="E378" s="22" t="s">
        <v>57</v>
      </c>
      <c r="F378" s="23">
        <v>-33600</v>
      </c>
      <c r="G378" s="24">
        <v>44475</v>
      </c>
      <c r="H378" s="22" t="s">
        <v>360</v>
      </c>
      <c r="I378" s="22" t="s">
        <v>667</v>
      </c>
      <c r="J378" s="22"/>
      <c r="K378" s="22"/>
      <c r="L378" s="22"/>
      <c r="M378" s="22"/>
      <c r="N378" s="22"/>
      <c r="O378" s="22"/>
      <c r="P378" s="22"/>
      <c r="Q378" s="22"/>
      <c r="R378" s="22"/>
    </row>
    <row r="379" spans="1:18" x14ac:dyDescent="0.25">
      <c r="A379" s="22" t="s">
        <v>923</v>
      </c>
      <c r="B379" s="22" t="s">
        <v>201</v>
      </c>
      <c r="C379" s="22" t="s">
        <v>202</v>
      </c>
      <c r="D379" s="22" t="s">
        <v>922</v>
      </c>
      <c r="E379" s="22" t="s">
        <v>57</v>
      </c>
      <c r="F379" s="23">
        <v>-33600</v>
      </c>
      <c r="G379" s="24">
        <v>44474</v>
      </c>
      <c r="H379" s="22" t="s">
        <v>360</v>
      </c>
      <c r="I379" s="22" t="s">
        <v>550</v>
      </c>
      <c r="J379" s="22"/>
      <c r="K379" s="22"/>
      <c r="L379" s="22"/>
      <c r="M379" s="22"/>
      <c r="N379" s="22"/>
      <c r="O379" s="22"/>
      <c r="P379" s="22"/>
      <c r="Q379" s="22"/>
      <c r="R379" s="22"/>
    </row>
    <row r="380" spans="1:18" x14ac:dyDescent="0.25">
      <c r="A380" s="22" t="s">
        <v>925</v>
      </c>
      <c r="B380" s="22" t="s">
        <v>201</v>
      </c>
      <c r="C380" s="22" t="s">
        <v>202</v>
      </c>
      <c r="D380" s="22" t="s">
        <v>924</v>
      </c>
      <c r="E380" s="22" t="s">
        <v>57</v>
      </c>
      <c r="F380" s="23">
        <v>-29200</v>
      </c>
      <c r="G380" s="24">
        <v>44473</v>
      </c>
      <c r="H380" s="22" t="s">
        <v>360</v>
      </c>
      <c r="I380" s="22" t="s">
        <v>550</v>
      </c>
      <c r="J380" s="22"/>
      <c r="K380" s="22"/>
      <c r="L380" s="22"/>
      <c r="M380" s="22"/>
      <c r="N380" s="22"/>
      <c r="O380" s="22"/>
      <c r="P380" s="22"/>
      <c r="Q380" s="22"/>
      <c r="R380" s="22"/>
    </row>
    <row r="381" spans="1:18" x14ac:dyDescent="0.25">
      <c r="A381" s="22" t="s">
        <v>927</v>
      </c>
      <c r="B381" s="22" t="s">
        <v>201</v>
      </c>
      <c r="C381" s="22" t="s">
        <v>202</v>
      </c>
      <c r="D381" s="22" t="s">
        <v>926</v>
      </c>
      <c r="E381" s="22" t="s">
        <v>57</v>
      </c>
      <c r="F381" s="23">
        <v>-459100</v>
      </c>
      <c r="G381" s="24">
        <v>44473</v>
      </c>
      <c r="H381" s="22" t="s">
        <v>360</v>
      </c>
      <c r="I381" s="22" t="s">
        <v>280</v>
      </c>
      <c r="J381" s="22"/>
      <c r="K381" s="22"/>
      <c r="L381" s="22"/>
      <c r="M381" s="22"/>
      <c r="N381" s="22"/>
      <c r="O381" s="22"/>
      <c r="P381" s="22"/>
      <c r="Q381" s="22"/>
      <c r="R381" s="22"/>
    </row>
    <row r="382" spans="1:18" s="39" customFormat="1" x14ac:dyDescent="0.25">
      <c r="A382" s="36" t="s">
        <v>929</v>
      </c>
      <c r="B382" s="36" t="s">
        <v>201</v>
      </c>
      <c r="C382" s="36" t="s">
        <v>202</v>
      </c>
      <c r="D382" s="36" t="s">
        <v>928</v>
      </c>
      <c r="E382" s="36" t="s">
        <v>42</v>
      </c>
      <c r="F382" s="37">
        <v>30151571</v>
      </c>
      <c r="G382" s="38">
        <v>44446</v>
      </c>
      <c r="H382" s="36" t="s">
        <v>848</v>
      </c>
      <c r="I382" s="36" t="s">
        <v>605</v>
      </c>
      <c r="J382" s="36"/>
      <c r="K382" s="36"/>
      <c r="L382" s="36"/>
      <c r="M382" s="36"/>
      <c r="N382" s="36"/>
      <c r="O382" s="36"/>
      <c r="P382" s="36"/>
      <c r="Q382" s="36"/>
      <c r="R382" s="36"/>
    </row>
    <row r="383" spans="1:18" x14ac:dyDescent="0.25">
      <c r="A383" s="22" t="s">
        <v>929</v>
      </c>
      <c r="B383" s="22" t="s">
        <v>201</v>
      </c>
      <c r="C383" s="22" t="s">
        <v>202</v>
      </c>
      <c r="D383" s="22" t="s">
        <v>848</v>
      </c>
      <c r="E383" s="22" t="s">
        <v>45</v>
      </c>
      <c r="F383" s="23">
        <v>9751561</v>
      </c>
      <c r="G383" s="24">
        <v>44446</v>
      </c>
      <c r="H383" s="22" t="s">
        <v>848</v>
      </c>
      <c r="I383" s="22"/>
      <c r="J383" s="22"/>
      <c r="K383" s="22"/>
      <c r="L383" s="22"/>
      <c r="M383" s="22"/>
      <c r="N383" s="22"/>
      <c r="O383" s="22"/>
      <c r="P383" s="22"/>
      <c r="Q383" s="22"/>
      <c r="R383" s="22"/>
    </row>
    <row r="384" spans="1:18" x14ac:dyDescent="0.25">
      <c r="A384" s="22" t="s">
        <v>929</v>
      </c>
      <c r="B384" s="22" t="s">
        <v>201</v>
      </c>
      <c r="C384" s="22" t="s">
        <v>202</v>
      </c>
      <c r="D384" s="22" t="s">
        <v>848</v>
      </c>
      <c r="E384" s="22" t="s">
        <v>45</v>
      </c>
      <c r="F384" s="23">
        <v>-30151571</v>
      </c>
      <c r="G384" s="24">
        <v>44446</v>
      </c>
      <c r="H384" s="22" t="s">
        <v>848</v>
      </c>
      <c r="I384" s="22"/>
      <c r="J384" s="22"/>
      <c r="K384" s="22"/>
      <c r="L384" s="22"/>
      <c r="M384" s="22"/>
      <c r="N384" s="22"/>
      <c r="O384" s="22"/>
      <c r="P384" s="22"/>
      <c r="Q384" s="22"/>
      <c r="R384" s="22"/>
    </row>
    <row r="385" spans="1:18" x14ac:dyDescent="0.25">
      <c r="A385" s="22" t="s">
        <v>931</v>
      </c>
      <c r="B385" s="22" t="s">
        <v>201</v>
      </c>
      <c r="C385" s="22" t="s">
        <v>202</v>
      </c>
      <c r="D385" s="22" t="s">
        <v>930</v>
      </c>
      <c r="E385" s="22" t="s">
        <v>57</v>
      </c>
      <c r="F385" s="23">
        <v>-198200</v>
      </c>
      <c r="G385" s="24">
        <v>44468</v>
      </c>
      <c r="H385" s="22" t="s">
        <v>848</v>
      </c>
      <c r="I385" s="22" t="s">
        <v>427</v>
      </c>
      <c r="J385" s="22"/>
      <c r="K385" s="22"/>
      <c r="L385" s="22"/>
      <c r="M385" s="22"/>
      <c r="N385" s="22"/>
      <c r="O385" s="22"/>
      <c r="P385" s="22"/>
      <c r="Q385" s="22"/>
      <c r="R385" s="22"/>
    </row>
    <row r="386" spans="1:18" x14ac:dyDescent="0.25">
      <c r="A386" s="22" t="s">
        <v>933</v>
      </c>
      <c r="B386" s="22" t="s">
        <v>201</v>
      </c>
      <c r="C386" s="22" t="s">
        <v>202</v>
      </c>
      <c r="D386" s="22" t="s">
        <v>932</v>
      </c>
      <c r="E386" s="22" t="s">
        <v>57</v>
      </c>
      <c r="F386" s="23">
        <v>-47200</v>
      </c>
      <c r="G386" s="24">
        <v>44469</v>
      </c>
      <c r="H386" s="22" t="s">
        <v>848</v>
      </c>
      <c r="I386" s="22" t="s">
        <v>637</v>
      </c>
      <c r="J386" s="22"/>
      <c r="K386" s="22"/>
      <c r="L386" s="22"/>
      <c r="M386" s="22"/>
      <c r="N386" s="22"/>
      <c r="O386" s="22"/>
      <c r="P386" s="22"/>
      <c r="Q386" s="22"/>
      <c r="R386" s="22"/>
    </row>
    <row r="387" spans="1:18" x14ac:dyDescent="0.25">
      <c r="A387" s="22" t="s">
        <v>935</v>
      </c>
      <c r="B387" s="22" t="s">
        <v>201</v>
      </c>
      <c r="C387" s="22" t="s">
        <v>202</v>
      </c>
      <c r="D387" s="22" t="s">
        <v>934</v>
      </c>
      <c r="E387" s="22" t="s">
        <v>57</v>
      </c>
      <c r="F387" s="23">
        <v>-31600</v>
      </c>
      <c r="G387" s="24">
        <v>44469</v>
      </c>
      <c r="H387" s="22" t="s">
        <v>848</v>
      </c>
      <c r="I387" s="22" t="s">
        <v>637</v>
      </c>
      <c r="J387" s="22"/>
      <c r="K387" s="22"/>
      <c r="L387" s="22"/>
      <c r="M387" s="22"/>
      <c r="N387" s="22"/>
      <c r="O387" s="22"/>
      <c r="P387" s="22"/>
      <c r="Q387" s="22"/>
      <c r="R387" s="22"/>
    </row>
    <row r="388" spans="1:18" x14ac:dyDescent="0.25">
      <c r="A388" s="22" t="s">
        <v>937</v>
      </c>
      <c r="B388" s="22" t="s">
        <v>201</v>
      </c>
      <c r="C388" s="22" t="s">
        <v>202</v>
      </c>
      <c r="D388" s="22" t="s">
        <v>936</v>
      </c>
      <c r="E388" s="22" t="s">
        <v>57</v>
      </c>
      <c r="F388" s="23">
        <v>-32700</v>
      </c>
      <c r="G388" s="24">
        <v>44461</v>
      </c>
      <c r="H388" s="22" t="s">
        <v>848</v>
      </c>
      <c r="I388" s="22" t="s">
        <v>938</v>
      </c>
      <c r="J388" s="22"/>
      <c r="K388" s="22"/>
      <c r="L388" s="22"/>
      <c r="M388" s="22"/>
      <c r="N388" s="22"/>
      <c r="O388" s="22"/>
      <c r="P388" s="22"/>
      <c r="Q388" s="22"/>
      <c r="R388" s="22"/>
    </row>
    <row r="389" spans="1:18" x14ac:dyDescent="0.25">
      <c r="A389" s="22" t="s">
        <v>940</v>
      </c>
      <c r="B389" s="22" t="s">
        <v>201</v>
      </c>
      <c r="C389" s="22" t="s">
        <v>202</v>
      </c>
      <c r="D389" s="22" t="s">
        <v>939</v>
      </c>
      <c r="E389" s="22" t="s">
        <v>57</v>
      </c>
      <c r="F389" s="23">
        <v>-22300</v>
      </c>
      <c r="G389" s="24">
        <v>44466</v>
      </c>
      <c r="H389" s="22" t="s">
        <v>848</v>
      </c>
      <c r="I389" s="22" t="s">
        <v>941</v>
      </c>
      <c r="J389" s="22"/>
      <c r="K389" s="22"/>
      <c r="L389" s="22"/>
      <c r="M389" s="22"/>
      <c r="N389" s="22"/>
      <c r="O389" s="22"/>
      <c r="P389" s="22"/>
      <c r="Q389" s="22"/>
      <c r="R389" s="22"/>
    </row>
    <row r="390" spans="1:18" x14ac:dyDescent="0.25">
      <c r="A390" s="22" t="s">
        <v>114</v>
      </c>
      <c r="B390" s="22" t="s">
        <v>201</v>
      </c>
      <c r="C390" s="22" t="s">
        <v>202</v>
      </c>
      <c r="D390" s="22" t="s">
        <v>942</v>
      </c>
      <c r="E390" s="22" t="s">
        <v>45</v>
      </c>
      <c r="F390" s="23">
        <v>-3000000</v>
      </c>
      <c r="G390" s="24">
        <v>44621</v>
      </c>
      <c r="H390" s="22" t="s">
        <v>942</v>
      </c>
      <c r="I390" s="22"/>
      <c r="J390" s="22"/>
      <c r="K390" s="22"/>
      <c r="L390" s="22"/>
      <c r="M390" s="22"/>
      <c r="N390" s="22"/>
      <c r="O390" s="22"/>
      <c r="P390" s="22"/>
      <c r="Q390" s="22"/>
      <c r="R390" s="22"/>
    </row>
    <row r="391" spans="1:18" x14ac:dyDescent="0.25">
      <c r="A391" s="22" t="s">
        <v>114</v>
      </c>
      <c r="B391" s="22" t="s">
        <v>201</v>
      </c>
      <c r="C391" s="22" t="s">
        <v>202</v>
      </c>
      <c r="D391" s="22" t="s">
        <v>942</v>
      </c>
      <c r="E391" s="22" t="s">
        <v>45</v>
      </c>
      <c r="F391" s="23">
        <v>6976803</v>
      </c>
      <c r="G391" s="24">
        <v>44621</v>
      </c>
      <c r="H391" s="22" t="s">
        <v>942</v>
      </c>
      <c r="I391" s="22"/>
      <c r="J391" s="22"/>
      <c r="K391" s="22"/>
      <c r="L391" s="22"/>
      <c r="M391" s="22"/>
      <c r="N391" s="22"/>
      <c r="O391" s="22"/>
      <c r="P391" s="22"/>
      <c r="Q391" s="22"/>
      <c r="R391" s="22"/>
    </row>
    <row r="392" spans="1:18" x14ac:dyDescent="0.25">
      <c r="A392" s="22" t="s">
        <v>114</v>
      </c>
      <c r="B392" s="22" t="s">
        <v>201</v>
      </c>
      <c r="C392" s="22" t="s">
        <v>202</v>
      </c>
      <c r="D392" s="22" t="s">
        <v>116</v>
      </c>
      <c r="E392" s="22" t="s">
        <v>57</v>
      </c>
      <c r="F392" s="23">
        <v>-6976803</v>
      </c>
      <c r="G392" s="24">
        <v>44621</v>
      </c>
      <c r="H392" s="22" t="s">
        <v>942</v>
      </c>
      <c r="I392" s="22" t="s">
        <v>943</v>
      </c>
      <c r="J392" s="22"/>
      <c r="K392" s="22"/>
      <c r="L392" s="22"/>
      <c r="M392" s="22"/>
      <c r="N392" s="22"/>
      <c r="O392" s="22"/>
      <c r="P392" s="22"/>
      <c r="Q392" s="22"/>
      <c r="R392" s="22"/>
    </row>
    <row r="393" spans="1:18" s="39" customFormat="1" x14ac:dyDescent="0.25">
      <c r="A393" s="36" t="s">
        <v>945</v>
      </c>
      <c r="B393" s="36" t="s">
        <v>201</v>
      </c>
      <c r="C393" s="36" t="s">
        <v>202</v>
      </c>
      <c r="D393" s="36" t="s">
        <v>944</v>
      </c>
      <c r="E393" s="36" t="s">
        <v>42</v>
      </c>
      <c r="F393" s="37">
        <v>1809166</v>
      </c>
      <c r="G393" s="38">
        <v>44670</v>
      </c>
      <c r="H393" s="36" t="s">
        <v>946</v>
      </c>
      <c r="I393" s="36" t="s">
        <v>49</v>
      </c>
      <c r="J393" s="36"/>
      <c r="K393" s="36"/>
      <c r="L393" s="36"/>
      <c r="M393" s="36"/>
      <c r="N393" s="36"/>
      <c r="O393" s="36"/>
      <c r="P393" s="36"/>
      <c r="Q393" s="36"/>
      <c r="R393" s="36"/>
    </row>
    <row r="394" spans="1:18" x14ac:dyDescent="0.25">
      <c r="A394" s="22" t="s">
        <v>948</v>
      </c>
      <c r="B394" s="22" t="s">
        <v>201</v>
      </c>
      <c r="C394" s="22" t="s">
        <v>202</v>
      </c>
      <c r="D394" s="22" t="s">
        <v>947</v>
      </c>
      <c r="E394" s="22" t="s">
        <v>57</v>
      </c>
      <c r="F394" s="23">
        <v>-1711266</v>
      </c>
      <c r="G394" s="24">
        <v>44588</v>
      </c>
      <c r="H394" s="22" t="s">
        <v>946</v>
      </c>
      <c r="I394" s="22" t="s">
        <v>212</v>
      </c>
      <c r="J394" s="22"/>
      <c r="K394" s="22"/>
      <c r="L394" s="22"/>
      <c r="M394" s="22"/>
      <c r="N394" s="22"/>
      <c r="O394" s="22"/>
      <c r="P394" s="22"/>
      <c r="Q394" s="22"/>
      <c r="R394" s="22"/>
    </row>
    <row r="395" spans="1:18" x14ac:dyDescent="0.25">
      <c r="A395" s="22" t="s">
        <v>950</v>
      </c>
      <c r="B395" s="22" t="s">
        <v>201</v>
      </c>
      <c r="C395" s="22" t="s">
        <v>202</v>
      </c>
      <c r="D395" s="22" t="s">
        <v>949</v>
      </c>
      <c r="E395" s="22" t="s">
        <v>57</v>
      </c>
      <c r="F395" s="23">
        <v>-23000</v>
      </c>
      <c r="G395" s="24">
        <v>44615</v>
      </c>
      <c r="H395" s="22" t="s">
        <v>946</v>
      </c>
      <c r="I395" s="22" t="s">
        <v>951</v>
      </c>
      <c r="J395" s="22"/>
      <c r="K395" s="22"/>
      <c r="L395" s="22"/>
      <c r="M395" s="22"/>
      <c r="N395" s="22"/>
      <c r="O395" s="22"/>
      <c r="P395" s="22"/>
      <c r="Q395" s="22"/>
      <c r="R395" s="22"/>
    </row>
    <row r="396" spans="1:18" s="39" customFormat="1" x14ac:dyDescent="0.25">
      <c r="A396" s="36" t="s">
        <v>953</v>
      </c>
      <c r="B396" s="36" t="s">
        <v>201</v>
      </c>
      <c r="C396" s="36" t="s">
        <v>202</v>
      </c>
      <c r="D396" s="36" t="s">
        <v>952</v>
      </c>
      <c r="E396" s="36" t="s">
        <v>42</v>
      </c>
      <c r="F396" s="37">
        <v>3000000</v>
      </c>
      <c r="G396" s="38">
        <v>44635</v>
      </c>
      <c r="H396" s="36" t="s">
        <v>942</v>
      </c>
      <c r="I396" s="36" t="s">
        <v>520</v>
      </c>
      <c r="J396" s="36"/>
      <c r="K396" s="36"/>
      <c r="L396" s="36"/>
      <c r="M396" s="36"/>
      <c r="N396" s="36"/>
      <c r="O396" s="36"/>
      <c r="P396" s="36"/>
      <c r="Q396" s="36"/>
      <c r="R396" s="36"/>
    </row>
    <row r="397" spans="1:18" x14ac:dyDescent="0.25">
      <c r="A397" s="22" t="s">
        <v>114</v>
      </c>
      <c r="B397" s="22" t="s">
        <v>201</v>
      </c>
      <c r="C397" s="22" t="s">
        <v>202</v>
      </c>
      <c r="D397" s="22" t="s">
        <v>954</v>
      </c>
      <c r="E397" s="22" t="s">
        <v>45</v>
      </c>
      <c r="F397" s="23">
        <v>976803</v>
      </c>
      <c r="G397" s="24">
        <v>44621</v>
      </c>
      <c r="H397" s="22" t="s">
        <v>954</v>
      </c>
      <c r="I397" s="22"/>
      <c r="J397" s="22"/>
      <c r="K397" s="22"/>
      <c r="L397" s="22"/>
      <c r="M397" s="22"/>
      <c r="N397" s="22"/>
      <c r="O397" s="22"/>
      <c r="P397" s="22"/>
      <c r="Q397" s="22"/>
      <c r="R397" s="22"/>
    </row>
    <row r="398" spans="1:18" x14ac:dyDescent="0.25">
      <c r="A398" s="22" t="s">
        <v>114</v>
      </c>
      <c r="B398" s="22" t="s">
        <v>201</v>
      </c>
      <c r="C398" s="22" t="s">
        <v>202</v>
      </c>
      <c r="D398" s="22" t="s">
        <v>942</v>
      </c>
      <c r="E398" s="22" t="s">
        <v>45</v>
      </c>
      <c r="F398" s="23">
        <v>-3976803</v>
      </c>
      <c r="G398" s="24">
        <v>44621</v>
      </c>
      <c r="H398" s="22" t="s">
        <v>954</v>
      </c>
      <c r="I398" s="22" t="s">
        <v>955</v>
      </c>
      <c r="J398" s="22"/>
      <c r="K398" s="22"/>
      <c r="L398" s="22"/>
      <c r="M398" s="22"/>
      <c r="N398" s="22"/>
      <c r="O398" s="22"/>
      <c r="P398" s="22"/>
      <c r="Q398" s="22"/>
      <c r="R398" s="22"/>
    </row>
    <row r="399" spans="1:18" s="39" customFormat="1" x14ac:dyDescent="0.25">
      <c r="A399" s="36" t="s">
        <v>957</v>
      </c>
      <c r="B399" s="36" t="s">
        <v>201</v>
      </c>
      <c r="C399" s="36" t="s">
        <v>202</v>
      </c>
      <c r="D399" s="36" t="s">
        <v>956</v>
      </c>
      <c r="E399" s="36" t="s">
        <v>42</v>
      </c>
      <c r="F399" s="37">
        <v>3000000</v>
      </c>
      <c r="G399" s="38">
        <v>44635</v>
      </c>
      <c r="H399" s="36" t="s">
        <v>954</v>
      </c>
      <c r="I399" s="36" t="s">
        <v>520</v>
      </c>
      <c r="J399" s="36"/>
      <c r="K399" s="36"/>
      <c r="L399" s="36"/>
      <c r="M399" s="36"/>
      <c r="N399" s="36"/>
      <c r="O399" s="36"/>
      <c r="P399" s="36"/>
      <c r="Q399" s="36"/>
      <c r="R399" s="36"/>
    </row>
    <row r="400" spans="1:18" x14ac:dyDescent="0.25">
      <c r="A400" s="22" t="s">
        <v>959</v>
      </c>
      <c r="B400" s="22" t="s">
        <v>201</v>
      </c>
      <c r="C400" s="22" t="s">
        <v>202</v>
      </c>
      <c r="D400" s="22" t="s">
        <v>958</v>
      </c>
      <c r="E400" s="22" t="s">
        <v>45</v>
      </c>
      <c r="F400" s="23">
        <v>1388295</v>
      </c>
      <c r="G400" s="24">
        <v>44606</v>
      </c>
      <c r="H400" s="22" t="s">
        <v>958</v>
      </c>
      <c r="I400" s="22"/>
      <c r="J400" s="22"/>
      <c r="K400" s="22"/>
      <c r="L400" s="22"/>
      <c r="M400" s="22"/>
      <c r="N400" s="22"/>
      <c r="O400" s="22"/>
      <c r="P400" s="22"/>
      <c r="Q400" s="22"/>
      <c r="R400" s="22"/>
    </row>
    <row r="401" spans="1:18" x14ac:dyDescent="0.25">
      <c r="A401" s="22" t="s">
        <v>959</v>
      </c>
      <c r="B401" s="22" t="s">
        <v>201</v>
      </c>
      <c r="C401" s="22" t="s">
        <v>202</v>
      </c>
      <c r="D401" s="22" t="s">
        <v>960</v>
      </c>
      <c r="E401" s="22" t="s">
        <v>57</v>
      </c>
      <c r="F401" s="23">
        <v>-1983095</v>
      </c>
      <c r="G401" s="24">
        <v>44606</v>
      </c>
      <c r="H401" s="22" t="s">
        <v>958</v>
      </c>
      <c r="I401" s="22" t="s">
        <v>961</v>
      </c>
      <c r="J401" s="22"/>
      <c r="K401" s="22"/>
      <c r="L401" s="22"/>
      <c r="M401" s="22"/>
      <c r="N401" s="22"/>
      <c r="O401" s="22"/>
      <c r="P401" s="22"/>
      <c r="Q401" s="22"/>
      <c r="R401" s="22"/>
    </row>
    <row r="402" spans="1:18" x14ac:dyDescent="0.25">
      <c r="A402" s="22" t="s">
        <v>963</v>
      </c>
      <c r="B402" s="22" t="s">
        <v>201</v>
      </c>
      <c r="C402" s="22" t="s">
        <v>202</v>
      </c>
      <c r="D402" s="22" t="s">
        <v>962</v>
      </c>
      <c r="E402" s="22" t="s">
        <v>57</v>
      </c>
      <c r="F402" s="23">
        <v>-51900</v>
      </c>
      <c r="G402" s="24">
        <v>44603</v>
      </c>
      <c r="H402" s="22" t="s">
        <v>946</v>
      </c>
      <c r="I402" s="22" t="s">
        <v>951</v>
      </c>
      <c r="J402" s="22"/>
      <c r="K402" s="22"/>
      <c r="L402" s="22"/>
      <c r="M402" s="22"/>
      <c r="N402" s="22"/>
      <c r="O402" s="22"/>
      <c r="P402" s="22"/>
      <c r="Q402" s="22"/>
      <c r="R402" s="22"/>
    </row>
    <row r="403" spans="1:18" x14ac:dyDescent="0.25">
      <c r="A403" s="22" t="s">
        <v>965</v>
      </c>
      <c r="B403" s="22" t="s">
        <v>201</v>
      </c>
      <c r="C403" s="22" t="s">
        <v>202</v>
      </c>
      <c r="D403" s="22" t="s">
        <v>964</v>
      </c>
      <c r="E403" s="22" t="s">
        <v>45</v>
      </c>
      <c r="F403" s="23">
        <v>-14145</v>
      </c>
      <c r="G403" s="24">
        <v>44569</v>
      </c>
      <c r="H403" s="22" t="s">
        <v>946</v>
      </c>
      <c r="I403" s="22" t="s">
        <v>966</v>
      </c>
      <c r="J403" s="22"/>
      <c r="K403" s="22"/>
      <c r="L403" s="22"/>
      <c r="M403" s="22"/>
      <c r="N403" s="22"/>
      <c r="O403" s="22"/>
      <c r="P403" s="22"/>
      <c r="Q403" s="22"/>
      <c r="R403" s="22"/>
    </row>
    <row r="404" spans="1:18" x14ac:dyDescent="0.25">
      <c r="A404" s="22" t="s">
        <v>948</v>
      </c>
      <c r="B404" s="22" t="s">
        <v>201</v>
      </c>
      <c r="C404" s="22" t="s">
        <v>202</v>
      </c>
      <c r="D404" s="22" t="s">
        <v>946</v>
      </c>
      <c r="E404" s="22" t="s">
        <v>45</v>
      </c>
      <c r="F404" s="23">
        <v>251172</v>
      </c>
      <c r="G404" s="24">
        <v>44588</v>
      </c>
      <c r="H404" s="22" t="s">
        <v>946</v>
      </c>
      <c r="I404" s="22"/>
      <c r="J404" s="22"/>
      <c r="K404" s="22"/>
      <c r="L404" s="22"/>
      <c r="M404" s="22"/>
      <c r="N404" s="22"/>
      <c r="O404" s="22"/>
      <c r="P404" s="22"/>
      <c r="Q404" s="22"/>
      <c r="R404" s="22"/>
    </row>
    <row r="405" spans="1:18" x14ac:dyDescent="0.25">
      <c r="A405" s="22" t="s">
        <v>948</v>
      </c>
      <c r="B405" s="22" t="s">
        <v>201</v>
      </c>
      <c r="C405" s="22" t="s">
        <v>202</v>
      </c>
      <c r="D405" s="22" t="s">
        <v>946</v>
      </c>
      <c r="E405" s="22" t="s">
        <v>45</v>
      </c>
      <c r="F405" s="23">
        <v>-23000</v>
      </c>
      <c r="G405" s="24">
        <v>44588</v>
      </c>
      <c r="H405" s="22" t="s">
        <v>946</v>
      </c>
      <c r="I405" s="22"/>
      <c r="J405" s="22"/>
      <c r="K405" s="22"/>
      <c r="L405" s="22"/>
      <c r="M405" s="22"/>
      <c r="N405" s="22"/>
      <c r="O405" s="22"/>
      <c r="P405" s="22"/>
      <c r="Q405" s="22"/>
      <c r="R405" s="22"/>
    </row>
    <row r="406" spans="1:18" x14ac:dyDescent="0.25">
      <c r="A406" s="22" t="s">
        <v>968</v>
      </c>
      <c r="B406" s="22" t="s">
        <v>201</v>
      </c>
      <c r="C406" s="22" t="s">
        <v>202</v>
      </c>
      <c r="D406" s="22" t="s">
        <v>967</v>
      </c>
      <c r="E406" s="22" t="s">
        <v>45</v>
      </c>
      <c r="F406" s="23">
        <v>-237027</v>
      </c>
      <c r="G406" s="24">
        <v>44560</v>
      </c>
      <c r="H406" s="22" t="s">
        <v>946</v>
      </c>
      <c r="I406" s="22" t="s">
        <v>969</v>
      </c>
      <c r="J406" s="22"/>
      <c r="K406" s="22"/>
      <c r="L406" s="22"/>
      <c r="M406" s="22"/>
      <c r="N406" s="22"/>
      <c r="O406" s="22"/>
      <c r="P406" s="22"/>
      <c r="Q406" s="22"/>
      <c r="R406" s="22"/>
    </row>
    <row r="407" spans="1:18" s="39" customFormat="1" x14ac:dyDescent="0.25">
      <c r="A407" s="36" t="s">
        <v>971</v>
      </c>
      <c r="B407" s="36" t="s">
        <v>201</v>
      </c>
      <c r="C407" s="36" t="s">
        <v>202</v>
      </c>
      <c r="D407" s="36" t="s">
        <v>970</v>
      </c>
      <c r="E407" s="36" t="s">
        <v>42</v>
      </c>
      <c r="F407" s="37">
        <v>398362</v>
      </c>
      <c r="G407" s="38">
        <v>44670</v>
      </c>
      <c r="H407" s="36" t="s">
        <v>967</v>
      </c>
      <c r="I407" s="36" t="s">
        <v>520</v>
      </c>
      <c r="J407" s="36"/>
      <c r="K407" s="36"/>
      <c r="L407" s="36"/>
      <c r="M407" s="36"/>
      <c r="N407" s="36"/>
      <c r="O407" s="36"/>
      <c r="P407" s="36"/>
      <c r="Q407" s="36"/>
      <c r="R407" s="36"/>
    </row>
    <row r="408" spans="1:18" x14ac:dyDescent="0.25">
      <c r="A408" s="22" t="s">
        <v>968</v>
      </c>
      <c r="B408" s="22" t="s">
        <v>201</v>
      </c>
      <c r="C408" s="22" t="s">
        <v>202</v>
      </c>
      <c r="D408" s="22" t="s">
        <v>967</v>
      </c>
      <c r="E408" s="22" t="s">
        <v>45</v>
      </c>
      <c r="F408" s="23">
        <v>635389</v>
      </c>
      <c r="G408" s="24">
        <v>44560</v>
      </c>
      <c r="H408" s="22" t="s">
        <v>967</v>
      </c>
      <c r="I408" s="22"/>
      <c r="J408" s="22"/>
      <c r="K408" s="22"/>
      <c r="L408" s="22"/>
      <c r="M408" s="22"/>
      <c r="N408" s="22"/>
      <c r="O408" s="22"/>
      <c r="P408" s="22"/>
      <c r="Q408" s="22"/>
      <c r="R408" s="22"/>
    </row>
    <row r="409" spans="1:18" x14ac:dyDescent="0.25">
      <c r="A409" s="22" t="s">
        <v>968</v>
      </c>
      <c r="B409" s="22" t="s">
        <v>201</v>
      </c>
      <c r="C409" s="22" t="s">
        <v>202</v>
      </c>
      <c r="D409" s="22" t="s">
        <v>967</v>
      </c>
      <c r="E409" s="22" t="s">
        <v>45</v>
      </c>
      <c r="F409" s="23">
        <v>-398362</v>
      </c>
      <c r="G409" s="24">
        <v>44560</v>
      </c>
      <c r="H409" s="22" t="s">
        <v>967</v>
      </c>
      <c r="I409" s="22"/>
      <c r="J409" s="22"/>
      <c r="K409" s="22"/>
      <c r="L409" s="22"/>
      <c r="M409" s="22"/>
      <c r="N409" s="22"/>
      <c r="O409" s="22"/>
      <c r="P409" s="22"/>
      <c r="Q409" s="22"/>
      <c r="R409" s="22"/>
    </row>
    <row r="410" spans="1:18" x14ac:dyDescent="0.25">
      <c r="A410" s="22" t="s">
        <v>968</v>
      </c>
      <c r="B410" s="22" t="s">
        <v>201</v>
      </c>
      <c r="C410" s="22" t="s">
        <v>202</v>
      </c>
      <c r="D410" s="22" t="s">
        <v>972</v>
      </c>
      <c r="E410" s="22" t="s">
        <v>45</v>
      </c>
      <c r="F410" s="23">
        <v>-635389</v>
      </c>
      <c r="G410" s="24">
        <v>44560</v>
      </c>
      <c r="H410" s="22" t="s">
        <v>967</v>
      </c>
      <c r="I410" s="22" t="s">
        <v>973</v>
      </c>
      <c r="J410" s="22"/>
      <c r="K410" s="22"/>
      <c r="L410" s="22"/>
      <c r="M410" s="22"/>
      <c r="N410" s="22"/>
      <c r="O410" s="22"/>
      <c r="P410" s="22"/>
      <c r="Q410" s="22"/>
      <c r="R410" s="22"/>
    </row>
    <row r="411" spans="1:18" s="39" customFormat="1" x14ac:dyDescent="0.25">
      <c r="A411" s="36" t="s">
        <v>975</v>
      </c>
      <c r="B411" s="36" t="s">
        <v>201</v>
      </c>
      <c r="C411" s="36" t="s">
        <v>202</v>
      </c>
      <c r="D411" s="36" t="s">
        <v>974</v>
      </c>
      <c r="E411" s="36" t="s">
        <v>42</v>
      </c>
      <c r="F411" s="37">
        <v>1040771</v>
      </c>
      <c r="G411" s="38">
        <v>44635</v>
      </c>
      <c r="H411" s="36" t="s">
        <v>976</v>
      </c>
      <c r="I411" s="36" t="s">
        <v>49</v>
      </c>
      <c r="J411" s="36"/>
      <c r="K411" s="36"/>
      <c r="L411" s="36"/>
      <c r="M411" s="36"/>
      <c r="N411" s="36"/>
      <c r="O411" s="36"/>
      <c r="P411" s="36"/>
      <c r="Q411" s="36"/>
      <c r="R411" s="36"/>
    </row>
    <row r="412" spans="1:18" x14ac:dyDescent="0.25">
      <c r="A412" s="22" t="s">
        <v>978</v>
      </c>
      <c r="B412" s="22" t="s">
        <v>201</v>
      </c>
      <c r="C412" s="22" t="s">
        <v>202</v>
      </c>
      <c r="D412" s="22" t="s">
        <v>977</v>
      </c>
      <c r="E412" s="22" t="s">
        <v>57</v>
      </c>
      <c r="F412" s="23">
        <v>-26100</v>
      </c>
      <c r="G412" s="24">
        <v>44601</v>
      </c>
      <c r="H412" s="22" t="s">
        <v>976</v>
      </c>
      <c r="I412" s="22" t="s">
        <v>979</v>
      </c>
      <c r="J412" s="22"/>
      <c r="K412" s="22"/>
      <c r="L412" s="22"/>
      <c r="M412" s="22"/>
      <c r="N412" s="22"/>
      <c r="O412" s="22"/>
      <c r="P412" s="22"/>
      <c r="Q412" s="22"/>
      <c r="R412" s="22"/>
    </row>
    <row r="413" spans="1:18" x14ac:dyDescent="0.25">
      <c r="A413" s="22" t="s">
        <v>981</v>
      </c>
      <c r="B413" s="22" t="s">
        <v>201</v>
      </c>
      <c r="C413" s="22" t="s">
        <v>202</v>
      </c>
      <c r="D413" s="22" t="s">
        <v>980</v>
      </c>
      <c r="E413" s="22" t="s">
        <v>57</v>
      </c>
      <c r="F413" s="23">
        <v>-662800</v>
      </c>
      <c r="G413" s="24">
        <v>44601</v>
      </c>
      <c r="H413" s="22" t="s">
        <v>976</v>
      </c>
      <c r="I413" s="22" t="s">
        <v>979</v>
      </c>
      <c r="J413" s="22"/>
      <c r="K413" s="22"/>
      <c r="L413" s="22"/>
      <c r="M413" s="22"/>
      <c r="N413" s="22"/>
      <c r="O413" s="22"/>
      <c r="P413" s="22"/>
      <c r="Q413" s="22"/>
      <c r="R413" s="22"/>
    </row>
    <row r="414" spans="1:18" s="39" customFormat="1" x14ac:dyDescent="0.25">
      <c r="A414" s="36" t="s">
        <v>983</v>
      </c>
      <c r="B414" s="36" t="s">
        <v>201</v>
      </c>
      <c r="C414" s="36" t="s">
        <v>202</v>
      </c>
      <c r="D414" s="36" t="s">
        <v>982</v>
      </c>
      <c r="E414" s="36" t="s">
        <v>42</v>
      </c>
      <c r="F414" s="37">
        <v>2302133</v>
      </c>
      <c r="G414" s="38">
        <v>44670</v>
      </c>
      <c r="H414" s="36" t="s">
        <v>984</v>
      </c>
      <c r="I414" s="36" t="s">
        <v>49</v>
      </c>
      <c r="J414" s="36"/>
      <c r="K414" s="36"/>
      <c r="L414" s="36"/>
      <c r="M414" s="36"/>
      <c r="N414" s="36"/>
      <c r="O414" s="36"/>
      <c r="P414" s="36"/>
      <c r="Q414" s="36"/>
      <c r="R414" s="36"/>
    </row>
    <row r="415" spans="1:18" x14ac:dyDescent="0.25">
      <c r="A415" s="22" t="s">
        <v>986</v>
      </c>
      <c r="B415" s="22" t="s">
        <v>201</v>
      </c>
      <c r="C415" s="22" t="s">
        <v>202</v>
      </c>
      <c r="D415" s="22" t="s">
        <v>985</v>
      </c>
      <c r="E415" s="22" t="s">
        <v>57</v>
      </c>
      <c r="F415" s="23">
        <v>-303700</v>
      </c>
      <c r="G415" s="24">
        <v>44614</v>
      </c>
      <c r="H415" s="22" t="s">
        <v>984</v>
      </c>
      <c r="I415" s="22" t="s">
        <v>550</v>
      </c>
      <c r="J415" s="22"/>
      <c r="K415" s="22"/>
      <c r="L415" s="22"/>
      <c r="M415" s="22"/>
      <c r="N415" s="22"/>
      <c r="O415" s="22"/>
      <c r="P415" s="22"/>
      <c r="Q415" s="22"/>
      <c r="R415" s="22"/>
    </row>
    <row r="416" spans="1:18" x14ac:dyDescent="0.25">
      <c r="A416" s="22" t="s">
        <v>988</v>
      </c>
      <c r="B416" s="22" t="s">
        <v>201</v>
      </c>
      <c r="C416" s="22" t="s">
        <v>202</v>
      </c>
      <c r="D416" s="22" t="s">
        <v>987</v>
      </c>
      <c r="E416" s="22" t="s">
        <v>57</v>
      </c>
      <c r="F416" s="23">
        <v>-34700</v>
      </c>
      <c r="G416" s="24">
        <v>44606</v>
      </c>
      <c r="H416" s="22" t="s">
        <v>984</v>
      </c>
      <c r="I416" s="22" t="s">
        <v>989</v>
      </c>
      <c r="J416" s="22"/>
      <c r="K416" s="22"/>
      <c r="L416" s="22"/>
      <c r="M416" s="22"/>
      <c r="N416" s="22"/>
      <c r="O416" s="22"/>
      <c r="P416" s="22"/>
      <c r="Q416" s="22"/>
      <c r="R416" s="22"/>
    </row>
    <row r="417" spans="1:18" x14ac:dyDescent="0.25">
      <c r="A417" s="22" t="s">
        <v>991</v>
      </c>
      <c r="B417" s="22" t="s">
        <v>201</v>
      </c>
      <c r="C417" s="22" t="s">
        <v>202</v>
      </c>
      <c r="D417" s="22" t="s">
        <v>990</v>
      </c>
      <c r="E417" s="22" t="s">
        <v>57</v>
      </c>
      <c r="F417" s="23">
        <v>-36000</v>
      </c>
      <c r="G417" s="24">
        <v>44603</v>
      </c>
      <c r="H417" s="22" t="s">
        <v>984</v>
      </c>
      <c r="I417" s="22" t="s">
        <v>992</v>
      </c>
      <c r="J417" s="22"/>
      <c r="K417" s="22"/>
      <c r="L417" s="22"/>
      <c r="M417" s="22"/>
      <c r="N417" s="22"/>
      <c r="O417" s="22"/>
      <c r="P417" s="22"/>
      <c r="Q417" s="22"/>
      <c r="R417" s="22"/>
    </row>
    <row r="418" spans="1:18" x14ac:dyDescent="0.25">
      <c r="A418" s="22" t="s">
        <v>994</v>
      </c>
      <c r="B418" s="22" t="s">
        <v>201</v>
      </c>
      <c r="C418" s="22" t="s">
        <v>202</v>
      </c>
      <c r="D418" s="22" t="s">
        <v>993</v>
      </c>
      <c r="E418" s="22" t="s">
        <v>57</v>
      </c>
      <c r="F418" s="23">
        <v>-125100</v>
      </c>
      <c r="G418" s="24">
        <v>44614</v>
      </c>
      <c r="H418" s="22" t="s">
        <v>984</v>
      </c>
      <c r="I418" s="22" t="s">
        <v>995</v>
      </c>
      <c r="J418" s="22"/>
      <c r="K418" s="22"/>
      <c r="L418" s="22"/>
      <c r="M418" s="22"/>
      <c r="N418" s="22"/>
      <c r="O418" s="22"/>
      <c r="P418" s="22"/>
      <c r="Q418" s="22"/>
      <c r="R418" s="22"/>
    </row>
    <row r="419" spans="1:18" x14ac:dyDescent="0.25">
      <c r="A419" s="22" t="s">
        <v>997</v>
      </c>
      <c r="B419" s="22" t="s">
        <v>201</v>
      </c>
      <c r="C419" s="22" t="s">
        <v>202</v>
      </c>
      <c r="D419" s="22" t="s">
        <v>996</v>
      </c>
      <c r="E419" s="22" t="s">
        <v>57</v>
      </c>
      <c r="F419" s="23">
        <v>-103500</v>
      </c>
      <c r="G419" s="24">
        <v>44609</v>
      </c>
      <c r="H419" s="22" t="s">
        <v>984</v>
      </c>
      <c r="I419" s="22" t="s">
        <v>998</v>
      </c>
      <c r="J419" s="22"/>
      <c r="K419" s="22"/>
      <c r="L419" s="22"/>
      <c r="M419" s="22"/>
      <c r="N419" s="22"/>
      <c r="O419" s="22"/>
      <c r="P419" s="22"/>
      <c r="Q419" s="22"/>
      <c r="R419" s="22"/>
    </row>
    <row r="420" spans="1:18" x14ac:dyDescent="0.25">
      <c r="A420" s="22" t="s">
        <v>1000</v>
      </c>
      <c r="B420" s="22" t="s">
        <v>201</v>
      </c>
      <c r="C420" s="22" t="s">
        <v>202</v>
      </c>
      <c r="D420" s="22" t="s">
        <v>999</v>
      </c>
      <c r="E420" s="22" t="s">
        <v>57</v>
      </c>
      <c r="F420" s="23">
        <v>-230000</v>
      </c>
      <c r="G420" s="24">
        <v>44600</v>
      </c>
      <c r="H420" s="22" t="s">
        <v>984</v>
      </c>
      <c r="I420" s="22" t="s">
        <v>298</v>
      </c>
      <c r="J420" s="22"/>
      <c r="K420" s="22"/>
      <c r="L420" s="22"/>
      <c r="M420" s="22"/>
      <c r="N420" s="22"/>
      <c r="O420" s="22"/>
      <c r="P420" s="22"/>
      <c r="Q420" s="22"/>
      <c r="R420" s="22"/>
    </row>
    <row r="421" spans="1:18" x14ac:dyDescent="0.25">
      <c r="A421" s="22" t="s">
        <v>1002</v>
      </c>
      <c r="B421" s="22" t="s">
        <v>201</v>
      </c>
      <c r="C421" s="22" t="s">
        <v>202</v>
      </c>
      <c r="D421" s="22" t="s">
        <v>1001</v>
      </c>
      <c r="E421" s="22" t="s">
        <v>57</v>
      </c>
      <c r="F421" s="23">
        <v>-78399</v>
      </c>
      <c r="G421" s="24">
        <v>44600</v>
      </c>
      <c r="H421" s="22" t="s">
        <v>984</v>
      </c>
      <c r="I421" s="22" t="s">
        <v>1003</v>
      </c>
      <c r="J421" s="22"/>
      <c r="K421" s="22"/>
      <c r="L421" s="22"/>
      <c r="M421" s="22"/>
      <c r="N421" s="22"/>
      <c r="O421" s="22"/>
      <c r="P421" s="22"/>
      <c r="Q421" s="22"/>
      <c r="R421" s="22"/>
    </row>
    <row r="422" spans="1:18" x14ac:dyDescent="0.25">
      <c r="A422" s="22" t="s">
        <v>1005</v>
      </c>
      <c r="B422" s="22" t="s">
        <v>201</v>
      </c>
      <c r="C422" s="22" t="s">
        <v>202</v>
      </c>
      <c r="D422" s="22" t="s">
        <v>1004</v>
      </c>
      <c r="E422" s="22" t="s">
        <v>57</v>
      </c>
      <c r="F422" s="23">
        <v>-279920</v>
      </c>
      <c r="G422" s="24">
        <v>44607</v>
      </c>
      <c r="H422" s="22" t="s">
        <v>984</v>
      </c>
      <c r="I422" s="22" t="s">
        <v>1006</v>
      </c>
      <c r="J422" s="22"/>
      <c r="K422" s="22"/>
      <c r="L422" s="22"/>
      <c r="M422" s="22"/>
      <c r="N422" s="22"/>
      <c r="O422" s="22"/>
      <c r="P422" s="22"/>
      <c r="Q422" s="22"/>
      <c r="R422" s="22"/>
    </row>
    <row r="423" spans="1:18" x14ac:dyDescent="0.25">
      <c r="A423" s="22" t="s">
        <v>1008</v>
      </c>
      <c r="B423" s="22" t="s">
        <v>201</v>
      </c>
      <c r="C423" s="22" t="s">
        <v>202</v>
      </c>
      <c r="D423" s="22" t="s">
        <v>1007</v>
      </c>
      <c r="E423" s="22" t="s">
        <v>57</v>
      </c>
      <c r="F423" s="23">
        <v>-104457</v>
      </c>
      <c r="G423" s="24">
        <v>44597</v>
      </c>
      <c r="H423" s="22" t="s">
        <v>984</v>
      </c>
      <c r="I423" s="22" t="s">
        <v>1009</v>
      </c>
      <c r="J423" s="22"/>
      <c r="K423" s="22"/>
      <c r="L423" s="22"/>
      <c r="M423" s="22"/>
      <c r="N423" s="22"/>
      <c r="O423" s="22"/>
      <c r="P423" s="22"/>
      <c r="Q423" s="22"/>
      <c r="R423" s="22"/>
    </row>
    <row r="424" spans="1:18" x14ac:dyDescent="0.25">
      <c r="A424" s="22" t="s">
        <v>1011</v>
      </c>
      <c r="B424" s="22" t="s">
        <v>201</v>
      </c>
      <c r="C424" s="22" t="s">
        <v>202</v>
      </c>
      <c r="D424" s="22" t="s">
        <v>1010</v>
      </c>
      <c r="E424" s="22" t="s">
        <v>57</v>
      </c>
      <c r="F424" s="23">
        <v>-59100</v>
      </c>
      <c r="G424" s="24">
        <v>44595</v>
      </c>
      <c r="H424" s="22" t="s">
        <v>984</v>
      </c>
      <c r="I424" s="22" t="s">
        <v>1012</v>
      </c>
      <c r="J424" s="22"/>
      <c r="K424" s="22"/>
      <c r="L424" s="22"/>
      <c r="M424" s="22"/>
      <c r="N424" s="22"/>
      <c r="O424" s="22"/>
      <c r="P424" s="22"/>
      <c r="Q424" s="22"/>
      <c r="R424" s="22"/>
    </row>
    <row r="425" spans="1:18" x14ac:dyDescent="0.25">
      <c r="A425" s="22" t="s">
        <v>1014</v>
      </c>
      <c r="B425" s="22" t="s">
        <v>201</v>
      </c>
      <c r="C425" s="22" t="s">
        <v>202</v>
      </c>
      <c r="D425" s="22" t="s">
        <v>1013</v>
      </c>
      <c r="E425" s="22" t="s">
        <v>57</v>
      </c>
      <c r="F425" s="23">
        <v>-307226</v>
      </c>
      <c r="G425" s="24">
        <v>44595</v>
      </c>
      <c r="H425" s="22" t="s">
        <v>984</v>
      </c>
      <c r="I425" s="22" t="s">
        <v>1015</v>
      </c>
      <c r="J425" s="22"/>
      <c r="K425" s="22"/>
      <c r="L425" s="22"/>
      <c r="M425" s="22"/>
      <c r="N425" s="22"/>
      <c r="O425" s="22"/>
      <c r="P425" s="22"/>
      <c r="Q425" s="22"/>
      <c r="R425" s="22"/>
    </row>
    <row r="426" spans="1:18" x14ac:dyDescent="0.25">
      <c r="A426" s="22" t="s">
        <v>1017</v>
      </c>
      <c r="B426" s="22" t="s">
        <v>201</v>
      </c>
      <c r="C426" s="22" t="s">
        <v>202</v>
      </c>
      <c r="D426" s="22" t="s">
        <v>1016</v>
      </c>
      <c r="E426" s="22" t="s">
        <v>57</v>
      </c>
      <c r="F426" s="23">
        <v>-127700</v>
      </c>
      <c r="G426" s="24">
        <v>44608</v>
      </c>
      <c r="H426" s="22" t="s">
        <v>984</v>
      </c>
      <c r="I426" s="22" t="s">
        <v>919</v>
      </c>
      <c r="J426" s="22"/>
      <c r="K426" s="22"/>
      <c r="L426" s="22"/>
      <c r="M426" s="22"/>
      <c r="N426" s="22"/>
      <c r="O426" s="22"/>
      <c r="P426" s="22"/>
      <c r="Q426" s="22"/>
      <c r="R426" s="22"/>
    </row>
    <row r="427" spans="1:18" x14ac:dyDescent="0.25">
      <c r="A427" s="22" t="s">
        <v>1019</v>
      </c>
      <c r="B427" s="22" t="s">
        <v>201</v>
      </c>
      <c r="C427" s="22" t="s">
        <v>202</v>
      </c>
      <c r="D427" s="22" t="s">
        <v>1018</v>
      </c>
      <c r="E427" s="22" t="s">
        <v>57</v>
      </c>
      <c r="F427" s="23">
        <v>-32300</v>
      </c>
      <c r="G427" s="24">
        <v>44606</v>
      </c>
      <c r="H427" s="22" t="s">
        <v>984</v>
      </c>
      <c r="I427" s="22" t="s">
        <v>1020</v>
      </c>
      <c r="J427" s="22"/>
      <c r="K427" s="22"/>
      <c r="L427" s="22"/>
      <c r="M427" s="22"/>
      <c r="N427" s="22"/>
      <c r="O427" s="22"/>
      <c r="P427" s="22"/>
      <c r="Q427" s="22"/>
      <c r="R427" s="22"/>
    </row>
    <row r="428" spans="1:18" x14ac:dyDescent="0.25">
      <c r="A428" s="22" t="s">
        <v>983</v>
      </c>
      <c r="B428" s="22" t="s">
        <v>201</v>
      </c>
      <c r="C428" s="22" t="s">
        <v>202</v>
      </c>
      <c r="D428" s="22" t="s">
        <v>984</v>
      </c>
      <c r="E428" s="22" t="s">
        <v>45</v>
      </c>
      <c r="F428" s="23">
        <v>-1390734</v>
      </c>
      <c r="G428" s="24">
        <v>44670</v>
      </c>
      <c r="H428" s="22" t="s">
        <v>984</v>
      </c>
      <c r="I428" s="22"/>
      <c r="J428" s="22"/>
      <c r="K428" s="22"/>
      <c r="L428" s="22"/>
      <c r="M428" s="22"/>
      <c r="N428" s="22"/>
      <c r="O428" s="22"/>
      <c r="P428" s="22"/>
      <c r="Q428" s="22"/>
      <c r="R428" s="22"/>
    </row>
    <row r="429" spans="1:18" x14ac:dyDescent="0.25">
      <c r="A429" s="22" t="s">
        <v>983</v>
      </c>
      <c r="B429" s="22" t="s">
        <v>201</v>
      </c>
      <c r="C429" s="22" t="s">
        <v>202</v>
      </c>
      <c r="D429" s="22" t="s">
        <v>984</v>
      </c>
      <c r="E429" s="22" t="s">
        <v>45</v>
      </c>
      <c r="F429" s="23">
        <v>910703</v>
      </c>
      <c r="G429" s="24">
        <v>44670</v>
      </c>
      <c r="H429" s="22" t="s">
        <v>984</v>
      </c>
      <c r="I429" s="22"/>
      <c r="J429" s="22"/>
      <c r="K429" s="22"/>
      <c r="L429" s="22"/>
      <c r="M429" s="22"/>
      <c r="N429" s="22"/>
      <c r="O429" s="22"/>
      <c r="P429" s="22"/>
      <c r="Q429" s="22"/>
      <c r="R429" s="22"/>
    </row>
    <row r="430" spans="1:18" s="39" customFormat="1" x14ac:dyDescent="0.25">
      <c r="A430" s="36" t="s">
        <v>1022</v>
      </c>
      <c r="B430" s="36" t="s">
        <v>201</v>
      </c>
      <c r="C430" s="36" t="s">
        <v>202</v>
      </c>
      <c r="D430" s="36" t="s">
        <v>1021</v>
      </c>
      <c r="E430" s="36" t="s">
        <v>42</v>
      </c>
      <c r="F430" s="37">
        <v>320864</v>
      </c>
      <c r="G430" s="38">
        <v>44635</v>
      </c>
      <c r="H430" s="36" t="s">
        <v>1023</v>
      </c>
      <c r="I430" s="36" t="s">
        <v>49</v>
      </c>
      <c r="J430" s="36"/>
      <c r="K430" s="36"/>
      <c r="L430" s="36"/>
      <c r="M430" s="36"/>
      <c r="N430" s="36"/>
      <c r="O430" s="36"/>
      <c r="P430" s="36"/>
      <c r="Q430" s="36"/>
      <c r="R430" s="36"/>
    </row>
    <row r="431" spans="1:18" x14ac:dyDescent="0.25">
      <c r="A431" s="22" t="s">
        <v>1025</v>
      </c>
      <c r="B431" s="22" t="s">
        <v>201</v>
      </c>
      <c r="C431" s="22" t="s">
        <v>202</v>
      </c>
      <c r="D431" s="22" t="s">
        <v>1024</v>
      </c>
      <c r="E431" s="22" t="s">
        <v>57</v>
      </c>
      <c r="F431" s="23">
        <v>-5088525</v>
      </c>
      <c r="G431" s="24">
        <v>44614</v>
      </c>
      <c r="H431" s="22" t="s">
        <v>1023</v>
      </c>
      <c r="I431" s="22" t="s">
        <v>1026</v>
      </c>
      <c r="J431" s="22"/>
      <c r="K431" s="22"/>
      <c r="L431" s="22"/>
      <c r="M431" s="22"/>
      <c r="N431" s="22"/>
      <c r="O431" s="22"/>
      <c r="P431" s="22"/>
      <c r="Q431" s="22"/>
      <c r="R431" s="22"/>
    </row>
    <row r="432" spans="1:18" x14ac:dyDescent="0.25">
      <c r="A432" s="22" t="s">
        <v>1025</v>
      </c>
      <c r="B432" s="22" t="s">
        <v>201</v>
      </c>
      <c r="C432" s="22" t="s">
        <v>202</v>
      </c>
      <c r="D432" s="22" t="s">
        <v>1023</v>
      </c>
      <c r="E432" s="22" t="s">
        <v>45</v>
      </c>
      <c r="F432" s="23">
        <v>4767661</v>
      </c>
      <c r="G432" s="24">
        <v>44614</v>
      </c>
      <c r="H432" s="22" t="s">
        <v>1023</v>
      </c>
      <c r="I432" s="22"/>
      <c r="J432" s="22"/>
      <c r="K432" s="22"/>
      <c r="L432" s="22"/>
      <c r="M432" s="22"/>
      <c r="N432" s="22"/>
      <c r="O432" s="22"/>
      <c r="P432" s="22"/>
      <c r="Q432" s="22"/>
      <c r="R432" s="22"/>
    </row>
    <row r="433" spans="1:18" s="39" customFormat="1" x14ac:dyDescent="0.25">
      <c r="A433" s="36" t="s">
        <v>1028</v>
      </c>
      <c r="B433" s="36" t="s">
        <v>201</v>
      </c>
      <c r="C433" s="36" t="s">
        <v>202</v>
      </c>
      <c r="D433" s="36" t="s">
        <v>1027</v>
      </c>
      <c r="E433" s="36" t="s">
        <v>42</v>
      </c>
      <c r="F433" s="37">
        <v>669452</v>
      </c>
      <c r="G433" s="38">
        <v>44635</v>
      </c>
      <c r="H433" s="36" t="s">
        <v>1029</v>
      </c>
      <c r="I433" s="36" t="s">
        <v>49</v>
      </c>
      <c r="J433" s="36"/>
      <c r="K433" s="36"/>
      <c r="L433" s="36"/>
      <c r="M433" s="36"/>
      <c r="N433" s="36"/>
      <c r="O433" s="36"/>
      <c r="P433" s="36"/>
      <c r="Q433" s="36"/>
      <c r="R433" s="36"/>
    </row>
    <row r="434" spans="1:18" x14ac:dyDescent="0.25">
      <c r="A434" s="22" t="s">
        <v>959</v>
      </c>
      <c r="B434" s="22" t="s">
        <v>201</v>
      </c>
      <c r="C434" s="22" t="s">
        <v>202</v>
      </c>
      <c r="D434" s="22" t="s">
        <v>958</v>
      </c>
      <c r="E434" s="22" t="s">
        <v>45</v>
      </c>
      <c r="F434" s="23">
        <v>-1388295</v>
      </c>
      <c r="G434" s="24">
        <v>44606</v>
      </c>
      <c r="H434" s="22" t="s">
        <v>1029</v>
      </c>
      <c r="I434" s="22" t="s">
        <v>1030</v>
      </c>
      <c r="J434" s="22"/>
      <c r="K434" s="22"/>
      <c r="L434" s="22"/>
      <c r="M434" s="22"/>
      <c r="N434" s="22"/>
      <c r="O434" s="22"/>
      <c r="P434" s="22"/>
      <c r="Q434" s="22"/>
      <c r="R434" s="22"/>
    </row>
    <row r="435" spans="1:18" x14ac:dyDescent="0.25">
      <c r="A435" s="22" t="s">
        <v>959</v>
      </c>
      <c r="B435" s="22" t="s">
        <v>201</v>
      </c>
      <c r="C435" s="22" t="s">
        <v>202</v>
      </c>
      <c r="D435" s="22" t="s">
        <v>1029</v>
      </c>
      <c r="E435" s="22" t="s">
        <v>45</v>
      </c>
      <c r="F435" s="23">
        <v>1388295</v>
      </c>
      <c r="G435" s="24">
        <v>44606</v>
      </c>
      <c r="H435" s="22" t="s">
        <v>1029</v>
      </c>
      <c r="I435" s="22"/>
      <c r="J435" s="22"/>
      <c r="K435" s="22"/>
      <c r="L435" s="22"/>
      <c r="M435" s="22"/>
      <c r="N435" s="22"/>
      <c r="O435" s="22"/>
      <c r="P435" s="22"/>
      <c r="Q435" s="22"/>
      <c r="R435" s="22"/>
    </row>
    <row r="436" spans="1:18" x14ac:dyDescent="0.25">
      <c r="A436" s="22" t="s">
        <v>959</v>
      </c>
      <c r="B436" s="22" t="s">
        <v>201</v>
      </c>
      <c r="C436" s="22" t="s">
        <v>202</v>
      </c>
      <c r="D436" s="22" t="s">
        <v>1029</v>
      </c>
      <c r="E436" s="22" t="s">
        <v>45</v>
      </c>
      <c r="F436" s="23">
        <v>-669452</v>
      </c>
      <c r="G436" s="24">
        <v>44606</v>
      </c>
      <c r="H436" s="22" t="s">
        <v>1029</v>
      </c>
      <c r="I436" s="22"/>
      <c r="J436" s="22"/>
      <c r="K436" s="22"/>
      <c r="L436" s="22"/>
      <c r="M436" s="22"/>
      <c r="N436" s="22"/>
      <c r="O436" s="22"/>
      <c r="P436" s="22"/>
      <c r="Q436" s="22"/>
      <c r="R436" s="22"/>
    </row>
    <row r="437" spans="1:18" s="39" customFormat="1" x14ac:dyDescent="0.25">
      <c r="A437" s="36" t="s">
        <v>1032</v>
      </c>
      <c r="B437" s="36" t="s">
        <v>201</v>
      </c>
      <c r="C437" s="36" t="s">
        <v>202</v>
      </c>
      <c r="D437" s="36" t="s">
        <v>1031</v>
      </c>
      <c r="E437" s="36" t="s">
        <v>42</v>
      </c>
      <c r="F437" s="37">
        <v>594800</v>
      </c>
      <c r="G437" s="38">
        <v>44635</v>
      </c>
      <c r="H437" s="36" t="s">
        <v>958</v>
      </c>
      <c r="I437" s="36" t="s">
        <v>49</v>
      </c>
      <c r="J437" s="36"/>
      <c r="K437" s="36"/>
      <c r="L437" s="36"/>
      <c r="M437" s="36"/>
      <c r="N437" s="36"/>
      <c r="O437" s="36"/>
      <c r="P437" s="36"/>
      <c r="Q437" s="36"/>
      <c r="R437" s="36"/>
    </row>
    <row r="438" spans="1:18" x14ac:dyDescent="0.25">
      <c r="A438" s="22" t="s">
        <v>1034</v>
      </c>
      <c r="B438" s="22" t="s">
        <v>201</v>
      </c>
      <c r="C438" s="22" t="s">
        <v>202</v>
      </c>
      <c r="D438" s="22" t="s">
        <v>1033</v>
      </c>
      <c r="E438" s="22" t="s">
        <v>57</v>
      </c>
      <c r="F438" s="23">
        <v>-85500</v>
      </c>
      <c r="G438" s="24">
        <v>44596</v>
      </c>
      <c r="H438" s="22" t="s">
        <v>976</v>
      </c>
      <c r="I438" s="22" t="s">
        <v>715</v>
      </c>
      <c r="J438" s="22"/>
      <c r="K438" s="22"/>
      <c r="L438" s="22"/>
      <c r="M438" s="22"/>
      <c r="N438" s="22"/>
      <c r="O438" s="22"/>
      <c r="P438" s="22"/>
      <c r="Q438" s="22"/>
      <c r="R438" s="22"/>
    </row>
    <row r="439" spans="1:18" s="39" customFormat="1" x14ac:dyDescent="0.25">
      <c r="A439" s="36" t="s">
        <v>1036</v>
      </c>
      <c r="B439" s="36" t="s">
        <v>201</v>
      </c>
      <c r="C439" s="36" t="s">
        <v>202</v>
      </c>
      <c r="D439" s="36" t="s">
        <v>1035</v>
      </c>
      <c r="E439" s="36" t="s">
        <v>42</v>
      </c>
      <c r="F439" s="37">
        <v>2243360</v>
      </c>
      <c r="G439" s="38">
        <v>44670</v>
      </c>
      <c r="H439" s="36" t="s">
        <v>1037</v>
      </c>
      <c r="I439" s="36" t="s">
        <v>49</v>
      </c>
      <c r="J439" s="36"/>
      <c r="K439" s="36"/>
      <c r="L439" s="36"/>
      <c r="M439" s="36"/>
      <c r="N439" s="36"/>
      <c r="O439" s="36"/>
      <c r="P439" s="36"/>
      <c r="Q439" s="36"/>
      <c r="R439" s="36"/>
    </row>
    <row r="440" spans="1:18" x14ac:dyDescent="0.25">
      <c r="A440" s="22" t="s">
        <v>1039</v>
      </c>
      <c r="B440" s="22" t="s">
        <v>201</v>
      </c>
      <c r="C440" s="22" t="s">
        <v>202</v>
      </c>
      <c r="D440" s="22" t="s">
        <v>1038</v>
      </c>
      <c r="E440" s="22" t="s">
        <v>45</v>
      </c>
      <c r="F440" s="23">
        <v>-705551</v>
      </c>
      <c r="G440" s="24">
        <v>44609</v>
      </c>
      <c r="H440" s="22" t="s">
        <v>1037</v>
      </c>
      <c r="I440" s="22" t="s">
        <v>1040</v>
      </c>
      <c r="J440" s="22"/>
      <c r="K440" s="22"/>
      <c r="L440" s="22"/>
      <c r="M440" s="22"/>
      <c r="N440" s="22"/>
      <c r="O440" s="22"/>
      <c r="P440" s="22"/>
      <c r="Q440" s="22"/>
      <c r="R440" s="22"/>
    </row>
    <row r="441" spans="1:18" x14ac:dyDescent="0.25">
      <c r="A441" s="22" t="s">
        <v>1042</v>
      </c>
      <c r="B441" s="22" t="s">
        <v>201</v>
      </c>
      <c r="C441" s="22" t="s">
        <v>202</v>
      </c>
      <c r="D441" s="22" t="s">
        <v>1041</v>
      </c>
      <c r="E441" s="22" t="s">
        <v>57</v>
      </c>
      <c r="F441" s="23">
        <v>-67735</v>
      </c>
      <c r="G441" s="24">
        <v>44618</v>
      </c>
      <c r="H441" s="22" t="s">
        <v>1037</v>
      </c>
      <c r="I441" s="22" t="s">
        <v>375</v>
      </c>
      <c r="J441" s="22"/>
      <c r="K441" s="22"/>
      <c r="L441" s="22"/>
      <c r="M441" s="22"/>
      <c r="N441" s="22"/>
      <c r="O441" s="22"/>
      <c r="P441" s="22"/>
      <c r="Q441" s="22"/>
      <c r="R441" s="22"/>
    </row>
    <row r="442" spans="1:18" x14ac:dyDescent="0.25">
      <c r="A442" s="22" t="s">
        <v>1044</v>
      </c>
      <c r="B442" s="22" t="s">
        <v>201</v>
      </c>
      <c r="C442" s="22" t="s">
        <v>202</v>
      </c>
      <c r="D442" s="22" t="s">
        <v>1043</v>
      </c>
      <c r="E442" s="22" t="s">
        <v>57</v>
      </c>
      <c r="F442" s="23">
        <v>-60961</v>
      </c>
      <c r="G442" s="24">
        <v>44615</v>
      </c>
      <c r="H442" s="22" t="s">
        <v>1037</v>
      </c>
      <c r="I442" s="22" t="s">
        <v>375</v>
      </c>
      <c r="J442" s="22"/>
      <c r="K442" s="22"/>
      <c r="L442" s="22"/>
      <c r="M442" s="22"/>
      <c r="N442" s="22"/>
      <c r="O442" s="22"/>
      <c r="P442" s="22"/>
      <c r="Q442" s="22"/>
      <c r="R442" s="22"/>
    </row>
    <row r="443" spans="1:18" x14ac:dyDescent="0.25">
      <c r="A443" s="22" t="s">
        <v>1046</v>
      </c>
      <c r="B443" s="22" t="s">
        <v>201</v>
      </c>
      <c r="C443" s="22" t="s">
        <v>202</v>
      </c>
      <c r="D443" s="22" t="s">
        <v>1045</v>
      </c>
      <c r="E443" s="22" t="s">
        <v>57</v>
      </c>
      <c r="F443" s="23">
        <v>-204334</v>
      </c>
      <c r="G443" s="24">
        <v>44607</v>
      </c>
      <c r="H443" s="22" t="s">
        <v>1037</v>
      </c>
      <c r="I443" s="22" t="s">
        <v>375</v>
      </c>
      <c r="J443" s="22"/>
      <c r="K443" s="22"/>
      <c r="L443" s="22"/>
      <c r="M443" s="22"/>
      <c r="N443" s="22"/>
      <c r="O443" s="22"/>
      <c r="P443" s="22"/>
      <c r="Q443" s="22"/>
      <c r="R443" s="22"/>
    </row>
    <row r="444" spans="1:18" x14ac:dyDescent="0.25">
      <c r="A444" s="22" t="s">
        <v>1048</v>
      </c>
      <c r="B444" s="22" t="s">
        <v>201</v>
      </c>
      <c r="C444" s="22" t="s">
        <v>202</v>
      </c>
      <c r="D444" s="22" t="s">
        <v>1047</v>
      </c>
      <c r="E444" s="22" t="s">
        <v>57</v>
      </c>
      <c r="F444" s="23">
        <v>-60961</v>
      </c>
      <c r="G444" s="24">
        <v>44601</v>
      </c>
      <c r="H444" s="22" t="s">
        <v>1037</v>
      </c>
      <c r="I444" s="22" t="s">
        <v>375</v>
      </c>
      <c r="J444" s="22"/>
      <c r="K444" s="22"/>
      <c r="L444" s="22"/>
      <c r="M444" s="22"/>
      <c r="N444" s="22"/>
      <c r="O444" s="22"/>
      <c r="P444" s="22"/>
      <c r="Q444" s="22"/>
      <c r="R444" s="22"/>
    </row>
    <row r="445" spans="1:18" x14ac:dyDescent="0.25">
      <c r="A445" s="22" t="s">
        <v>1050</v>
      </c>
      <c r="B445" s="22" t="s">
        <v>201</v>
      </c>
      <c r="C445" s="22" t="s">
        <v>202</v>
      </c>
      <c r="D445" s="22" t="s">
        <v>1049</v>
      </c>
      <c r="E445" s="22" t="s">
        <v>57</v>
      </c>
      <c r="F445" s="23">
        <v>-521090</v>
      </c>
      <c r="G445" s="24">
        <v>44601</v>
      </c>
      <c r="H445" s="22" t="s">
        <v>1037</v>
      </c>
      <c r="I445" s="22" t="s">
        <v>375</v>
      </c>
      <c r="J445" s="22"/>
      <c r="K445" s="22"/>
      <c r="L445" s="22"/>
      <c r="M445" s="22"/>
      <c r="N445" s="22"/>
      <c r="O445" s="22"/>
      <c r="P445" s="22"/>
      <c r="Q445" s="22"/>
      <c r="R445" s="22"/>
    </row>
    <row r="446" spans="1:18" x14ac:dyDescent="0.25">
      <c r="A446" s="22" t="s">
        <v>1052</v>
      </c>
      <c r="B446" s="22" t="s">
        <v>201</v>
      </c>
      <c r="C446" s="22" t="s">
        <v>202</v>
      </c>
      <c r="D446" s="22" t="s">
        <v>1051</v>
      </c>
      <c r="E446" s="22" t="s">
        <v>57</v>
      </c>
      <c r="F446" s="23">
        <v>-206064</v>
      </c>
      <c r="G446" s="24">
        <v>44597</v>
      </c>
      <c r="H446" s="22" t="s">
        <v>1037</v>
      </c>
      <c r="I446" s="22" t="s">
        <v>1053</v>
      </c>
      <c r="J446" s="22"/>
      <c r="K446" s="22"/>
      <c r="L446" s="22"/>
      <c r="M446" s="22"/>
      <c r="N446" s="22"/>
      <c r="O446" s="22"/>
      <c r="P446" s="22"/>
      <c r="Q446" s="22"/>
      <c r="R446" s="22"/>
    </row>
    <row r="447" spans="1:18" x14ac:dyDescent="0.25">
      <c r="A447" s="22" t="s">
        <v>1055</v>
      </c>
      <c r="B447" s="22" t="s">
        <v>201</v>
      </c>
      <c r="C447" s="22" t="s">
        <v>202</v>
      </c>
      <c r="D447" s="22" t="s">
        <v>1054</v>
      </c>
      <c r="E447" s="22" t="s">
        <v>57</v>
      </c>
      <c r="F447" s="23">
        <v>-285764</v>
      </c>
      <c r="G447" s="24">
        <v>44593</v>
      </c>
      <c r="H447" s="22" t="s">
        <v>1037</v>
      </c>
      <c r="I447" s="22" t="s">
        <v>1053</v>
      </c>
      <c r="J447" s="22"/>
      <c r="K447" s="22"/>
      <c r="L447" s="22"/>
      <c r="M447" s="22"/>
      <c r="N447" s="22"/>
      <c r="O447" s="22"/>
      <c r="P447" s="22"/>
      <c r="Q447" s="22"/>
      <c r="R447" s="22"/>
    </row>
    <row r="448" spans="1:18" x14ac:dyDescent="0.25">
      <c r="A448" s="22" t="s">
        <v>1057</v>
      </c>
      <c r="B448" s="22" t="s">
        <v>201</v>
      </c>
      <c r="C448" s="22" t="s">
        <v>202</v>
      </c>
      <c r="D448" s="22" t="s">
        <v>1056</v>
      </c>
      <c r="E448" s="22" t="s">
        <v>57</v>
      </c>
      <c r="F448" s="23">
        <v>-50400</v>
      </c>
      <c r="G448" s="24">
        <v>44614</v>
      </c>
      <c r="H448" s="22" t="s">
        <v>1037</v>
      </c>
      <c r="I448" s="22" t="s">
        <v>375</v>
      </c>
      <c r="J448" s="22"/>
      <c r="K448" s="22"/>
      <c r="L448" s="22"/>
      <c r="M448" s="22"/>
      <c r="N448" s="22"/>
      <c r="O448" s="22"/>
      <c r="P448" s="22"/>
      <c r="Q448" s="22"/>
      <c r="R448" s="22"/>
    </row>
    <row r="449" spans="1:18" x14ac:dyDescent="0.25">
      <c r="A449" s="22" t="s">
        <v>1059</v>
      </c>
      <c r="B449" s="22" t="s">
        <v>201</v>
      </c>
      <c r="C449" s="22" t="s">
        <v>202</v>
      </c>
      <c r="D449" s="22" t="s">
        <v>1058</v>
      </c>
      <c r="E449" s="22" t="s">
        <v>57</v>
      </c>
      <c r="F449" s="23">
        <v>-48200</v>
      </c>
      <c r="G449" s="24">
        <v>44608</v>
      </c>
      <c r="H449" s="22" t="s">
        <v>1037</v>
      </c>
      <c r="I449" s="22" t="s">
        <v>375</v>
      </c>
      <c r="J449" s="22"/>
      <c r="K449" s="22"/>
      <c r="L449" s="22"/>
      <c r="M449" s="22"/>
      <c r="N449" s="22"/>
      <c r="O449" s="22"/>
      <c r="P449" s="22"/>
      <c r="Q449" s="22"/>
      <c r="R449" s="22"/>
    </row>
    <row r="450" spans="1:18" x14ac:dyDescent="0.25">
      <c r="A450" s="22" t="s">
        <v>1061</v>
      </c>
      <c r="B450" s="22" t="s">
        <v>201</v>
      </c>
      <c r="C450" s="22" t="s">
        <v>202</v>
      </c>
      <c r="D450" s="22" t="s">
        <v>1060</v>
      </c>
      <c r="E450" s="22" t="s">
        <v>57</v>
      </c>
      <c r="F450" s="23">
        <v>-83200</v>
      </c>
      <c r="G450" s="24">
        <v>44586</v>
      </c>
      <c r="H450" s="22" t="s">
        <v>1037</v>
      </c>
      <c r="I450" s="22" t="s">
        <v>375</v>
      </c>
      <c r="J450" s="22"/>
      <c r="K450" s="22"/>
      <c r="L450" s="22"/>
      <c r="M450" s="22"/>
      <c r="N450" s="22"/>
      <c r="O450" s="22"/>
      <c r="P450" s="22"/>
      <c r="Q450" s="22"/>
      <c r="R450" s="22"/>
    </row>
    <row r="451" spans="1:18" x14ac:dyDescent="0.25">
      <c r="A451" s="22" t="s">
        <v>1063</v>
      </c>
      <c r="B451" s="22" t="s">
        <v>201</v>
      </c>
      <c r="C451" s="22" t="s">
        <v>202</v>
      </c>
      <c r="D451" s="22" t="s">
        <v>1062</v>
      </c>
      <c r="E451" s="22" t="s">
        <v>57</v>
      </c>
      <c r="F451" s="23">
        <v>-7400</v>
      </c>
      <c r="G451" s="24">
        <v>44586</v>
      </c>
      <c r="H451" s="22" t="s">
        <v>1037</v>
      </c>
      <c r="I451" s="22" t="s">
        <v>375</v>
      </c>
      <c r="J451" s="22"/>
      <c r="K451" s="22"/>
      <c r="L451" s="22"/>
      <c r="M451" s="22"/>
      <c r="N451" s="22"/>
      <c r="O451" s="22"/>
      <c r="P451" s="22"/>
      <c r="Q451" s="22"/>
      <c r="R451" s="22"/>
    </row>
    <row r="452" spans="1:18" x14ac:dyDescent="0.25">
      <c r="A452" s="22" t="s">
        <v>1055</v>
      </c>
      <c r="B452" s="22" t="s">
        <v>201</v>
      </c>
      <c r="C452" s="22" t="s">
        <v>202</v>
      </c>
      <c r="D452" s="22" t="s">
        <v>1037</v>
      </c>
      <c r="E452" s="22" t="s">
        <v>45</v>
      </c>
      <c r="F452" s="23">
        <v>-2243360</v>
      </c>
      <c r="G452" s="24">
        <v>44593</v>
      </c>
      <c r="H452" s="22" t="s">
        <v>1037</v>
      </c>
      <c r="I452" s="22"/>
      <c r="J452" s="22"/>
      <c r="K452" s="22"/>
      <c r="L452" s="22"/>
      <c r="M452" s="22"/>
      <c r="N452" s="22"/>
      <c r="O452" s="22"/>
      <c r="P452" s="22"/>
      <c r="Q452" s="22"/>
      <c r="R452" s="22"/>
    </row>
    <row r="453" spans="1:18" x14ac:dyDescent="0.25">
      <c r="A453" s="22" t="s">
        <v>1055</v>
      </c>
      <c r="B453" s="22" t="s">
        <v>201</v>
      </c>
      <c r="C453" s="22" t="s">
        <v>202</v>
      </c>
      <c r="D453" s="22" t="s">
        <v>1037</v>
      </c>
      <c r="E453" s="22" t="s">
        <v>45</v>
      </c>
      <c r="F453" s="23">
        <v>90600</v>
      </c>
      <c r="G453" s="24">
        <v>44593</v>
      </c>
      <c r="H453" s="22" t="s">
        <v>1037</v>
      </c>
      <c r="I453" s="22"/>
      <c r="J453" s="22"/>
      <c r="K453" s="22"/>
      <c r="L453" s="22"/>
      <c r="M453" s="22"/>
      <c r="N453" s="22"/>
      <c r="O453" s="22"/>
      <c r="P453" s="22"/>
      <c r="Q453" s="22"/>
      <c r="R453" s="22"/>
    </row>
    <row r="454" spans="1:18" x14ac:dyDescent="0.25">
      <c r="A454" s="22" t="s">
        <v>1055</v>
      </c>
      <c r="B454" s="22" t="s">
        <v>201</v>
      </c>
      <c r="C454" s="22" t="s">
        <v>202</v>
      </c>
      <c r="D454" s="22" t="s">
        <v>1037</v>
      </c>
      <c r="E454" s="22" t="s">
        <v>45</v>
      </c>
      <c r="F454" s="23">
        <v>2211060</v>
      </c>
      <c r="G454" s="24">
        <v>44593</v>
      </c>
      <c r="H454" s="22" t="s">
        <v>1037</v>
      </c>
      <c r="I454" s="22"/>
      <c r="J454" s="22"/>
      <c r="K454" s="22"/>
      <c r="L454" s="22"/>
      <c r="M454" s="22"/>
      <c r="N454" s="22"/>
      <c r="O454" s="22"/>
      <c r="P454" s="22"/>
      <c r="Q454" s="22"/>
      <c r="R454" s="22"/>
    </row>
    <row r="455" spans="1:18" s="39" customFormat="1" x14ac:dyDescent="0.25">
      <c r="A455" s="36" t="s">
        <v>1065</v>
      </c>
      <c r="B455" s="36" t="s">
        <v>201</v>
      </c>
      <c r="C455" s="36" t="s">
        <v>202</v>
      </c>
      <c r="D455" s="36" t="s">
        <v>1064</v>
      </c>
      <c r="E455" s="36" t="s">
        <v>42</v>
      </c>
      <c r="F455" s="37">
        <v>2766412</v>
      </c>
      <c r="G455" s="38">
        <v>44670</v>
      </c>
      <c r="H455" s="36" t="s">
        <v>1038</v>
      </c>
      <c r="I455" s="36" t="s">
        <v>520</v>
      </c>
      <c r="J455" s="36"/>
      <c r="K455" s="36"/>
      <c r="L455" s="36"/>
      <c r="M455" s="36"/>
      <c r="N455" s="36"/>
      <c r="O455" s="36"/>
      <c r="P455" s="36"/>
      <c r="Q455" s="36"/>
      <c r="R455" s="36"/>
    </row>
    <row r="456" spans="1:18" x14ac:dyDescent="0.25">
      <c r="A456" s="22" t="s">
        <v>1067</v>
      </c>
      <c r="B456" s="22" t="s">
        <v>201</v>
      </c>
      <c r="C456" s="22" t="s">
        <v>202</v>
      </c>
      <c r="D456" s="22" t="s">
        <v>1066</v>
      </c>
      <c r="E456" s="22" t="s">
        <v>57</v>
      </c>
      <c r="F456" s="23">
        <v>-2243360</v>
      </c>
      <c r="G456" s="24">
        <v>44606</v>
      </c>
      <c r="H456" s="22" t="s">
        <v>1038</v>
      </c>
      <c r="I456" s="22" t="s">
        <v>1068</v>
      </c>
      <c r="J456" s="22"/>
      <c r="K456" s="22"/>
      <c r="L456" s="22"/>
      <c r="M456" s="22"/>
      <c r="N456" s="22"/>
      <c r="O456" s="22"/>
      <c r="P456" s="22"/>
      <c r="Q456" s="22"/>
      <c r="R456" s="22"/>
    </row>
    <row r="457" spans="1:18" x14ac:dyDescent="0.25">
      <c r="A457" s="22" t="s">
        <v>1070</v>
      </c>
      <c r="B457" s="22" t="s">
        <v>201</v>
      </c>
      <c r="C457" s="22" t="s">
        <v>202</v>
      </c>
      <c r="D457" s="22" t="s">
        <v>1069</v>
      </c>
      <c r="E457" s="22" t="s">
        <v>57</v>
      </c>
      <c r="F457" s="23">
        <v>-140807</v>
      </c>
      <c r="G457" s="24">
        <v>44620</v>
      </c>
      <c r="H457" s="22" t="s">
        <v>1038</v>
      </c>
      <c r="I457" s="22" t="s">
        <v>1071</v>
      </c>
      <c r="J457" s="22"/>
      <c r="K457" s="22"/>
      <c r="L457" s="22"/>
      <c r="M457" s="22"/>
      <c r="N457" s="22"/>
      <c r="O457" s="22"/>
      <c r="P457" s="22"/>
      <c r="Q457" s="22"/>
      <c r="R457" s="22"/>
    </row>
    <row r="458" spans="1:18" x14ac:dyDescent="0.25">
      <c r="A458" s="22" t="s">
        <v>1039</v>
      </c>
      <c r="B458" s="22" t="s">
        <v>201</v>
      </c>
      <c r="C458" s="22" t="s">
        <v>202</v>
      </c>
      <c r="D458" s="22" t="s">
        <v>1072</v>
      </c>
      <c r="E458" s="22" t="s">
        <v>57</v>
      </c>
      <c r="F458" s="23">
        <v>-849432</v>
      </c>
      <c r="G458" s="24">
        <v>44609</v>
      </c>
      <c r="H458" s="22" t="s">
        <v>1038</v>
      </c>
      <c r="I458" s="22" t="s">
        <v>1053</v>
      </c>
      <c r="J458" s="22"/>
      <c r="K458" s="22"/>
      <c r="L458" s="22"/>
      <c r="M458" s="22"/>
      <c r="N458" s="22"/>
      <c r="O458" s="22"/>
      <c r="P458" s="22"/>
      <c r="Q458" s="22"/>
      <c r="R458" s="22"/>
    </row>
    <row r="459" spans="1:18" x14ac:dyDescent="0.25">
      <c r="A459" s="22" t="s">
        <v>1074</v>
      </c>
      <c r="B459" s="22" t="s">
        <v>201</v>
      </c>
      <c r="C459" s="22" t="s">
        <v>202</v>
      </c>
      <c r="D459" s="22" t="s">
        <v>1073</v>
      </c>
      <c r="E459" s="22" t="s">
        <v>57</v>
      </c>
      <c r="F459" s="23">
        <v>-206064</v>
      </c>
      <c r="G459" s="24">
        <v>44602</v>
      </c>
      <c r="H459" s="22" t="s">
        <v>1038</v>
      </c>
      <c r="I459" s="22" t="s">
        <v>1053</v>
      </c>
      <c r="J459" s="22"/>
      <c r="K459" s="22"/>
      <c r="L459" s="22"/>
      <c r="M459" s="22"/>
      <c r="N459" s="22"/>
      <c r="O459" s="22"/>
      <c r="P459" s="22"/>
      <c r="Q459" s="22"/>
      <c r="R459" s="22"/>
    </row>
    <row r="460" spans="1:18" x14ac:dyDescent="0.25">
      <c r="A460" s="22" t="s">
        <v>1076</v>
      </c>
      <c r="B460" s="22" t="s">
        <v>201</v>
      </c>
      <c r="C460" s="22" t="s">
        <v>202</v>
      </c>
      <c r="D460" s="22" t="s">
        <v>1075</v>
      </c>
      <c r="E460" s="22" t="s">
        <v>57</v>
      </c>
      <c r="F460" s="23">
        <v>-32300</v>
      </c>
      <c r="G460" s="24">
        <v>44617</v>
      </c>
      <c r="H460" s="22" t="s">
        <v>1038</v>
      </c>
      <c r="I460" s="22" t="s">
        <v>1077</v>
      </c>
      <c r="J460" s="22"/>
      <c r="K460" s="22"/>
      <c r="L460" s="22"/>
      <c r="M460" s="22"/>
      <c r="N460" s="22"/>
      <c r="O460" s="22"/>
      <c r="P460" s="22"/>
      <c r="Q460" s="22"/>
      <c r="R460" s="22"/>
    </row>
    <row r="461" spans="1:18" x14ac:dyDescent="0.25">
      <c r="A461" s="22" t="s">
        <v>1039</v>
      </c>
      <c r="B461" s="22" t="s">
        <v>201</v>
      </c>
      <c r="C461" s="22" t="s">
        <v>202</v>
      </c>
      <c r="D461" s="22" t="s">
        <v>1038</v>
      </c>
      <c r="E461" s="22" t="s">
        <v>45</v>
      </c>
      <c r="F461" s="23">
        <v>-523052</v>
      </c>
      <c r="G461" s="24">
        <v>44609</v>
      </c>
      <c r="H461" s="22" t="s">
        <v>1038</v>
      </c>
      <c r="I461" s="22"/>
      <c r="J461" s="22"/>
      <c r="K461" s="22"/>
      <c r="L461" s="22"/>
      <c r="M461" s="22"/>
      <c r="N461" s="22"/>
      <c r="O461" s="22"/>
      <c r="P461" s="22"/>
      <c r="Q461" s="22"/>
      <c r="R461" s="22"/>
    </row>
    <row r="462" spans="1:18" x14ac:dyDescent="0.25">
      <c r="A462" s="22" t="s">
        <v>1039</v>
      </c>
      <c r="B462" s="22" t="s">
        <v>201</v>
      </c>
      <c r="C462" s="22" t="s">
        <v>202</v>
      </c>
      <c r="D462" s="22" t="s">
        <v>1038</v>
      </c>
      <c r="E462" s="22" t="s">
        <v>45</v>
      </c>
      <c r="F462" s="23">
        <v>1228603</v>
      </c>
      <c r="G462" s="24">
        <v>44609</v>
      </c>
      <c r="H462" s="22" t="s">
        <v>1038</v>
      </c>
      <c r="I462" s="22"/>
      <c r="J462" s="22"/>
      <c r="K462" s="22"/>
      <c r="L462" s="22"/>
      <c r="M462" s="22"/>
      <c r="N462" s="22"/>
      <c r="O462" s="22"/>
      <c r="P462" s="22"/>
      <c r="Q462" s="22"/>
      <c r="R462" s="22"/>
    </row>
    <row r="463" spans="1:18" x14ac:dyDescent="0.25">
      <c r="A463" s="22" t="s">
        <v>1079</v>
      </c>
      <c r="B463" s="22" t="s">
        <v>201</v>
      </c>
      <c r="C463" s="22" t="s">
        <v>202</v>
      </c>
      <c r="D463" s="22" t="s">
        <v>1078</v>
      </c>
      <c r="E463" s="22" t="s">
        <v>57</v>
      </c>
      <c r="F463" s="23">
        <v>-51900</v>
      </c>
      <c r="G463" s="24">
        <v>44593</v>
      </c>
      <c r="H463" s="22" t="s">
        <v>976</v>
      </c>
      <c r="I463" s="22" t="s">
        <v>979</v>
      </c>
      <c r="J463" s="22"/>
      <c r="K463" s="22"/>
      <c r="L463" s="22"/>
      <c r="M463" s="22"/>
      <c r="N463" s="22"/>
      <c r="O463" s="22"/>
      <c r="P463" s="22"/>
      <c r="Q463" s="22"/>
      <c r="R463" s="22"/>
    </row>
    <row r="464" spans="1:18" x14ac:dyDescent="0.25">
      <c r="A464" s="22" t="s">
        <v>1081</v>
      </c>
      <c r="B464" s="22" t="s">
        <v>201</v>
      </c>
      <c r="C464" s="22" t="s">
        <v>202</v>
      </c>
      <c r="D464" s="22" t="s">
        <v>1080</v>
      </c>
      <c r="E464" s="22" t="s">
        <v>57</v>
      </c>
      <c r="F464" s="23">
        <v>-78800</v>
      </c>
      <c r="G464" s="24">
        <v>44593</v>
      </c>
      <c r="H464" s="22" t="s">
        <v>976</v>
      </c>
      <c r="I464" s="22" t="s">
        <v>979</v>
      </c>
      <c r="J464" s="22"/>
      <c r="K464" s="22"/>
      <c r="L464" s="22"/>
      <c r="M464" s="22"/>
      <c r="N464" s="22"/>
      <c r="O464" s="22"/>
      <c r="P464" s="22"/>
      <c r="Q464" s="22"/>
      <c r="R464" s="22"/>
    </row>
    <row r="465" spans="1:18" x14ac:dyDescent="0.25">
      <c r="A465" s="22" t="s">
        <v>1083</v>
      </c>
      <c r="B465" s="22" t="s">
        <v>201</v>
      </c>
      <c r="C465" s="22" t="s">
        <v>202</v>
      </c>
      <c r="D465" s="22" t="s">
        <v>1082</v>
      </c>
      <c r="E465" s="22" t="s">
        <v>57</v>
      </c>
      <c r="F465" s="23">
        <v>-125100</v>
      </c>
      <c r="G465" s="24">
        <v>44595</v>
      </c>
      <c r="H465" s="22" t="s">
        <v>976</v>
      </c>
      <c r="I465" s="22" t="s">
        <v>1084</v>
      </c>
      <c r="J465" s="22"/>
      <c r="K465" s="22"/>
      <c r="L465" s="22"/>
      <c r="M465" s="22"/>
      <c r="N465" s="22"/>
      <c r="O465" s="22"/>
      <c r="P465" s="22"/>
      <c r="Q465" s="22"/>
      <c r="R465" s="22"/>
    </row>
    <row r="466" spans="1:18" x14ac:dyDescent="0.25">
      <c r="A466" s="22" t="s">
        <v>1086</v>
      </c>
      <c r="B466" s="22" t="s">
        <v>201</v>
      </c>
      <c r="C466" s="22" t="s">
        <v>202</v>
      </c>
      <c r="D466" s="22" t="s">
        <v>1085</v>
      </c>
      <c r="E466" s="22" t="s">
        <v>57</v>
      </c>
      <c r="F466" s="23">
        <v>-59100</v>
      </c>
      <c r="G466" s="24">
        <v>44593</v>
      </c>
      <c r="H466" s="22" t="s">
        <v>976</v>
      </c>
      <c r="I466" s="22" t="s">
        <v>1087</v>
      </c>
      <c r="J466" s="22"/>
      <c r="K466" s="22"/>
      <c r="L466" s="22"/>
      <c r="M466" s="22"/>
      <c r="N466" s="22"/>
      <c r="O466" s="22"/>
      <c r="P466" s="22"/>
      <c r="Q466" s="22"/>
      <c r="R466" s="22"/>
    </row>
    <row r="467" spans="1:18" x14ac:dyDescent="0.25">
      <c r="A467" s="22" t="s">
        <v>1081</v>
      </c>
      <c r="B467" s="22" t="s">
        <v>201</v>
      </c>
      <c r="C467" s="22" t="s">
        <v>202</v>
      </c>
      <c r="D467" s="22" t="s">
        <v>976</v>
      </c>
      <c r="E467" s="22" t="s">
        <v>45</v>
      </c>
      <c r="F467" s="23">
        <v>1089300</v>
      </c>
      <c r="G467" s="24">
        <v>44593</v>
      </c>
      <c r="H467" s="22" t="s">
        <v>976</v>
      </c>
      <c r="I467" s="22"/>
      <c r="J467" s="22"/>
      <c r="K467" s="22"/>
      <c r="L467" s="22"/>
      <c r="M467" s="22"/>
      <c r="N467" s="22"/>
      <c r="O467" s="22"/>
      <c r="P467" s="22"/>
      <c r="Q467" s="22"/>
      <c r="R467" s="22"/>
    </row>
    <row r="468" spans="1:18" x14ac:dyDescent="0.25">
      <c r="A468" s="22" t="s">
        <v>1081</v>
      </c>
      <c r="B468" s="22" t="s">
        <v>201</v>
      </c>
      <c r="C468" s="22" t="s">
        <v>202</v>
      </c>
      <c r="D468" s="22" t="s">
        <v>976</v>
      </c>
      <c r="E468" s="22" t="s">
        <v>45</v>
      </c>
      <c r="F468" s="23">
        <v>-1040771</v>
      </c>
      <c r="G468" s="24">
        <v>44593</v>
      </c>
      <c r="H468" s="22" t="s">
        <v>976</v>
      </c>
      <c r="I468" s="22"/>
      <c r="J468" s="22"/>
      <c r="K468" s="22"/>
      <c r="L468" s="22"/>
      <c r="M468" s="22"/>
      <c r="N468" s="22"/>
      <c r="O468" s="22"/>
      <c r="P468" s="22"/>
      <c r="Q468" s="22"/>
      <c r="R468" s="22"/>
    </row>
    <row r="469" spans="1:18" x14ac:dyDescent="0.25">
      <c r="A469" s="22" t="s">
        <v>1089</v>
      </c>
      <c r="B469" s="22" t="s">
        <v>201</v>
      </c>
      <c r="C469" s="22" t="s">
        <v>202</v>
      </c>
      <c r="D469" s="22" t="s">
        <v>1088</v>
      </c>
      <c r="E469" s="22" t="s">
        <v>45</v>
      </c>
      <c r="F469" s="23">
        <v>-2254759</v>
      </c>
      <c r="G469" s="24">
        <v>44670</v>
      </c>
      <c r="H469" s="22" t="s">
        <v>1088</v>
      </c>
      <c r="I469" s="22" t="s">
        <v>230</v>
      </c>
      <c r="J469" s="22"/>
      <c r="K469" s="22"/>
      <c r="L469" s="22"/>
      <c r="M469" s="22"/>
      <c r="N469" s="22"/>
      <c r="O469" s="22"/>
      <c r="P469" s="22"/>
      <c r="Q469" s="22"/>
      <c r="R469" s="22"/>
    </row>
    <row r="470" spans="1:18" x14ac:dyDescent="0.25">
      <c r="A470" s="22" t="s">
        <v>1089</v>
      </c>
      <c r="B470" s="22" t="s">
        <v>201</v>
      </c>
      <c r="C470" s="22" t="s">
        <v>202</v>
      </c>
      <c r="D470" s="22" t="s">
        <v>1088</v>
      </c>
      <c r="E470" s="22" t="s">
        <v>45</v>
      </c>
      <c r="F470" s="23">
        <v>2254759</v>
      </c>
      <c r="G470" s="24">
        <v>44670</v>
      </c>
      <c r="H470" s="22" t="s">
        <v>1088</v>
      </c>
      <c r="I470" s="22" t="s">
        <v>230</v>
      </c>
      <c r="J470" s="22"/>
      <c r="K470" s="22"/>
      <c r="L470" s="22"/>
      <c r="M470" s="22"/>
      <c r="N470" s="22"/>
      <c r="O470" s="22"/>
      <c r="P470" s="22"/>
      <c r="Q470" s="22"/>
      <c r="R470" s="22"/>
    </row>
    <row r="471" spans="1:18" s="39" customFormat="1" x14ac:dyDescent="0.25">
      <c r="A471" s="36" t="s">
        <v>1089</v>
      </c>
      <c r="B471" s="36" t="s">
        <v>201</v>
      </c>
      <c r="C471" s="36" t="s">
        <v>202</v>
      </c>
      <c r="D471" s="36" t="s">
        <v>1090</v>
      </c>
      <c r="E471" s="36" t="s">
        <v>42</v>
      </c>
      <c r="F471" s="37">
        <v>2254759</v>
      </c>
      <c r="G471" s="38">
        <v>44670</v>
      </c>
      <c r="H471" s="36" t="s">
        <v>1088</v>
      </c>
      <c r="I471" s="36" t="s">
        <v>49</v>
      </c>
      <c r="J471" s="36"/>
      <c r="K471" s="36"/>
      <c r="L471" s="36"/>
      <c r="M471" s="36"/>
      <c r="N471" s="36"/>
      <c r="O471" s="36"/>
      <c r="P471" s="36"/>
      <c r="Q471" s="36"/>
      <c r="R471" s="36"/>
    </row>
    <row r="472" spans="1:18" x14ac:dyDescent="0.25">
      <c r="A472" s="22" t="s">
        <v>1092</v>
      </c>
      <c r="B472" s="22" t="s">
        <v>201</v>
      </c>
      <c r="C472" s="22" t="s">
        <v>202</v>
      </c>
      <c r="D472" s="22" t="s">
        <v>1091</v>
      </c>
      <c r="E472" s="22" t="s">
        <v>57</v>
      </c>
      <c r="F472" s="23">
        <v>-254263</v>
      </c>
      <c r="G472" s="24">
        <v>44596</v>
      </c>
      <c r="H472" s="22" t="s">
        <v>1088</v>
      </c>
      <c r="I472" s="22" t="s">
        <v>1093</v>
      </c>
      <c r="J472" s="22"/>
      <c r="K472" s="22"/>
      <c r="L472" s="22"/>
      <c r="M472" s="22"/>
      <c r="N472" s="22"/>
      <c r="O472" s="22"/>
      <c r="P472" s="22"/>
      <c r="Q472" s="22"/>
      <c r="R472" s="22"/>
    </row>
    <row r="473" spans="1:18" x14ac:dyDescent="0.25">
      <c r="A473" s="22" t="s">
        <v>1095</v>
      </c>
      <c r="B473" s="22" t="s">
        <v>201</v>
      </c>
      <c r="C473" s="22" t="s">
        <v>202</v>
      </c>
      <c r="D473" s="22" t="s">
        <v>1094</v>
      </c>
      <c r="E473" s="22" t="s">
        <v>57</v>
      </c>
      <c r="F473" s="23">
        <v>-1862596</v>
      </c>
      <c r="G473" s="24">
        <v>44615</v>
      </c>
      <c r="H473" s="22" t="s">
        <v>1088</v>
      </c>
      <c r="I473" s="22" t="s">
        <v>1096</v>
      </c>
      <c r="J473" s="22"/>
      <c r="K473" s="22"/>
      <c r="L473" s="22"/>
      <c r="M473" s="22"/>
      <c r="N473" s="22"/>
      <c r="O473" s="22"/>
      <c r="P473" s="22"/>
      <c r="Q473" s="22"/>
      <c r="R473" s="22"/>
    </row>
    <row r="474" spans="1:18" x14ac:dyDescent="0.25">
      <c r="A474" s="22" t="s">
        <v>1098</v>
      </c>
      <c r="B474" s="22" t="s">
        <v>201</v>
      </c>
      <c r="C474" s="22" t="s">
        <v>202</v>
      </c>
      <c r="D474" s="22" t="s">
        <v>1097</v>
      </c>
      <c r="E474" s="22" t="s">
        <v>57</v>
      </c>
      <c r="F474" s="23">
        <v>-137900</v>
      </c>
      <c r="G474" s="24">
        <v>44601</v>
      </c>
      <c r="H474" s="22" t="s">
        <v>1088</v>
      </c>
      <c r="I474" s="22" t="s">
        <v>1099</v>
      </c>
      <c r="J474" s="22"/>
      <c r="K474" s="22"/>
      <c r="L474" s="22"/>
      <c r="M474" s="22"/>
      <c r="N474" s="22"/>
      <c r="O474" s="22"/>
      <c r="P474" s="22"/>
      <c r="Q474" s="22"/>
      <c r="R474" s="22"/>
    </row>
    <row r="475" spans="1:18" x14ac:dyDescent="0.25">
      <c r="A475" s="22" t="s">
        <v>1101</v>
      </c>
      <c r="B475" s="22" t="s">
        <v>201</v>
      </c>
      <c r="C475" s="22" t="s">
        <v>202</v>
      </c>
      <c r="D475" s="22" t="s">
        <v>1100</v>
      </c>
      <c r="E475" s="22" t="s">
        <v>45</v>
      </c>
      <c r="F475" s="23">
        <v>-59994</v>
      </c>
      <c r="G475" s="24">
        <v>44670</v>
      </c>
      <c r="H475" s="22" t="s">
        <v>1100</v>
      </c>
      <c r="I475" s="22" t="s">
        <v>230</v>
      </c>
      <c r="J475" s="22"/>
      <c r="K475" s="22"/>
      <c r="L475" s="22"/>
      <c r="M475" s="22"/>
      <c r="N475" s="22"/>
      <c r="O475" s="22"/>
      <c r="P475" s="22"/>
      <c r="Q475" s="22"/>
      <c r="R475" s="22"/>
    </row>
    <row r="476" spans="1:18" x14ac:dyDescent="0.25">
      <c r="A476" s="22" t="s">
        <v>1101</v>
      </c>
      <c r="B476" s="22" t="s">
        <v>201</v>
      </c>
      <c r="C476" s="22" t="s">
        <v>202</v>
      </c>
      <c r="D476" s="22" t="s">
        <v>1100</v>
      </c>
      <c r="E476" s="22" t="s">
        <v>45</v>
      </c>
      <c r="F476" s="23">
        <v>59994</v>
      </c>
      <c r="G476" s="24">
        <v>44670</v>
      </c>
      <c r="H476" s="22" t="s">
        <v>1100</v>
      </c>
      <c r="I476" s="22" t="s">
        <v>230</v>
      </c>
      <c r="J476" s="22"/>
      <c r="K476" s="22"/>
      <c r="L476" s="22"/>
      <c r="M476" s="22"/>
      <c r="N476" s="22"/>
      <c r="O476" s="22"/>
      <c r="P476" s="22"/>
      <c r="Q476" s="22"/>
      <c r="R476" s="22"/>
    </row>
    <row r="477" spans="1:18" s="39" customFormat="1" x14ac:dyDescent="0.25">
      <c r="A477" s="36" t="s">
        <v>1101</v>
      </c>
      <c r="B477" s="36" t="s">
        <v>201</v>
      </c>
      <c r="C477" s="36" t="s">
        <v>202</v>
      </c>
      <c r="D477" s="36" t="s">
        <v>1102</v>
      </c>
      <c r="E477" s="36" t="s">
        <v>42</v>
      </c>
      <c r="F477" s="37">
        <v>119157</v>
      </c>
      <c r="G477" s="38">
        <v>44670</v>
      </c>
      <c r="H477" s="36" t="s">
        <v>1100</v>
      </c>
      <c r="I477" s="36" t="s">
        <v>520</v>
      </c>
      <c r="J477" s="36"/>
      <c r="K477" s="36"/>
      <c r="L477" s="36"/>
      <c r="M477" s="36"/>
      <c r="N477" s="36"/>
      <c r="O477" s="36"/>
      <c r="P477" s="36"/>
      <c r="Q477" s="36"/>
      <c r="R477" s="36"/>
    </row>
    <row r="478" spans="1:18" x14ac:dyDescent="0.25">
      <c r="A478" s="22" t="s">
        <v>1104</v>
      </c>
      <c r="B478" s="22" t="s">
        <v>201</v>
      </c>
      <c r="C478" s="22" t="s">
        <v>202</v>
      </c>
      <c r="D478" s="22" t="s">
        <v>1103</v>
      </c>
      <c r="E478" s="22" t="s">
        <v>57</v>
      </c>
      <c r="F478" s="23">
        <v>-59163</v>
      </c>
      <c r="G478" s="24">
        <v>44594</v>
      </c>
      <c r="H478" s="22" t="s">
        <v>1100</v>
      </c>
      <c r="I478" s="22" t="s">
        <v>1105</v>
      </c>
      <c r="J478" s="22"/>
      <c r="K478" s="22"/>
      <c r="L478" s="22"/>
      <c r="M478" s="22"/>
      <c r="N478" s="22"/>
      <c r="O478" s="22"/>
      <c r="P478" s="22"/>
      <c r="Q478" s="22"/>
      <c r="R478" s="22"/>
    </row>
    <row r="479" spans="1:18" x14ac:dyDescent="0.25">
      <c r="A479" s="22" t="s">
        <v>1107</v>
      </c>
      <c r="B479" s="22" t="s">
        <v>201</v>
      </c>
      <c r="C479" s="22" t="s">
        <v>202</v>
      </c>
      <c r="D479" s="22" t="s">
        <v>1106</v>
      </c>
      <c r="E479" s="22" t="s">
        <v>45</v>
      </c>
      <c r="F479" s="23">
        <v>-894</v>
      </c>
      <c r="G479" s="24">
        <v>44609</v>
      </c>
      <c r="H479" s="22" t="s">
        <v>1100</v>
      </c>
      <c r="I479" s="22" t="s">
        <v>1108</v>
      </c>
      <c r="J479" s="22"/>
      <c r="K479" s="22"/>
      <c r="L479" s="22"/>
      <c r="M479" s="22"/>
      <c r="N479" s="22"/>
      <c r="O479" s="22"/>
      <c r="P479" s="22"/>
      <c r="Q479" s="22"/>
      <c r="R479" s="22"/>
    </row>
    <row r="480" spans="1:18" x14ac:dyDescent="0.25">
      <c r="A480" s="22" t="s">
        <v>1110</v>
      </c>
      <c r="B480" s="22" t="s">
        <v>201</v>
      </c>
      <c r="C480" s="22" t="s">
        <v>202</v>
      </c>
      <c r="D480" s="22" t="s">
        <v>1109</v>
      </c>
      <c r="E480" s="22" t="s">
        <v>57</v>
      </c>
      <c r="F480" s="23">
        <v>-59100</v>
      </c>
      <c r="G480" s="24">
        <v>44596</v>
      </c>
      <c r="H480" s="22" t="s">
        <v>1100</v>
      </c>
      <c r="I480" s="22" t="s">
        <v>1111</v>
      </c>
      <c r="J480" s="22"/>
      <c r="K480" s="22"/>
      <c r="L480" s="22"/>
      <c r="M480" s="22"/>
      <c r="N480" s="22"/>
      <c r="O480" s="22"/>
      <c r="P480" s="22"/>
      <c r="Q480" s="22"/>
      <c r="R480" s="22"/>
    </row>
    <row r="481" spans="1:18" s="39" customFormat="1" x14ac:dyDescent="0.25">
      <c r="A481" s="36" t="s">
        <v>1113</v>
      </c>
      <c r="B481" s="36" t="s">
        <v>201</v>
      </c>
      <c r="C481" s="36" t="s">
        <v>202</v>
      </c>
      <c r="D481" s="36" t="s">
        <v>1112</v>
      </c>
      <c r="E481" s="36" t="s">
        <v>42</v>
      </c>
      <c r="F481" s="37">
        <v>380100</v>
      </c>
      <c r="G481" s="38">
        <v>44670</v>
      </c>
      <c r="H481" s="36" t="s">
        <v>1106</v>
      </c>
      <c r="I481" s="36" t="s">
        <v>49</v>
      </c>
      <c r="J481" s="36"/>
      <c r="K481" s="36"/>
      <c r="L481" s="36"/>
      <c r="M481" s="36"/>
      <c r="N481" s="36"/>
      <c r="O481" s="36"/>
      <c r="P481" s="36"/>
      <c r="Q481" s="36"/>
      <c r="R481" s="36"/>
    </row>
    <row r="482" spans="1:18" x14ac:dyDescent="0.25">
      <c r="A482" s="22" t="s">
        <v>1115</v>
      </c>
      <c r="B482" s="22" t="s">
        <v>201</v>
      </c>
      <c r="C482" s="22" t="s">
        <v>202</v>
      </c>
      <c r="D482" s="22" t="s">
        <v>1114</v>
      </c>
      <c r="E482" s="22" t="s">
        <v>57</v>
      </c>
      <c r="F482" s="23">
        <v>-59100</v>
      </c>
      <c r="G482" s="24">
        <v>44618</v>
      </c>
      <c r="H482" s="22" t="s">
        <v>1106</v>
      </c>
      <c r="I482" s="22" t="s">
        <v>1116</v>
      </c>
      <c r="J482" s="22"/>
      <c r="K482" s="22"/>
      <c r="L482" s="22"/>
      <c r="M482" s="22"/>
      <c r="N482" s="22"/>
      <c r="O482" s="22"/>
      <c r="P482" s="22"/>
      <c r="Q482" s="22"/>
      <c r="R482" s="22"/>
    </row>
    <row r="483" spans="1:18" x14ac:dyDescent="0.25">
      <c r="A483" s="22" t="s">
        <v>1118</v>
      </c>
      <c r="B483" s="22" t="s">
        <v>201</v>
      </c>
      <c r="C483" s="22" t="s">
        <v>202</v>
      </c>
      <c r="D483" s="22" t="s">
        <v>1117</v>
      </c>
      <c r="E483" s="22" t="s">
        <v>57</v>
      </c>
      <c r="F483" s="23">
        <v>-261837</v>
      </c>
      <c r="G483" s="24">
        <v>44602</v>
      </c>
      <c r="H483" s="22" t="s">
        <v>1106</v>
      </c>
      <c r="I483" s="22" t="s">
        <v>1119</v>
      </c>
      <c r="J483" s="22"/>
      <c r="K483" s="22"/>
      <c r="L483" s="22"/>
      <c r="M483" s="22"/>
      <c r="N483" s="22"/>
      <c r="O483" s="22"/>
      <c r="P483" s="22"/>
      <c r="Q483" s="22"/>
      <c r="R483" s="22"/>
    </row>
    <row r="484" spans="1:18" x14ac:dyDescent="0.25">
      <c r="A484" s="22" t="s">
        <v>1107</v>
      </c>
      <c r="B484" s="22" t="s">
        <v>201</v>
      </c>
      <c r="C484" s="22" t="s">
        <v>202</v>
      </c>
      <c r="D484" s="22" t="s">
        <v>1120</v>
      </c>
      <c r="E484" s="22" t="s">
        <v>57</v>
      </c>
      <c r="F484" s="23">
        <v>-60057</v>
      </c>
      <c r="G484" s="24">
        <v>44609</v>
      </c>
      <c r="H484" s="22" t="s">
        <v>1106</v>
      </c>
      <c r="I484" s="22" t="s">
        <v>1121</v>
      </c>
      <c r="J484" s="22"/>
      <c r="K484" s="22"/>
      <c r="L484" s="22"/>
      <c r="M484" s="22"/>
      <c r="N484" s="22"/>
      <c r="O484" s="22"/>
      <c r="P484" s="22"/>
      <c r="Q484" s="22"/>
      <c r="R484" s="22"/>
    </row>
    <row r="485" spans="1:18" x14ac:dyDescent="0.25">
      <c r="A485" s="22" t="s">
        <v>1107</v>
      </c>
      <c r="B485" s="22" t="s">
        <v>201</v>
      </c>
      <c r="C485" s="22" t="s">
        <v>202</v>
      </c>
      <c r="D485" s="22" t="s">
        <v>1106</v>
      </c>
      <c r="E485" s="22" t="s">
        <v>45</v>
      </c>
      <c r="F485" s="23">
        <v>-59163</v>
      </c>
      <c r="G485" s="24">
        <v>44609</v>
      </c>
      <c r="H485" s="22" t="s">
        <v>1106</v>
      </c>
      <c r="I485" s="22"/>
      <c r="J485" s="22"/>
      <c r="K485" s="22"/>
      <c r="L485" s="22"/>
      <c r="M485" s="22"/>
      <c r="N485" s="22"/>
      <c r="O485" s="22"/>
      <c r="P485" s="22"/>
      <c r="Q485" s="22"/>
      <c r="R485" s="22"/>
    </row>
    <row r="486" spans="1:18" x14ac:dyDescent="0.25">
      <c r="A486" s="22" t="s">
        <v>1107</v>
      </c>
      <c r="B486" s="22" t="s">
        <v>201</v>
      </c>
      <c r="C486" s="22" t="s">
        <v>202</v>
      </c>
      <c r="D486" s="22" t="s">
        <v>1106</v>
      </c>
      <c r="E486" s="22" t="s">
        <v>45</v>
      </c>
      <c r="F486" s="23">
        <v>60057</v>
      </c>
      <c r="G486" s="24">
        <v>44609</v>
      </c>
      <c r="H486" s="22" t="s">
        <v>1106</v>
      </c>
      <c r="I486" s="22"/>
      <c r="J486" s="22"/>
      <c r="K486" s="22"/>
      <c r="L486" s="22"/>
      <c r="M486" s="22"/>
      <c r="N486" s="22"/>
      <c r="O486" s="22"/>
      <c r="P486" s="22"/>
      <c r="Q486" s="22"/>
      <c r="R486" s="22"/>
    </row>
    <row r="487" spans="1:18" x14ac:dyDescent="0.25">
      <c r="A487" s="22" t="s">
        <v>1123</v>
      </c>
      <c r="B487" s="22" t="s">
        <v>201</v>
      </c>
      <c r="C487" s="22" t="s">
        <v>202</v>
      </c>
      <c r="D487" s="22" t="s">
        <v>1122</v>
      </c>
      <c r="E487" s="22" t="s">
        <v>57</v>
      </c>
      <c r="F487" s="23">
        <v>-113724</v>
      </c>
      <c r="G487" s="24">
        <v>44620</v>
      </c>
      <c r="H487" s="22" t="s">
        <v>1124</v>
      </c>
      <c r="I487" s="22" t="s">
        <v>1125</v>
      </c>
      <c r="J487" s="22"/>
      <c r="K487" s="22"/>
      <c r="L487" s="22"/>
      <c r="M487" s="22"/>
      <c r="N487" s="22"/>
      <c r="O487" s="22"/>
      <c r="P487" s="22"/>
      <c r="Q487" s="22"/>
      <c r="R487" s="22"/>
    </row>
    <row r="488" spans="1:18" x14ac:dyDescent="0.25">
      <c r="A488" s="22" t="s">
        <v>1127</v>
      </c>
      <c r="B488" s="22" t="s">
        <v>201</v>
      </c>
      <c r="C488" s="22" t="s">
        <v>202</v>
      </c>
      <c r="D488" s="22" t="s">
        <v>1126</v>
      </c>
      <c r="E488" s="22" t="s">
        <v>57</v>
      </c>
      <c r="F488" s="23">
        <v>-1000455</v>
      </c>
      <c r="G488" s="24">
        <v>44619</v>
      </c>
      <c r="H488" s="22" t="s">
        <v>1124</v>
      </c>
      <c r="I488" s="22" t="s">
        <v>1128</v>
      </c>
      <c r="J488" s="22"/>
      <c r="K488" s="22"/>
      <c r="L488" s="22"/>
      <c r="M488" s="22"/>
      <c r="N488" s="22"/>
      <c r="O488" s="22"/>
      <c r="P488" s="22"/>
      <c r="Q488" s="22"/>
      <c r="R488" s="22"/>
    </row>
    <row r="489" spans="1:18" x14ac:dyDescent="0.25">
      <c r="A489" s="22" t="s">
        <v>1130</v>
      </c>
      <c r="B489" s="22" t="s">
        <v>201</v>
      </c>
      <c r="C489" s="22" t="s">
        <v>202</v>
      </c>
      <c r="D489" s="22" t="s">
        <v>1129</v>
      </c>
      <c r="E489" s="22" t="s">
        <v>57</v>
      </c>
      <c r="F489" s="23">
        <v>-59978</v>
      </c>
      <c r="G489" s="24">
        <v>44618</v>
      </c>
      <c r="H489" s="22" t="s">
        <v>1124</v>
      </c>
      <c r="I489" s="22" t="s">
        <v>1131</v>
      </c>
      <c r="J489" s="22"/>
      <c r="K489" s="22"/>
      <c r="L489" s="22"/>
      <c r="M489" s="22"/>
      <c r="N489" s="22"/>
      <c r="O489" s="22"/>
      <c r="P489" s="22"/>
      <c r="Q489" s="22"/>
      <c r="R489" s="22"/>
    </row>
    <row r="490" spans="1:18" x14ac:dyDescent="0.25">
      <c r="A490" s="22" t="s">
        <v>1133</v>
      </c>
      <c r="B490" s="22" t="s">
        <v>201</v>
      </c>
      <c r="C490" s="22" t="s">
        <v>202</v>
      </c>
      <c r="D490" s="22" t="s">
        <v>1132</v>
      </c>
      <c r="E490" s="22" t="s">
        <v>57</v>
      </c>
      <c r="F490" s="23">
        <v>-747494</v>
      </c>
      <c r="G490" s="24">
        <v>44613</v>
      </c>
      <c r="H490" s="22" t="s">
        <v>1124</v>
      </c>
      <c r="I490" s="22" t="s">
        <v>1134</v>
      </c>
      <c r="J490" s="22"/>
      <c r="K490" s="22"/>
      <c r="L490" s="22"/>
      <c r="M490" s="22"/>
      <c r="N490" s="22"/>
      <c r="O490" s="22"/>
      <c r="P490" s="22"/>
      <c r="Q490" s="22"/>
      <c r="R490" s="22"/>
    </row>
    <row r="491" spans="1:18" x14ac:dyDescent="0.25">
      <c r="A491" s="22" t="s">
        <v>1136</v>
      </c>
      <c r="B491" s="22" t="s">
        <v>201</v>
      </c>
      <c r="C491" s="22" t="s">
        <v>202</v>
      </c>
      <c r="D491" s="22" t="s">
        <v>1135</v>
      </c>
      <c r="E491" s="22" t="s">
        <v>45</v>
      </c>
      <c r="F491" s="23">
        <v>-94662</v>
      </c>
      <c r="G491" s="24">
        <v>44615</v>
      </c>
      <c r="H491" s="22" t="s">
        <v>1124</v>
      </c>
      <c r="I491" s="22" t="s">
        <v>1137</v>
      </c>
      <c r="J491" s="22"/>
      <c r="K491" s="22"/>
      <c r="L491" s="22"/>
      <c r="M491" s="22"/>
      <c r="N491" s="22"/>
      <c r="O491" s="22"/>
      <c r="P491" s="22"/>
      <c r="Q491" s="22"/>
      <c r="R491" s="22"/>
    </row>
    <row r="492" spans="1:18" x14ac:dyDescent="0.25">
      <c r="A492" s="22" t="s">
        <v>1139</v>
      </c>
      <c r="B492" s="22" t="s">
        <v>201</v>
      </c>
      <c r="C492" s="22" t="s">
        <v>202</v>
      </c>
      <c r="D492" s="22" t="s">
        <v>1138</v>
      </c>
      <c r="E492" s="22" t="s">
        <v>45</v>
      </c>
      <c r="F492" s="23">
        <v>-48485</v>
      </c>
      <c r="G492" s="24">
        <v>44611</v>
      </c>
      <c r="H492" s="22" t="s">
        <v>1124</v>
      </c>
      <c r="I492" s="22" t="s">
        <v>1140</v>
      </c>
      <c r="J492" s="22"/>
      <c r="K492" s="22"/>
      <c r="L492" s="22"/>
      <c r="M492" s="22"/>
      <c r="N492" s="22"/>
      <c r="O492" s="22"/>
      <c r="P492" s="22"/>
      <c r="Q492" s="22"/>
      <c r="R492" s="22"/>
    </row>
    <row r="493" spans="1:18" x14ac:dyDescent="0.25">
      <c r="A493" s="22" t="s">
        <v>1142</v>
      </c>
      <c r="B493" s="22" t="s">
        <v>201</v>
      </c>
      <c r="C493" s="22" t="s">
        <v>202</v>
      </c>
      <c r="D493" s="22" t="s">
        <v>1141</v>
      </c>
      <c r="E493" s="22" t="s">
        <v>45</v>
      </c>
      <c r="F493" s="23">
        <v>-80117</v>
      </c>
      <c r="G493" s="24">
        <v>44610</v>
      </c>
      <c r="H493" s="22" t="s">
        <v>1124</v>
      </c>
      <c r="I493" s="22" t="s">
        <v>1143</v>
      </c>
      <c r="J493" s="22"/>
      <c r="K493" s="22"/>
      <c r="L493" s="22"/>
      <c r="M493" s="22"/>
      <c r="N493" s="22"/>
      <c r="O493" s="22"/>
      <c r="P493" s="22"/>
      <c r="Q493" s="22"/>
      <c r="R493" s="22"/>
    </row>
    <row r="494" spans="1:18" x14ac:dyDescent="0.25">
      <c r="A494" s="22" t="s">
        <v>1145</v>
      </c>
      <c r="B494" s="22" t="s">
        <v>201</v>
      </c>
      <c r="C494" s="22" t="s">
        <v>202</v>
      </c>
      <c r="D494" s="22" t="s">
        <v>1144</v>
      </c>
      <c r="E494" s="22" t="s">
        <v>45</v>
      </c>
      <c r="F494" s="23">
        <v>-46851</v>
      </c>
      <c r="G494" s="24">
        <v>44606</v>
      </c>
      <c r="H494" s="22" t="s">
        <v>1124</v>
      </c>
      <c r="I494" s="22" t="s">
        <v>1146</v>
      </c>
      <c r="J494" s="22"/>
      <c r="K494" s="22"/>
      <c r="L494" s="22"/>
      <c r="M494" s="22"/>
      <c r="N494" s="22"/>
      <c r="O494" s="22"/>
      <c r="P494" s="22"/>
      <c r="Q494" s="22"/>
      <c r="R494" s="22"/>
    </row>
    <row r="495" spans="1:18" x14ac:dyDescent="0.25">
      <c r="A495" s="22" t="s">
        <v>1148</v>
      </c>
      <c r="B495" s="22" t="s">
        <v>201</v>
      </c>
      <c r="C495" s="22" t="s">
        <v>202</v>
      </c>
      <c r="D495" s="22" t="s">
        <v>1147</v>
      </c>
      <c r="E495" s="22" t="s">
        <v>45</v>
      </c>
      <c r="F495" s="23">
        <v>-10821</v>
      </c>
      <c r="G495" s="24">
        <v>44593</v>
      </c>
      <c r="H495" s="22" t="s">
        <v>1124</v>
      </c>
      <c r="I495" s="22" t="s">
        <v>1149</v>
      </c>
      <c r="J495" s="22"/>
      <c r="K495" s="22"/>
      <c r="L495" s="22"/>
      <c r="M495" s="22"/>
      <c r="N495" s="22"/>
      <c r="O495" s="22"/>
      <c r="P495" s="22"/>
      <c r="Q495" s="22"/>
      <c r="R495" s="22"/>
    </row>
    <row r="496" spans="1:18" x14ac:dyDescent="0.25">
      <c r="A496" s="22" t="s">
        <v>1151</v>
      </c>
      <c r="B496" s="22" t="s">
        <v>201</v>
      </c>
      <c r="C496" s="22" t="s">
        <v>202</v>
      </c>
      <c r="D496" s="22" t="s">
        <v>1150</v>
      </c>
      <c r="E496" s="22" t="s">
        <v>57</v>
      </c>
      <c r="F496" s="23">
        <v>-858211</v>
      </c>
      <c r="G496" s="24">
        <v>44620</v>
      </c>
      <c r="H496" s="22" t="s">
        <v>1124</v>
      </c>
      <c r="I496" s="22" t="s">
        <v>1015</v>
      </c>
      <c r="J496" s="22"/>
      <c r="K496" s="22"/>
      <c r="L496" s="22"/>
      <c r="M496" s="22"/>
      <c r="N496" s="22"/>
      <c r="O496" s="22"/>
      <c r="P496" s="22"/>
      <c r="Q496" s="22"/>
      <c r="R496" s="22"/>
    </row>
    <row r="497" spans="1:18" x14ac:dyDescent="0.25">
      <c r="A497" s="22" t="s">
        <v>1153</v>
      </c>
      <c r="B497" s="22" t="s">
        <v>201</v>
      </c>
      <c r="C497" s="22" t="s">
        <v>202</v>
      </c>
      <c r="D497" s="22" t="s">
        <v>1152</v>
      </c>
      <c r="E497" s="22" t="s">
        <v>57</v>
      </c>
      <c r="F497" s="23">
        <v>-59978</v>
      </c>
      <c r="G497" s="24">
        <v>44617</v>
      </c>
      <c r="H497" s="22" t="s">
        <v>1124</v>
      </c>
      <c r="I497" s="22" t="s">
        <v>1154</v>
      </c>
      <c r="J497" s="22"/>
      <c r="K497" s="22"/>
      <c r="L497" s="22"/>
      <c r="M497" s="22"/>
      <c r="N497" s="22"/>
      <c r="O497" s="22"/>
      <c r="P497" s="22"/>
      <c r="Q497" s="22"/>
      <c r="R497" s="22"/>
    </row>
    <row r="498" spans="1:18" x14ac:dyDescent="0.25">
      <c r="A498" s="22" t="s">
        <v>1156</v>
      </c>
      <c r="B498" s="22" t="s">
        <v>201</v>
      </c>
      <c r="C498" s="22" t="s">
        <v>202</v>
      </c>
      <c r="D498" s="22" t="s">
        <v>1155</v>
      </c>
      <c r="E498" s="22" t="s">
        <v>57</v>
      </c>
      <c r="F498" s="23">
        <v>-103500</v>
      </c>
      <c r="G498" s="24">
        <v>44616</v>
      </c>
      <c r="H498" s="22" t="s">
        <v>1124</v>
      </c>
      <c r="I498" s="22" t="s">
        <v>785</v>
      </c>
      <c r="J498" s="22"/>
      <c r="K498" s="22"/>
      <c r="L498" s="22"/>
      <c r="M498" s="22"/>
      <c r="N498" s="22"/>
      <c r="O498" s="22"/>
      <c r="P498" s="22"/>
      <c r="Q498" s="22"/>
      <c r="R498" s="22"/>
    </row>
    <row r="499" spans="1:18" x14ac:dyDescent="0.25">
      <c r="A499" s="22" t="s">
        <v>1158</v>
      </c>
      <c r="B499" s="22" t="s">
        <v>201</v>
      </c>
      <c r="C499" s="22" t="s">
        <v>202</v>
      </c>
      <c r="D499" s="22" t="s">
        <v>1157</v>
      </c>
      <c r="E499" s="22" t="s">
        <v>57</v>
      </c>
      <c r="F499" s="23">
        <v>-681928</v>
      </c>
      <c r="G499" s="24">
        <v>44599</v>
      </c>
      <c r="H499" s="22" t="s">
        <v>1124</v>
      </c>
      <c r="I499" s="22" t="s">
        <v>1159</v>
      </c>
      <c r="J499" s="22"/>
      <c r="K499" s="22"/>
      <c r="L499" s="22"/>
      <c r="M499" s="22"/>
      <c r="N499" s="22"/>
      <c r="O499" s="22"/>
      <c r="P499" s="22"/>
      <c r="Q499" s="22"/>
      <c r="R499" s="22"/>
    </row>
    <row r="500" spans="1:18" x14ac:dyDescent="0.25">
      <c r="A500" s="22" t="s">
        <v>1161</v>
      </c>
      <c r="B500" s="22" t="s">
        <v>201</v>
      </c>
      <c r="C500" s="22" t="s">
        <v>202</v>
      </c>
      <c r="D500" s="22" t="s">
        <v>1160</v>
      </c>
      <c r="E500" s="22" t="s">
        <v>57</v>
      </c>
      <c r="F500" s="23">
        <v>-32300</v>
      </c>
      <c r="G500" s="24">
        <v>44620</v>
      </c>
      <c r="H500" s="22" t="s">
        <v>1124</v>
      </c>
      <c r="I500" s="22" t="s">
        <v>280</v>
      </c>
      <c r="J500" s="22"/>
      <c r="K500" s="22"/>
      <c r="L500" s="22"/>
      <c r="M500" s="22"/>
      <c r="N500" s="22"/>
      <c r="O500" s="22"/>
      <c r="P500" s="22"/>
      <c r="Q500" s="22"/>
      <c r="R500" s="22"/>
    </row>
    <row r="501" spans="1:18" x14ac:dyDescent="0.25">
      <c r="A501" s="22" t="s">
        <v>1163</v>
      </c>
      <c r="B501" s="22" t="s">
        <v>201</v>
      </c>
      <c r="C501" s="22" t="s">
        <v>202</v>
      </c>
      <c r="D501" s="22" t="s">
        <v>1162</v>
      </c>
      <c r="E501" s="22" t="s">
        <v>57</v>
      </c>
      <c r="F501" s="23">
        <v>-32300</v>
      </c>
      <c r="G501" s="24">
        <v>44620</v>
      </c>
      <c r="H501" s="22" t="s">
        <v>1124</v>
      </c>
      <c r="I501" s="22" t="s">
        <v>1164</v>
      </c>
      <c r="J501" s="22"/>
      <c r="K501" s="22"/>
      <c r="L501" s="22"/>
      <c r="M501" s="22"/>
      <c r="N501" s="22"/>
      <c r="O501" s="22"/>
      <c r="P501" s="22"/>
      <c r="Q501" s="22"/>
      <c r="R501" s="22"/>
    </row>
    <row r="502" spans="1:18" x14ac:dyDescent="0.25">
      <c r="A502" s="22" t="s">
        <v>1166</v>
      </c>
      <c r="B502" s="22" t="s">
        <v>201</v>
      </c>
      <c r="C502" s="22" t="s">
        <v>202</v>
      </c>
      <c r="D502" s="22" t="s">
        <v>1165</v>
      </c>
      <c r="E502" s="22" t="s">
        <v>57</v>
      </c>
      <c r="F502" s="23">
        <v>-49900</v>
      </c>
      <c r="G502" s="24">
        <v>44616</v>
      </c>
      <c r="H502" s="22" t="s">
        <v>1124</v>
      </c>
      <c r="I502" s="22" t="s">
        <v>1167</v>
      </c>
      <c r="J502" s="22"/>
      <c r="K502" s="22"/>
      <c r="L502" s="22"/>
      <c r="M502" s="22"/>
      <c r="N502" s="22"/>
      <c r="O502" s="22"/>
      <c r="P502" s="22"/>
      <c r="Q502" s="22"/>
      <c r="R502" s="22"/>
    </row>
    <row r="503" spans="1:18" x14ac:dyDescent="0.25">
      <c r="A503" s="22" t="s">
        <v>1169</v>
      </c>
      <c r="B503" s="22" t="s">
        <v>201</v>
      </c>
      <c r="C503" s="22" t="s">
        <v>202</v>
      </c>
      <c r="D503" s="22" t="s">
        <v>1168</v>
      </c>
      <c r="E503" s="22" t="s">
        <v>57</v>
      </c>
      <c r="F503" s="23">
        <v>-48200</v>
      </c>
      <c r="G503" s="24">
        <v>44615</v>
      </c>
      <c r="H503" s="22" t="s">
        <v>1124</v>
      </c>
      <c r="I503" s="22" t="s">
        <v>919</v>
      </c>
      <c r="J503" s="22"/>
      <c r="K503" s="22"/>
      <c r="L503" s="22"/>
      <c r="M503" s="22"/>
      <c r="N503" s="22"/>
      <c r="O503" s="22"/>
      <c r="P503" s="22"/>
      <c r="Q503" s="22"/>
      <c r="R503" s="22"/>
    </row>
    <row r="504" spans="1:18" x14ac:dyDescent="0.25">
      <c r="A504" s="22" t="s">
        <v>44</v>
      </c>
      <c r="B504" s="22" t="s">
        <v>201</v>
      </c>
      <c r="C504" s="22" t="s">
        <v>202</v>
      </c>
      <c r="D504" s="22" t="s">
        <v>1124</v>
      </c>
      <c r="E504" s="22" t="s">
        <v>45</v>
      </c>
      <c r="F504" s="23">
        <v>-6075292</v>
      </c>
      <c r="G504" s="24">
        <v>44580</v>
      </c>
      <c r="H504" s="22" t="s">
        <v>1124</v>
      </c>
      <c r="I504" s="22"/>
      <c r="J504" s="22"/>
      <c r="K504" s="22"/>
      <c r="L504" s="22"/>
      <c r="M504" s="22"/>
      <c r="N504" s="22"/>
      <c r="O504" s="22"/>
      <c r="P504" s="22"/>
      <c r="Q504" s="22"/>
      <c r="R504" s="22"/>
    </row>
    <row r="505" spans="1:18" x14ac:dyDescent="0.25">
      <c r="A505" s="22" t="s">
        <v>44</v>
      </c>
      <c r="B505" s="22" t="s">
        <v>201</v>
      </c>
      <c r="C505" s="22" t="s">
        <v>202</v>
      </c>
      <c r="D505" s="22" t="s">
        <v>1124</v>
      </c>
      <c r="E505" s="22" t="s">
        <v>45</v>
      </c>
      <c r="F505" s="23">
        <v>2147253</v>
      </c>
      <c r="G505" s="24">
        <v>44580</v>
      </c>
      <c r="H505" s="22" t="s">
        <v>1124</v>
      </c>
      <c r="I505" s="22"/>
      <c r="J505" s="22"/>
      <c r="K505" s="22"/>
      <c r="L505" s="22"/>
      <c r="M505" s="22"/>
      <c r="N505" s="22"/>
      <c r="O505" s="22"/>
      <c r="P505" s="22"/>
      <c r="Q505" s="22"/>
      <c r="R505" s="22"/>
    </row>
    <row r="506" spans="1:18" s="39" customFormat="1" x14ac:dyDescent="0.25">
      <c r="A506" s="36" t="s">
        <v>1171</v>
      </c>
      <c r="B506" s="36" t="s">
        <v>201</v>
      </c>
      <c r="C506" s="36" t="s">
        <v>202</v>
      </c>
      <c r="D506" s="36" t="s">
        <v>1170</v>
      </c>
      <c r="E506" s="36" t="s">
        <v>42</v>
      </c>
      <c r="F506" s="37">
        <v>51900</v>
      </c>
      <c r="G506" s="38">
        <v>44670</v>
      </c>
      <c r="H506" s="36" t="s">
        <v>1172</v>
      </c>
      <c r="I506" s="36" t="s">
        <v>49</v>
      </c>
      <c r="J506" s="36"/>
      <c r="K506" s="36"/>
      <c r="L506" s="36"/>
      <c r="M506" s="36"/>
      <c r="N506" s="36"/>
      <c r="O506" s="36"/>
      <c r="P506" s="36"/>
      <c r="Q506" s="36"/>
      <c r="R506" s="36"/>
    </row>
    <row r="507" spans="1:18" x14ac:dyDescent="0.25">
      <c r="A507" s="22" t="s">
        <v>1174</v>
      </c>
      <c r="B507" s="22" t="s">
        <v>201</v>
      </c>
      <c r="C507" s="22" t="s">
        <v>202</v>
      </c>
      <c r="D507" s="22" t="s">
        <v>1173</v>
      </c>
      <c r="E507" s="22" t="s">
        <v>57</v>
      </c>
      <c r="F507" s="23">
        <v>-36000</v>
      </c>
      <c r="G507" s="24">
        <v>44615</v>
      </c>
      <c r="H507" s="22" t="s">
        <v>1172</v>
      </c>
      <c r="I507" s="22" t="s">
        <v>1175</v>
      </c>
      <c r="J507" s="22"/>
      <c r="K507" s="22"/>
      <c r="L507" s="22"/>
      <c r="M507" s="22"/>
      <c r="N507" s="22"/>
      <c r="O507" s="22"/>
      <c r="P507" s="22"/>
      <c r="Q507" s="22"/>
      <c r="R507" s="22"/>
    </row>
    <row r="508" spans="1:18" x14ac:dyDescent="0.25">
      <c r="A508" s="22" t="s">
        <v>1177</v>
      </c>
      <c r="B508" s="22" t="s">
        <v>201</v>
      </c>
      <c r="C508" s="22" t="s">
        <v>202</v>
      </c>
      <c r="D508" s="22" t="s">
        <v>1176</v>
      </c>
      <c r="E508" s="22" t="s">
        <v>57</v>
      </c>
      <c r="F508" s="23">
        <v>-19300</v>
      </c>
      <c r="G508" s="24">
        <v>44615</v>
      </c>
      <c r="H508" s="22" t="s">
        <v>1172</v>
      </c>
      <c r="I508" s="22" t="s">
        <v>919</v>
      </c>
      <c r="J508" s="22"/>
      <c r="K508" s="22"/>
      <c r="L508" s="22"/>
      <c r="M508" s="22"/>
      <c r="N508" s="22"/>
      <c r="O508" s="22"/>
      <c r="P508" s="22"/>
      <c r="Q508" s="22"/>
      <c r="R508" s="22"/>
    </row>
    <row r="509" spans="1:18" x14ac:dyDescent="0.25">
      <c r="A509" s="22" t="s">
        <v>1174</v>
      </c>
      <c r="B509" s="22" t="s">
        <v>201</v>
      </c>
      <c r="C509" s="22" t="s">
        <v>202</v>
      </c>
      <c r="D509" s="22" t="s">
        <v>1172</v>
      </c>
      <c r="E509" s="22" t="s">
        <v>45</v>
      </c>
      <c r="F509" s="23">
        <v>-15900</v>
      </c>
      <c r="G509" s="24">
        <v>44615</v>
      </c>
      <c r="H509" s="22" t="s">
        <v>1172</v>
      </c>
      <c r="I509" s="22"/>
      <c r="J509" s="22"/>
      <c r="K509" s="22"/>
      <c r="L509" s="22"/>
      <c r="M509" s="22"/>
      <c r="N509" s="22"/>
      <c r="O509" s="22"/>
      <c r="P509" s="22"/>
      <c r="Q509" s="22"/>
      <c r="R509" s="22"/>
    </row>
    <row r="510" spans="1:18" x14ac:dyDescent="0.25">
      <c r="A510" s="22" t="s">
        <v>1174</v>
      </c>
      <c r="B510" s="22" t="s">
        <v>201</v>
      </c>
      <c r="C510" s="22" t="s">
        <v>202</v>
      </c>
      <c r="D510" s="22" t="s">
        <v>1172</v>
      </c>
      <c r="E510" s="22" t="s">
        <v>45</v>
      </c>
      <c r="F510" s="23">
        <v>19300</v>
      </c>
      <c r="G510" s="24">
        <v>44615</v>
      </c>
      <c r="H510" s="22" t="s">
        <v>1172</v>
      </c>
      <c r="I510" s="22"/>
      <c r="J510" s="22"/>
      <c r="K510" s="22"/>
      <c r="L510" s="22"/>
      <c r="M510" s="22"/>
      <c r="N510" s="22"/>
      <c r="O510" s="22"/>
      <c r="P510" s="22"/>
      <c r="Q510" s="22"/>
      <c r="R510" s="22"/>
    </row>
    <row r="511" spans="1:18" s="39" customFormat="1" x14ac:dyDescent="0.25">
      <c r="A511" s="36" t="s">
        <v>1179</v>
      </c>
      <c r="B511" s="36" t="s">
        <v>201</v>
      </c>
      <c r="C511" s="36" t="s">
        <v>202</v>
      </c>
      <c r="D511" s="36" t="s">
        <v>1178</v>
      </c>
      <c r="E511" s="36" t="s">
        <v>42</v>
      </c>
      <c r="F511" s="37">
        <v>306675</v>
      </c>
      <c r="G511" s="38">
        <v>44635</v>
      </c>
      <c r="H511" s="36" t="s">
        <v>1180</v>
      </c>
      <c r="I511" s="36" t="s">
        <v>49</v>
      </c>
      <c r="J511" s="36"/>
      <c r="K511" s="36"/>
      <c r="L511" s="36"/>
      <c r="M511" s="36"/>
      <c r="N511" s="36"/>
      <c r="O511" s="36"/>
      <c r="P511" s="36"/>
      <c r="Q511" s="36"/>
      <c r="R511" s="36"/>
    </row>
    <row r="512" spans="1:18" x14ac:dyDescent="0.25">
      <c r="A512" s="22" t="s">
        <v>948</v>
      </c>
      <c r="B512" s="22" t="s">
        <v>201</v>
      </c>
      <c r="C512" s="22" t="s">
        <v>202</v>
      </c>
      <c r="D512" s="22" t="s">
        <v>946</v>
      </c>
      <c r="E512" s="22" t="s">
        <v>45</v>
      </c>
      <c r="F512" s="23">
        <v>-228172</v>
      </c>
      <c r="G512" s="24">
        <v>44588</v>
      </c>
      <c r="H512" s="22" t="s">
        <v>1180</v>
      </c>
      <c r="I512" s="22" t="s">
        <v>1181</v>
      </c>
      <c r="J512" s="22"/>
      <c r="K512" s="22"/>
      <c r="L512" s="22"/>
      <c r="M512" s="22"/>
      <c r="N512" s="22"/>
      <c r="O512" s="22"/>
      <c r="P512" s="22"/>
      <c r="Q512" s="22"/>
      <c r="R512" s="22"/>
    </row>
    <row r="513" spans="1:18" x14ac:dyDescent="0.25">
      <c r="A513" s="22" t="s">
        <v>1183</v>
      </c>
      <c r="B513" s="22" t="s">
        <v>201</v>
      </c>
      <c r="C513" s="22" t="s">
        <v>202</v>
      </c>
      <c r="D513" s="22" t="s">
        <v>1182</v>
      </c>
      <c r="E513" s="22" t="s">
        <v>45</v>
      </c>
      <c r="F513" s="23">
        <v>-17814</v>
      </c>
      <c r="G513" s="24">
        <v>44614</v>
      </c>
      <c r="H513" s="22" t="s">
        <v>1180</v>
      </c>
      <c r="I513" s="22" t="s">
        <v>1184</v>
      </c>
      <c r="J513" s="22"/>
      <c r="K513" s="22"/>
      <c r="L513" s="22"/>
      <c r="M513" s="22"/>
      <c r="N513" s="22"/>
      <c r="O513" s="22"/>
      <c r="P513" s="22"/>
      <c r="Q513" s="22"/>
      <c r="R513" s="22"/>
    </row>
    <row r="514" spans="1:18" x14ac:dyDescent="0.25">
      <c r="A514" s="22" t="s">
        <v>1186</v>
      </c>
      <c r="B514" s="22" t="s">
        <v>201</v>
      </c>
      <c r="C514" s="22" t="s">
        <v>202</v>
      </c>
      <c r="D514" s="22" t="s">
        <v>1185</v>
      </c>
      <c r="E514" s="22" t="s">
        <v>45</v>
      </c>
      <c r="F514" s="23">
        <v>-75913</v>
      </c>
      <c r="G514" s="24">
        <v>44609</v>
      </c>
      <c r="H514" s="22" t="s">
        <v>1180</v>
      </c>
      <c r="I514" s="22" t="s">
        <v>1187</v>
      </c>
      <c r="J514" s="22"/>
      <c r="K514" s="22"/>
      <c r="L514" s="22"/>
      <c r="M514" s="22"/>
      <c r="N514" s="22"/>
      <c r="O514" s="22"/>
      <c r="P514" s="22"/>
      <c r="Q514" s="22"/>
      <c r="R514" s="22"/>
    </row>
    <row r="515" spans="1:18" x14ac:dyDescent="0.25">
      <c r="A515" s="22" t="s">
        <v>948</v>
      </c>
      <c r="B515" s="22" t="s">
        <v>201</v>
      </c>
      <c r="C515" s="22" t="s">
        <v>202</v>
      </c>
      <c r="D515" s="22" t="s">
        <v>1180</v>
      </c>
      <c r="E515" s="22" t="s">
        <v>45</v>
      </c>
      <c r="F515" s="23">
        <v>-78503</v>
      </c>
      <c r="G515" s="24">
        <v>44588</v>
      </c>
      <c r="H515" s="22" t="s">
        <v>1180</v>
      </c>
      <c r="I515" s="22"/>
      <c r="J515" s="22"/>
      <c r="K515" s="22"/>
      <c r="L515" s="22"/>
      <c r="M515" s="22"/>
      <c r="N515" s="22"/>
      <c r="O515" s="22"/>
      <c r="P515" s="22"/>
      <c r="Q515" s="22"/>
      <c r="R515" s="22"/>
    </row>
    <row r="516" spans="1:18" x14ac:dyDescent="0.25">
      <c r="A516" s="22" t="s">
        <v>948</v>
      </c>
      <c r="B516" s="22" t="s">
        <v>201</v>
      </c>
      <c r="C516" s="22" t="s">
        <v>202</v>
      </c>
      <c r="D516" s="22" t="s">
        <v>1180</v>
      </c>
      <c r="E516" s="22" t="s">
        <v>45</v>
      </c>
      <c r="F516" s="23">
        <v>93727</v>
      </c>
      <c r="G516" s="24">
        <v>44588</v>
      </c>
      <c r="H516" s="22" t="s">
        <v>1180</v>
      </c>
      <c r="I516" s="22"/>
      <c r="J516" s="22"/>
      <c r="K516" s="22"/>
      <c r="L516" s="22"/>
      <c r="M516" s="22"/>
      <c r="N516" s="22"/>
      <c r="O516" s="22"/>
      <c r="P516" s="22"/>
      <c r="Q516" s="22"/>
      <c r="R516" s="22"/>
    </row>
    <row r="517" spans="1:18" s="39" customFormat="1" x14ac:dyDescent="0.25">
      <c r="A517" s="36" t="s">
        <v>1189</v>
      </c>
      <c r="B517" s="36" t="s">
        <v>201</v>
      </c>
      <c r="C517" s="36" t="s">
        <v>202</v>
      </c>
      <c r="D517" s="36" t="s">
        <v>1188</v>
      </c>
      <c r="E517" s="36" t="s">
        <v>42</v>
      </c>
      <c r="F517" s="37">
        <v>60587</v>
      </c>
      <c r="G517" s="38">
        <v>44670</v>
      </c>
      <c r="H517" s="36" t="s">
        <v>1185</v>
      </c>
      <c r="I517" s="36" t="s">
        <v>520</v>
      </c>
      <c r="J517" s="36"/>
      <c r="K517" s="36"/>
      <c r="L517" s="36"/>
      <c r="M517" s="36"/>
      <c r="N517" s="36"/>
      <c r="O517" s="36"/>
      <c r="P517" s="36"/>
      <c r="Q517" s="36"/>
      <c r="R517" s="36"/>
    </row>
    <row r="518" spans="1:18" x14ac:dyDescent="0.25">
      <c r="A518" s="22" t="s">
        <v>1186</v>
      </c>
      <c r="B518" s="22" t="s">
        <v>201</v>
      </c>
      <c r="C518" s="22" t="s">
        <v>202</v>
      </c>
      <c r="D518" s="22" t="s">
        <v>1190</v>
      </c>
      <c r="E518" s="22" t="s">
        <v>57</v>
      </c>
      <c r="F518" s="23">
        <v>-136500</v>
      </c>
      <c r="G518" s="24">
        <v>44609</v>
      </c>
      <c r="H518" s="22" t="s">
        <v>1185</v>
      </c>
      <c r="I518" s="22" t="s">
        <v>1191</v>
      </c>
      <c r="J518" s="22"/>
      <c r="K518" s="22"/>
      <c r="L518" s="22"/>
      <c r="M518" s="22"/>
      <c r="N518" s="22"/>
      <c r="O518" s="22"/>
      <c r="P518" s="22"/>
      <c r="Q518" s="22"/>
      <c r="R518" s="22"/>
    </row>
    <row r="519" spans="1:18" x14ac:dyDescent="0.25">
      <c r="A519" s="22" t="s">
        <v>1186</v>
      </c>
      <c r="B519" s="22" t="s">
        <v>201</v>
      </c>
      <c r="C519" s="22" t="s">
        <v>202</v>
      </c>
      <c r="D519" s="22" t="s">
        <v>1185</v>
      </c>
      <c r="E519" s="22" t="s">
        <v>45</v>
      </c>
      <c r="F519" s="23">
        <v>-60587</v>
      </c>
      <c r="G519" s="24">
        <v>44609</v>
      </c>
      <c r="H519" s="22" t="s">
        <v>1185</v>
      </c>
      <c r="I519" s="22"/>
      <c r="J519" s="22"/>
      <c r="K519" s="22"/>
      <c r="L519" s="22"/>
      <c r="M519" s="22"/>
      <c r="N519" s="22"/>
      <c r="O519" s="22"/>
      <c r="P519" s="22"/>
      <c r="Q519" s="22"/>
      <c r="R519" s="22"/>
    </row>
    <row r="520" spans="1:18" x14ac:dyDescent="0.25">
      <c r="A520" s="22" t="s">
        <v>1186</v>
      </c>
      <c r="B520" s="22" t="s">
        <v>201</v>
      </c>
      <c r="C520" s="22" t="s">
        <v>202</v>
      </c>
      <c r="D520" s="22" t="s">
        <v>1185</v>
      </c>
      <c r="E520" s="22" t="s">
        <v>45</v>
      </c>
      <c r="F520" s="23">
        <v>136500</v>
      </c>
      <c r="G520" s="24">
        <v>44609</v>
      </c>
      <c r="H520" s="22" t="s">
        <v>1185</v>
      </c>
      <c r="I520" s="22"/>
      <c r="J520" s="22"/>
      <c r="K520" s="22"/>
      <c r="L520" s="22"/>
      <c r="M520" s="22"/>
      <c r="N520" s="22"/>
      <c r="O520" s="22"/>
      <c r="P520" s="22"/>
      <c r="Q520" s="22"/>
      <c r="R520" s="22"/>
    </row>
    <row r="521" spans="1:18" s="39" customFormat="1" x14ac:dyDescent="0.25">
      <c r="A521" s="36" t="s">
        <v>50</v>
      </c>
      <c r="B521" s="36" t="s">
        <v>201</v>
      </c>
      <c r="C521" s="36" t="s">
        <v>202</v>
      </c>
      <c r="D521" s="36" t="s">
        <v>1192</v>
      </c>
      <c r="E521" s="36" t="s">
        <v>42</v>
      </c>
      <c r="F521" s="37">
        <v>45100404</v>
      </c>
      <c r="G521" s="38">
        <v>44537</v>
      </c>
      <c r="H521" s="36" t="s">
        <v>1193</v>
      </c>
      <c r="I521" s="36" t="s">
        <v>227</v>
      </c>
      <c r="J521" s="36"/>
      <c r="K521" s="36"/>
      <c r="L521" s="36"/>
      <c r="M521" s="36"/>
      <c r="N521" s="36"/>
      <c r="O521" s="36"/>
      <c r="P521" s="36"/>
      <c r="Q521" s="36"/>
      <c r="R521" s="36"/>
    </row>
    <row r="522" spans="1:18" x14ac:dyDescent="0.25">
      <c r="A522" s="22" t="s">
        <v>117</v>
      </c>
      <c r="B522" s="22" t="s">
        <v>201</v>
      </c>
      <c r="C522" s="22" t="s">
        <v>202</v>
      </c>
      <c r="D522" s="22" t="s">
        <v>119</v>
      </c>
      <c r="E522" s="22" t="s">
        <v>57</v>
      </c>
      <c r="F522" s="23">
        <v>-6881317</v>
      </c>
      <c r="G522" s="24">
        <v>44618</v>
      </c>
      <c r="H522" s="22" t="s">
        <v>1193</v>
      </c>
      <c r="I522" s="22" t="s">
        <v>1194</v>
      </c>
      <c r="J522" s="22"/>
      <c r="K522" s="22"/>
      <c r="L522" s="22"/>
      <c r="M522" s="22"/>
      <c r="N522" s="22"/>
      <c r="O522" s="22"/>
      <c r="P522" s="22"/>
      <c r="Q522" s="22"/>
      <c r="R522" s="22"/>
    </row>
    <row r="523" spans="1:18" x14ac:dyDescent="0.25">
      <c r="A523" s="22" t="s">
        <v>50</v>
      </c>
      <c r="B523" s="22" t="s">
        <v>201</v>
      </c>
      <c r="C523" s="22" t="s">
        <v>202</v>
      </c>
      <c r="D523" s="22" t="s">
        <v>1193</v>
      </c>
      <c r="E523" s="22" t="s">
        <v>45</v>
      </c>
      <c r="F523" s="23">
        <v>-38219087</v>
      </c>
      <c r="G523" s="24">
        <v>44537</v>
      </c>
      <c r="H523" s="22" t="s">
        <v>1193</v>
      </c>
      <c r="I523" s="22"/>
      <c r="J523" s="22"/>
      <c r="K523" s="22"/>
      <c r="L523" s="22"/>
      <c r="M523" s="22"/>
      <c r="N523" s="22"/>
      <c r="O523" s="22"/>
      <c r="P523" s="22"/>
      <c r="Q523" s="22"/>
      <c r="R523" s="22"/>
    </row>
    <row r="524" spans="1:18" s="39" customFormat="1" x14ac:dyDescent="0.25">
      <c r="A524" s="36" t="s">
        <v>44</v>
      </c>
      <c r="B524" s="36" t="s">
        <v>201</v>
      </c>
      <c r="C524" s="36" t="s">
        <v>202</v>
      </c>
      <c r="D524" s="36" t="s">
        <v>1195</v>
      </c>
      <c r="E524" s="36" t="s">
        <v>42</v>
      </c>
      <c r="F524" s="37">
        <v>21231809</v>
      </c>
      <c r="G524" s="38">
        <v>44580</v>
      </c>
      <c r="H524" s="36" t="s">
        <v>1124</v>
      </c>
      <c r="I524" s="36" t="s">
        <v>49</v>
      </c>
      <c r="J524" s="36"/>
      <c r="K524" s="36"/>
      <c r="L524" s="36"/>
      <c r="M524" s="36"/>
      <c r="N524" s="36"/>
      <c r="O524" s="36"/>
      <c r="P524" s="36"/>
      <c r="Q524" s="36"/>
      <c r="R524" s="36"/>
    </row>
    <row r="525" spans="1:18" x14ac:dyDescent="0.25">
      <c r="A525" s="22" t="s">
        <v>948</v>
      </c>
      <c r="B525" s="22" t="s">
        <v>201</v>
      </c>
      <c r="C525" s="22" t="s">
        <v>202</v>
      </c>
      <c r="D525" s="22" t="s">
        <v>1180</v>
      </c>
      <c r="E525" s="22" t="s">
        <v>45</v>
      </c>
      <c r="F525" s="23">
        <v>-15224</v>
      </c>
      <c r="G525" s="24">
        <v>44588</v>
      </c>
      <c r="H525" s="22" t="s">
        <v>1124</v>
      </c>
      <c r="I525" s="22" t="s">
        <v>1196</v>
      </c>
      <c r="J525" s="22"/>
      <c r="K525" s="22"/>
      <c r="L525" s="22"/>
      <c r="M525" s="22"/>
      <c r="N525" s="22"/>
      <c r="O525" s="22"/>
      <c r="P525" s="22"/>
      <c r="Q525" s="22"/>
      <c r="R525" s="22"/>
    </row>
    <row r="526" spans="1:18" x14ac:dyDescent="0.25">
      <c r="A526" s="22" t="s">
        <v>121</v>
      </c>
      <c r="B526" s="22" t="s">
        <v>201</v>
      </c>
      <c r="C526" s="22" t="s">
        <v>202</v>
      </c>
      <c r="D526" s="22" t="s">
        <v>123</v>
      </c>
      <c r="E526" s="22" t="s">
        <v>57</v>
      </c>
      <c r="F526" s="23">
        <v>-5303623</v>
      </c>
      <c r="G526" s="24">
        <v>44590</v>
      </c>
      <c r="H526" s="22" t="s">
        <v>1124</v>
      </c>
      <c r="I526" s="22" t="s">
        <v>1197</v>
      </c>
      <c r="J526" s="22"/>
      <c r="K526" s="22"/>
      <c r="L526" s="22"/>
      <c r="M526" s="22"/>
      <c r="N526" s="22"/>
      <c r="O526" s="22"/>
      <c r="P526" s="22"/>
      <c r="Q526" s="22"/>
      <c r="R526" s="22"/>
    </row>
    <row r="527" spans="1:18" x14ac:dyDescent="0.25">
      <c r="A527" s="22" t="s">
        <v>1174</v>
      </c>
      <c r="B527" s="22" t="s">
        <v>201</v>
      </c>
      <c r="C527" s="22" t="s">
        <v>202</v>
      </c>
      <c r="D527" s="22" t="s">
        <v>1172</v>
      </c>
      <c r="E527" s="22" t="s">
        <v>45</v>
      </c>
      <c r="F527" s="23">
        <v>-3400</v>
      </c>
      <c r="G527" s="24">
        <v>44615</v>
      </c>
      <c r="H527" s="22" t="s">
        <v>1124</v>
      </c>
      <c r="I527" s="22" t="s">
        <v>1198</v>
      </c>
      <c r="J527" s="22"/>
      <c r="K527" s="22"/>
      <c r="L527" s="22"/>
      <c r="M527" s="22"/>
      <c r="N527" s="22"/>
      <c r="O527" s="22"/>
      <c r="P527" s="22"/>
      <c r="Q527" s="22"/>
      <c r="R527" s="22"/>
    </row>
    <row r="528" spans="1:18" x14ac:dyDescent="0.25">
      <c r="A528" s="22" t="s">
        <v>1200</v>
      </c>
      <c r="B528" s="22" t="s">
        <v>201</v>
      </c>
      <c r="C528" s="22" t="s">
        <v>202</v>
      </c>
      <c r="D528" s="22" t="s">
        <v>1199</v>
      </c>
      <c r="E528" s="22" t="s">
        <v>45</v>
      </c>
      <c r="F528" s="23">
        <v>-6705</v>
      </c>
      <c r="G528" s="24">
        <v>44609</v>
      </c>
      <c r="H528" s="22" t="s">
        <v>1124</v>
      </c>
      <c r="I528" s="22" t="s">
        <v>1201</v>
      </c>
      <c r="J528" s="22"/>
      <c r="K528" s="22"/>
      <c r="L528" s="22"/>
      <c r="M528" s="22"/>
      <c r="N528" s="22"/>
      <c r="O528" s="22"/>
      <c r="P528" s="22"/>
      <c r="Q528" s="22"/>
      <c r="R528" s="22"/>
    </row>
    <row r="529" spans="1:18" x14ac:dyDescent="0.25">
      <c r="A529" s="22" t="s">
        <v>1203</v>
      </c>
      <c r="B529" s="22" t="s">
        <v>201</v>
      </c>
      <c r="C529" s="22" t="s">
        <v>202</v>
      </c>
      <c r="D529" s="22" t="s">
        <v>1202</v>
      </c>
      <c r="E529" s="22" t="s">
        <v>57</v>
      </c>
      <c r="F529" s="23">
        <v>-24800</v>
      </c>
      <c r="G529" s="24">
        <v>44616</v>
      </c>
      <c r="H529" s="22" t="s">
        <v>1124</v>
      </c>
      <c r="I529" s="22" t="s">
        <v>1204</v>
      </c>
      <c r="J529" s="22"/>
      <c r="K529" s="22"/>
      <c r="L529" s="22"/>
      <c r="M529" s="22"/>
      <c r="N529" s="22"/>
      <c r="O529" s="22"/>
      <c r="P529" s="22"/>
      <c r="Q529" s="22"/>
      <c r="R529" s="22"/>
    </row>
    <row r="530" spans="1:18" x14ac:dyDescent="0.25">
      <c r="A530" s="22" t="s">
        <v>1206</v>
      </c>
      <c r="B530" s="22" t="s">
        <v>201</v>
      </c>
      <c r="C530" s="22" t="s">
        <v>202</v>
      </c>
      <c r="D530" s="22" t="s">
        <v>1205</v>
      </c>
      <c r="E530" s="22" t="s">
        <v>45</v>
      </c>
      <c r="F530" s="23">
        <v>-57025</v>
      </c>
      <c r="G530" s="24">
        <v>44623</v>
      </c>
      <c r="H530" s="22" t="s">
        <v>1124</v>
      </c>
      <c r="I530" s="22" t="s">
        <v>1207</v>
      </c>
      <c r="J530" s="22"/>
      <c r="K530" s="22"/>
      <c r="L530" s="22"/>
      <c r="M530" s="22"/>
      <c r="N530" s="22"/>
      <c r="O530" s="22"/>
      <c r="P530" s="22"/>
      <c r="Q530" s="22"/>
      <c r="R530" s="22"/>
    </row>
    <row r="531" spans="1:18" x14ac:dyDescent="0.25">
      <c r="A531" s="22" t="s">
        <v>114</v>
      </c>
      <c r="B531" s="22" t="s">
        <v>201</v>
      </c>
      <c r="C531" s="22" t="s">
        <v>202</v>
      </c>
      <c r="D531" s="22" t="s">
        <v>1208</v>
      </c>
      <c r="E531" s="22" t="s">
        <v>45</v>
      </c>
      <c r="F531" s="23">
        <v>-87592</v>
      </c>
      <c r="G531" s="24">
        <v>44621</v>
      </c>
      <c r="H531" s="22" t="s">
        <v>1124</v>
      </c>
      <c r="I531" s="22" t="s">
        <v>1209</v>
      </c>
      <c r="J531" s="22"/>
      <c r="K531" s="22"/>
      <c r="L531" s="22"/>
      <c r="M531" s="22"/>
      <c r="N531" s="22"/>
      <c r="O531" s="22"/>
      <c r="P531" s="22"/>
      <c r="Q531" s="22"/>
      <c r="R531" s="22"/>
    </row>
    <row r="532" spans="1:18" x14ac:dyDescent="0.25">
      <c r="A532" s="22" t="s">
        <v>959</v>
      </c>
      <c r="B532" s="22" t="s">
        <v>201</v>
      </c>
      <c r="C532" s="22" t="s">
        <v>202</v>
      </c>
      <c r="D532" s="22" t="s">
        <v>1210</v>
      </c>
      <c r="E532" s="22" t="s">
        <v>45</v>
      </c>
      <c r="F532" s="23">
        <v>-574985</v>
      </c>
      <c r="G532" s="24">
        <v>44606</v>
      </c>
      <c r="H532" s="22" t="s">
        <v>1124</v>
      </c>
      <c r="I532" s="22" t="s">
        <v>1211</v>
      </c>
      <c r="J532" s="22"/>
      <c r="K532" s="22"/>
      <c r="L532" s="22"/>
      <c r="M532" s="22"/>
      <c r="N532" s="22"/>
      <c r="O532" s="22"/>
      <c r="P532" s="22"/>
      <c r="Q532" s="22"/>
      <c r="R532" s="22"/>
    </row>
    <row r="533" spans="1:18" x14ac:dyDescent="0.25">
      <c r="A533" s="22" t="s">
        <v>1025</v>
      </c>
      <c r="B533" s="22" t="s">
        <v>201</v>
      </c>
      <c r="C533" s="22" t="s">
        <v>202</v>
      </c>
      <c r="D533" s="22" t="s">
        <v>1023</v>
      </c>
      <c r="E533" s="22" t="s">
        <v>45</v>
      </c>
      <c r="F533" s="23">
        <v>-4767661</v>
      </c>
      <c r="G533" s="24">
        <v>44614</v>
      </c>
      <c r="H533" s="22" t="s">
        <v>1124</v>
      </c>
      <c r="I533" s="22" t="s">
        <v>1212</v>
      </c>
      <c r="J533" s="22"/>
      <c r="K533" s="22"/>
      <c r="L533" s="22"/>
      <c r="M533" s="22"/>
      <c r="N533" s="22"/>
      <c r="O533" s="22"/>
      <c r="P533" s="22"/>
      <c r="Q533" s="22"/>
      <c r="R533" s="22"/>
    </row>
    <row r="534" spans="1:18" x14ac:dyDescent="0.25">
      <c r="A534" s="22" t="s">
        <v>1214</v>
      </c>
      <c r="B534" s="22" t="s">
        <v>201</v>
      </c>
      <c r="C534" s="22" t="s">
        <v>202</v>
      </c>
      <c r="D534" s="22" t="s">
        <v>1213</v>
      </c>
      <c r="E534" s="22" t="s">
        <v>57</v>
      </c>
      <c r="F534" s="23">
        <v>-2393851</v>
      </c>
      <c r="G534" s="24">
        <v>44621</v>
      </c>
      <c r="H534" s="22" t="s">
        <v>1124</v>
      </c>
      <c r="I534" s="22" t="s">
        <v>979</v>
      </c>
      <c r="J534" s="22"/>
      <c r="K534" s="22"/>
      <c r="L534" s="22"/>
      <c r="M534" s="22"/>
      <c r="N534" s="22"/>
      <c r="O534" s="22"/>
      <c r="P534" s="22"/>
      <c r="Q534" s="22"/>
      <c r="R534" s="22"/>
    </row>
    <row r="535" spans="1:18" s="39" customFormat="1" x14ac:dyDescent="0.25">
      <c r="A535" s="36" t="s">
        <v>1216</v>
      </c>
      <c r="B535" s="36" t="s">
        <v>201</v>
      </c>
      <c r="C535" s="36" t="s">
        <v>202</v>
      </c>
      <c r="D535" s="36" t="s">
        <v>1215</v>
      </c>
      <c r="E535" s="36" t="s">
        <v>42</v>
      </c>
      <c r="F535" s="37">
        <v>303700</v>
      </c>
      <c r="G535" s="38">
        <v>44670</v>
      </c>
      <c r="H535" s="36" t="s">
        <v>1135</v>
      </c>
      <c r="I535" s="36" t="s">
        <v>49</v>
      </c>
      <c r="J535" s="36"/>
      <c r="K535" s="36"/>
      <c r="L535" s="36"/>
      <c r="M535" s="36"/>
      <c r="N535" s="36"/>
      <c r="O535" s="36"/>
      <c r="P535" s="36"/>
      <c r="Q535" s="36"/>
      <c r="R535" s="36"/>
    </row>
    <row r="536" spans="1:18" s="39" customFormat="1" x14ac:dyDescent="0.25">
      <c r="A536" s="36" t="s">
        <v>1218</v>
      </c>
      <c r="B536" s="36" t="s">
        <v>201</v>
      </c>
      <c r="C536" s="36" t="s">
        <v>202</v>
      </c>
      <c r="D536" s="36" t="s">
        <v>1217</v>
      </c>
      <c r="E536" s="36" t="s">
        <v>42</v>
      </c>
      <c r="F536" s="37">
        <v>953028</v>
      </c>
      <c r="G536" s="38">
        <v>44670</v>
      </c>
      <c r="H536" s="36" t="s">
        <v>1147</v>
      </c>
      <c r="I536" s="36" t="s">
        <v>520</v>
      </c>
      <c r="J536" s="36"/>
      <c r="K536" s="36"/>
      <c r="L536" s="36"/>
      <c r="M536" s="36"/>
      <c r="N536" s="36"/>
      <c r="O536" s="36"/>
      <c r="P536" s="36"/>
      <c r="Q536" s="36"/>
      <c r="R536" s="36"/>
    </row>
    <row r="537" spans="1:18" x14ac:dyDescent="0.25">
      <c r="A537" s="22" t="s">
        <v>1220</v>
      </c>
      <c r="B537" s="22" t="s">
        <v>201</v>
      </c>
      <c r="C537" s="22" t="s">
        <v>202</v>
      </c>
      <c r="D537" s="22" t="s">
        <v>1219</v>
      </c>
      <c r="E537" s="22" t="s">
        <v>57</v>
      </c>
      <c r="F537" s="23">
        <v>-860349</v>
      </c>
      <c r="G537" s="24">
        <v>44603</v>
      </c>
      <c r="H537" s="22" t="s">
        <v>1147</v>
      </c>
      <c r="I537" s="22" t="s">
        <v>1221</v>
      </c>
      <c r="J537" s="22"/>
      <c r="K537" s="22"/>
      <c r="L537" s="22"/>
      <c r="M537" s="22"/>
      <c r="N537" s="22"/>
      <c r="O537" s="22"/>
      <c r="P537" s="22"/>
      <c r="Q537" s="22"/>
      <c r="R537" s="22"/>
    </row>
    <row r="538" spans="1:18" x14ac:dyDescent="0.25">
      <c r="A538" s="22" t="s">
        <v>1148</v>
      </c>
      <c r="B538" s="22" t="s">
        <v>201</v>
      </c>
      <c r="C538" s="22" t="s">
        <v>202</v>
      </c>
      <c r="D538" s="22" t="s">
        <v>1222</v>
      </c>
      <c r="E538" s="22" t="s">
        <v>57</v>
      </c>
      <c r="F538" s="23">
        <v>-103500</v>
      </c>
      <c r="G538" s="24">
        <v>44593</v>
      </c>
      <c r="H538" s="22" t="s">
        <v>1147</v>
      </c>
      <c r="I538" s="22" t="s">
        <v>1223</v>
      </c>
      <c r="J538" s="22"/>
      <c r="K538" s="22"/>
      <c r="L538" s="22"/>
      <c r="M538" s="22"/>
      <c r="N538" s="22"/>
      <c r="O538" s="22"/>
      <c r="P538" s="22"/>
      <c r="Q538" s="22"/>
      <c r="R538" s="22"/>
    </row>
    <row r="539" spans="1:18" x14ac:dyDescent="0.25">
      <c r="A539" s="22" t="s">
        <v>1148</v>
      </c>
      <c r="B539" s="22" t="s">
        <v>201</v>
      </c>
      <c r="C539" s="22" t="s">
        <v>202</v>
      </c>
      <c r="D539" s="22" t="s">
        <v>1147</v>
      </c>
      <c r="E539" s="22" t="s">
        <v>45</v>
      </c>
      <c r="F539" s="23">
        <v>-92679</v>
      </c>
      <c r="G539" s="24">
        <v>44593</v>
      </c>
      <c r="H539" s="22" t="s">
        <v>1147</v>
      </c>
      <c r="I539" s="22"/>
      <c r="J539" s="22"/>
      <c r="K539" s="22"/>
      <c r="L539" s="22"/>
      <c r="M539" s="22"/>
      <c r="N539" s="22"/>
      <c r="O539" s="22"/>
      <c r="P539" s="22"/>
      <c r="Q539" s="22"/>
      <c r="R539" s="22"/>
    </row>
    <row r="540" spans="1:18" x14ac:dyDescent="0.25">
      <c r="A540" s="22" t="s">
        <v>1148</v>
      </c>
      <c r="B540" s="22" t="s">
        <v>201</v>
      </c>
      <c r="C540" s="22" t="s">
        <v>202</v>
      </c>
      <c r="D540" s="22" t="s">
        <v>1147</v>
      </c>
      <c r="E540" s="22" t="s">
        <v>45</v>
      </c>
      <c r="F540" s="23">
        <v>103500</v>
      </c>
      <c r="G540" s="24">
        <v>44593</v>
      </c>
      <c r="H540" s="22" t="s">
        <v>1147</v>
      </c>
      <c r="I540" s="22"/>
      <c r="J540" s="22"/>
      <c r="K540" s="22"/>
      <c r="L540" s="22"/>
      <c r="M540" s="22"/>
      <c r="N540" s="22"/>
      <c r="O540" s="22"/>
      <c r="P540" s="22"/>
      <c r="Q540" s="22"/>
      <c r="R540" s="22"/>
    </row>
    <row r="541" spans="1:18" s="39" customFormat="1" x14ac:dyDescent="0.25">
      <c r="A541" s="36" t="s">
        <v>1225</v>
      </c>
      <c r="B541" s="36" t="s">
        <v>201</v>
      </c>
      <c r="C541" s="36" t="s">
        <v>202</v>
      </c>
      <c r="D541" s="36" t="s">
        <v>1224</v>
      </c>
      <c r="E541" s="36" t="s">
        <v>42</v>
      </c>
      <c r="F541" s="37">
        <v>154591</v>
      </c>
      <c r="G541" s="38">
        <v>44670</v>
      </c>
      <c r="H541" s="36" t="s">
        <v>1208</v>
      </c>
      <c r="I541" s="36" t="s">
        <v>520</v>
      </c>
      <c r="J541" s="36"/>
      <c r="K541" s="36"/>
      <c r="L541" s="36"/>
      <c r="M541" s="36"/>
      <c r="N541" s="36"/>
      <c r="O541" s="36"/>
      <c r="P541" s="36"/>
      <c r="Q541" s="36"/>
      <c r="R541" s="36"/>
    </row>
    <row r="542" spans="1:18" x14ac:dyDescent="0.25">
      <c r="A542" s="22" t="s">
        <v>114</v>
      </c>
      <c r="B542" s="22" t="s">
        <v>201</v>
      </c>
      <c r="C542" s="22" t="s">
        <v>202</v>
      </c>
      <c r="D542" s="22" t="s">
        <v>1226</v>
      </c>
      <c r="E542" s="22" t="s">
        <v>45</v>
      </c>
      <c r="F542" s="23">
        <v>-242183</v>
      </c>
      <c r="G542" s="24">
        <v>44621</v>
      </c>
      <c r="H542" s="22" t="s">
        <v>1208</v>
      </c>
      <c r="I542" s="22" t="s">
        <v>1227</v>
      </c>
      <c r="J542" s="22"/>
      <c r="K542" s="22"/>
      <c r="L542" s="22"/>
      <c r="M542" s="22"/>
      <c r="N542" s="22"/>
      <c r="O542" s="22"/>
      <c r="P542" s="22"/>
      <c r="Q542" s="22"/>
      <c r="R542" s="22"/>
    </row>
    <row r="543" spans="1:18" x14ac:dyDescent="0.25">
      <c r="A543" s="22" t="s">
        <v>114</v>
      </c>
      <c r="B543" s="22" t="s">
        <v>201</v>
      </c>
      <c r="C543" s="22" t="s">
        <v>202</v>
      </c>
      <c r="D543" s="22" t="s">
        <v>1208</v>
      </c>
      <c r="E543" s="22" t="s">
        <v>45</v>
      </c>
      <c r="F543" s="23">
        <v>242183</v>
      </c>
      <c r="G543" s="24">
        <v>44621</v>
      </c>
      <c r="H543" s="22" t="s">
        <v>1208</v>
      </c>
      <c r="I543" s="22"/>
      <c r="J543" s="22"/>
      <c r="K543" s="22"/>
      <c r="L543" s="22"/>
      <c r="M543" s="22"/>
      <c r="N543" s="22"/>
      <c r="O543" s="22"/>
      <c r="P543" s="22"/>
      <c r="Q543" s="22"/>
      <c r="R543" s="22"/>
    </row>
    <row r="544" spans="1:18" x14ac:dyDescent="0.25">
      <c r="A544" s="22" t="s">
        <v>114</v>
      </c>
      <c r="B544" s="22" t="s">
        <v>201</v>
      </c>
      <c r="C544" s="22" t="s">
        <v>202</v>
      </c>
      <c r="D544" s="22" t="s">
        <v>1208</v>
      </c>
      <c r="E544" s="22" t="s">
        <v>45</v>
      </c>
      <c r="F544" s="23">
        <v>-154591</v>
      </c>
      <c r="G544" s="24">
        <v>44621</v>
      </c>
      <c r="H544" s="22" t="s">
        <v>1208</v>
      </c>
      <c r="I544" s="22"/>
      <c r="J544" s="22"/>
      <c r="K544" s="22"/>
      <c r="L544" s="22"/>
      <c r="M544" s="22"/>
      <c r="N544" s="22"/>
      <c r="O544" s="22"/>
      <c r="P544" s="22"/>
      <c r="Q544" s="22"/>
      <c r="R544" s="22"/>
    </row>
    <row r="545" spans="1:18" s="39" customFormat="1" x14ac:dyDescent="0.25">
      <c r="A545" s="36" t="s">
        <v>1229</v>
      </c>
      <c r="B545" s="36" t="s">
        <v>201</v>
      </c>
      <c r="C545" s="36" t="s">
        <v>202</v>
      </c>
      <c r="D545" s="36" t="s">
        <v>1228</v>
      </c>
      <c r="E545" s="36" t="s">
        <v>42</v>
      </c>
      <c r="F545" s="37">
        <v>734620</v>
      </c>
      <c r="G545" s="38">
        <v>44670</v>
      </c>
      <c r="H545" s="36" t="s">
        <v>1226</v>
      </c>
      <c r="I545" s="36" t="s">
        <v>520</v>
      </c>
      <c r="J545" s="36"/>
      <c r="K545" s="36"/>
      <c r="L545" s="36"/>
      <c r="M545" s="36"/>
      <c r="N545" s="36"/>
      <c r="O545" s="36"/>
      <c r="P545" s="36"/>
      <c r="Q545" s="36"/>
      <c r="R545" s="36"/>
    </row>
    <row r="546" spans="1:18" x14ac:dyDescent="0.25">
      <c r="A546" s="22" t="s">
        <v>114</v>
      </c>
      <c r="B546" s="22" t="s">
        <v>201</v>
      </c>
      <c r="C546" s="22" t="s">
        <v>202</v>
      </c>
      <c r="D546" s="22" t="s">
        <v>954</v>
      </c>
      <c r="E546" s="22" t="s">
        <v>45</v>
      </c>
      <c r="F546" s="23">
        <v>-976803</v>
      </c>
      <c r="G546" s="24">
        <v>44621</v>
      </c>
      <c r="H546" s="22" t="s">
        <v>1226</v>
      </c>
      <c r="I546" s="22" t="s">
        <v>1230</v>
      </c>
      <c r="J546" s="22"/>
      <c r="K546" s="22"/>
      <c r="L546" s="22"/>
      <c r="M546" s="22"/>
      <c r="N546" s="22"/>
      <c r="O546" s="22"/>
      <c r="P546" s="22"/>
      <c r="Q546" s="22"/>
      <c r="R546" s="22"/>
    </row>
    <row r="547" spans="1:18" x14ac:dyDescent="0.25">
      <c r="A547" s="22" t="s">
        <v>114</v>
      </c>
      <c r="B547" s="22" t="s">
        <v>201</v>
      </c>
      <c r="C547" s="22" t="s">
        <v>202</v>
      </c>
      <c r="D547" s="22" t="s">
        <v>1226</v>
      </c>
      <c r="E547" s="22" t="s">
        <v>45</v>
      </c>
      <c r="F547" s="23">
        <v>976803</v>
      </c>
      <c r="G547" s="24">
        <v>44621</v>
      </c>
      <c r="H547" s="22" t="s">
        <v>1226</v>
      </c>
      <c r="I547" s="22"/>
      <c r="J547" s="22"/>
      <c r="K547" s="22"/>
      <c r="L547" s="22"/>
      <c r="M547" s="22"/>
      <c r="N547" s="22"/>
      <c r="O547" s="22"/>
      <c r="P547" s="22"/>
      <c r="Q547" s="22"/>
      <c r="R547" s="22"/>
    </row>
    <row r="548" spans="1:18" x14ac:dyDescent="0.25">
      <c r="A548" s="22" t="s">
        <v>114</v>
      </c>
      <c r="B548" s="22" t="s">
        <v>201</v>
      </c>
      <c r="C548" s="22" t="s">
        <v>202</v>
      </c>
      <c r="D548" s="22" t="s">
        <v>1226</v>
      </c>
      <c r="E548" s="22" t="s">
        <v>45</v>
      </c>
      <c r="F548" s="23">
        <v>-734620</v>
      </c>
      <c r="G548" s="24">
        <v>44621</v>
      </c>
      <c r="H548" s="22" t="s">
        <v>1226</v>
      </c>
      <c r="I548" s="22"/>
      <c r="J548" s="22"/>
      <c r="K548" s="22"/>
      <c r="L548" s="22"/>
      <c r="M548" s="22"/>
      <c r="N548" s="22"/>
      <c r="O548" s="22"/>
      <c r="P548" s="22"/>
      <c r="Q548" s="22"/>
      <c r="R548" s="22"/>
    </row>
    <row r="549" spans="1:18" s="39" customFormat="1" x14ac:dyDescent="0.25">
      <c r="A549" s="36" t="s">
        <v>1232</v>
      </c>
      <c r="B549" s="36" t="s">
        <v>201</v>
      </c>
      <c r="C549" s="36" t="s">
        <v>202</v>
      </c>
      <c r="D549" s="36" t="s">
        <v>1231</v>
      </c>
      <c r="E549" s="36" t="s">
        <v>42</v>
      </c>
      <c r="F549" s="37">
        <v>1819312</v>
      </c>
      <c r="G549" s="38">
        <v>44635</v>
      </c>
      <c r="H549" s="36" t="s">
        <v>1210</v>
      </c>
      <c r="I549" s="36" t="s">
        <v>49</v>
      </c>
      <c r="J549" s="36"/>
      <c r="K549" s="36"/>
      <c r="L549" s="36"/>
      <c r="M549" s="36"/>
      <c r="N549" s="36"/>
      <c r="O549" s="36"/>
      <c r="P549" s="36"/>
      <c r="Q549" s="36"/>
      <c r="R549" s="36"/>
    </row>
    <row r="550" spans="1:18" x14ac:dyDescent="0.25">
      <c r="A550" s="22" t="s">
        <v>1234</v>
      </c>
      <c r="B550" s="22" t="s">
        <v>201</v>
      </c>
      <c r="C550" s="22" t="s">
        <v>202</v>
      </c>
      <c r="D550" s="22" t="s">
        <v>1233</v>
      </c>
      <c r="E550" s="22" t="s">
        <v>45</v>
      </c>
      <c r="F550" s="23">
        <v>-1675454</v>
      </c>
      <c r="G550" s="24">
        <v>44605</v>
      </c>
      <c r="H550" s="22" t="s">
        <v>1210</v>
      </c>
      <c r="I550" s="22" t="s">
        <v>1235</v>
      </c>
      <c r="J550" s="22"/>
      <c r="K550" s="22"/>
      <c r="L550" s="22"/>
      <c r="M550" s="22"/>
      <c r="N550" s="22"/>
      <c r="O550" s="22"/>
      <c r="P550" s="22"/>
      <c r="Q550" s="22"/>
      <c r="R550" s="22"/>
    </row>
    <row r="551" spans="1:18" x14ac:dyDescent="0.25">
      <c r="A551" s="22" t="s">
        <v>959</v>
      </c>
      <c r="B551" s="22" t="s">
        <v>201</v>
      </c>
      <c r="C551" s="22" t="s">
        <v>202</v>
      </c>
      <c r="D551" s="22" t="s">
        <v>1029</v>
      </c>
      <c r="E551" s="22" t="s">
        <v>45</v>
      </c>
      <c r="F551" s="23">
        <v>-718843</v>
      </c>
      <c r="G551" s="24">
        <v>44606</v>
      </c>
      <c r="H551" s="22" t="s">
        <v>1210</v>
      </c>
      <c r="I551" s="22" t="s">
        <v>1236</v>
      </c>
      <c r="J551" s="22"/>
      <c r="K551" s="22"/>
      <c r="L551" s="22"/>
      <c r="M551" s="22"/>
      <c r="N551" s="22"/>
      <c r="O551" s="22"/>
      <c r="P551" s="22"/>
      <c r="Q551" s="22"/>
      <c r="R551" s="22"/>
    </row>
    <row r="552" spans="1:18" x14ac:dyDescent="0.25">
      <c r="A552" s="22" t="s">
        <v>959</v>
      </c>
      <c r="B552" s="22" t="s">
        <v>201</v>
      </c>
      <c r="C552" s="22" t="s">
        <v>202</v>
      </c>
      <c r="D552" s="22" t="s">
        <v>1210</v>
      </c>
      <c r="E552" s="22" t="s">
        <v>45</v>
      </c>
      <c r="F552" s="23">
        <v>2394297</v>
      </c>
      <c r="G552" s="24">
        <v>44606</v>
      </c>
      <c r="H552" s="22" t="s">
        <v>1210</v>
      </c>
      <c r="I552" s="22"/>
      <c r="J552" s="22"/>
      <c r="K552" s="22"/>
      <c r="L552" s="22"/>
      <c r="M552" s="22"/>
      <c r="N552" s="22"/>
      <c r="O552" s="22"/>
      <c r="P552" s="22"/>
      <c r="Q552" s="22"/>
      <c r="R552" s="22"/>
    </row>
    <row r="553" spans="1:18" x14ac:dyDescent="0.25">
      <c r="A553" s="22" t="s">
        <v>959</v>
      </c>
      <c r="B553" s="22" t="s">
        <v>201</v>
      </c>
      <c r="C553" s="22" t="s">
        <v>202</v>
      </c>
      <c r="D553" s="22" t="s">
        <v>1210</v>
      </c>
      <c r="E553" s="22" t="s">
        <v>45</v>
      </c>
      <c r="F553" s="23">
        <v>-1819312</v>
      </c>
      <c r="G553" s="24">
        <v>44606</v>
      </c>
      <c r="H553" s="22" t="s">
        <v>1210</v>
      </c>
      <c r="I553" s="22"/>
      <c r="J553" s="22"/>
      <c r="K553" s="22"/>
      <c r="L553" s="22"/>
      <c r="M553" s="22"/>
      <c r="N553" s="22"/>
      <c r="O553" s="22"/>
      <c r="P553" s="22"/>
      <c r="Q553" s="22"/>
      <c r="R553" s="22"/>
    </row>
    <row r="554" spans="1:18" s="39" customFormat="1" x14ac:dyDescent="0.25">
      <c r="A554" s="36" t="s">
        <v>1238</v>
      </c>
      <c r="B554" s="36" t="s">
        <v>201</v>
      </c>
      <c r="C554" s="36" t="s">
        <v>202</v>
      </c>
      <c r="D554" s="36" t="s">
        <v>1237</v>
      </c>
      <c r="E554" s="36" t="s">
        <v>42</v>
      </c>
      <c r="F554" s="37">
        <v>873499</v>
      </c>
      <c r="G554" s="38">
        <v>44635</v>
      </c>
      <c r="H554" s="36" t="s">
        <v>1233</v>
      </c>
      <c r="I554" s="36" t="s">
        <v>49</v>
      </c>
      <c r="J554" s="36"/>
      <c r="K554" s="36"/>
      <c r="L554" s="36"/>
      <c r="M554" s="36"/>
      <c r="N554" s="36"/>
      <c r="O554" s="36"/>
      <c r="P554" s="36"/>
      <c r="Q554" s="36"/>
      <c r="R554" s="36"/>
    </row>
    <row r="555" spans="1:18" x14ac:dyDescent="0.25">
      <c r="A555" s="22" t="s">
        <v>1234</v>
      </c>
      <c r="B555" s="22" t="s">
        <v>201</v>
      </c>
      <c r="C555" s="22" t="s">
        <v>202</v>
      </c>
      <c r="D555" s="22" t="s">
        <v>1239</v>
      </c>
      <c r="E555" s="22" t="s">
        <v>57</v>
      </c>
      <c r="F555" s="23">
        <v>-2548953</v>
      </c>
      <c r="G555" s="24">
        <v>44605</v>
      </c>
      <c r="H555" s="22" t="s">
        <v>1233</v>
      </c>
      <c r="I555" s="22" t="s">
        <v>1240</v>
      </c>
      <c r="J555" s="22"/>
      <c r="K555" s="22"/>
      <c r="L555" s="22"/>
      <c r="M555" s="22"/>
      <c r="N555" s="22"/>
      <c r="O555" s="22"/>
      <c r="P555" s="22"/>
      <c r="Q555" s="22"/>
      <c r="R555" s="22"/>
    </row>
    <row r="556" spans="1:18" x14ac:dyDescent="0.25">
      <c r="A556" s="22" t="s">
        <v>1234</v>
      </c>
      <c r="B556" s="22" t="s">
        <v>201</v>
      </c>
      <c r="C556" s="22" t="s">
        <v>202</v>
      </c>
      <c r="D556" s="22" t="s">
        <v>1233</v>
      </c>
      <c r="E556" s="22" t="s">
        <v>45</v>
      </c>
      <c r="F556" s="23">
        <v>1675454</v>
      </c>
      <c r="G556" s="24">
        <v>44605</v>
      </c>
      <c r="H556" s="22" t="s">
        <v>1233</v>
      </c>
      <c r="I556" s="22"/>
      <c r="J556" s="22"/>
      <c r="K556" s="22"/>
      <c r="L556" s="22"/>
      <c r="M556" s="22"/>
      <c r="N556" s="22"/>
      <c r="O556" s="22"/>
      <c r="P556" s="22"/>
      <c r="Q556" s="22"/>
      <c r="R556" s="22"/>
    </row>
    <row r="557" spans="1:18" s="39" customFormat="1" x14ac:dyDescent="0.25">
      <c r="A557" s="36" t="s">
        <v>1242</v>
      </c>
      <c r="B557" s="36" t="s">
        <v>201</v>
      </c>
      <c r="C557" s="36" t="s">
        <v>202</v>
      </c>
      <c r="D557" s="36" t="s">
        <v>1241</v>
      </c>
      <c r="E557" s="36" t="s">
        <v>42</v>
      </c>
      <c r="F557" s="37">
        <v>74561</v>
      </c>
      <c r="G557" s="38">
        <v>44635</v>
      </c>
      <c r="H557" s="36" t="s">
        <v>1182</v>
      </c>
      <c r="I557" s="36" t="s">
        <v>49</v>
      </c>
      <c r="J557" s="36"/>
      <c r="K557" s="36"/>
      <c r="L557" s="36"/>
      <c r="M557" s="36"/>
      <c r="N557" s="36"/>
      <c r="O557" s="36"/>
      <c r="P557" s="36"/>
      <c r="Q557" s="36"/>
      <c r="R557" s="36"/>
    </row>
    <row r="558" spans="1:18" x14ac:dyDescent="0.25">
      <c r="A558" s="22" t="s">
        <v>1183</v>
      </c>
      <c r="B558" s="22" t="s">
        <v>201</v>
      </c>
      <c r="C558" s="22" t="s">
        <v>202</v>
      </c>
      <c r="D558" s="22" t="s">
        <v>1243</v>
      </c>
      <c r="E558" s="22" t="s">
        <v>57</v>
      </c>
      <c r="F558" s="23">
        <v>-92375</v>
      </c>
      <c r="G558" s="24">
        <v>44614</v>
      </c>
      <c r="H558" s="22" t="s">
        <v>1182</v>
      </c>
      <c r="I558" s="22" t="s">
        <v>1244</v>
      </c>
      <c r="J558" s="22"/>
      <c r="K558" s="22"/>
      <c r="L558" s="22"/>
      <c r="M558" s="22"/>
      <c r="N558" s="22"/>
      <c r="O558" s="22"/>
      <c r="P558" s="22"/>
      <c r="Q558" s="22"/>
      <c r="R558" s="22"/>
    </row>
    <row r="559" spans="1:18" x14ac:dyDescent="0.25">
      <c r="A559" s="22" t="s">
        <v>1183</v>
      </c>
      <c r="B559" s="22" t="s">
        <v>201</v>
      </c>
      <c r="C559" s="22" t="s">
        <v>202</v>
      </c>
      <c r="D559" s="22" t="s">
        <v>1182</v>
      </c>
      <c r="E559" s="22" t="s">
        <v>45</v>
      </c>
      <c r="F559" s="23">
        <v>17814</v>
      </c>
      <c r="G559" s="24">
        <v>44614</v>
      </c>
      <c r="H559" s="22" t="s">
        <v>1182</v>
      </c>
      <c r="I559" s="22"/>
      <c r="J559" s="22"/>
      <c r="K559" s="22"/>
      <c r="L559" s="22"/>
      <c r="M559" s="22"/>
      <c r="N559" s="22"/>
      <c r="O559" s="22"/>
      <c r="P559" s="22"/>
      <c r="Q559" s="22"/>
      <c r="R559" s="22"/>
    </row>
    <row r="560" spans="1:18" x14ac:dyDescent="0.25">
      <c r="A560" s="22" t="s">
        <v>1136</v>
      </c>
      <c r="B560" s="22" t="s">
        <v>201</v>
      </c>
      <c r="C560" s="22" t="s">
        <v>202</v>
      </c>
      <c r="D560" s="22" t="s">
        <v>1245</v>
      </c>
      <c r="E560" s="22" t="s">
        <v>57</v>
      </c>
      <c r="F560" s="23">
        <v>-398362</v>
      </c>
      <c r="G560" s="24">
        <v>44615</v>
      </c>
      <c r="H560" s="22" t="s">
        <v>1135</v>
      </c>
      <c r="I560" s="22" t="s">
        <v>1246</v>
      </c>
      <c r="J560" s="22"/>
      <c r="K560" s="22"/>
      <c r="L560" s="22"/>
      <c r="M560" s="22"/>
      <c r="N560" s="22"/>
      <c r="O560" s="22"/>
      <c r="P560" s="22"/>
      <c r="Q560" s="22"/>
      <c r="R560" s="22"/>
    </row>
    <row r="561" spans="1:18" x14ac:dyDescent="0.25">
      <c r="A561" s="22" t="s">
        <v>1136</v>
      </c>
      <c r="B561" s="22" t="s">
        <v>201</v>
      </c>
      <c r="C561" s="22" t="s">
        <v>202</v>
      </c>
      <c r="D561" s="22" t="s">
        <v>1135</v>
      </c>
      <c r="E561" s="22" t="s">
        <v>45</v>
      </c>
      <c r="F561" s="23">
        <v>94662</v>
      </c>
      <c r="G561" s="24">
        <v>44615</v>
      </c>
      <c r="H561" s="22" t="s">
        <v>1135</v>
      </c>
      <c r="I561" s="22"/>
      <c r="J561" s="22"/>
      <c r="K561" s="22"/>
      <c r="L561" s="22"/>
      <c r="M561" s="22"/>
      <c r="N561" s="22"/>
      <c r="O561" s="22"/>
      <c r="P561" s="22"/>
      <c r="Q561" s="22"/>
      <c r="R561" s="22"/>
    </row>
    <row r="562" spans="1:18" s="39" customFormat="1" x14ac:dyDescent="0.25">
      <c r="A562" s="36" t="s">
        <v>1248</v>
      </c>
      <c r="B562" s="36" t="s">
        <v>201</v>
      </c>
      <c r="C562" s="36" t="s">
        <v>202</v>
      </c>
      <c r="D562" s="36" t="s">
        <v>1247</v>
      </c>
      <c r="E562" s="36" t="s">
        <v>42</v>
      </c>
      <c r="F562" s="37">
        <v>234893</v>
      </c>
      <c r="G562" s="38">
        <v>44670</v>
      </c>
      <c r="H562" s="36" t="s">
        <v>1138</v>
      </c>
      <c r="I562" s="36" t="s">
        <v>49</v>
      </c>
      <c r="J562" s="36"/>
      <c r="K562" s="36"/>
      <c r="L562" s="36"/>
      <c r="M562" s="36"/>
      <c r="N562" s="36"/>
      <c r="O562" s="36"/>
      <c r="P562" s="36"/>
      <c r="Q562" s="36"/>
      <c r="R562" s="36"/>
    </row>
    <row r="563" spans="1:18" x14ac:dyDescent="0.25">
      <c r="A563" s="22" t="s">
        <v>1139</v>
      </c>
      <c r="B563" s="22" t="s">
        <v>201</v>
      </c>
      <c r="C563" s="22" t="s">
        <v>202</v>
      </c>
      <c r="D563" s="22" t="s">
        <v>1249</v>
      </c>
      <c r="E563" s="22" t="s">
        <v>57</v>
      </c>
      <c r="F563" s="23">
        <v>-167600</v>
      </c>
      <c r="G563" s="24">
        <v>44611</v>
      </c>
      <c r="H563" s="22" t="s">
        <v>1138</v>
      </c>
      <c r="I563" s="22" t="s">
        <v>1250</v>
      </c>
      <c r="J563" s="22"/>
      <c r="K563" s="22"/>
      <c r="L563" s="22"/>
      <c r="M563" s="22"/>
      <c r="N563" s="22"/>
      <c r="O563" s="22"/>
      <c r="P563" s="22"/>
      <c r="Q563" s="22"/>
      <c r="R563" s="22"/>
    </row>
    <row r="564" spans="1:18" x14ac:dyDescent="0.25">
      <c r="A564" s="22" t="s">
        <v>1252</v>
      </c>
      <c r="B564" s="22" t="s">
        <v>201</v>
      </c>
      <c r="C564" s="22" t="s">
        <v>202</v>
      </c>
      <c r="D564" s="22" t="s">
        <v>1251</v>
      </c>
      <c r="E564" s="22" t="s">
        <v>57</v>
      </c>
      <c r="F564" s="23">
        <v>-115778</v>
      </c>
      <c r="G564" s="24">
        <v>44610</v>
      </c>
      <c r="H564" s="22" t="s">
        <v>1138</v>
      </c>
      <c r="I564" s="22" t="s">
        <v>1253</v>
      </c>
      <c r="J564" s="22"/>
      <c r="K564" s="22"/>
      <c r="L564" s="22"/>
      <c r="M564" s="22"/>
      <c r="N564" s="22"/>
      <c r="O564" s="22"/>
      <c r="P564" s="22"/>
      <c r="Q564" s="22"/>
      <c r="R564" s="22"/>
    </row>
    <row r="565" spans="1:18" x14ac:dyDescent="0.25">
      <c r="A565" s="22" t="s">
        <v>1139</v>
      </c>
      <c r="B565" s="22" t="s">
        <v>201</v>
      </c>
      <c r="C565" s="22" t="s">
        <v>202</v>
      </c>
      <c r="D565" s="22" t="s">
        <v>1138</v>
      </c>
      <c r="E565" s="22" t="s">
        <v>45</v>
      </c>
      <c r="F565" s="23">
        <v>-234893</v>
      </c>
      <c r="G565" s="24">
        <v>44611</v>
      </c>
      <c r="H565" s="22" t="s">
        <v>1138</v>
      </c>
      <c r="I565" s="22"/>
      <c r="J565" s="22"/>
      <c r="K565" s="22"/>
      <c r="L565" s="22"/>
      <c r="M565" s="22"/>
      <c r="N565" s="22"/>
      <c r="O565" s="22"/>
      <c r="P565" s="22"/>
      <c r="Q565" s="22"/>
      <c r="R565" s="22"/>
    </row>
    <row r="566" spans="1:18" x14ac:dyDescent="0.25">
      <c r="A566" s="22" t="s">
        <v>1139</v>
      </c>
      <c r="B566" s="22" t="s">
        <v>201</v>
      </c>
      <c r="C566" s="22" t="s">
        <v>202</v>
      </c>
      <c r="D566" s="22" t="s">
        <v>1138</v>
      </c>
      <c r="E566" s="22" t="s">
        <v>45</v>
      </c>
      <c r="F566" s="23">
        <v>283378</v>
      </c>
      <c r="G566" s="24">
        <v>44611</v>
      </c>
      <c r="H566" s="22" t="s">
        <v>1138</v>
      </c>
      <c r="I566" s="22"/>
      <c r="J566" s="22"/>
      <c r="K566" s="22"/>
      <c r="L566" s="22"/>
      <c r="M566" s="22"/>
      <c r="N566" s="22"/>
      <c r="O566" s="22"/>
      <c r="P566" s="22"/>
      <c r="Q566" s="22"/>
      <c r="R566" s="22"/>
    </row>
    <row r="567" spans="1:18" s="39" customFormat="1" x14ac:dyDescent="0.25">
      <c r="A567" s="36" t="s">
        <v>1255</v>
      </c>
      <c r="B567" s="36" t="s">
        <v>201</v>
      </c>
      <c r="C567" s="36" t="s">
        <v>202</v>
      </c>
      <c r="D567" s="36" t="s">
        <v>1254</v>
      </c>
      <c r="E567" s="36" t="s">
        <v>42</v>
      </c>
      <c r="F567" s="37">
        <v>74474</v>
      </c>
      <c r="G567" s="38">
        <v>44670</v>
      </c>
      <c r="H567" s="36" t="s">
        <v>1141</v>
      </c>
      <c r="I567" s="36" t="s">
        <v>49</v>
      </c>
      <c r="J567" s="36"/>
      <c r="K567" s="36"/>
      <c r="L567" s="36"/>
      <c r="M567" s="36"/>
      <c r="N567" s="36"/>
      <c r="O567" s="36"/>
      <c r="P567" s="36"/>
      <c r="Q567" s="36"/>
      <c r="R567" s="36"/>
    </row>
    <row r="568" spans="1:18" x14ac:dyDescent="0.25">
      <c r="A568" s="22" t="s">
        <v>1142</v>
      </c>
      <c r="B568" s="22" t="s">
        <v>201</v>
      </c>
      <c r="C568" s="22" t="s">
        <v>202</v>
      </c>
      <c r="D568" s="22" t="s">
        <v>1256</v>
      </c>
      <c r="E568" s="22" t="s">
        <v>57</v>
      </c>
      <c r="F568" s="23">
        <v>-154591</v>
      </c>
      <c r="G568" s="24">
        <v>44610</v>
      </c>
      <c r="H568" s="22" t="s">
        <v>1141</v>
      </c>
      <c r="I568" s="22" t="s">
        <v>711</v>
      </c>
      <c r="J568" s="22"/>
      <c r="K568" s="22"/>
      <c r="L568" s="22"/>
      <c r="M568" s="22"/>
      <c r="N568" s="22"/>
      <c r="O568" s="22"/>
      <c r="P568" s="22"/>
      <c r="Q568" s="22"/>
      <c r="R568" s="22"/>
    </row>
    <row r="569" spans="1:18" x14ac:dyDescent="0.25">
      <c r="A569" s="22" t="s">
        <v>1142</v>
      </c>
      <c r="B569" s="22" t="s">
        <v>201</v>
      </c>
      <c r="C569" s="22" t="s">
        <v>202</v>
      </c>
      <c r="D569" s="22" t="s">
        <v>1141</v>
      </c>
      <c r="E569" s="22" t="s">
        <v>45</v>
      </c>
      <c r="F569" s="23">
        <v>-74474</v>
      </c>
      <c r="G569" s="24">
        <v>44610</v>
      </c>
      <c r="H569" s="22" t="s">
        <v>1141</v>
      </c>
      <c r="I569" s="22"/>
      <c r="J569" s="22"/>
      <c r="K569" s="22"/>
      <c r="L569" s="22"/>
      <c r="M569" s="22"/>
      <c r="N569" s="22"/>
      <c r="O569" s="22"/>
      <c r="P569" s="22"/>
      <c r="Q569" s="22"/>
      <c r="R569" s="22"/>
    </row>
    <row r="570" spans="1:18" x14ac:dyDescent="0.25">
      <c r="A570" s="22" t="s">
        <v>1142</v>
      </c>
      <c r="B570" s="22" t="s">
        <v>201</v>
      </c>
      <c r="C570" s="22" t="s">
        <v>202</v>
      </c>
      <c r="D570" s="22" t="s">
        <v>1141</v>
      </c>
      <c r="E570" s="22" t="s">
        <v>45</v>
      </c>
      <c r="F570" s="23">
        <v>154591</v>
      </c>
      <c r="G570" s="24">
        <v>44610</v>
      </c>
      <c r="H570" s="22" t="s">
        <v>1141</v>
      </c>
      <c r="I570" s="22"/>
      <c r="J570" s="22"/>
      <c r="K570" s="22"/>
      <c r="L570" s="22"/>
      <c r="M570" s="22"/>
      <c r="N570" s="22"/>
      <c r="O570" s="22"/>
      <c r="P570" s="22"/>
      <c r="Q570" s="22"/>
      <c r="R570" s="22"/>
    </row>
    <row r="571" spans="1:18" x14ac:dyDescent="0.25">
      <c r="A571" s="22" t="s">
        <v>1258</v>
      </c>
      <c r="B571" s="22" t="s">
        <v>201</v>
      </c>
      <c r="C571" s="22" t="s">
        <v>202</v>
      </c>
      <c r="D571" s="22" t="s">
        <v>1257</v>
      </c>
      <c r="E571" s="22" t="s">
        <v>45</v>
      </c>
      <c r="F571" s="23">
        <v>-59100</v>
      </c>
      <c r="G571" s="24">
        <v>44670</v>
      </c>
      <c r="H571" s="22" t="s">
        <v>1257</v>
      </c>
      <c r="I571" s="22" t="s">
        <v>230</v>
      </c>
      <c r="J571" s="22"/>
      <c r="K571" s="22"/>
      <c r="L571" s="22"/>
      <c r="M571" s="22"/>
      <c r="N571" s="22"/>
      <c r="O571" s="22"/>
      <c r="P571" s="22"/>
      <c r="Q571" s="22"/>
      <c r="R571" s="22"/>
    </row>
    <row r="572" spans="1:18" x14ac:dyDescent="0.25">
      <c r="A572" s="22" t="s">
        <v>1258</v>
      </c>
      <c r="B572" s="22" t="s">
        <v>201</v>
      </c>
      <c r="C572" s="22" t="s">
        <v>202</v>
      </c>
      <c r="D572" s="22" t="s">
        <v>1257</v>
      </c>
      <c r="E572" s="22" t="s">
        <v>45</v>
      </c>
      <c r="F572" s="23">
        <v>59100</v>
      </c>
      <c r="G572" s="24">
        <v>44670</v>
      </c>
      <c r="H572" s="22" t="s">
        <v>1257</v>
      </c>
      <c r="I572" s="22" t="s">
        <v>230</v>
      </c>
      <c r="J572" s="22"/>
      <c r="K572" s="22"/>
      <c r="L572" s="22"/>
      <c r="M572" s="22"/>
      <c r="N572" s="22"/>
      <c r="O572" s="22"/>
      <c r="P572" s="22"/>
      <c r="Q572" s="22"/>
      <c r="R572" s="22"/>
    </row>
    <row r="573" spans="1:18" s="39" customFormat="1" x14ac:dyDescent="0.25">
      <c r="A573" s="36" t="s">
        <v>1258</v>
      </c>
      <c r="B573" s="36" t="s">
        <v>201</v>
      </c>
      <c r="C573" s="36" t="s">
        <v>202</v>
      </c>
      <c r="D573" s="36" t="s">
        <v>1259</v>
      </c>
      <c r="E573" s="36" t="s">
        <v>42</v>
      </c>
      <c r="F573" s="37">
        <v>59100</v>
      </c>
      <c r="G573" s="38">
        <v>44670</v>
      </c>
      <c r="H573" s="36" t="s">
        <v>1257</v>
      </c>
      <c r="I573" s="36" t="s">
        <v>520</v>
      </c>
      <c r="J573" s="36"/>
      <c r="K573" s="36"/>
      <c r="L573" s="36"/>
      <c r="M573" s="36"/>
      <c r="N573" s="36"/>
      <c r="O573" s="36"/>
      <c r="P573" s="36"/>
      <c r="Q573" s="36"/>
      <c r="R573" s="36"/>
    </row>
    <row r="574" spans="1:18" x14ac:dyDescent="0.25">
      <c r="A574" s="22" t="s">
        <v>1261</v>
      </c>
      <c r="B574" s="22" t="s">
        <v>201</v>
      </c>
      <c r="C574" s="22" t="s">
        <v>202</v>
      </c>
      <c r="D574" s="22" t="s">
        <v>1260</v>
      </c>
      <c r="E574" s="22" t="s">
        <v>57</v>
      </c>
      <c r="F574" s="23">
        <v>-59100</v>
      </c>
      <c r="G574" s="24">
        <v>44613</v>
      </c>
      <c r="H574" s="22" t="s">
        <v>1257</v>
      </c>
      <c r="I574" s="22" t="s">
        <v>1262</v>
      </c>
      <c r="J574" s="22"/>
      <c r="K574" s="22"/>
      <c r="L574" s="22"/>
      <c r="M574" s="22"/>
      <c r="N574" s="22"/>
      <c r="O574" s="22"/>
      <c r="P574" s="22"/>
      <c r="Q574" s="22"/>
      <c r="R574" s="22"/>
    </row>
    <row r="575" spans="1:18" s="39" customFormat="1" x14ac:dyDescent="0.25">
      <c r="A575" s="36" t="s">
        <v>1264</v>
      </c>
      <c r="B575" s="36" t="s">
        <v>201</v>
      </c>
      <c r="C575" s="36" t="s">
        <v>202</v>
      </c>
      <c r="D575" s="36" t="s">
        <v>1263</v>
      </c>
      <c r="E575" s="36" t="s">
        <v>42</v>
      </c>
      <c r="F575" s="37">
        <v>29295</v>
      </c>
      <c r="G575" s="38">
        <v>44670</v>
      </c>
      <c r="H575" s="36" t="s">
        <v>1199</v>
      </c>
      <c r="I575" s="36" t="s">
        <v>520</v>
      </c>
      <c r="J575" s="36"/>
      <c r="K575" s="36"/>
      <c r="L575" s="36"/>
      <c r="M575" s="36"/>
      <c r="N575" s="36"/>
      <c r="O575" s="36"/>
      <c r="P575" s="36"/>
      <c r="Q575" s="36"/>
      <c r="R575" s="36"/>
    </row>
    <row r="576" spans="1:18" x14ac:dyDescent="0.25">
      <c r="A576" s="22" t="s">
        <v>1200</v>
      </c>
      <c r="B576" s="22" t="s">
        <v>201</v>
      </c>
      <c r="C576" s="22" t="s">
        <v>202</v>
      </c>
      <c r="D576" s="22" t="s">
        <v>1265</v>
      </c>
      <c r="E576" s="22" t="s">
        <v>57</v>
      </c>
      <c r="F576" s="23">
        <v>-36000</v>
      </c>
      <c r="G576" s="24">
        <v>44609</v>
      </c>
      <c r="H576" s="22" t="s">
        <v>1199</v>
      </c>
      <c r="I576" s="22" t="s">
        <v>1204</v>
      </c>
      <c r="J576" s="22"/>
      <c r="K576" s="22"/>
      <c r="L576" s="22"/>
      <c r="M576" s="22"/>
      <c r="N576" s="22"/>
      <c r="O576" s="22"/>
      <c r="P576" s="22"/>
      <c r="Q576" s="22"/>
      <c r="R576" s="22"/>
    </row>
    <row r="577" spans="1:18" x14ac:dyDescent="0.25">
      <c r="A577" s="22" t="s">
        <v>1200</v>
      </c>
      <c r="B577" s="22" t="s">
        <v>201</v>
      </c>
      <c r="C577" s="22" t="s">
        <v>202</v>
      </c>
      <c r="D577" s="22" t="s">
        <v>1199</v>
      </c>
      <c r="E577" s="22" t="s">
        <v>45</v>
      </c>
      <c r="F577" s="23">
        <v>6705</v>
      </c>
      <c r="G577" s="24">
        <v>44609</v>
      </c>
      <c r="H577" s="22" t="s">
        <v>1199</v>
      </c>
      <c r="I577" s="22"/>
      <c r="J577" s="22"/>
      <c r="K577" s="22"/>
      <c r="L577" s="22"/>
      <c r="M577" s="22"/>
      <c r="N577" s="22"/>
      <c r="O577" s="22"/>
      <c r="P577" s="22"/>
      <c r="Q577" s="22"/>
      <c r="R577" s="22"/>
    </row>
    <row r="578" spans="1:18" s="39" customFormat="1" x14ac:dyDescent="0.25">
      <c r="A578" s="36" t="s">
        <v>1267</v>
      </c>
      <c r="B578" s="36" t="s">
        <v>201</v>
      </c>
      <c r="C578" s="36" t="s">
        <v>202</v>
      </c>
      <c r="D578" s="36" t="s">
        <v>1266</v>
      </c>
      <c r="E578" s="36" t="s">
        <v>42</v>
      </c>
      <c r="F578" s="37">
        <v>120621</v>
      </c>
      <c r="G578" s="38">
        <v>44670</v>
      </c>
      <c r="H578" s="36" t="s">
        <v>1144</v>
      </c>
      <c r="I578" s="36" t="s">
        <v>520</v>
      </c>
      <c r="J578" s="36"/>
      <c r="K578" s="36"/>
      <c r="L578" s="36"/>
      <c r="M578" s="36"/>
      <c r="N578" s="36"/>
      <c r="O578" s="36"/>
      <c r="P578" s="36"/>
      <c r="Q578" s="36"/>
      <c r="R578" s="36"/>
    </row>
    <row r="579" spans="1:18" x14ac:dyDescent="0.25">
      <c r="A579" s="22" t="s">
        <v>1081</v>
      </c>
      <c r="B579" s="22" t="s">
        <v>201</v>
      </c>
      <c r="C579" s="22" t="s">
        <v>202</v>
      </c>
      <c r="D579" s="22" t="s">
        <v>976</v>
      </c>
      <c r="E579" s="22" t="s">
        <v>45</v>
      </c>
      <c r="F579" s="23">
        <v>-48529</v>
      </c>
      <c r="G579" s="24">
        <v>44593</v>
      </c>
      <c r="H579" s="22" t="s">
        <v>1144</v>
      </c>
      <c r="I579" s="22" t="s">
        <v>1207</v>
      </c>
      <c r="J579" s="22"/>
      <c r="K579" s="22"/>
      <c r="L579" s="22"/>
      <c r="M579" s="22"/>
      <c r="N579" s="22"/>
      <c r="O579" s="22"/>
      <c r="P579" s="22"/>
      <c r="Q579" s="22"/>
      <c r="R579" s="22"/>
    </row>
    <row r="580" spans="1:18" x14ac:dyDescent="0.25">
      <c r="A580" s="22" t="s">
        <v>1055</v>
      </c>
      <c r="B580" s="22" t="s">
        <v>201</v>
      </c>
      <c r="C580" s="22" t="s">
        <v>202</v>
      </c>
      <c r="D580" s="22" t="s">
        <v>1037</v>
      </c>
      <c r="E580" s="22" t="s">
        <v>45</v>
      </c>
      <c r="F580" s="23">
        <v>-58300</v>
      </c>
      <c r="G580" s="24">
        <v>44593</v>
      </c>
      <c r="H580" s="22" t="s">
        <v>1144</v>
      </c>
      <c r="I580" s="22" t="s">
        <v>1040</v>
      </c>
      <c r="J580" s="22"/>
      <c r="K580" s="22"/>
      <c r="L580" s="22"/>
      <c r="M580" s="22"/>
      <c r="N580" s="22"/>
      <c r="O580" s="22"/>
      <c r="P580" s="22"/>
      <c r="Q580" s="22"/>
      <c r="R580" s="22"/>
    </row>
    <row r="581" spans="1:18" x14ac:dyDescent="0.25">
      <c r="A581" s="22" t="s">
        <v>1145</v>
      </c>
      <c r="B581" s="22" t="s">
        <v>201</v>
      </c>
      <c r="C581" s="22" t="s">
        <v>202</v>
      </c>
      <c r="D581" s="22" t="s">
        <v>1268</v>
      </c>
      <c r="E581" s="22" t="s">
        <v>57</v>
      </c>
      <c r="F581" s="23">
        <v>-60643</v>
      </c>
      <c r="G581" s="24">
        <v>44606</v>
      </c>
      <c r="H581" s="22" t="s">
        <v>1144</v>
      </c>
      <c r="I581" s="22" t="s">
        <v>1269</v>
      </c>
      <c r="J581" s="22"/>
      <c r="K581" s="22"/>
      <c r="L581" s="22"/>
      <c r="M581" s="22"/>
      <c r="N581" s="22"/>
      <c r="O581" s="22"/>
      <c r="P581" s="22"/>
      <c r="Q581" s="22"/>
      <c r="R581" s="22"/>
    </row>
    <row r="582" spans="1:18" x14ac:dyDescent="0.25">
      <c r="A582" s="22" t="s">
        <v>1145</v>
      </c>
      <c r="B582" s="22" t="s">
        <v>201</v>
      </c>
      <c r="C582" s="22" t="s">
        <v>202</v>
      </c>
      <c r="D582" s="22" t="s">
        <v>1144</v>
      </c>
      <c r="E582" s="22" t="s">
        <v>45</v>
      </c>
      <c r="F582" s="23">
        <v>48529</v>
      </c>
      <c r="G582" s="24">
        <v>44606</v>
      </c>
      <c r="H582" s="22" t="s">
        <v>1144</v>
      </c>
      <c r="I582" s="22"/>
      <c r="J582" s="22"/>
      <c r="K582" s="22"/>
      <c r="L582" s="22"/>
      <c r="M582" s="22"/>
      <c r="N582" s="22"/>
      <c r="O582" s="22"/>
      <c r="P582" s="22"/>
      <c r="Q582" s="22"/>
      <c r="R582" s="22"/>
    </row>
    <row r="583" spans="1:18" x14ac:dyDescent="0.25">
      <c r="A583" s="22" t="s">
        <v>1145</v>
      </c>
      <c r="B583" s="22" t="s">
        <v>201</v>
      </c>
      <c r="C583" s="22" t="s">
        <v>202</v>
      </c>
      <c r="D583" s="22" t="s">
        <v>1144</v>
      </c>
      <c r="E583" s="22" t="s">
        <v>45</v>
      </c>
      <c r="F583" s="23">
        <v>-1678</v>
      </c>
      <c r="G583" s="24">
        <v>44606</v>
      </c>
      <c r="H583" s="22" t="s">
        <v>1144</v>
      </c>
      <c r="I583" s="22"/>
      <c r="J583" s="22"/>
      <c r="K583" s="22"/>
      <c r="L583" s="22"/>
      <c r="M583" s="22"/>
      <c r="N583" s="22"/>
      <c r="O583" s="22"/>
      <c r="P583" s="22"/>
      <c r="Q583" s="22"/>
      <c r="R583" s="22"/>
    </row>
    <row r="584" spans="1:18" x14ac:dyDescent="0.25">
      <c r="A584" s="22" t="s">
        <v>1271</v>
      </c>
      <c r="B584" s="22" t="s">
        <v>201</v>
      </c>
      <c r="C584" s="22" t="s">
        <v>202</v>
      </c>
      <c r="D584" s="22" t="s">
        <v>1270</v>
      </c>
      <c r="E584" s="22" t="s">
        <v>57</v>
      </c>
      <c r="F584" s="23">
        <v>-156800</v>
      </c>
      <c r="G584" s="24">
        <v>44537</v>
      </c>
      <c r="H584" s="22" t="s">
        <v>1272</v>
      </c>
      <c r="I584" s="22" t="s">
        <v>941</v>
      </c>
      <c r="J584" s="22"/>
      <c r="K584" s="22"/>
      <c r="L584" s="22"/>
      <c r="M584" s="22"/>
      <c r="N584" s="22"/>
      <c r="O584" s="22"/>
      <c r="P584" s="22"/>
      <c r="Q584" s="22"/>
      <c r="R584" s="22"/>
    </row>
    <row r="585" spans="1:18" x14ac:dyDescent="0.25">
      <c r="A585" s="22" t="s">
        <v>1274</v>
      </c>
      <c r="B585" s="22" t="s">
        <v>201</v>
      </c>
      <c r="C585" s="22" t="s">
        <v>202</v>
      </c>
      <c r="D585" s="22" t="s">
        <v>1273</v>
      </c>
      <c r="E585" s="22" t="s">
        <v>57</v>
      </c>
      <c r="F585" s="23">
        <v>-31600</v>
      </c>
      <c r="G585" s="24">
        <v>44531</v>
      </c>
      <c r="H585" s="22" t="s">
        <v>1272</v>
      </c>
      <c r="I585" s="22" t="s">
        <v>979</v>
      </c>
      <c r="J585" s="22"/>
      <c r="K585" s="22"/>
      <c r="L585" s="22"/>
      <c r="M585" s="22"/>
      <c r="N585" s="22"/>
      <c r="O585" s="22"/>
      <c r="P585" s="22"/>
      <c r="Q585" s="22"/>
      <c r="R585" s="22"/>
    </row>
    <row r="586" spans="1:18" x14ac:dyDescent="0.25">
      <c r="A586" s="22" t="s">
        <v>1276</v>
      </c>
      <c r="B586" s="22" t="s">
        <v>201</v>
      </c>
      <c r="C586" s="22" t="s">
        <v>202</v>
      </c>
      <c r="D586" s="22" t="s">
        <v>1275</v>
      </c>
      <c r="E586" s="22" t="s">
        <v>57</v>
      </c>
      <c r="F586" s="23">
        <v>-47200</v>
      </c>
      <c r="G586" s="24">
        <v>44531</v>
      </c>
      <c r="H586" s="22" t="s">
        <v>1272</v>
      </c>
      <c r="I586" s="22" t="s">
        <v>979</v>
      </c>
      <c r="J586" s="22"/>
      <c r="K586" s="22"/>
      <c r="L586" s="22"/>
      <c r="M586" s="22"/>
      <c r="N586" s="22"/>
      <c r="O586" s="22"/>
      <c r="P586" s="22"/>
      <c r="Q586" s="22"/>
      <c r="R586" s="22"/>
    </row>
    <row r="587" spans="1:18" x14ac:dyDescent="0.25">
      <c r="A587" s="22" t="s">
        <v>1278</v>
      </c>
      <c r="B587" s="22" t="s">
        <v>201</v>
      </c>
      <c r="C587" s="22" t="s">
        <v>202</v>
      </c>
      <c r="D587" s="22" t="s">
        <v>1277</v>
      </c>
      <c r="E587" s="22" t="s">
        <v>57</v>
      </c>
      <c r="F587" s="23">
        <v>-23700</v>
      </c>
      <c r="G587" s="24">
        <v>44531</v>
      </c>
      <c r="H587" s="22" t="s">
        <v>1272</v>
      </c>
      <c r="I587" s="22" t="s">
        <v>979</v>
      </c>
      <c r="J587" s="22"/>
      <c r="K587" s="22"/>
      <c r="L587" s="22"/>
      <c r="M587" s="22"/>
      <c r="N587" s="22"/>
      <c r="O587" s="22"/>
      <c r="P587" s="22"/>
      <c r="Q587" s="22"/>
      <c r="R587" s="22"/>
    </row>
    <row r="588" spans="1:18" x14ac:dyDescent="0.25">
      <c r="A588" s="22" t="s">
        <v>419</v>
      </c>
      <c r="B588" s="22" t="s">
        <v>201</v>
      </c>
      <c r="C588" s="22" t="s">
        <v>202</v>
      </c>
      <c r="D588" s="22" t="s">
        <v>368</v>
      </c>
      <c r="E588" s="22" t="s">
        <v>45</v>
      </c>
      <c r="F588" s="23">
        <v>-74561</v>
      </c>
      <c r="G588" s="24">
        <v>44546</v>
      </c>
      <c r="H588" s="22" t="s">
        <v>1272</v>
      </c>
      <c r="I588" s="22" t="s">
        <v>1279</v>
      </c>
      <c r="J588" s="22"/>
      <c r="K588" s="22"/>
      <c r="L588" s="22"/>
      <c r="M588" s="22"/>
      <c r="N588" s="22"/>
      <c r="O588" s="22"/>
      <c r="P588" s="22"/>
      <c r="Q588" s="22"/>
      <c r="R588" s="22"/>
    </row>
    <row r="589" spans="1:18" x14ac:dyDescent="0.25">
      <c r="A589" s="22" t="s">
        <v>1281</v>
      </c>
      <c r="B589" s="22" t="s">
        <v>201</v>
      </c>
      <c r="C589" s="22" t="s">
        <v>202</v>
      </c>
      <c r="D589" s="22" t="s">
        <v>1280</v>
      </c>
      <c r="E589" s="22" t="s">
        <v>57</v>
      </c>
      <c r="F589" s="23">
        <v>-53700</v>
      </c>
      <c r="G589" s="24">
        <v>44564</v>
      </c>
      <c r="H589" s="22" t="s">
        <v>1272</v>
      </c>
      <c r="I589" s="22" t="s">
        <v>1282</v>
      </c>
      <c r="J589" s="22"/>
      <c r="K589" s="22"/>
      <c r="L589" s="22"/>
      <c r="M589" s="22"/>
      <c r="N589" s="22"/>
      <c r="O589" s="22"/>
      <c r="P589" s="22"/>
      <c r="Q589" s="22"/>
      <c r="R589" s="22"/>
    </row>
    <row r="590" spans="1:18" x14ac:dyDescent="0.25">
      <c r="A590" s="22" t="s">
        <v>1284</v>
      </c>
      <c r="B590" s="22" t="s">
        <v>201</v>
      </c>
      <c r="C590" s="22" t="s">
        <v>202</v>
      </c>
      <c r="D590" s="22" t="s">
        <v>1283</v>
      </c>
      <c r="E590" s="22" t="s">
        <v>57</v>
      </c>
      <c r="F590" s="23">
        <v>-195400</v>
      </c>
      <c r="G590" s="24">
        <v>44561</v>
      </c>
      <c r="H590" s="22" t="s">
        <v>1272</v>
      </c>
      <c r="I590" s="22" t="s">
        <v>1285</v>
      </c>
      <c r="J590" s="22"/>
      <c r="K590" s="22"/>
      <c r="L590" s="22"/>
      <c r="M590" s="22"/>
      <c r="N590" s="22"/>
      <c r="O590" s="22"/>
      <c r="P590" s="22"/>
      <c r="Q590" s="22"/>
      <c r="R590" s="22"/>
    </row>
    <row r="591" spans="1:18" x14ac:dyDescent="0.25">
      <c r="A591" s="22" t="s">
        <v>1287</v>
      </c>
      <c r="B591" s="22" t="s">
        <v>201</v>
      </c>
      <c r="C591" s="22" t="s">
        <v>202</v>
      </c>
      <c r="D591" s="22" t="s">
        <v>1286</v>
      </c>
      <c r="E591" s="22" t="s">
        <v>57</v>
      </c>
      <c r="F591" s="23">
        <v>-147186</v>
      </c>
      <c r="G591" s="24">
        <v>44561</v>
      </c>
      <c r="H591" s="22" t="s">
        <v>1272</v>
      </c>
      <c r="I591" s="22" t="s">
        <v>1288</v>
      </c>
      <c r="J591" s="22"/>
      <c r="K591" s="22"/>
      <c r="L591" s="22"/>
      <c r="M591" s="22"/>
      <c r="N591" s="22"/>
      <c r="O591" s="22"/>
      <c r="P591" s="22"/>
      <c r="Q591" s="22"/>
      <c r="R591" s="22"/>
    </row>
    <row r="592" spans="1:18" x14ac:dyDescent="0.25">
      <c r="A592" s="22" t="s">
        <v>1290</v>
      </c>
      <c r="B592" s="22" t="s">
        <v>201</v>
      </c>
      <c r="C592" s="22" t="s">
        <v>202</v>
      </c>
      <c r="D592" s="22" t="s">
        <v>1289</v>
      </c>
      <c r="E592" s="22" t="s">
        <v>57</v>
      </c>
      <c r="F592" s="23">
        <v>-55132</v>
      </c>
      <c r="G592" s="24">
        <v>44559</v>
      </c>
      <c r="H592" s="22" t="s">
        <v>1272</v>
      </c>
      <c r="I592" s="22" t="s">
        <v>1291</v>
      </c>
      <c r="J592" s="22"/>
      <c r="K592" s="22"/>
      <c r="L592" s="22"/>
      <c r="M592" s="22"/>
      <c r="N592" s="22"/>
      <c r="O592" s="22"/>
      <c r="P592" s="22"/>
      <c r="Q592" s="22"/>
      <c r="R592" s="22"/>
    </row>
    <row r="593" spans="1:18" x14ac:dyDescent="0.25">
      <c r="A593" s="22" t="s">
        <v>1293</v>
      </c>
      <c r="B593" s="22" t="s">
        <v>201</v>
      </c>
      <c r="C593" s="22" t="s">
        <v>202</v>
      </c>
      <c r="D593" s="22" t="s">
        <v>1292</v>
      </c>
      <c r="E593" s="22" t="s">
        <v>57</v>
      </c>
      <c r="F593" s="23">
        <v>-353272</v>
      </c>
      <c r="G593" s="24">
        <v>44559</v>
      </c>
      <c r="H593" s="22" t="s">
        <v>1272</v>
      </c>
      <c r="I593" s="22" t="s">
        <v>1250</v>
      </c>
      <c r="J593" s="22"/>
      <c r="K593" s="22"/>
      <c r="L593" s="22"/>
      <c r="M593" s="22"/>
      <c r="N593" s="22"/>
      <c r="O593" s="22"/>
      <c r="P593" s="22"/>
      <c r="Q593" s="22"/>
      <c r="R593" s="22"/>
    </row>
    <row r="594" spans="1:18" x14ac:dyDescent="0.25">
      <c r="A594" s="22" t="s">
        <v>1295</v>
      </c>
      <c r="B594" s="22" t="s">
        <v>201</v>
      </c>
      <c r="C594" s="22" t="s">
        <v>202</v>
      </c>
      <c r="D594" s="22" t="s">
        <v>1294</v>
      </c>
      <c r="E594" s="22" t="s">
        <v>57</v>
      </c>
      <c r="F594" s="23">
        <v>-72786</v>
      </c>
      <c r="G594" s="24">
        <v>44558</v>
      </c>
      <c r="H594" s="22" t="s">
        <v>1272</v>
      </c>
      <c r="I594" s="22" t="s">
        <v>1296</v>
      </c>
      <c r="J594" s="22"/>
      <c r="K594" s="22"/>
      <c r="L594" s="22"/>
      <c r="M594" s="22"/>
      <c r="N594" s="22"/>
      <c r="O594" s="22"/>
      <c r="P594" s="22"/>
      <c r="Q594" s="22"/>
      <c r="R594" s="22"/>
    </row>
    <row r="595" spans="1:18" x14ac:dyDescent="0.25">
      <c r="A595" s="22" t="s">
        <v>1298</v>
      </c>
      <c r="B595" s="22" t="s">
        <v>201</v>
      </c>
      <c r="C595" s="22" t="s">
        <v>202</v>
      </c>
      <c r="D595" s="22" t="s">
        <v>1297</v>
      </c>
      <c r="E595" s="22" t="s">
        <v>57</v>
      </c>
      <c r="F595" s="23">
        <v>-789412</v>
      </c>
      <c r="G595" s="24">
        <v>44556</v>
      </c>
      <c r="H595" s="22" t="s">
        <v>1272</v>
      </c>
      <c r="I595" s="22" t="s">
        <v>494</v>
      </c>
      <c r="J595" s="22"/>
      <c r="K595" s="22"/>
      <c r="L595" s="22"/>
      <c r="M595" s="22"/>
      <c r="N595" s="22"/>
      <c r="O595" s="22"/>
      <c r="P595" s="22"/>
      <c r="Q595" s="22"/>
      <c r="R595" s="22"/>
    </row>
    <row r="596" spans="1:18" x14ac:dyDescent="0.25">
      <c r="A596" s="22" t="s">
        <v>1300</v>
      </c>
      <c r="B596" s="22" t="s">
        <v>201</v>
      </c>
      <c r="C596" s="22" t="s">
        <v>202</v>
      </c>
      <c r="D596" s="22" t="s">
        <v>1299</v>
      </c>
      <c r="E596" s="22" t="s">
        <v>57</v>
      </c>
      <c r="F596" s="23">
        <v>-117626</v>
      </c>
      <c r="G596" s="24">
        <v>44554</v>
      </c>
      <c r="H596" s="22" t="s">
        <v>1272</v>
      </c>
      <c r="I596" s="22" t="s">
        <v>1296</v>
      </c>
      <c r="J596" s="22"/>
      <c r="K596" s="22"/>
      <c r="L596" s="22"/>
      <c r="M596" s="22"/>
      <c r="N596" s="22"/>
      <c r="O596" s="22"/>
      <c r="P596" s="22"/>
      <c r="Q596" s="22"/>
      <c r="R596" s="22"/>
    </row>
    <row r="597" spans="1:18" x14ac:dyDescent="0.25">
      <c r="A597" s="22" t="s">
        <v>1302</v>
      </c>
      <c r="B597" s="22" t="s">
        <v>201</v>
      </c>
      <c r="C597" s="22" t="s">
        <v>202</v>
      </c>
      <c r="D597" s="22" t="s">
        <v>1301</v>
      </c>
      <c r="E597" s="22" t="s">
        <v>57</v>
      </c>
      <c r="F597" s="23">
        <v>-53700</v>
      </c>
      <c r="G597" s="24">
        <v>44551</v>
      </c>
      <c r="H597" s="22" t="s">
        <v>1272</v>
      </c>
      <c r="I597" s="22" t="s">
        <v>494</v>
      </c>
      <c r="J597" s="22"/>
      <c r="K597" s="22"/>
      <c r="L597" s="22"/>
      <c r="M597" s="22"/>
      <c r="N597" s="22"/>
      <c r="O597" s="22"/>
      <c r="P597" s="22"/>
      <c r="Q597" s="22"/>
      <c r="R597" s="22"/>
    </row>
    <row r="598" spans="1:18" x14ac:dyDescent="0.25">
      <c r="A598" s="22" t="s">
        <v>286</v>
      </c>
      <c r="B598" s="22" t="s">
        <v>201</v>
      </c>
      <c r="C598" s="22" t="s">
        <v>202</v>
      </c>
      <c r="D598" s="22" t="s">
        <v>285</v>
      </c>
      <c r="E598" s="22" t="s">
        <v>45</v>
      </c>
      <c r="F598" s="23">
        <v>-320864</v>
      </c>
      <c r="G598" s="24">
        <v>44533</v>
      </c>
      <c r="H598" s="22" t="s">
        <v>1272</v>
      </c>
      <c r="I598" s="22" t="s">
        <v>1303</v>
      </c>
      <c r="J598" s="22"/>
      <c r="K598" s="22"/>
      <c r="L598" s="22"/>
      <c r="M598" s="22"/>
      <c r="N598" s="22"/>
      <c r="O598" s="22"/>
      <c r="P598" s="22"/>
      <c r="Q598" s="22"/>
      <c r="R598" s="22"/>
    </row>
    <row r="599" spans="1:18" x14ac:dyDescent="0.25">
      <c r="A599" s="22" t="s">
        <v>1305</v>
      </c>
      <c r="B599" s="22" t="s">
        <v>201</v>
      </c>
      <c r="C599" s="22" t="s">
        <v>202</v>
      </c>
      <c r="D599" s="22" t="s">
        <v>1304</v>
      </c>
      <c r="E599" s="22" t="s">
        <v>57</v>
      </c>
      <c r="F599" s="23">
        <v>-66159</v>
      </c>
      <c r="G599" s="24">
        <v>44561</v>
      </c>
      <c r="H599" s="22" t="s">
        <v>1272</v>
      </c>
      <c r="I599" s="22" t="s">
        <v>1306</v>
      </c>
      <c r="J599" s="22"/>
      <c r="K599" s="22"/>
      <c r="L599" s="22"/>
      <c r="M599" s="22"/>
      <c r="N599" s="22"/>
      <c r="O599" s="22"/>
      <c r="P599" s="22"/>
      <c r="Q599" s="22"/>
      <c r="R599" s="22"/>
    </row>
    <row r="600" spans="1:18" x14ac:dyDescent="0.25">
      <c r="A600" s="22" t="s">
        <v>1308</v>
      </c>
      <c r="B600" s="22" t="s">
        <v>201</v>
      </c>
      <c r="C600" s="22" t="s">
        <v>202</v>
      </c>
      <c r="D600" s="22" t="s">
        <v>1307</v>
      </c>
      <c r="E600" s="22" t="s">
        <v>57</v>
      </c>
      <c r="F600" s="23">
        <v>-3968641</v>
      </c>
      <c r="G600" s="24">
        <v>44560</v>
      </c>
      <c r="H600" s="22" t="s">
        <v>1272</v>
      </c>
      <c r="I600" s="22" t="s">
        <v>1309</v>
      </c>
      <c r="J600" s="22"/>
      <c r="K600" s="22"/>
      <c r="L600" s="22"/>
      <c r="M600" s="22"/>
      <c r="N600" s="22"/>
      <c r="O600" s="22"/>
      <c r="P600" s="22"/>
      <c r="Q600" s="22"/>
      <c r="R600" s="22"/>
    </row>
    <row r="601" spans="1:18" x14ac:dyDescent="0.25">
      <c r="A601" s="22" t="s">
        <v>1311</v>
      </c>
      <c r="B601" s="22" t="s">
        <v>201</v>
      </c>
      <c r="C601" s="22" t="s">
        <v>202</v>
      </c>
      <c r="D601" s="22" t="s">
        <v>1310</v>
      </c>
      <c r="E601" s="22" t="s">
        <v>57</v>
      </c>
      <c r="F601" s="23">
        <v>-53700</v>
      </c>
      <c r="G601" s="24">
        <v>44557</v>
      </c>
      <c r="H601" s="22" t="s">
        <v>1272</v>
      </c>
      <c r="I601" s="22" t="s">
        <v>1003</v>
      </c>
      <c r="J601" s="22"/>
      <c r="K601" s="22"/>
      <c r="L601" s="22"/>
      <c r="M601" s="22"/>
      <c r="N601" s="22"/>
      <c r="O601" s="22"/>
      <c r="P601" s="22"/>
      <c r="Q601" s="22"/>
      <c r="R601" s="22"/>
    </row>
    <row r="602" spans="1:18" x14ac:dyDescent="0.25">
      <c r="A602" s="22" t="s">
        <v>1313</v>
      </c>
      <c r="B602" s="22" t="s">
        <v>201</v>
      </c>
      <c r="C602" s="22" t="s">
        <v>202</v>
      </c>
      <c r="D602" s="22" t="s">
        <v>1312</v>
      </c>
      <c r="E602" s="22" t="s">
        <v>57</v>
      </c>
      <c r="F602" s="23">
        <v>-80161</v>
      </c>
      <c r="G602" s="24">
        <v>44544</v>
      </c>
      <c r="H602" s="22" t="s">
        <v>1272</v>
      </c>
      <c r="I602" s="22" t="s">
        <v>1314</v>
      </c>
      <c r="J602" s="22"/>
      <c r="K602" s="22"/>
      <c r="L602" s="22"/>
      <c r="M602" s="22"/>
      <c r="N602" s="22"/>
      <c r="O602" s="22"/>
      <c r="P602" s="22"/>
      <c r="Q602" s="22"/>
      <c r="R602" s="22"/>
    </row>
    <row r="603" spans="1:18" x14ac:dyDescent="0.25">
      <c r="A603" s="22" t="s">
        <v>1316</v>
      </c>
      <c r="B603" s="22" t="s">
        <v>201</v>
      </c>
      <c r="C603" s="22" t="s">
        <v>202</v>
      </c>
      <c r="D603" s="22" t="s">
        <v>1315</v>
      </c>
      <c r="E603" s="22" t="s">
        <v>57</v>
      </c>
      <c r="F603" s="23">
        <v>-100757</v>
      </c>
      <c r="G603" s="24">
        <v>44542</v>
      </c>
      <c r="H603" s="22" t="s">
        <v>1272</v>
      </c>
      <c r="I603" s="22" t="s">
        <v>1309</v>
      </c>
      <c r="J603" s="22"/>
      <c r="K603" s="22"/>
      <c r="L603" s="22"/>
      <c r="M603" s="22"/>
      <c r="N603" s="22"/>
      <c r="O603" s="22"/>
      <c r="P603" s="22"/>
      <c r="Q603" s="22"/>
      <c r="R603" s="22"/>
    </row>
    <row r="604" spans="1:18" x14ac:dyDescent="0.25">
      <c r="A604" s="22" t="s">
        <v>1318</v>
      </c>
      <c r="B604" s="22" t="s">
        <v>201</v>
      </c>
      <c r="C604" s="22" t="s">
        <v>202</v>
      </c>
      <c r="D604" s="22" t="s">
        <v>1317</v>
      </c>
      <c r="E604" s="22" t="s">
        <v>57</v>
      </c>
      <c r="F604" s="23">
        <v>-53700</v>
      </c>
      <c r="G604" s="24">
        <v>44537</v>
      </c>
      <c r="H604" s="22" t="s">
        <v>1272</v>
      </c>
      <c r="I604" s="22" t="s">
        <v>1319</v>
      </c>
      <c r="J604" s="22"/>
      <c r="K604" s="22"/>
      <c r="L604" s="22"/>
      <c r="M604" s="22"/>
      <c r="N604" s="22"/>
      <c r="O604" s="22"/>
      <c r="P604" s="22"/>
      <c r="Q604" s="22"/>
      <c r="R604" s="22"/>
    </row>
    <row r="605" spans="1:18" x14ac:dyDescent="0.25">
      <c r="A605" s="22" t="s">
        <v>1321</v>
      </c>
      <c r="B605" s="22" t="s">
        <v>201</v>
      </c>
      <c r="C605" s="22" t="s">
        <v>202</v>
      </c>
      <c r="D605" s="22" t="s">
        <v>1320</v>
      </c>
      <c r="E605" s="22" t="s">
        <v>57</v>
      </c>
      <c r="F605" s="23">
        <v>-102500</v>
      </c>
      <c r="G605" s="24">
        <v>44534</v>
      </c>
      <c r="H605" s="22" t="s">
        <v>1272</v>
      </c>
      <c r="I605" s="22" t="s">
        <v>1322</v>
      </c>
      <c r="J605" s="22"/>
      <c r="K605" s="22"/>
      <c r="L605" s="22"/>
      <c r="M605" s="22"/>
      <c r="N605" s="22"/>
      <c r="O605" s="22"/>
      <c r="P605" s="22"/>
      <c r="Q605" s="22"/>
      <c r="R605" s="22"/>
    </row>
    <row r="606" spans="1:18" s="39" customFormat="1" x14ac:dyDescent="0.25">
      <c r="A606" s="36" t="s">
        <v>1324</v>
      </c>
      <c r="B606" s="36" t="s">
        <v>201</v>
      </c>
      <c r="C606" s="36" t="s">
        <v>202</v>
      </c>
      <c r="D606" s="36" t="s">
        <v>1323</v>
      </c>
      <c r="E606" s="36" t="s">
        <v>42</v>
      </c>
      <c r="F606" s="37">
        <v>228800</v>
      </c>
      <c r="G606" s="38">
        <v>44635</v>
      </c>
      <c r="H606" s="36" t="s">
        <v>964</v>
      </c>
      <c r="I606" s="36" t="s">
        <v>49</v>
      </c>
      <c r="J606" s="36"/>
      <c r="K606" s="36"/>
      <c r="L606" s="36"/>
      <c r="M606" s="36"/>
      <c r="N606" s="36"/>
      <c r="O606" s="36"/>
      <c r="P606" s="36"/>
      <c r="Q606" s="36"/>
      <c r="R606" s="36"/>
    </row>
    <row r="607" spans="1:18" x14ac:dyDescent="0.25">
      <c r="A607" s="22" t="s">
        <v>965</v>
      </c>
      <c r="B607" s="22" t="s">
        <v>201</v>
      </c>
      <c r="C607" s="22" t="s">
        <v>202</v>
      </c>
      <c r="D607" s="22" t="s">
        <v>1325</v>
      </c>
      <c r="E607" s="22" t="s">
        <v>57</v>
      </c>
      <c r="F607" s="23">
        <v>-74425</v>
      </c>
      <c r="G607" s="24">
        <v>44569</v>
      </c>
      <c r="H607" s="22" t="s">
        <v>964</v>
      </c>
      <c r="I607" s="22" t="s">
        <v>1326</v>
      </c>
      <c r="J607" s="22"/>
      <c r="K607" s="22"/>
      <c r="L607" s="22"/>
      <c r="M607" s="22"/>
      <c r="N607" s="22"/>
      <c r="O607" s="22"/>
      <c r="P607" s="22"/>
      <c r="Q607" s="22"/>
      <c r="R607" s="22"/>
    </row>
    <row r="608" spans="1:18" x14ac:dyDescent="0.25">
      <c r="A608" s="22" t="s">
        <v>1328</v>
      </c>
      <c r="B608" s="22" t="s">
        <v>201</v>
      </c>
      <c r="C608" s="22" t="s">
        <v>202</v>
      </c>
      <c r="D608" s="22" t="s">
        <v>1327</v>
      </c>
      <c r="E608" s="22" t="s">
        <v>57</v>
      </c>
      <c r="F608" s="23">
        <v>-65016</v>
      </c>
      <c r="G608" s="24">
        <v>44513</v>
      </c>
      <c r="H608" s="22" t="s">
        <v>1272</v>
      </c>
      <c r="I608" s="22" t="s">
        <v>1306</v>
      </c>
      <c r="J608" s="22"/>
      <c r="K608" s="22"/>
      <c r="L608" s="22"/>
      <c r="M608" s="22"/>
      <c r="N608" s="22"/>
      <c r="O608" s="22"/>
      <c r="P608" s="22"/>
      <c r="Q608" s="22"/>
      <c r="R608" s="22"/>
    </row>
    <row r="609" spans="1:18" x14ac:dyDescent="0.25">
      <c r="A609" s="22" t="s">
        <v>1330</v>
      </c>
      <c r="B609" s="22" t="s">
        <v>201</v>
      </c>
      <c r="C609" s="22" t="s">
        <v>202</v>
      </c>
      <c r="D609" s="22" t="s">
        <v>1329</v>
      </c>
      <c r="E609" s="22" t="s">
        <v>57</v>
      </c>
      <c r="F609" s="23">
        <v>-28100</v>
      </c>
      <c r="G609" s="24">
        <v>44561</v>
      </c>
      <c r="H609" s="22" t="s">
        <v>1272</v>
      </c>
      <c r="I609" s="22" t="s">
        <v>483</v>
      </c>
      <c r="J609" s="22"/>
      <c r="K609" s="22"/>
      <c r="L609" s="22"/>
      <c r="M609" s="22"/>
      <c r="N609" s="22"/>
      <c r="O609" s="22"/>
      <c r="P609" s="22"/>
      <c r="Q609" s="22"/>
      <c r="R609" s="22"/>
    </row>
    <row r="610" spans="1:18" x14ac:dyDescent="0.25">
      <c r="A610" s="22" t="s">
        <v>1332</v>
      </c>
      <c r="B610" s="22" t="s">
        <v>201</v>
      </c>
      <c r="C610" s="22" t="s">
        <v>202</v>
      </c>
      <c r="D610" s="22" t="s">
        <v>1331</v>
      </c>
      <c r="E610" s="22" t="s">
        <v>57</v>
      </c>
      <c r="F610" s="23">
        <v>-43700</v>
      </c>
      <c r="G610" s="24">
        <v>44560</v>
      </c>
      <c r="H610" s="22" t="s">
        <v>1272</v>
      </c>
      <c r="I610" s="22" t="s">
        <v>494</v>
      </c>
      <c r="J610" s="22"/>
      <c r="K610" s="22"/>
      <c r="L610" s="22"/>
      <c r="M610" s="22"/>
      <c r="N610" s="22"/>
      <c r="O610" s="22"/>
      <c r="P610" s="22"/>
      <c r="Q610" s="22"/>
      <c r="R610" s="22"/>
    </row>
    <row r="611" spans="1:18" x14ac:dyDescent="0.25">
      <c r="A611" s="22" t="s">
        <v>1334</v>
      </c>
      <c r="B611" s="22" t="s">
        <v>201</v>
      </c>
      <c r="C611" s="22" t="s">
        <v>202</v>
      </c>
      <c r="D611" s="22" t="s">
        <v>1333</v>
      </c>
      <c r="E611" s="22" t="s">
        <v>57</v>
      </c>
      <c r="F611" s="23">
        <v>-42300</v>
      </c>
      <c r="G611" s="24">
        <v>44560</v>
      </c>
      <c r="H611" s="22" t="s">
        <v>1272</v>
      </c>
      <c r="I611" s="22" t="s">
        <v>494</v>
      </c>
      <c r="J611" s="22"/>
      <c r="K611" s="22"/>
      <c r="L611" s="22"/>
      <c r="M611" s="22"/>
      <c r="N611" s="22"/>
      <c r="O611" s="22"/>
      <c r="P611" s="22"/>
      <c r="Q611" s="22"/>
      <c r="R611" s="22"/>
    </row>
    <row r="612" spans="1:18" x14ac:dyDescent="0.25">
      <c r="A612" s="22" t="s">
        <v>1336</v>
      </c>
      <c r="B612" s="22" t="s">
        <v>201</v>
      </c>
      <c r="C612" s="22" t="s">
        <v>202</v>
      </c>
      <c r="D612" s="22" t="s">
        <v>1335</v>
      </c>
      <c r="E612" s="22" t="s">
        <v>57</v>
      </c>
      <c r="F612" s="23">
        <v>-29200</v>
      </c>
      <c r="G612" s="24">
        <v>44558</v>
      </c>
      <c r="H612" s="22" t="s">
        <v>1272</v>
      </c>
      <c r="I612" s="22" t="s">
        <v>282</v>
      </c>
      <c r="J612" s="22"/>
      <c r="K612" s="22"/>
      <c r="L612" s="22"/>
      <c r="M612" s="22"/>
      <c r="N612" s="22"/>
      <c r="O612" s="22"/>
      <c r="P612" s="22"/>
      <c r="Q612" s="22"/>
      <c r="R612" s="22"/>
    </row>
    <row r="613" spans="1:18" x14ac:dyDescent="0.25">
      <c r="A613" s="22" t="s">
        <v>1338</v>
      </c>
      <c r="B613" s="22" t="s">
        <v>201</v>
      </c>
      <c r="C613" s="22" t="s">
        <v>202</v>
      </c>
      <c r="D613" s="22" t="s">
        <v>1337</v>
      </c>
      <c r="E613" s="22" t="s">
        <v>57</v>
      </c>
      <c r="F613" s="23">
        <v>-29200</v>
      </c>
      <c r="G613" s="24">
        <v>44558</v>
      </c>
      <c r="H613" s="22" t="s">
        <v>1272</v>
      </c>
      <c r="I613" s="22" t="s">
        <v>486</v>
      </c>
      <c r="J613" s="22"/>
      <c r="K613" s="22"/>
      <c r="L613" s="22"/>
      <c r="M613" s="22"/>
      <c r="N613" s="22"/>
      <c r="O613" s="22"/>
      <c r="P613" s="22"/>
      <c r="Q613" s="22"/>
      <c r="R613" s="22"/>
    </row>
    <row r="614" spans="1:18" x14ac:dyDescent="0.25">
      <c r="A614" s="22" t="s">
        <v>1340</v>
      </c>
      <c r="B614" s="22" t="s">
        <v>201</v>
      </c>
      <c r="C614" s="22" t="s">
        <v>202</v>
      </c>
      <c r="D614" s="22" t="s">
        <v>1339</v>
      </c>
      <c r="E614" s="22" t="s">
        <v>57</v>
      </c>
      <c r="F614" s="23">
        <v>-29200</v>
      </c>
      <c r="G614" s="24">
        <v>44557</v>
      </c>
      <c r="H614" s="22" t="s">
        <v>1272</v>
      </c>
      <c r="I614" s="22" t="s">
        <v>897</v>
      </c>
      <c r="J614" s="22"/>
      <c r="K614" s="22"/>
      <c r="L614" s="22"/>
      <c r="M614" s="22"/>
      <c r="N614" s="22"/>
      <c r="O614" s="22"/>
      <c r="P614" s="22"/>
      <c r="Q614" s="22"/>
      <c r="R614" s="22"/>
    </row>
    <row r="615" spans="1:18" x14ac:dyDescent="0.25">
      <c r="A615" s="22" t="s">
        <v>1342</v>
      </c>
      <c r="B615" s="22" t="s">
        <v>201</v>
      </c>
      <c r="C615" s="22" t="s">
        <v>202</v>
      </c>
      <c r="D615" s="22" t="s">
        <v>1341</v>
      </c>
      <c r="E615" s="22" t="s">
        <v>57</v>
      </c>
      <c r="F615" s="23">
        <v>-28100</v>
      </c>
      <c r="G615" s="24">
        <v>44554</v>
      </c>
      <c r="H615" s="22" t="s">
        <v>1272</v>
      </c>
      <c r="I615" s="22" t="s">
        <v>919</v>
      </c>
      <c r="J615" s="22"/>
      <c r="K615" s="22"/>
      <c r="L615" s="22"/>
      <c r="M615" s="22"/>
      <c r="N615" s="22"/>
      <c r="O615" s="22"/>
      <c r="P615" s="22"/>
      <c r="Q615" s="22"/>
      <c r="R615" s="22"/>
    </row>
    <row r="616" spans="1:18" x14ac:dyDescent="0.25">
      <c r="A616" s="22" t="s">
        <v>1344</v>
      </c>
      <c r="B616" s="22" t="s">
        <v>201</v>
      </c>
      <c r="C616" s="22" t="s">
        <v>202</v>
      </c>
      <c r="D616" s="22" t="s">
        <v>1343</v>
      </c>
      <c r="E616" s="22" t="s">
        <v>57</v>
      </c>
      <c r="F616" s="23">
        <v>-28100</v>
      </c>
      <c r="G616" s="24">
        <v>44554</v>
      </c>
      <c r="H616" s="22" t="s">
        <v>1272</v>
      </c>
      <c r="I616" s="22" t="s">
        <v>1345</v>
      </c>
      <c r="J616" s="22"/>
      <c r="K616" s="22"/>
      <c r="L616" s="22"/>
      <c r="M616" s="22"/>
      <c r="N616" s="22"/>
      <c r="O616" s="22"/>
      <c r="P616" s="22"/>
      <c r="Q616" s="22"/>
      <c r="R616" s="22"/>
    </row>
    <row r="617" spans="1:18" x14ac:dyDescent="0.25">
      <c r="A617" s="22" t="s">
        <v>1347</v>
      </c>
      <c r="B617" s="22" t="s">
        <v>201</v>
      </c>
      <c r="C617" s="22" t="s">
        <v>202</v>
      </c>
      <c r="D617" s="22" t="s">
        <v>1346</v>
      </c>
      <c r="E617" s="22" t="s">
        <v>57</v>
      </c>
      <c r="F617" s="23">
        <v>-29200</v>
      </c>
      <c r="G617" s="24">
        <v>44547</v>
      </c>
      <c r="H617" s="22" t="s">
        <v>1272</v>
      </c>
      <c r="I617" s="22" t="s">
        <v>1348</v>
      </c>
      <c r="J617" s="22"/>
      <c r="K617" s="22"/>
      <c r="L617" s="22"/>
      <c r="M617" s="22"/>
      <c r="N617" s="22"/>
      <c r="O617" s="22"/>
      <c r="P617" s="22"/>
      <c r="Q617" s="22"/>
      <c r="R617" s="22"/>
    </row>
    <row r="618" spans="1:18" x14ac:dyDescent="0.25">
      <c r="A618" s="22" t="s">
        <v>1350</v>
      </c>
      <c r="B618" s="22" t="s">
        <v>201</v>
      </c>
      <c r="C618" s="22" t="s">
        <v>202</v>
      </c>
      <c r="D618" s="22" t="s">
        <v>1349</v>
      </c>
      <c r="E618" s="22" t="s">
        <v>57</v>
      </c>
      <c r="F618" s="23">
        <v>-143100</v>
      </c>
      <c r="G618" s="24">
        <v>44546</v>
      </c>
      <c r="H618" s="22" t="s">
        <v>1272</v>
      </c>
      <c r="I618" s="22" t="s">
        <v>494</v>
      </c>
      <c r="J618" s="22"/>
      <c r="K618" s="22"/>
      <c r="L618" s="22"/>
      <c r="M618" s="22"/>
      <c r="N618" s="22"/>
      <c r="O618" s="22"/>
      <c r="P618" s="22"/>
      <c r="Q618" s="22"/>
      <c r="R618" s="22"/>
    </row>
    <row r="619" spans="1:18" x14ac:dyDescent="0.25">
      <c r="A619" s="22" t="s">
        <v>1352</v>
      </c>
      <c r="B619" s="22" t="s">
        <v>201</v>
      </c>
      <c r="C619" s="22" t="s">
        <v>202</v>
      </c>
      <c r="D619" s="22" t="s">
        <v>1351</v>
      </c>
      <c r="E619" s="22" t="s">
        <v>57</v>
      </c>
      <c r="F619" s="23">
        <v>-77300</v>
      </c>
      <c r="G619" s="24">
        <v>44543</v>
      </c>
      <c r="H619" s="22" t="s">
        <v>1272</v>
      </c>
      <c r="I619" s="22" t="s">
        <v>494</v>
      </c>
      <c r="J619" s="22"/>
      <c r="K619" s="22"/>
      <c r="L619" s="22"/>
      <c r="M619" s="22"/>
      <c r="N619" s="22"/>
      <c r="O619" s="22"/>
      <c r="P619" s="22"/>
      <c r="Q619" s="22"/>
      <c r="R619" s="22"/>
    </row>
    <row r="620" spans="1:18" x14ac:dyDescent="0.25">
      <c r="A620" s="22" t="s">
        <v>1354</v>
      </c>
      <c r="B620" s="22" t="s">
        <v>201</v>
      </c>
      <c r="C620" s="22" t="s">
        <v>202</v>
      </c>
      <c r="D620" s="22" t="s">
        <v>1353</v>
      </c>
      <c r="E620" s="22" t="s">
        <v>57</v>
      </c>
      <c r="F620" s="23">
        <v>-31600</v>
      </c>
      <c r="G620" s="24">
        <v>44560</v>
      </c>
      <c r="H620" s="22" t="s">
        <v>1272</v>
      </c>
      <c r="I620" s="22" t="s">
        <v>212</v>
      </c>
      <c r="J620" s="22"/>
      <c r="K620" s="22"/>
      <c r="L620" s="22"/>
      <c r="M620" s="22"/>
      <c r="N620" s="22"/>
      <c r="O620" s="22"/>
      <c r="P620" s="22"/>
      <c r="Q620" s="22"/>
      <c r="R620" s="22"/>
    </row>
    <row r="621" spans="1:18" x14ac:dyDescent="0.25">
      <c r="A621" s="22" t="s">
        <v>1356</v>
      </c>
      <c r="B621" s="22" t="s">
        <v>201</v>
      </c>
      <c r="C621" s="22" t="s">
        <v>202</v>
      </c>
      <c r="D621" s="22" t="s">
        <v>1355</v>
      </c>
      <c r="E621" s="22" t="s">
        <v>57</v>
      </c>
      <c r="F621" s="23">
        <v>-562100</v>
      </c>
      <c r="G621" s="24">
        <v>44559</v>
      </c>
      <c r="H621" s="22" t="s">
        <v>1272</v>
      </c>
      <c r="I621" s="22" t="s">
        <v>1357</v>
      </c>
      <c r="J621" s="22"/>
      <c r="K621" s="22"/>
      <c r="L621" s="22"/>
      <c r="M621" s="22"/>
      <c r="N621" s="22"/>
      <c r="O621" s="22"/>
      <c r="P621" s="22"/>
      <c r="Q621" s="22"/>
      <c r="R621" s="22"/>
    </row>
    <row r="622" spans="1:18" x14ac:dyDescent="0.25">
      <c r="A622" s="22" t="s">
        <v>1359</v>
      </c>
      <c r="B622" s="22" t="s">
        <v>201</v>
      </c>
      <c r="C622" s="22" t="s">
        <v>202</v>
      </c>
      <c r="D622" s="22" t="s">
        <v>1358</v>
      </c>
      <c r="E622" s="22" t="s">
        <v>57</v>
      </c>
      <c r="F622" s="23">
        <v>-47200</v>
      </c>
      <c r="G622" s="24">
        <v>44558</v>
      </c>
      <c r="H622" s="22" t="s">
        <v>1272</v>
      </c>
      <c r="I622" s="22" t="s">
        <v>1360</v>
      </c>
      <c r="J622" s="22"/>
      <c r="K622" s="22"/>
      <c r="L622" s="22"/>
      <c r="M622" s="22"/>
      <c r="N622" s="22"/>
      <c r="O622" s="22"/>
      <c r="P622" s="22"/>
      <c r="Q622" s="22"/>
      <c r="R622" s="22"/>
    </row>
    <row r="623" spans="1:18" x14ac:dyDescent="0.25">
      <c r="A623" s="22" t="s">
        <v>1362</v>
      </c>
      <c r="B623" s="22" t="s">
        <v>201</v>
      </c>
      <c r="C623" s="22" t="s">
        <v>202</v>
      </c>
      <c r="D623" s="22" t="s">
        <v>1361</v>
      </c>
      <c r="E623" s="22" t="s">
        <v>57</v>
      </c>
      <c r="F623" s="23">
        <v>-31600</v>
      </c>
      <c r="G623" s="24">
        <v>44558</v>
      </c>
      <c r="H623" s="22" t="s">
        <v>1272</v>
      </c>
      <c r="I623" s="22" t="s">
        <v>941</v>
      </c>
      <c r="J623" s="22"/>
      <c r="K623" s="22"/>
      <c r="L623" s="22"/>
      <c r="M623" s="22"/>
      <c r="N623" s="22"/>
      <c r="O623" s="22"/>
      <c r="P623" s="22"/>
      <c r="Q623" s="22"/>
      <c r="R623" s="22"/>
    </row>
    <row r="624" spans="1:18" x14ac:dyDescent="0.25">
      <c r="A624" s="22" t="s">
        <v>1364</v>
      </c>
      <c r="B624" s="22" t="s">
        <v>201</v>
      </c>
      <c r="C624" s="22" t="s">
        <v>202</v>
      </c>
      <c r="D624" s="22" t="s">
        <v>1363</v>
      </c>
      <c r="E624" s="22" t="s">
        <v>57</v>
      </c>
      <c r="F624" s="23">
        <v>-47200</v>
      </c>
      <c r="G624" s="24">
        <v>44551</v>
      </c>
      <c r="H624" s="22" t="s">
        <v>1272</v>
      </c>
      <c r="I624" s="22" t="s">
        <v>715</v>
      </c>
      <c r="J624" s="22"/>
      <c r="K624" s="22"/>
      <c r="L624" s="22"/>
      <c r="M624" s="22"/>
      <c r="N624" s="22"/>
      <c r="O624" s="22"/>
      <c r="P624" s="22"/>
      <c r="Q624" s="22"/>
      <c r="R624" s="22"/>
    </row>
    <row r="625" spans="1:18" x14ac:dyDescent="0.25">
      <c r="A625" s="22" t="s">
        <v>1366</v>
      </c>
      <c r="B625" s="22" t="s">
        <v>201</v>
      </c>
      <c r="C625" s="22" t="s">
        <v>202</v>
      </c>
      <c r="D625" s="22" t="s">
        <v>1365</v>
      </c>
      <c r="E625" s="22" t="s">
        <v>57</v>
      </c>
      <c r="F625" s="23">
        <v>-112100</v>
      </c>
      <c r="G625" s="24">
        <v>44550</v>
      </c>
      <c r="H625" s="22" t="s">
        <v>1272</v>
      </c>
      <c r="I625" s="22" t="s">
        <v>550</v>
      </c>
      <c r="J625" s="22"/>
      <c r="K625" s="22"/>
      <c r="L625" s="22"/>
      <c r="M625" s="22"/>
      <c r="N625" s="22"/>
      <c r="O625" s="22"/>
      <c r="P625" s="22"/>
      <c r="Q625" s="22"/>
      <c r="R625" s="22"/>
    </row>
    <row r="626" spans="1:18" x14ac:dyDescent="0.25">
      <c r="A626" s="22" t="s">
        <v>1368</v>
      </c>
      <c r="B626" s="22" t="s">
        <v>201</v>
      </c>
      <c r="C626" s="22" t="s">
        <v>202</v>
      </c>
      <c r="D626" s="22" t="s">
        <v>1367</v>
      </c>
      <c r="E626" s="22" t="s">
        <v>57</v>
      </c>
      <c r="F626" s="23">
        <v>-32700</v>
      </c>
      <c r="G626" s="24">
        <v>44550</v>
      </c>
      <c r="H626" s="22" t="s">
        <v>1272</v>
      </c>
      <c r="I626" s="22" t="s">
        <v>1357</v>
      </c>
      <c r="J626" s="22"/>
      <c r="K626" s="22"/>
      <c r="L626" s="22"/>
      <c r="M626" s="22"/>
      <c r="N626" s="22"/>
      <c r="O626" s="22"/>
      <c r="P626" s="22"/>
      <c r="Q626" s="22"/>
      <c r="R626" s="22"/>
    </row>
    <row r="627" spans="1:18" x14ac:dyDescent="0.25">
      <c r="A627" s="22" t="s">
        <v>1370</v>
      </c>
      <c r="B627" s="22" t="s">
        <v>201</v>
      </c>
      <c r="C627" s="22" t="s">
        <v>202</v>
      </c>
      <c r="D627" s="22" t="s">
        <v>1369</v>
      </c>
      <c r="E627" s="22" t="s">
        <v>57</v>
      </c>
      <c r="F627" s="23">
        <v>-32700</v>
      </c>
      <c r="G627" s="24">
        <v>44547</v>
      </c>
      <c r="H627" s="22" t="s">
        <v>1272</v>
      </c>
      <c r="I627" s="22" t="s">
        <v>1360</v>
      </c>
      <c r="J627" s="22"/>
      <c r="K627" s="22"/>
      <c r="L627" s="22"/>
      <c r="M627" s="22"/>
      <c r="N627" s="22"/>
      <c r="O627" s="22"/>
      <c r="P627" s="22"/>
      <c r="Q627" s="22"/>
      <c r="R627" s="22"/>
    </row>
    <row r="628" spans="1:18" x14ac:dyDescent="0.25">
      <c r="A628" s="22" t="s">
        <v>1372</v>
      </c>
      <c r="B628" s="22" t="s">
        <v>201</v>
      </c>
      <c r="C628" s="22" t="s">
        <v>202</v>
      </c>
      <c r="D628" s="22" t="s">
        <v>1371</v>
      </c>
      <c r="E628" s="22" t="s">
        <v>57</v>
      </c>
      <c r="F628" s="23">
        <v>-150000</v>
      </c>
      <c r="G628" s="24">
        <v>44547</v>
      </c>
      <c r="H628" s="22" t="s">
        <v>1272</v>
      </c>
      <c r="I628" s="22" t="s">
        <v>212</v>
      </c>
      <c r="J628" s="22"/>
      <c r="K628" s="22"/>
      <c r="L628" s="22"/>
      <c r="M628" s="22"/>
      <c r="N628" s="22"/>
      <c r="O628" s="22"/>
      <c r="P628" s="22"/>
      <c r="Q628" s="22"/>
      <c r="R628" s="22"/>
    </row>
    <row r="629" spans="1:18" x14ac:dyDescent="0.25">
      <c r="A629" s="22" t="s">
        <v>1374</v>
      </c>
      <c r="B629" s="22" t="s">
        <v>201</v>
      </c>
      <c r="C629" s="22" t="s">
        <v>202</v>
      </c>
      <c r="D629" s="22" t="s">
        <v>1373</v>
      </c>
      <c r="E629" s="22" t="s">
        <v>57</v>
      </c>
      <c r="F629" s="23">
        <v>-32700</v>
      </c>
      <c r="G629" s="24">
        <v>44546</v>
      </c>
      <c r="H629" s="22" t="s">
        <v>1272</v>
      </c>
      <c r="I629" s="22" t="s">
        <v>298</v>
      </c>
      <c r="J629" s="22"/>
      <c r="K629" s="22"/>
      <c r="L629" s="22"/>
      <c r="M629" s="22"/>
      <c r="N629" s="22"/>
      <c r="O629" s="22"/>
      <c r="P629" s="22"/>
      <c r="Q629" s="22"/>
      <c r="R629" s="22"/>
    </row>
    <row r="630" spans="1:18" x14ac:dyDescent="0.25">
      <c r="A630" s="22" t="s">
        <v>1376</v>
      </c>
      <c r="B630" s="22" t="s">
        <v>201</v>
      </c>
      <c r="C630" s="22" t="s">
        <v>202</v>
      </c>
      <c r="D630" s="22" t="s">
        <v>1375</v>
      </c>
      <c r="E630" s="22" t="s">
        <v>57</v>
      </c>
      <c r="F630" s="23">
        <v>-47200</v>
      </c>
      <c r="G630" s="24">
        <v>44540</v>
      </c>
      <c r="H630" s="22" t="s">
        <v>1272</v>
      </c>
      <c r="I630" s="22" t="s">
        <v>212</v>
      </c>
      <c r="J630" s="22"/>
      <c r="K630" s="22"/>
      <c r="L630" s="22"/>
      <c r="M630" s="22"/>
      <c r="N630" s="22"/>
      <c r="O630" s="22"/>
      <c r="P630" s="22"/>
      <c r="Q630" s="22"/>
      <c r="R630" s="22"/>
    </row>
    <row r="631" spans="1:18" x14ac:dyDescent="0.25">
      <c r="A631" s="22" t="s">
        <v>1378</v>
      </c>
      <c r="B631" s="22" t="s">
        <v>201</v>
      </c>
      <c r="C631" s="22" t="s">
        <v>202</v>
      </c>
      <c r="D631" s="22" t="s">
        <v>1377</v>
      </c>
      <c r="E631" s="22" t="s">
        <v>57</v>
      </c>
      <c r="F631" s="23">
        <v>-45800</v>
      </c>
      <c r="G631" s="24">
        <v>44537</v>
      </c>
      <c r="H631" s="22" t="s">
        <v>1272</v>
      </c>
      <c r="I631" s="22" t="s">
        <v>941</v>
      </c>
      <c r="J631" s="22"/>
      <c r="K631" s="22"/>
      <c r="L631" s="22"/>
      <c r="M631" s="22"/>
      <c r="N631" s="22"/>
      <c r="O631" s="22"/>
      <c r="P631" s="22"/>
      <c r="Q631" s="22"/>
      <c r="R631" s="22"/>
    </row>
    <row r="632" spans="1:18" x14ac:dyDescent="0.25">
      <c r="A632" s="22" t="s">
        <v>1380</v>
      </c>
      <c r="B632" s="22" t="s">
        <v>201</v>
      </c>
      <c r="C632" s="22" t="s">
        <v>202</v>
      </c>
      <c r="D632" s="22" t="s">
        <v>1379</v>
      </c>
      <c r="E632" s="22" t="s">
        <v>57</v>
      </c>
      <c r="F632" s="23">
        <v>-36000</v>
      </c>
      <c r="G632" s="24">
        <v>44564</v>
      </c>
      <c r="H632" s="22" t="s">
        <v>964</v>
      </c>
      <c r="I632" s="22" t="s">
        <v>951</v>
      </c>
      <c r="J632" s="22"/>
      <c r="K632" s="22"/>
      <c r="L632" s="22"/>
      <c r="M632" s="22"/>
      <c r="N632" s="22"/>
      <c r="O632" s="22"/>
      <c r="P632" s="22"/>
      <c r="Q632" s="22"/>
      <c r="R632" s="22"/>
    </row>
    <row r="633" spans="1:18" s="39" customFormat="1" x14ac:dyDescent="0.25">
      <c r="A633" s="36" t="s">
        <v>1382</v>
      </c>
      <c r="B633" s="36" t="s">
        <v>201</v>
      </c>
      <c r="C633" s="36" t="s">
        <v>202</v>
      </c>
      <c r="D633" s="36" t="s">
        <v>1381</v>
      </c>
      <c r="E633" s="36" t="s">
        <v>42</v>
      </c>
      <c r="F633" s="37">
        <v>2977239</v>
      </c>
      <c r="G633" s="38">
        <v>44635</v>
      </c>
      <c r="H633" s="36" t="s">
        <v>1383</v>
      </c>
      <c r="I633" s="36" t="s">
        <v>49</v>
      </c>
      <c r="J633" s="36"/>
      <c r="K633" s="36"/>
      <c r="L633" s="36"/>
      <c r="M633" s="36"/>
      <c r="N633" s="36"/>
      <c r="O633" s="36"/>
      <c r="P633" s="36"/>
      <c r="Q633" s="36"/>
      <c r="R633" s="36"/>
    </row>
    <row r="634" spans="1:18" x14ac:dyDescent="0.25">
      <c r="A634" s="22" t="s">
        <v>1385</v>
      </c>
      <c r="B634" s="22" t="s">
        <v>201</v>
      </c>
      <c r="C634" s="22" t="s">
        <v>202</v>
      </c>
      <c r="D634" s="22" t="s">
        <v>1384</v>
      </c>
      <c r="E634" s="22" t="s">
        <v>57</v>
      </c>
      <c r="F634" s="23">
        <v>-32700</v>
      </c>
      <c r="G634" s="24">
        <v>44509</v>
      </c>
      <c r="H634" s="22" t="s">
        <v>1383</v>
      </c>
      <c r="I634" s="22" t="s">
        <v>1386</v>
      </c>
      <c r="J634" s="22"/>
      <c r="K634" s="22"/>
      <c r="L634" s="22"/>
      <c r="M634" s="22"/>
      <c r="N634" s="22"/>
      <c r="O634" s="22"/>
      <c r="P634" s="22"/>
      <c r="Q634" s="22"/>
      <c r="R634" s="22"/>
    </row>
    <row r="635" spans="1:18" x14ac:dyDescent="0.25">
      <c r="A635" s="22" t="s">
        <v>1388</v>
      </c>
      <c r="B635" s="22" t="s">
        <v>201</v>
      </c>
      <c r="C635" s="22" t="s">
        <v>202</v>
      </c>
      <c r="D635" s="22" t="s">
        <v>1387</v>
      </c>
      <c r="E635" s="22" t="s">
        <v>57</v>
      </c>
      <c r="F635" s="23">
        <v>-22900</v>
      </c>
      <c r="G635" s="24">
        <v>44509</v>
      </c>
      <c r="H635" s="22" t="s">
        <v>1383</v>
      </c>
      <c r="I635" s="22" t="s">
        <v>1386</v>
      </c>
      <c r="J635" s="22"/>
      <c r="K635" s="22"/>
      <c r="L635" s="22"/>
      <c r="M635" s="22"/>
      <c r="N635" s="22"/>
      <c r="O635" s="22"/>
      <c r="P635" s="22"/>
      <c r="Q635" s="22"/>
      <c r="R635" s="22"/>
    </row>
    <row r="636" spans="1:18" x14ac:dyDescent="0.25">
      <c r="A636" s="22" t="s">
        <v>1390</v>
      </c>
      <c r="B636" s="22" t="s">
        <v>201</v>
      </c>
      <c r="C636" s="22" t="s">
        <v>202</v>
      </c>
      <c r="D636" s="22" t="s">
        <v>1389</v>
      </c>
      <c r="E636" s="22" t="s">
        <v>57</v>
      </c>
      <c r="F636" s="23">
        <v>-191294</v>
      </c>
      <c r="G636" s="24">
        <v>44507</v>
      </c>
      <c r="H636" s="22" t="s">
        <v>1383</v>
      </c>
      <c r="I636" s="22" t="s">
        <v>1391</v>
      </c>
      <c r="J636" s="22"/>
      <c r="K636" s="22"/>
      <c r="L636" s="22"/>
      <c r="M636" s="22"/>
      <c r="N636" s="22"/>
      <c r="O636" s="22"/>
      <c r="P636" s="22"/>
      <c r="Q636" s="22"/>
      <c r="R636" s="22"/>
    </row>
    <row r="637" spans="1:18" x14ac:dyDescent="0.25">
      <c r="A637" s="22" t="s">
        <v>1393</v>
      </c>
      <c r="B637" s="22" t="s">
        <v>201</v>
      </c>
      <c r="C637" s="22" t="s">
        <v>202</v>
      </c>
      <c r="D637" s="22" t="s">
        <v>1392</v>
      </c>
      <c r="E637" s="22" t="s">
        <v>57</v>
      </c>
      <c r="F637" s="23">
        <v>-9700</v>
      </c>
      <c r="G637" s="24">
        <v>44546</v>
      </c>
      <c r="H637" s="22" t="s">
        <v>1383</v>
      </c>
      <c r="I637" s="22" t="s">
        <v>1394</v>
      </c>
      <c r="J637" s="22"/>
      <c r="K637" s="22"/>
      <c r="L637" s="22"/>
      <c r="M637" s="22"/>
      <c r="N637" s="22"/>
      <c r="O637" s="22"/>
      <c r="P637" s="22"/>
      <c r="Q637" s="22"/>
      <c r="R637" s="22"/>
    </row>
    <row r="638" spans="1:18" x14ac:dyDescent="0.25">
      <c r="A638" s="22" t="s">
        <v>1396</v>
      </c>
      <c r="B638" s="22" t="s">
        <v>201</v>
      </c>
      <c r="C638" s="22" t="s">
        <v>202</v>
      </c>
      <c r="D638" s="22" t="s">
        <v>1395</v>
      </c>
      <c r="E638" s="22" t="s">
        <v>57</v>
      </c>
      <c r="F638" s="23">
        <v>-2720645</v>
      </c>
      <c r="G638" s="24">
        <v>44560</v>
      </c>
      <c r="H638" s="22" t="s">
        <v>1383</v>
      </c>
      <c r="I638" s="22" t="s">
        <v>1397</v>
      </c>
      <c r="J638" s="22"/>
      <c r="K638" s="22"/>
      <c r="L638" s="22"/>
      <c r="M638" s="22"/>
      <c r="N638" s="22"/>
      <c r="O638" s="22"/>
      <c r="P638" s="22"/>
      <c r="Q638" s="22"/>
      <c r="R638" s="22"/>
    </row>
    <row r="639" spans="1:18" s="39" customFormat="1" x14ac:dyDescent="0.25">
      <c r="A639" s="36" t="s">
        <v>1399</v>
      </c>
      <c r="B639" s="36" t="s">
        <v>201</v>
      </c>
      <c r="C639" s="36" t="s">
        <v>202</v>
      </c>
      <c r="D639" s="36" t="s">
        <v>1398</v>
      </c>
      <c r="E639" s="36" t="s">
        <v>42</v>
      </c>
      <c r="F639" s="37">
        <v>3876435</v>
      </c>
      <c r="G639" s="38">
        <v>44599</v>
      </c>
      <c r="H639" s="36" t="s">
        <v>403</v>
      </c>
      <c r="I639" s="36" t="s">
        <v>43</v>
      </c>
      <c r="J639" s="36"/>
      <c r="K639" s="36"/>
      <c r="L639" s="36"/>
      <c r="M639" s="36"/>
      <c r="N639" s="36"/>
      <c r="O639" s="36"/>
      <c r="P639" s="36"/>
      <c r="Q639" s="36"/>
      <c r="R639" s="36"/>
    </row>
    <row r="640" spans="1:18" x14ac:dyDescent="0.25">
      <c r="A640" s="22" t="s">
        <v>267</v>
      </c>
      <c r="B640" s="22" t="s">
        <v>201</v>
      </c>
      <c r="C640" s="22" t="s">
        <v>202</v>
      </c>
      <c r="D640" s="22" t="s">
        <v>403</v>
      </c>
      <c r="E640" s="22" t="s">
        <v>45</v>
      </c>
      <c r="F640" s="23">
        <v>2173544</v>
      </c>
      <c r="G640" s="24">
        <v>44541</v>
      </c>
      <c r="H640" s="22" t="s">
        <v>403</v>
      </c>
      <c r="I640" s="22"/>
      <c r="J640" s="22"/>
      <c r="K640" s="22"/>
      <c r="L640" s="22"/>
      <c r="M640" s="22"/>
      <c r="N640" s="22"/>
      <c r="O640" s="22"/>
      <c r="P640" s="22"/>
      <c r="Q640" s="22"/>
      <c r="R640" s="22"/>
    </row>
    <row r="641" spans="1:18" x14ac:dyDescent="0.25">
      <c r="A641" s="22" t="s">
        <v>267</v>
      </c>
      <c r="B641" s="22" t="s">
        <v>201</v>
      </c>
      <c r="C641" s="22" t="s">
        <v>202</v>
      </c>
      <c r="D641" s="22" t="s">
        <v>403</v>
      </c>
      <c r="E641" s="22" t="s">
        <v>45</v>
      </c>
      <c r="F641" s="23">
        <v>-3876435</v>
      </c>
      <c r="G641" s="24">
        <v>44541</v>
      </c>
      <c r="H641" s="22" t="s">
        <v>403</v>
      </c>
      <c r="I641" s="22"/>
      <c r="J641" s="22"/>
      <c r="K641" s="22"/>
      <c r="L641" s="22"/>
      <c r="M641" s="22"/>
      <c r="N641" s="22"/>
      <c r="O641" s="22"/>
      <c r="P641" s="22"/>
      <c r="Q641" s="22"/>
      <c r="R641" s="22"/>
    </row>
    <row r="642" spans="1:18" x14ac:dyDescent="0.25">
      <c r="A642" s="22" t="s">
        <v>267</v>
      </c>
      <c r="B642" s="22" t="s">
        <v>201</v>
      </c>
      <c r="C642" s="22" t="s">
        <v>202</v>
      </c>
      <c r="D642" s="22" t="s">
        <v>403</v>
      </c>
      <c r="E642" s="22" t="s">
        <v>45</v>
      </c>
      <c r="F642" s="23">
        <v>1982401</v>
      </c>
      <c r="G642" s="24">
        <v>44541</v>
      </c>
      <c r="H642" s="22" t="s">
        <v>403</v>
      </c>
      <c r="I642" s="22"/>
      <c r="J642" s="22"/>
      <c r="K642" s="22"/>
      <c r="L642" s="22"/>
      <c r="M642" s="22"/>
      <c r="N642" s="22"/>
      <c r="O642" s="22"/>
      <c r="P642" s="22"/>
      <c r="Q642" s="22"/>
      <c r="R642" s="22"/>
    </row>
    <row r="643" spans="1:18" x14ac:dyDescent="0.25">
      <c r="A643" s="22" t="s">
        <v>267</v>
      </c>
      <c r="B643" s="22" t="s">
        <v>201</v>
      </c>
      <c r="C643" s="22" t="s">
        <v>202</v>
      </c>
      <c r="D643" s="22" t="s">
        <v>403</v>
      </c>
      <c r="E643" s="22" t="s">
        <v>45</v>
      </c>
      <c r="F643" s="23">
        <v>13916</v>
      </c>
      <c r="G643" s="24">
        <v>44541</v>
      </c>
      <c r="H643" s="22" t="s">
        <v>403</v>
      </c>
      <c r="I643" s="22"/>
      <c r="J643" s="22"/>
      <c r="K643" s="22"/>
      <c r="L643" s="22"/>
      <c r="M643" s="22"/>
      <c r="N643" s="22"/>
      <c r="O643" s="22"/>
      <c r="P643" s="22"/>
      <c r="Q643" s="22"/>
      <c r="R643" s="22"/>
    </row>
    <row r="644" spans="1:18" x14ac:dyDescent="0.25">
      <c r="A644" s="22" t="s">
        <v>424</v>
      </c>
      <c r="B644" s="22" t="s">
        <v>201</v>
      </c>
      <c r="C644" s="22" t="s">
        <v>202</v>
      </c>
      <c r="D644" s="22" t="s">
        <v>423</v>
      </c>
      <c r="E644" s="22" t="s">
        <v>45</v>
      </c>
      <c r="F644" s="23">
        <v>-13916</v>
      </c>
      <c r="G644" s="24">
        <v>44526</v>
      </c>
      <c r="H644" s="22" t="s">
        <v>403</v>
      </c>
      <c r="I644" s="22" t="s">
        <v>1400</v>
      </c>
      <c r="J644" s="22"/>
      <c r="K644" s="22"/>
      <c r="L644" s="22"/>
      <c r="M644" s="22"/>
      <c r="N644" s="22"/>
      <c r="O644" s="22"/>
      <c r="P644" s="22"/>
      <c r="Q644" s="22"/>
      <c r="R644" s="22"/>
    </row>
    <row r="645" spans="1:18" x14ac:dyDescent="0.25">
      <c r="A645" s="22" t="s">
        <v>255</v>
      </c>
      <c r="B645" s="22" t="s">
        <v>201</v>
      </c>
      <c r="C645" s="22" t="s">
        <v>202</v>
      </c>
      <c r="D645" s="22" t="s">
        <v>254</v>
      </c>
      <c r="E645" s="22" t="s">
        <v>45</v>
      </c>
      <c r="F645" s="23">
        <v>-585568</v>
      </c>
      <c r="G645" s="24">
        <v>44530</v>
      </c>
      <c r="H645" s="22" t="s">
        <v>403</v>
      </c>
      <c r="I645" s="22" t="s">
        <v>1401</v>
      </c>
      <c r="J645" s="22"/>
      <c r="K645" s="22"/>
      <c r="L645" s="22"/>
      <c r="M645" s="22"/>
      <c r="N645" s="22"/>
      <c r="O645" s="22"/>
      <c r="P645" s="22"/>
      <c r="Q645" s="22"/>
      <c r="R645" s="22"/>
    </row>
    <row r="646" spans="1:18" x14ac:dyDescent="0.25">
      <c r="A646" s="22" t="s">
        <v>219</v>
      </c>
      <c r="B646" s="22" t="s">
        <v>201</v>
      </c>
      <c r="C646" s="22" t="s">
        <v>202</v>
      </c>
      <c r="D646" s="22" t="s">
        <v>205</v>
      </c>
      <c r="E646" s="22" t="s">
        <v>45</v>
      </c>
      <c r="F646" s="23">
        <v>-62127</v>
      </c>
      <c r="G646" s="24">
        <v>44511</v>
      </c>
      <c r="H646" s="22" t="s">
        <v>403</v>
      </c>
      <c r="I646" s="22" t="s">
        <v>1402</v>
      </c>
      <c r="J646" s="22"/>
      <c r="K646" s="22"/>
      <c r="L646" s="22"/>
      <c r="M646" s="22"/>
      <c r="N646" s="22"/>
      <c r="O646" s="22"/>
      <c r="P646" s="22"/>
      <c r="Q646" s="22"/>
      <c r="R646" s="22"/>
    </row>
    <row r="647" spans="1:18" x14ac:dyDescent="0.25">
      <c r="A647" s="22" t="s">
        <v>1404</v>
      </c>
      <c r="B647" s="22" t="s">
        <v>201</v>
      </c>
      <c r="C647" s="22" t="s">
        <v>202</v>
      </c>
      <c r="D647" s="22" t="s">
        <v>1403</v>
      </c>
      <c r="E647" s="22" t="s">
        <v>57</v>
      </c>
      <c r="F647" s="23">
        <v>-208300</v>
      </c>
      <c r="G647" s="24">
        <v>44505</v>
      </c>
      <c r="H647" s="22" t="s">
        <v>403</v>
      </c>
      <c r="I647" s="22" t="s">
        <v>478</v>
      </c>
      <c r="J647" s="22"/>
      <c r="K647" s="22"/>
      <c r="L647" s="22"/>
      <c r="M647" s="22"/>
      <c r="N647" s="22"/>
      <c r="O647" s="22"/>
      <c r="P647" s="22"/>
      <c r="Q647" s="22"/>
      <c r="R647" s="22"/>
    </row>
    <row r="648" spans="1:18" x14ac:dyDescent="0.25">
      <c r="A648" s="22" t="s">
        <v>1406</v>
      </c>
      <c r="B648" s="22" t="s">
        <v>201</v>
      </c>
      <c r="C648" s="22" t="s">
        <v>202</v>
      </c>
      <c r="D648" s="22" t="s">
        <v>1405</v>
      </c>
      <c r="E648" s="22" t="s">
        <v>57</v>
      </c>
      <c r="F648" s="23">
        <v>-891000</v>
      </c>
      <c r="G648" s="24">
        <v>44505</v>
      </c>
      <c r="H648" s="22" t="s">
        <v>403</v>
      </c>
      <c r="I648" s="22" t="s">
        <v>494</v>
      </c>
      <c r="J648" s="22"/>
      <c r="K648" s="22"/>
      <c r="L648" s="22"/>
      <c r="M648" s="22"/>
      <c r="N648" s="22"/>
      <c r="O648" s="22"/>
      <c r="P648" s="22"/>
      <c r="Q648" s="22"/>
      <c r="R648" s="22"/>
    </row>
    <row r="649" spans="1:18" x14ac:dyDescent="0.25">
      <c r="A649" s="22" t="s">
        <v>277</v>
      </c>
      <c r="B649" s="22" t="s">
        <v>201</v>
      </c>
      <c r="C649" s="22" t="s">
        <v>202</v>
      </c>
      <c r="D649" s="22" t="s">
        <v>275</v>
      </c>
      <c r="E649" s="22" t="s">
        <v>45</v>
      </c>
      <c r="F649" s="23">
        <v>-124827</v>
      </c>
      <c r="G649" s="24">
        <v>44503</v>
      </c>
      <c r="H649" s="22" t="s">
        <v>403</v>
      </c>
      <c r="I649" s="22" t="s">
        <v>1407</v>
      </c>
      <c r="J649" s="22"/>
      <c r="K649" s="22"/>
      <c r="L649" s="22"/>
      <c r="M649" s="22"/>
      <c r="N649" s="22"/>
      <c r="O649" s="22"/>
      <c r="P649" s="22"/>
      <c r="Q649" s="22"/>
      <c r="R649" s="22"/>
    </row>
    <row r="650" spans="1:18" x14ac:dyDescent="0.25">
      <c r="A650" s="22" t="s">
        <v>1409</v>
      </c>
      <c r="B650" s="22" t="s">
        <v>201</v>
      </c>
      <c r="C650" s="22" t="s">
        <v>202</v>
      </c>
      <c r="D650" s="22" t="s">
        <v>1408</v>
      </c>
      <c r="E650" s="22" t="s">
        <v>57</v>
      </c>
      <c r="F650" s="23">
        <v>-382600</v>
      </c>
      <c r="G650" s="24">
        <v>44504</v>
      </c>
      <c r="H650" s="22" t="s">
        <v>403</v>
      </c>
      <c r="I650" s="22" t="s">
        <v>282</v>
      </c>
      <c r="J650" s="22"/>
      <c r="K650" s="22"/>
      <c r="L650" s="22"/>
      <c r="M650" s="22"/>
      <c r="N650" s="22"/>
      <c r="O650" s="22"/>
      <c r="P650" s="22"/>
      <c r="Q650" s="22"/>
      <c r="R650" s="22"/>
    </row>
    <row r="651" spans="1:18" x14ac:dyDescent="0.25">
      <c r="A651" s="22" t="s">
        <v>349</v>
      </c>
      <c r="B651" s="22" t="s">
        <v>201</v>
      </c>
      <c r="C651" s="22" t="s">
        <v>202</v>
      </c>
      <c r="D651" s="22" t="s">
        <v>348</v>
      </c>
      <c r="E651" s="22" t="s">
        <v>45</v>
      </c>
      <c r="F651" s="23">
        <v>-15857</v>
      </c>
      <c r="G651" s="24">
        <v>44479</v>
      </c>
      <c r="H651" s="22" t="s">
        <v>403</v>
      </c>
      <c r="I651" s="22" t="s">
        <v>1410</v>
      </c>
      <c r="J651" s="22"/>
      <c r="K651" s="22"/>
      <c r="L651" s="22"/>
      <c r="M651" s="22"/>
      <c r="N651" s="22"/>
      <c r="O651" s="22"/>
      <c r="P651" s="22"/>
      <c r="Q651" s="22"/>
      <c r="R651" s="22"/>
    </row>
    <row r="652" spans="1:18" x14ac:dyDescent="0.25">
      <c r="A652" s="22" t="s">
        <v>267</v>
      </c>
      <c r="B652" s="22" t="s">
        <v>201</v>
      </c>
      <c r="C652" s="22" t="s">
        <v>202</v>
      </c>
      <c r="D652" s="22" t="s">
        <v>266</v>
      </c>
      <c r="E652" s="22" t="s">
        <v>45</v>
      </c>
      <c r="F652" s="23">
        <v>-347148</v>
      </c>
      <c r="G652" s="24">
        <v>44541</v>
      </c>
      <c r="H652" s="22" t="s">
        <v>403</v>
      </c>
      <c r="I652" s="22" t="s">
        <v>1411</v>
      </c>
      <c r="J652" s="22"/>
      <c r="K652" s="22"/>
      <c r="L652" s="22"/>
      <c r="M652" s="22"/>
      <c r="N652" s="22"/>
      <c r="O652" s="22"/>
      <c r="P652" s="22"/>
      <c r="Q652" s="22"/>
      <c r="R652" s="22"/>
    </row>
    <row r="653" spans="1:18" x14ac:dyDescent="0.25">
      <c r="A653" s="22" t="s">
        <v>238</v>
      </c>
      <c r="B653" s="22" t="s">
        <v>201</v>
      </c>
      <c r="C653" s="22" t="s">
        <v>202</v>
      </c>
      <c r="D653" s="22" t="s">
        <v>237</v>
      </c>
      <c r="E653" s="22" t="s">
        <v>45</v>
      </c>
      <c r="F653" s="23">
        <v>-28526</v>
      </c>
      <c r="G653" s="24">
        <v>44559</v>
      </c>
      <c r="H653" s="22" t="s">
        <v>403</v>
      </c>
      <c r="I653" s="22" t="s">
        <v>1412</v>
      </c>
      <c r="J653" s="22"/>
      <c r="K653" s="22"/>
      <c r="L653" s="22"/>
      <c r="M653" s="22"/>
      <c r="N653" s="22"/>
      <c r="O653" s="22"/>
      <c r="P653" s="22"/>
      <c r="Q653" s="22"/>
      <c r="R653" s="22"/>
    </row>
    <row r="654" spans="1:18" x14ac:dyDescent="0.25">
      <c r="A654" s="22" t="s">
        <v>261</v>
      </c>
      <c r="B654" s="22" t="s">
        <v>201</v>
      </c>
      <c r="C654" s="22" t="s">
        <v>202</v>
      </c>
      <c r="D654" s="22" t="s">
        <v>260</v>
      </c>
      <c r="E654" s="22" t="s">
        <v>45</v>
      </c>
      <c r="F654" s="23">
        <v>-1509992</v>
      </c>
      <c r="G654" s="24">
        <v>44564</v>
      </c>
      <c r="H654" s="22" t="s">
        <v>403</v>
      </c>
      <c r="I654" s="22" t="s">
        <v>1413</v>
      </c>
      <c r="J654" s="22"/>
      <c r="K654" s="22"/>
      <c r="L654" s="22"/>
      <c r="M654" s="22"/>
      <c r="N654" s="22"/>
      <c r="O654" s="22"/>
      <c r="P654" s="22"/>
      <c r="Q654" s="22"/>
      <c r="R654" s="22"/>
    </row>
    <row r="655" spans="1:18" s="39" customFormat="1" x14ac:dyDescent="0.25">
      <c r="A655" s="36" t="s">
        <v>1415</v>
      </c>
      <c r="B655" s="36" t="s">
        <v>201</v>
      </c>
      <c r="C655" s="36" t="s">
        <v>202</v>
      </c>
      <c r="D655" s="36" t="s">
        <v>1414</v>
      </c>
      <c r="E655" s="36" t="s">
        <v>42</v>
      </c>
      <c r="F655" s="37">
        <v>1639159</v>
      </c>
      <c r="G655" s="38">
        <v>44608</v>
      </c>
      <c r="H655" s="36" t="s">
        <v>423</v>
      </c>
      <c r="I655" s="36" t="s">
        <v>520</v>
      </c>
      <c r="J655" s="36"/>
      <c r="K655" s="36"/>
      <c r="L655" s="36"/>
      <c r="M655" s="36"/>
      <c r="N655" s="36"/>
      <c r="O655" s="36"/>
      <c r="P655" s="36"/>
      <c r="Q655" s="36"/>
      <c r="R655" s="36"/>
    </row>
    <row r="656" spans="1:18" x14ac:dyDescent="0.25">
      <c r="A656" s="22" t="s">
        <v>424</v>
      </c>
      <c r="B656" s="22" t="s">
        <v>201</v>
      </c>
      <c r="C656" s="22" t="s">
        <v>202</v>
      </c>
      <c r="D656" s="22" t="s">
        <v>423</v>
      </c>
      <c r="E656" s="22" t="s">
        <v>45</v>
      </c>
      <c r="F656" s="23">
        <v>116200</v>
      </c>
      <c r="G656" s="24">
        <v>44526</v>
      </c>
      <c r="H656" s="22" t="s">
        <v>423</v>
      </c>
      <c r="I656" s="22"/>
      <c r="J656" s="22"/>
      <c r="K656" s="22"/>
      <c r="L656" s="22"/>
      <c r="M656" s="22"/>
      <c r="N656" s="22"/>
      <c r="O656" s="22"/>
      <c r="P656" s="22"/>
      <c r="Q656" s="22"/>
      <c r="R656" s="22"/>
    </row>
    <row r="657" spans="1:18" x14ac:dyDescent="0.25">
      <c r="A657" s="22" t="s">
        <v>965</v>
      </c>
      <c r="B657" s="22" t="s">
        <v>201</v>
      </c>
      <c r="C657" s="22" t="s">
        <v>202</v>
      </c>
      <c r="D657" s="22" t="s">
        <v>964</v>
      </c>
      <c r="E657" s="22" t="s">
        <v>45</v>
      </c>
      <c r="F657" s="23">
        <v>242945</v>
      </c>
      <c r="G657" s="24">
        <v>44569</v>
      </c>
      <c r="H657" s="22" t="s">
        <v>964</v>
      </c>
      <c r="I657" s="22"/>
      <c r="J657" s="22"/>
      <c r="K657" s="22"/>
      <c r="L657" s="22"/>
      <c r="M657" s="22"/>
      <c r="N657" s="22"/>
      <c r="O657" s="22"/>
      <c r="P657" s="22"/>
      <c r="Q657" s="22"/>
      <c r="R657" s="22"/>
    </row>
    <row r="658" spans="1:18" x14ac:dyDescent="0.25">
      <c r="A658" s="22" t="s">
        <v>965</v>
      </c>
      <c r="B658" s="22" t="s">
        <v>201</v>
      </c>
      <c r="C658" s="22" t="s">
        <v>202</v>
      </c>
      <c r="D658" s="22" t="s">
        <v>964</v>
      </c>
      <c r="E658" s="22" t="s">
        <v>45</v>
      </c>
      <c r="F658" s="23">
        <v>-228800</v>
      </c>
      <c r="G658" s="24">
        <v>44569</v>
      </c>
      <c r="H658" s="22" t="s">
        <v>964</v>
      </c>
      <c r="I658" s="22"/>
      <c r="J658" s="22"/>
      <c r="K658" s="22"/>
      <c r="L658" s="22"/>
      <c r="M658" s="22"/>
      <c r="N658" s="22"/>
      <c r="O658" s="22"/>
      <c r="P658" s="22"/>
      <c r="Q658" s="22"/>
      <c r="R658" s="22"/>
    </row>
    <row r="659" spans="1:18" x14ac:dyDescent="0.25">
      <c r="A659" s="22" t="s">
        <v>251</v>
      </c>
      <c r="B659" s="22" t="s">
        <v>201</v>
      </c>
      <c r="C659" s="22" t="s">
        <v>202</v>
      </c>
      <c r="D659" s="22" t="s">
        <v>248</v>
      </c>
      <c r="E659" s="22" t="s">
        <v>45</v>
      </c>
      <c r="F659" s="23">
        <v>-132520</v>
      </c>
      <c r="G659" s="24">
        <v>44543</v>
      </c>
      <c r="H659" s="22" t="s">
        <v>964</v>
      </c>
      <c r="I659" s="22" t="s">
        <v>866</v>
      </c>
      <c r="J659" s="22"/>
      <c r="K659" s="22"/>
      <c r="L659" s="22"/>
      <c r="M659" s="22"/>
      <c r="N659" s="22"/>
      <c r="O659" s="22"/>
      <c r="P659" s="22"/>
      <c r="Q659" s="22"/>
      <c r="R659" s="22"/>
    </row>
    <row r="660" spans="1:18" x14ac:dyDescent="0.25">
      <c r="A660" s="22" t="s">
        <v>1417</v>
      </c>
      <c r="B660" s="22" t="s">
        <v>201</v>
      </c>
      <c r="C660" s="22" t="s">
        <v>202</v>
      </c>
      <c r="D660" s="22" t="s">
        <v>1416</v>
      </c>
      <c r="E660" s="22" t="s">
        <v>45</v>
      </c>
      <c r="F660" s="23">
        <v>53700</v>
      </c>
      <c r="G660" s="24">
        <v>44635</v>
      </c>
      <c r="H660" s="22" t="s">
        <v>1416</v>
      </c>
      <c r="I660" s="22" t="s">
        <v>230</v>
      </c>
      <c r="J660" s="22"/>
      <c r="K660" s="22"/>
      <c r="L660" s="22"/>
      <c r="M660" s="22"/>
      <c r="N660" s="22"/>
      <c r="O660" s="22"/>
      <c r="P660" s="22"/>
      <c r="Q660" s="22"/>
      <c r="R660" s="22"/>
    </row>
    <row r="661" spans="1:18" x14ac:dyDescent="0.25">
      <c r="A661" s="22" t="s">
        <v>1417</v>
      </c>
      <c r="B661" s="22" t="s">
        <v>201</v>
      </c>
      <c r="C661" s="22" t="s">
        <v>202</v>
      </c>
      <c r="D661" s="22" t="s">
        <v>1416</v>
      </c>
      <c r="E661" s="22" t="s">
        <v>45</v>
      </c>
      <c r="F661" s="23">
        <v>-53700</v>
      </c>
      <c r="G661" s="24">
        <v>44635</v>
      </c>
      <c r="H661" s="22" t="s">
        <v>1416</v>
      </c>
      <c r="I661" s="22" t="s">
        <v>230</v>
      </c>
      <c r="J661" s="22"/>
      <c r="K661" s="22"/>
      <c r="L661" s="22"/>
      <c r="M661" s="22"/>
      <c r="N661" s="22"/>
      <c r="O661" s="22"/>
      <c r="P661" s="22"/>
      <c r="Q661" s="22"/>
      <c r="R661" s="22"/>
    </row>
    <row r="662" spans="1:18" s="39" customFormat="1" x14ac:dyDescent="0.25">
      <c r="A662" s="36" t="s">
        <v>1417</v>
      </c>
      <c r="B662" s="36" t="s">
        <v>201</v>
      </c>
      <c r="C662" s="36" t="s">
        <v>202</v>
      </c>
      <c r="D662" s="36" t="s">
        <v>1418</v>
      </c>
      <c r="E662" s="36" t="s">
        <v>42</v>
      </c>
      <c r="F662" s="37">
        <v>53700</v>
      </c>
      <c r="G662" s="38">
        <v>44635</v>
      </c>
      <c r="H662" s="36" t="s">
        <v>1416</v>
      </c>
      <c r="I662" s="36" t="s">
        <v>49</v>
      </c>
      <c r="J662" s="36"/>
      <c r="K662" s="36"/>
      <c r="L662" s="36"/>
      <c r="M662" s="36"/>
      <c r="N662" s="36"/>
      <c r="O662" s="36"/>
      <c r="P662" s="36"/>
      <c r="Q662" s="36"/>
      <c r="R662" s="36"/>
    </row>
    <row r="663" spans="1:18" x14ac:dyDescent="0.25">
      <c r="A663" s="22" t="s">
        <v>1420</v>
      </c>
      <c r="B663" s="22" t="s">
        <v>201</v>
      </c>
      <c r="C663" s="22" t="s">
        <v>202</v>
      </c>
      <c r="D663" s="22" t="s">
        <v>1419</v>
      </c>
      <c r="E663" s="22" t="s">
        <v>57</v>
      </c>
      <c r="F663" s="23">
        <v>-53700</v>
      </c>
      <c r="G663" s="24">
        <v>44542</v>
      </c>
      <c r="H663" s="22" t="s">
        <v>1416</v>
      </c>
      <c r="I663" s="22" t="s">
        <v>1421</v>
      </c>
      <c r="J663" s="22"/>
      <c r="K663" s="22"/>
      <c r="L663" s="22"/>
      <c r="M663" s="22"/>
      <c r="N663" s="22"/>
      <c r="O663" s="22"/>
      <c r="P663" s="22"/>
      <c r="Q663" s="22"/>
      <c r="R663" s="22"/>
    </row>
    <row r="664" spans="1:18" x14ac:dyDescent="0.25">
      <c r="A664" s="22" t="s">
        <v>1423</v>
      </c>
      <c r="B664" s="22" t="s">
        <v>201</v>
      </c>
      <c r="C664" s="22" t="s">
        <v>202</v>
      </c>
      <c r="D664" s="22" t="s">
        <v>1422</v>
      </c>
      <c r="E664" s="22" t="s">
        <v>45</v>
      </c>
      <c r="F664" s="23">
        <v>124224</v>
      </c>
      <c r="G664" s="24">
        <v>44635</v>
      </c>
      <c r="H664" s="22" t="s">
        <v>1422</v>
      </c>
      <c r="I664" s="22" t="s">
        <v>230</v>
      </c>
      <c r="J664" s="22"/>
      <c r="K664" s="22"/>
      <c r="L664" s="22"/>
      <c r="M664" s="22"/>
      <c r="N664" s="22"/>
      <c r="O664" s="22"/>
      <c r="P664" s="22"/>
      <c r="Q664" s="22"/>
      <c r="R664" s="22"/>
    </row>
    <row r="665" spans="1:18" x14ac:dyDescent="0.25">
      <c r="A665" s="22" t="s">
        <v>1423</v>
      </c>
      <c r="B665" s="22" t="s">
        <v>201</v>
      </c>
      <c r="C665" s="22" t="s">
        <v>202</v>
      </c>
      <c r="D665" s="22" t="s">
        <v>1422</v>
      </c>
      <c r="E665" s="22" t="s">
        <v>45</v>
      </c>
      <c r="F665" s="23">
        <v>-124224</v>
      </c>
      <c r="G665" s="24">
        <v>44635</v>
      </c>
      <c r="H665" s="22" t="s">
        <v>1422</v>
      </c>
      <c r="I665" s="22" t="s">
        <v>230</v>
      </c>
      <c r="J665" s="22"/>
      <c r="K665" s="22"/>
      <c r="L665" s="22"/>
      <c r="M665" s="22"/>
      <c r="N665" s="22"/>
      <c r="O665" s="22"/>
      <c r="P665" s="22"/>
      <c r="Q665" s="22"/>
      <c r="R665" s="22"/>
    </row>
    <row r="666" spans="1:18" s="39" customFormat="1" x14ac:dyDescent="0.25">
      <c r="A666" s="36" t="s">
        <v>1423</v>
      </c>
      <c r="B666" s="36" t="s">
        <v>201</v>
      </c>
      <c r="C666" s="36" t="s">
        <v>202</v>
      </c>
      <c r="D666" s="36" t="s">
        <v>1424</v>
      </c>
      <c r="E666" s="36" t="s">
        <v>42</v>
      </c>
      <c r="F666" s="37">
        <v>124224</v>
      </c>
      <c r="G666" s="38">
        <v>44635</v>
      </c>
      <c r="H666" s="36" t="s">
        <v>1422</v>
      </c>
      <c r="I666" s="36" t="s">
        <v>49</v>
      </c>
      <c r="J666" s="36"/>
      <c r="K666" s="36"/>
      <c r="L666" s="36"/>
      <c r="M666" s="36"/>
      <c r="N666" s="36"/>
      <c r="O666" s="36"/>
      <c r="P666" s="36"/>
      <c r="Q666" s="36"/>
      <c r="R666" s="36"/>
    </row>
    <row r="667" spans="1:18" x14ac:dyDescent="0.25">
      <c r="A667" s="22" t="s">
        <v>1426</v>
      </c>
      <c r="B667" s="22" t="s">
        <v>201</v>
      </c>
      <c r="C667" s="22" t="s">
        <v>202</v>
      </c>
      <c r="D667" s="22" t="s">
        <v>1425</v>
      </c>
      <c r="E667" s="22" t="s">
        <v>57</v>
      </c>
      <c r="F667" s="23">
        <v>-29200</v>
      </c>
      <c r="G667" s="24">
        <v>44529</v>
      </c>
      <c r="H667" s="22" t="s">
        <v>1422</v>
      </c>
      <c r="I667" s="22" t="s">
        <v>1427</v>
      </c>
      <c r="J667" s="22"/>
      <c r="K667" s="22"/>
      <c r="L667" s="22"/>
      <c r="M667" s="22"/>
      <c r="N667" s="22"/>
      <c r="O667" s="22"/>
      <c r="P667" s="22"/>
      <c r="Q667" s="22"/>
      <c r="R667" s="22"/>
    </row>
    <row r="668" spans="1:18" x14ac:dyDescent="0.25">
      <c r="A668" s="22" t="s">
        <v>1429</v>
      </c>
      <c r="B668" s="22" t="s">
        <v>201</v>
      </c>
      <c r="C668" s="22" t="s">
        <v>202</v>
      </c>
      <c r="D668" s="22" t="s">
        <v>1428</v>
      </c>
      <c r="E668" s="22" t="s">
        <v>57</v>
      </c>
      <c r="F668" s="23">
        <v>-95024</v>
      </c>
      <c r="G668" s="24">
        <v>44560</v>
      </c>
      <c r="H668" s="22" t="s">
        <v>1422</v>
      </c>
      <c r="I668" s="22" t="s">
        <v>1430</v>
      </c>
      <c r="J668" s="22"/>
      <c r="K668" s="22"/>
      <c r="L668" s="22"/>
      <c r="M668" s="22"/>
      <c r="N668" s="22"/>
      <c r="O668" s="22"/>
      <c r="P668" s="22"/>
      <c r="Q668" s="22"/>
      <c r="R668" s="22"/>
    </row>
    <row r="669" spans="1:18" x14ac:dyDescent="0.25">
      <c r="A669" s="22" t="s">
        <v>1432</v>
      </c>
      <c r="B669" s="22" t="s">
        <v>201</v>
      </c>
      <c r="C669" s="22" t="s">
        <v>202</v>
      </c>
      <c r="D669" s="22" t="s">
        <v>1431</v>
      </c>
      <c r="E669" s="22" t="s">
        <v>45</v>
      </c>
      <c r="F669" s="23">
        <v>229321</v>
      </c>
      <c r="G669" s="24">
        <v>44635</v>
      </c>
      <c r="H669" s="22" t="s">
        <v>1431</v>
      </c>
      <c r="I669" s="22" t="s">
        <v>230</v>
      </c>
      <c r="J669" s="22"/>
      <c r="K669" s="22"/>
      <c r="L669" s="22"/>
      <c r="M669" s="22"/>
      <c r="N669" s="22"/>
      <c r="O669" s="22"/>
      <c r="P669" s="22"/>
      <c r="Q669" s="22"/>
      <c r="R669" s="22"/>
    </row>
    <row r="670" spans="1:18" x14ac:dyDescent="0.25">
      <c r="A670" s="22" t="s">
        <v>1432</v>
      </c>
      <c r="B670" s="22" t="s">
        <v>201</v>
      </c>
      <c r="C670" s="22" t="s">
        <v>202</v>
      </c>
      <c r="D670" s="22" t="s">
        <v>1431</v>
      </c>
      <c r="E670" s="22" t="s">
        <v>45</v>
      </c>
      <c r="F670" s="23">
        <v>-229321</v>
      </c>
      <c r="G670" s="24">
        <v>44635</v>
      </c>
      <c r="H670" s="22" t="s">
        <v>1431</v>
      </c>
      <c r="I670" s="22" t="s">
        <v>230</v>
      </c>
      <c r="J670" s="22"/>
      <c r="K670" s="22"/>
      <c r="L670" s="22"/>
      <c r="M670" s="22"/>
      <c r="N670" s="22"/>
      <c r="O670" s="22"/>
      <c r="P670" s="22"/>
      <c r="Q670" s="22"/>
      <c r="R670" s="22"/>
    </row>
    <row r="671" spans="1:18" s="39" customFormat="1" x14ac:dyDescent="0.25">
      <c r="A671" s="36" t="s">
        <v>1432</v>
      </c>
      <c r="B671" s="36" t="s">
        <v>201</v>
      </c>
      <c r="C671" s="36" t="s">
        <v>202</v>
      </c>
      <c r="D671" s="36" t="s">
        <v>1433</v>
      </c>
      <c r="E671" s="36" t="s">
        <v>42</v>
      </c>
      <c r="F671" s="37">
        <v>229321</v>
      </c>
      <c r="G671" s="38">
        <v>44635</v>
      </c>
      <c r="H671" s="36" t="s">
        <v>1431</v>
      </c>
      <c r="I671" s="36" t="s">
        <v>49</v>
      </c>
      <c r="J671" s="36"/>
      <c r="K671" s="36"/>
      <c r="L671" s="36"/>
      <c r="M671" s="36"/>
      <c r="N671" s="36"/>
      <c r="O671" s="36"/>
      <c r="P671" s="36"/>
      <c r="Q671" s="36"/>
      <c r="R671" s="36"/>
    </row>
    <row r="672" spans="1:18" x14ac:dyDescent="0.25">
      <c r="A672" s="22" t="s">
        <v>1435</v>
      </c>
      <c r="B672" s="22" t="s">
        <v>201</v>
      </c>
      <c r="C672" s="22" t="s">
        <v>202</v>
      </c>
      <c r="D672" s="22" t="s">
        <v>1434</v>
      </c>
      <c r="E672" s="22" t="s">
        <v>57</v>
      </c>
      <c r="F672" s="23">
        <v>-113700</v>
      </c>
      <c r="G672" s="24">
        <v>44527</v>
      </c>
      <c r="H672" s="22" t="s">
        <v>1431</v>
      </c>
      <c r="I672" s="22" t="s">
        <v>1436</v>
      </c>
      <c r="J672" s="22"/>
      <c r="K672" s="22"/>
      <c r="L672" s="22"/>
      <c r="M672" s="22"/>
      <c r="N672" s="22"/>
      <c r="O672" s="22"/>
      <c r="P672" s="22"/>
      <c r="Q672" s="22"/>
      <c r="R672" s="22"/>
    </row>
    <row r="673" spans="1:18" x14ac:dyDescent="0.25">
      <c r="A673" s="22" t="s">
        <v>1438</v>
      </c>
      <c r="B673" s="22" t="s">
        <v>201</v>
      </c>
      <c r="C673" s="22" t="s">
        <v>202</v>
      </c>
      <c r="D673" s="22" t="s">
        <v>1437</v>
      </c>
      <c r="E673" s="22" t="s">
        <v>57</v>
      </c>
      <c r="F673" s="23">
        <v>-115621</v>
      </c>
      <c r="G673" s="24">
        <v>44553</v>
      </c>
      <c r="H673" s="22" t="s">
        <v>1431</v>
      </c>
      <c r="I673" s="22" t="s">
        <v>1439</v>
      </c>
      <c r="J673" s="22"/>
      <c r="K673" s="22"/>
      <c r="L673" s="22"/>
      <c r="M673" s="22"/>
      <c r="N673" s="22"/>
      <c r="O673" s="22"/>
      <c r="P673" s="22"/>
      <c r="Q673" s="22"/>
      <c r="R673" s="22"/>
    </row>
    <row r="674" spans="1:18" x14ac:dyDescent="0.25">
      <c r="A674" s="22" t="s">
        <v>1441</v>
      </c>
      <c r="B674" s="22" t="s">
        <v>201</v>
      </c>
      <c r="C674" s="22" t="s">
        <v>202</v>
      </c>
      <c r="D674" s="22" t="s">
        <v>1440</v>
      </c>
      <c r="E674" s="22" t="s">
        <v>45</v>
      </c>
      <c r="F674" s="23">
        <v>667073</v>
      </c>
      <c r="G674" s="24">
        <v>44635</v>
      </c>
      <c r="H674" s="22" t="s">
        <v>1440</v>
      </c>
      <c r="I674" s="22" t="s">
        <v>230</v>
      </c>
      <c r="J674" s="22"/>
      <c r="K674" s="22"/>
      <c r="L674" s="22"/>
      <c r="M674" s="22"/>
      <c r="N674" s="22"/>
      <c r="O674" s="22"/>
      <c r="P674" s="22"/>
      <c r="Q674" s="22"/>
      <c r="R674" s="22"/>
    </row>
    <row r="675" spans="1:18" x14ac:dyDescent="0.25">
      <c r="A675" s="22" t="s">
        <v>1441</v>
      </c>
      <c r="B675" s="22" t="s">
        <v>201</v>
      </c>
      <c r="C675" s="22" t="s">
        <v>202</v>
      </c>
      <c r="D675" s="22" t="s">
        <v>1440</v>
      </c>
      <c r="E675" s="22" t="s">
        <v>45</v>
      </c>
      <c r="F675" s="23">
        <v>-667073</v>
      </c>
      <c r="G675" s="24">
        <v>44635</v>
      </c>
      <c r="H675" s="22" t="s">
        <v>1440</v>
      </c>
      <c r="I675" s="22" t="s">
        <v>230</v>
      </c>
      <c r="J675" s="22"/>
      <c r="K675" s="22"/>
      <c r="L675" s="22"/>
      <c r="M675" s="22"/>
      <c r="N675" s="22"/>
      <c r="O675" s="22"/>
      <c r="P675" s="22"/>
      <c r="Q675" s="22"/>
      <c r="R675" s="22"/>
    </row>
    <row r="676" spans="1:18" s="39" customFormat="1" x14ac:dyDescent="0.25">
      <c r="A676" s="36" t="s">
        <v>1441</v>
      </c>
      <c r="B676" s="36" t="s">
        <v>201</v>
      </c>
      <c r="C676" s="36" t="s">
        <v>202</v>
      </c>
      <c r="D676" s="36" t="s">
        <v>1442</v>
      </c>
      <c r="E676" s="36" t="s">
        <v>42</v>
      </c>
      <c r="F676" s="37">
        <v>667073</v>
      </c>
      <c r="G676" s="38">
        <v>44635</v>
      </c>
      <c r="H676" s="36" t="s">
        <v>1440</v>
      </c>
      <c r="I676" s="36" t="s">
        <v>49</v>
      </c>
      <c r="J676" s="36"/>
      <c r="K676" s="36"/>
      <c r="L676" s="36"/>
      <c r="M676" s="36"/>
      <c r="N676" s="36"/>
      <c r="O676" s="36"/>
      <c r="P676" s="36"/>
      <c r="Q676" s="36"/>
      <c r="R676" s="36"/>
    </row>
    <row r="677" spans="1:18" x14ac:dyDescent="0.25">
      <c r="A677" s="22" t="s">
        <v>1444</v>
      </c>
      <c r="B677" s="22" t="s">
        <v>201</v>
      </c>
      <c r="C677" s="22" t="s">
        <v>202</v>
      </c>
      <c r="D677" s="22" t="s">
        <v>1443</v>
      </c>
      <c r="E677" s="22" t="s">
        <v>57</v>
      </c>
      <c r="F677" s="23">
        <v>-613373</v>
      </c>
      <c r="G677" s="24">
        <v>44524</v>
      </c>
      <c r="H677" s="22" t="s">
        <v>1440</v>
      </c>
      <c r="I677" s="22" t="s">
        <v>1445</v>
      </c>
      <c r="J677" s="22"/>
      <c r="K677" s="22"/>
      <c r="L677" s="22"/>
      <c r="M677" s="22"/>
      <c r="N677" s="22"/>
      <c r="O677" s="22"/>
      <c r="P677" s="22"/>
      <c r="Q677" s="22"/>
      <c r="R677" s="22"/>
    </row>
    <row r="678" spans="1:18" x14ac:dyDescent="0.25">
      <c r="A678" s="22" t="s">
        <v>1447</v>
      </c>
      <c r="B678" s="22" t="s">
        <v>201</v>
      </c>
      <c r="C678" s="22" t="s">
        <v>202</v>
      </c>
      <c r="D678" s="22" t="s">
        <v>1446</v>
      </c>
      <c r="E678" s="22" t="s">
        <v>57</v>
      </c>
      <c r="F678" s="23">
        <v>-53700</v>
      </c>
      <c r="G678" s="24">
        <v>44533</v>
      </c>
      <c r="H678" s="22" t="s">
        <v>1440</v>
      </c>
      <c r="I678" s="22" t="s">
        <v>1448</v>
      </c>
      <c r="J678" s="22"/>
      <c r="K678" s="22"/>
      <c r="L678" s="22"/>
      <c r="M678" s="22"/>
      <c r="N678" s="22"/>
      <c r="O678" s="22"/>
      <c r="P678" s="22"/>
      <c r="Q678" s="22"/>
      <c r="R678" s="22"/>
    </row>
    <row r="679" spans="1:18" x14ac:dyDescent="0.25">
      <c r="A679" s="22" t="s">
        <v>1382</v>
      </c>
      <c r="B679" s="22" t="s">
        <v>201</v>
      </c>
      <c r="C679" s="22" t="s">
        <v>202</v>
      </c>
      <c r="D679" s="22" t="s">
        <v>1383</v>
      </c>
      <c r="E679" s="22" t="s">
        <v>45</v>
      </c>
      <c r="F679" s="23">
        <v>2977239</v>
      </c>
      <c r="G679" s="24">
        <v>44635</v>
      </c>
      <c r="H679" s="22" t="s">
        <v>1383</v>
      </c>
      <c r="I679" s="22" t="s">
        <v>230</v>
      </c>
      <c r="J679" s="22"/>
      <c r="K679" s="22"/>
      <c r="L679" s="22"/>
      <c r="M679" s="22"/>
      <c r="N679" s="22"/>
      <c r="O679" s="22"/>
      <c r="P679" s="22"/>
      <c r="Q679" s="22"/>
      <c r="R679" s="22"/>
    </row>
    <row r="680" spans="1:18" x14ac:dyDescent="0.25">
      <c r="A680" s="22" t="s">
        <v>1382</v>
      </c>
      <c r="B680" s="22" t="s">
        <v>201</v>
      </c>
      <c r="C680" s="22" t="s">
        <v>202</v>
      </c>
      <c r="D680" s="22" t="s">
        <v>1383</v>
      </c>
      <c r="E680" s="22" t="s">
        <v>45</v>
      </c>
      <c r="F680" s="23">
        <v>-2977239</v>
      </c>
      <c r="G680" s="24">
        <v>44635</v>
      </c>
      <c r="H680" s="22" t="s">
        <v>1383</v>
      </c>
      <c r="I680" s="22" t="s">
        <v>230</v>
      </c>
      <c r="J680" s="22"/>
      <c r="K680" s="22"/>
      <c r="L680" s="22"/>
      <c r="M680" s="22"/>
      <c r="N680" s="22"/>
      <c r="O680" s="22"/>
      <c r="P680" s="22"/>
      <c r="Q680" s="22"/>
      <c r="R680" s="22"/>
    </row>
    <row r="681" spans="1:18" x14ac:dyDescent="0.25">
      <c r="A681" s="22" t="s">
        <v>1450</v>
      </c>
      <c r="B681" s="22" t="s">
        <v>201</v>
      </c>
      <c r="C681" s="22" t="s">
        <v>202</v>
      </c>
      <c r="D681" s="22" t="s">
        <v>1449</v>
      </c>
      <c r="E681" s="22" t="s">
        <v>57</v>
      </c>
      <c r="F681" s="23">
        <v>-237300</v>
      </c>
      <c r="G681" s="24">
        <v>44563</v>
      </c>
      <c r="H681" s="22" t="s">
        <v>1272</v>
      </c>
      <c r="I681" s="22" t="s">
        <v>263</v>
      </c>
      <c r="J681" s="22"/>
      <c r="K681" s="22"/>
      <c r="L681" s="22"/>
      <c r="M681" s="22"/>
      <c r="N681" s="22"/>
      <c r="O681" s="22"/>
      <c r="P681" s="22"/>
      <c r="Q681" s="22"/>
      <c r="R681" s="22"/>
    </row>
    <row r="682" spans="1:18" x14ac:dyDescent="0.25">
      <c r="A682" s="22" t="s">
        <v>1452</v>
      </c>
      <c r="B682" s="22" t="s">
        <v>201</v>
      </c>
      <c r="C682" s="22" t="s">
        <v>202</v>
      </c>
      <c r="D682" s="22" t="s">
        <v>1451</v>
      </c>
      <c r="E682" s="22" t="s">
        <v>57</v>
      </c>
      <c r="F682" s="23">
        <v>-59100</v>
      </c>
      <c r="G682" s="24">
        <v>44562</v>
      </c>
      <c r="H682" s="22" t="s">
        <v>1272</v>
      </c>
      <c r="I682" s="22" t="s">
        <v>1453</v>
      </c>
      <c r="J682" s="22"/>
      <c r="K682" s="22"/>
      <c r="L682" s="22"/>
      <c r="M682" s="22"/>
      <c r="N682" s="22"/>
      <c r="O682" s="22"/>
      <c r="P682" s="22"/>
      <c r="Q682" s="22"/>
      <c r="R682" s="22"/>
    </row>
    <row r="683" spans="1:18" x14ac:dyDescent="0.25">
      <c r="A683" s="22" t="s">
        <v>1455</v>
      </c>
      <c r="B683" s="22" t="s">
        <v>201</v>
      </c>
      <c r="C683" s="22" t="s">
        <v>202</v>
      </c>
      <c r="D683" s="22" t="s">
        <v>1454</v>
      </c>
      <c r="E683" s="22" t="s">
        <v>57</v>
      </c>
      <c r="F683" s="23">
        <v>-34700</v>
      </c>
      <c r="G683" s="24">
        <v>44596</v>
      </c>
      <c r="H683" s="22" t="s">
        <v>1272</v>
      </c>
      <c r="I683" s="22" t="s">
        <v>979</v>
      </c>
      <c r="J683" s="22"/>
      <c r="K683" s="22"/>
      <c r="L683" s="22"/>
      <c r="M683" s="22"/>
      <c r="N683" s="22"/>
      <c r="O683" s="22"/>
      <c r="P683" s="22"/>
      <c r="Q683" s="22"/>
      <c r="R683" s="22"/>
    </row>
    <row r="684" spans="1:18" x14ac:dyDescent="0.25">
      <c r="A684" s="22" t="s">
        <v>1457</v>
      </c>
      <c r="B684" s="22" t="s">
        <v>201</v>
      </c>
      <c r="C684" s="22" t="s">
        <v>202</v>
      </c>
      <c r="D684" s="22" t="s">
        <v>1456</v>
      </c>
      <c r="E684" s="22" t="s">
        <v>57</v>
      </c>
      <c r="F684" s="23">
        <v>-36000</v>
      </c>
      <c r="G684" s="24">
        <v>44592</v>
      </c>
      <c r="H684" s="22" t="s">
        <v>1272</v>
      </c>
      <c r="I684" s="22" t="s">
        <v>304</v>
      </c>
      <c r="J684" s="22"/>
      <c r="K684" s="22"/>
      <c r="L684" s="22"/>
      <c r="M684" s="22"/>
      <c r="N684" s="22"/>
      <c r="O684" s="22"/>
      <c r="P684" s="22"/>
      <c r="Q684" s="22"/>
      <c r="R684" s="22"/>
    </row>
    <row r="685" spans="1:18" x14ac:dyDescent="0.25">
      <c r="A685" s="22" t="s">
        <v>1459</v>
      </c>
      <c r="B685" s="22" t="s">
        <v>201</v>
      </c>
      <c r="C685" s="22" t="s">
        <v>202</v>
      </c>
      <c r="D685" s="22" t="s">
        <v>1458</v>
      </c>
      <c r="E685" s="22" t="s">
        <v>57</v>
      </c>
      <c r="F685" s="23">
        <v>-72000</v>
      </c>
      <c r="G685" s="24">
        <v>44589</v>
      </c>
      <c r="H685" s="22" t="s">
        <v>1272</v>
      </c>
      <c r="I685" s="22" t="s">
        <v>1357</v>
      </c>
      <c r="J685" s="22"/>
      <c r="K685" s="22"/>
      <c r="L685" s="22"/>
      <c r="M685" s="22"/>
      <c r="N685" s="22"/>
      <c r="O685" s="22"/>
      <c r="P685" s="22"/>
      <c r="Q685" s="22"/>
      <c r="R685" s="22"/>
    </row>
    <row r="686" spans="1:18" x14ac:dyDescent="0.25">
      <c r="A686" s="22" t="s">
        <v>1461</v>
      </c>
      <c r="B686" s="22" t="s">
        <v>201</v>
      </c>
      <c r="C686" s="22" t="s">
        <v>202</v>
      </c>
      <c r="D686" s="22" t="s">
        <v>1460</v>
      </c>
      <c r="E686" s="22" t="s">
        <v>57</v>
      </c>
      <c r="F686" s="23">
        <v>-26000</v>
      </c>
      <c r="G686" s="24">
        <v>44589</v>
      </c>
      <c r="H686" s="22" t="s">
        <v>1272</v>
      </c>
      <c r="I686" s="22" t="s">
        <v>979</v>
      </c>
      <c r="J686" s="22"/>
      <c r="K686" s="22"/>
      <c r="L686" s="22"/>
      <c r="M686" s="22"/>
      <c r="N686" s="22"/>
      <c r="O686" s="22"/>
      <c r="P686" s="22"/>
      <c r="Q686" s="22"/>
      <c r="R686" s="22"/>
    </row>
    <row r="687" spans="1:18" x14ac:dyDescent="0.25">
      <c r="A687" s="22" t="s">
        <v>1463</v>
      </c>
      <c r="B687" s="22" t="s">
        <v>201</v>
      </c>
      <c r="C687" s="22" t="s">
        <v>202</v>
      </c>
      <c r="D687" s="22" t="s">
        <v>1462</v>
      </c>
      <c r="E687" s="22" t="s">
        <v>57</v>
      </c>
      <c r="F687" s="23">
        <v>-51900</v>
      </c>
      <c r="G687" s="24">
        <v>44587</v>
      </c>
      <c r="H687" s="22" t="s">
        <v>1272</v>
      </c>
      <c r="I687" s="22" t="s">
        <v>212</v>
      </c>
      <c r="J687" s="22"/>
      <c r="K687" s="22"/>
      <c r="L687" s="22"/>
      <c r="M687" s="22"/>
      <c r="N687" s="22"/>
      <c r="O687" s="22"/>
      <c r="P687" s="22"/>
      <c r="Q687" s="22"/>
      <c r="R687" s="22"/>
    </row>
    <row r="688" spans="1:18" x14ac:dyDescent="0.25">
      <c r="A688" s="22" t="s">
        <v>1465</v>
      </c>
      <c r="B688" s="22" t="s">
        <v>201</v>
      </c>
      <c r="C688" s="22" t="s">
        <v>202</v>
      </c>
      <c r="D688" s="22" t="s">
        <v>1464</v>
      </c>
      <c r="E688" s="22" t="s">
        <v>57</v>
      </c>
      <c r="F688" s="23">
        <v>-34700</v>
      </c>
      <c r="G688" s="24">
        <v>44587</v>
      </c>
      <c r="H688" s="22" t="s">
        <v>1272</v>
      </c>
      <c r="I688" s="22" t="s">
        <v>989</v>
      </c>
      <c r="J688" s="22"/>
      <c r="K688" s="22"/>
      <c r="L688" s="22"/>
      <c r="M688" s="22"/>
      <c r="N688" s="22"/>
      <c r="O688" s="22"/>
      <c r="P688" s="22"/>
      <c r="Q688" s="22"/>
      <c r="R688" s="22"/>
    </row>
    <row r="689" spans="1:18" x14ac:dyDescent="0.25">
      <c r="A689" s="22" t="s">
        <v>1467</v>
      </c>
      <c r="B689" s="22" t="s">
        <v>201</v>
      </c>
      <c r="C689" s="22" t="s">
        <v>202</v>
      </c>
      <c r="D689" s="22" t="s">
        <v>1466</v>
      </c>
      <c r="E689" s="22" t="s">
        <v>57</v>
      </c>
      <c r="F689" s="23">
        <v>-51900</v>
      </c>
      <c r="G689" s="24">
        <v>44585</v>
      </c>
      <c r="H689" s="22" t="s">
        <v>1272</v>
      </c>
      <c r="I689" s="22" t="s">
        <v>319</v>
      </c>
      <c r="J689" s="22"/>
      <c r="K689" s="22"/>
      <c r="L689" s="22"/>
      <c r="M689" s="22"/>
      <c r="N689" s="22"/>
      <c r="O689" s="22"/>
      <c r="P689" s="22"/>
      <c r="Q689" s="22"/>
      <c r="R689" s="22"/>
    </row>
    <row r="690" spans="1:18" x14ac:dyDescent="0.25">
      <c r="A690" s="22" t="s">
        <v>1469</v>
      </c>
      <c r="B690" s="22" t="s">
        <v>201</v>
      </c>
      <c r="C690" s="22" t="s">
        <v>202</v>
      </c>
      <c r="D690" s="22" t="s">
        <v>1468</v>
      </c>
      <c r="E690" s="22" t="s">
        <v>57</v>
      </c>
      <c r="F690" s="23">
        <v>-504000</v>
      </c>
      <c r="G690" s="24">
        <v>44583</v>
      </c>
      <c r="H690" s="22" t="s">
        <v>1272</v>
      </c>
      <c r="I690" s="22" t="s">
        <v>989</v>
      </c>
      <c r="J690" s="22"/>
      <c r="K690" s="22"/>
      <c r="L690" s="22"/>
      <c r="M690" s="22"/>
      <c r="N690" s="22"/>
      <c r="O690" s="22"/>
      <c r="P690" s="22"/>
      <c r="Q690" s="22"/>
      <c r="R690" s="22"/>
    </row>
    <row r="691" spans="1:18" x14ac:dyDescent="0.25">
      <c r="A691" s="22" t="s">
        <v>1471</v>
      </c>
      <c r="B691" s="22" t="s">
        <v>201</v>
      </c>
      <c r="C691" s="22" t="s">
        <v>202</v>
      </c>
      <c r="D691" s="22" t="s">
        <v>1470</v>
      </c>
      <c r="E691" s="22" t="s">
        <v>57</v>
      </c>
      <c r="F691" s="23">
        <v>-2600000</v>
      </c>
      <c r="G691" s="24">
        <v>44583</v>
      </c>
      <c r="H691" s="22" t="s">
        <v>1272</v>
      </c>
      <c r="I691" s="22" t="s">
        <v>1472</v>
      </c>
      <c r="J691" s="22"/>
      <c r="K691" s="22"/>
      <c r="L691" s="22"/>
      <c r="M691" s="22"/>
      <c r="N691" s="22"/>
      <c r="O691" s="22"/>
      <c r="P691" s="22"/>
      <c r="Q691" s="22"/>
      <c r="R691" s="22"/>
    </row>
    <row r="692" spans="1:18" x14ac:dyDescent="0.25">
      <c r="A692" s="22" t="s">
        <v>1474</v>
      </c>
      <c r="B692" s="22" t="s">
        <v>201</v>
      </c>
      <c r="C692" s="22" t="s">
        <v>202</v>
      </c>
      <c r="D692" s="22" t="s">
        <v>1473</v>
      </c>
      <c r="E692" s="22" t="s">
        <v>57</v>
      </c>
      <c r="F692" s="23">
        <v>-161400</v>
      </c>
      <c r="G692" s="24">
        <v>44578</v>
      </c>
      <c r="H692" s="22" t="s">
        <v>1272</v>
      </c>
      <c r="I692" s="22" t="s">
        <v>212</v>
      </c>
      <c r="J692" s="22"/>
      <c r="K692" s="22"/>
      <c r="L692" s="22"/>
      <c r="M692" s="22"/>
      <c r="N692" s="22"/>
      <c r="O692" s="22"/>
      <c r="P692" s="22"/>
      <c r="Q692" s="22"/>
      <c r="R692" s="22"/>
    </row>
    <row r="693" spans="1:18" x14ac:dyDescent="0.25">
      <c r="A693" s="22" t="s">
        <v>1476</v>
      </c>
      <c r="B693" s="22" t="s">
        <v>201</v>
      </c>
      <c r="C693" s="22" t="s">
        <v>202</v>
      </c>
      <c r="D693" s="22" t="s">
        <v>1475</v>
      </c>
      <c r="E693" s="22" t="s">
        <v>57</v>
      </c>
      <c r="F693" s="23">
        <v>-51900</v>
      </c>
      <c r="G693" s="24">
        <v>44578</v>
      </c>
      <c r="H693" s="22" t="s">
        <v>1272</v>
      </c>
      <c r="I693" s="22" t="s">
        <v>1477</v>
      </c>
      <c r="J693" s="22"/>
      <c r="K693" s="22"/>
      <c r="L693" s="22"/>
      <c r="M693" s="22"/>
      <c r="N693" s="22"/>
      <c r="O693" s="22"/>
      <c r="P693" s="22"/>
      <c r="Q693" s="22"/>
      <c r="R693" s="22"/>
    </row>
    <row r="694" spans="1:18" x14ac:dyDescent="0.25">
      <c r="A694" s="22" t="s">
        <v>1479</v>
      </c>
      <c r="B694" s="22" t="s">
        <v>201</v>
      </c>
      <c r="C694" s="22" t="s">
        <v>202</v>
      </c>
      <c r="D694" s="22" t="s">
        <v>1478</v>
      </c>
      <c r="E694" s="22" t="s">
        <v>57</v>
      </c>
      <c r="F694" s="23">
        <v>-51900</v>
      </c>
      <c r="G694" s="24">
        <v>44575</v>
      </c>
      <c r="H694" s="22" t="s">
        <v>1272</v>
      </c>
      <c r="I694" s="22" t="s">
        <v>550</v>
      </c>
      <c r="J694" s="22"/>
      <c r="K694" s="22"/>
      <c r="L694" s="22"/>
      <c r="M694" s="22"/>
      <c r="N694" s="22"/>
      <c r="O694" s="22"/>
      <c r="P694" s="22"/>
      <c r="Q694" s="22"/>
      <c r="R694" s="22"/>
    </row>
    <row r="695" spans="1:18" x14ac:dyDescent="0.25">
      <c r="A695" s="22" t="s">
        <v>1481</v>
      </c>
      <c r="B695" s="22" t="s">
        <v>201</v>
      </c>
      <c r="C695" s="22" t="s">
        <v>202</v>
      </c>
      <c r="D695" s="22" t="s">
        <v>1480</v>
      </c>
      <c r="E695" s="22" t="s">
        <v>57</v>
      </c>
      <c r="F695" s="23">
        <v>-36000</v>
      </c>
      <c r="G695" s="24">
        <v>44574</v>
      </c>
      <c r="H695" s="22" t="s">
        <v>1272</v>
      </c>
      <c r="I695" s="22" t="s">
        <v>298</v>
      </c>
      <c r="J695" s="22"/>
      <c r="K695" s="22"/>
      <c r="L695" s="22"/>
      <c r="M695" s="22"/>
      <c r="N695" s="22"/>
      <c r="O695" s="22"/>
      <c r="P695" s="22"/>
      <c r="Q695" s="22"/>
      <c r="R695" s="22"/>
    </row>
    <row r="696" spans="1:18" x14ac:dyDescent="0.25">
      <c r="A696" s="22" t="s">
        <v>1483</v>
      </c>
      <c r="B696" s="22" t="s">
        <v>201</v>
      </c>
      <c r="C696" s="22" t="s">
        <v>202</v>
      </c>
      <c r="D696" s="22" t="s">
        <v>1482</v>
      </c>
      <c r="E696" s="22" t="s">
        <v>57</v>
      </c>
      <c r="F696" s="23">
        <v>-51900</v>
      </c>
      <c r="G696" s="24">
        <v>44568</v>
      </c>
      <c r="H696" s="22" t="s">
        <v>1272</v>
      </c>
      <c r="I696" s="22" t="s">
        <v>715</v>
      </c>
      <c r="J696" s="22"/>
      <c r="K696" s="22"/>
      <c r="L696" s="22"/>
      <c r="M696" s="22"/>
      <c r="N696" s="22"/>
      <c r="O696" s="22"/>
      <c r="P696" s="22"/>
      <c r="Q696" s="22"/>
      <c r="R696" s="22"/>
    </row>
    <row r="697" spans="1:18" x14ac:dyDescent="0.25">
      <c r="A697" s="22" t="s">
        <v>1485</v>
      </c>
      <c r="B697" s="22" t="s">
        <v>201</v>
      </c>
      <c r="C697" s="22" t="s">
        <v>202</v>
      </c>
      <c r="D697" s="22" t="s">
        <v>1484</v>
      </c>
      <c r="E697" s="22" t="s">
        <v>57</v>
      </c>
      <c r="F697" s="23">
        <v>-23000</v>
      </c>
      <c r="G697" s="24">
        <v>44568</v>
      </c>
      <c r="H697" s="22" t="s">
        <v>1272</v>
      </c>
      <c r="I697" s="22" t="s">
        <v>715</v>
      </c>
      <c r="J697" s="22"/>
      <c r="K697" s="22"/>
      <c r="L697" s="22"/>
      <c r="M697" s="22"/>
      <c r="N697" s="22"/>
      <c r="O697" s="22"/>
      <c r="P697" s="22"/>
      <c r="Q697" s="22"/>
      <c r="R697" s="22"/>
    </row>
    <row r="698" spans="1:18" x14ac:dyDescent="0.25">
      <c r="A698" s="22" t="s">
        <v>1487</v>
      </c>
      <c r="B698" s="22" t="s">
        <v>201</v>
      </c>
      <c r="C698" s="22" t="s">
        <v>202</v>
      </c>
      <c r="D698" s="22" t="s">
        <v>1486</v>
      </c>
      <c r="E698" s="22" t="s">
        <v>57</v>
      </c>
      <c r="F698" s="23">
        <v>-662398</v>
      </c>
      <c r="G698" s="24">
        <v>44596</v>
      </c>
      <c r="H698" s="22" t="s">
        <v>1272</v>
      </c>
      <c r="I698" s="22" t="s">
        <v>1006</v>
      </c>
      <c r="J698" s="22"/>
      <c r="K698" s="22"/>
      <c r="L698" s="22"/>
      <c r="M698" s="22"/>
      <c r="N698" s="22"/>
      <c r="O698" s="22"/>
      <c r="P698" s="22"/>
      <c r="Q698" s="22"/>
      <c r="R698" s="22"/>
    </row>
    <row r="699" spans="1:18" x14ac:dyDescent="0.25">
      <c r="A699" s="22" t="s">
        <v>1489</v>
      </c>
      <c r="B699" s="22" t="s">
        <v>201</v>
      </c>
      <c r="C699" s="22" t="s">
        <v>202</v>
      </c>
      <c r="D699" s="22" t="s">
        <v>1488</v>
      </c>
      <c r="E699" s="22" t="s">
        <v>57</v>
      </c>
      <c r="F699" s="23">
        <v>-140840</v>
      </c>
      <c r="G699" s="24">
        <v>44591</v>
      </c>
      <c r="H699" s="22" t="s">
        <v>1272</v>
      </c>
      <c r="I699" s="22" t="s">
        <v>1111</v>
      </c>
      <c r="J699" s="22"/>
      <c r="K699" s="22"/>
      <c r="L699" s="22"/>
      <c r="M699" s="22"/>
      <c r="N699" s="22"/>
      <c r="O699" s="22"/>
      <c r="P699" s="22"/>
      <c r="Q699" s="22"/>
      <c r="R699" s="22"/>
    </row>
    <row r="700" spans="1:18" x14ac:dyDescent="0.25">
      <c r="A700" s="22" t="s">
        <v>1491</v>
      </c>
      <c r="B700" s="22" t="s">
        <v>201</v>
      </c>
      <c r="C700" s="22" t="s">
        <v>202</v>
      </c>
      <c r="D700" s="22" t="s">
        <v>1490</v>
      </c>
      <c r="E700" s="22" t="s">
        <v>57</v>
      </c>
      <c r="F700" s="23">
        <v>-109269</v>
      </c>
      <c r="G700" s="24">
        <v>44589</v>
      </c>
      <c r="H700" s="22" t="s">
        <v>1272</v>
      </c>
      <c r="I700" s="22" t="s">
        <v>1492</v>
      </c>
      <c r="J700" s="22"/>
      <c r="K700" s="22"/>
      <c r="L700" s="22"/>
      <c r="M700" s="22"/>
      <c r="N700" s="22"/>
      <c r="O700" s="22"/>
      <c r="P700" s="22"/>
      <c r="Q700" s="22"/>
      <c r="R700" s="22"/>
    </row>
    <row r="701" spans="1:18" x14ac:dyDescent="0.25">
      <c r="A701" s="22" t="s">
        <v>1494</v>
      </c>
      <c r="B701" s="22" t="s">
        <v>201</v>
      </c>
      <c r="C701" s="22" t="s">
        <v>202</v>
      </c>
      <c r="D701" s="22" t="s">
        <v>1493</v>
      </c>
      <c r="E701" s="22" t="s">
        <v>57</v>
      </c>
      <c r="F701" s="23">
        <v>-60124</v>
      </c>
      <c r="G701" s="24">
        <v>44588</v>
      </c>
      <c r="H701" s="22" t="s">
        <v>1272</v>
      </c>
      <c r="I701" s="22" t="s">
        <v>375</v>
      </c>
      <c r="J701" s="22"/>
      <c r="K701" s="22"/>
      <c r="L701" s="22"/>
      <c r="M701" s="22"/>
      <c r="N701" s="22"/>
      <c r="O701" s="22"/>
      <c r="P701" s="22"/>
      <c r="Q701" s="22"/>
      <c r="R701" s="22"/>
    </row>
    <row r="702" spans="1:18" x14ac:dyDescent="0.25">
      <c r="A702" s="22" t="s">
        <v>1496</v>
      </c>
      <c r="B702" s="22" t="s">
        <v>201</v>
      </c>
      <c r="C702" s="22" t="s">
        <v>202</v>
      </c>
      <c r="D702" s="22" t="s">
        <v>1495</v>
      </c>
      <c r="E702" s="22" t="s">
        <v>57</v>
      </c>
      <c r="F702" s="23">
        <v>-60532</v>
      </c>
      <c r="G702" s="24">
        <v>44586</v>
      </c>
      <c r="H702" s="22" t="s">
        <v>1272</v>
      </c>
      <c r="I702" s="22" t="s">
        <v>1497</v>
      </c>
      <c r="J702" s="22"/>
      <c r="K702" s="22"/>
      <c r="L702" s="22"/>
      <c r="M702" s="22"/>
      <c r="N702" s="22"/>
      <c r="O702" s="22"/>
      <c r="P702" s="22"/>
      <c r="Q702" s="22"/>
      <c r="R702" s="22"/>
    </row>
    <row r="703" spans="1:18" x14ac:dyDescent="0.25">
      <c r="A703" s="22" t="s">
        <v>1499</v>
      </c>
      <c r="B703" s="22" t="s">
        <v>201</v>
      </c>
      <c r="C703" s="22" t="s">
        <v>202</v>
      </c>
      <c r="D703" s="22" t="s">
        <v>1498</v>
      </c>
      <c r="E703" s="22" t="s">
        <v>57</v>
      </c>
      <c r="F703" s="23">
        <v>-59100</v>
      </c>
      <c r="G703" s="24">
        <v>44585</v>
      </c>
      <c r="H703" s="22" t="s">
        <v>1272</v>
      </c>
      <c r="I703" s="22" t="s">
        <v>491</v>
      </c>
      <c r="J703" s="22"/>
      <c r="K703" s="22"/>
      <c r="L703" s="22"/>
      <c r="M703" s="22"/>
      <c r="N703" s="22"/>
      <c r="O703" s="22"/>
      <c r="P703" s="22"/>
      <c r="Q703" s="22"/>
      <c r="R703" s="22"/>
    </row>
    <row r="704" spans="1:18" x14ac:dyDescent="0.25">
      <c r="A704" s="22" t="s">
        <v>1501</v>
      </c>
      <c r="B704" s="22" t="s">
        <v>201</v>
      </c>
      <c r="C704" s="22" t="s">
        <v>202</v>
      </c>
      <c r="D704" s="22" t="s">
        <v>1500</v>
      </c>
      <c r="E704" s="22" t="s">
        <v>57</v>
      </c>
      <c r="F704" s="23">
        <v>-59100</v>
      </c>
      <c r="G704" s="24">
        <v>44583</v>
      </c>
      <c r="H704" s="22" t="s">
        <v>1272</v>
      </c>
      <c r="I704" s="22" t="s">
        <v>1502</v>
      </c>
      <c r="J704" s="22"/>
      <c r="K704" s="22"/>
      <c r="L704" s="22"/>
      <c r="M704" s="22"/>
      <c r="N704" s="22"/>
      <c r="O704" s="22"/>
      <c r="P704" s="22"/>
      <c r="Q704" s="22"/>
      <c r="R704" s="22"/>
    </row>
    <row r="705" spans="1:18" s="39" customFormat="1" x14ac:dyDescent="0.25">
      <c r="A705" s="36" t="s">
        <v>1504</v>
      </c>
      <c r="B705" s="36" t="s">
        <v>201</v>
      </c>
      <c r="C705" s="36" t="s">
        <v>202</v>
      </c>
      <c r="D705" s="36" t="s">
        <v>1503</v>
      </c>
      <c r="E705" s="36" t="s">
        <v>42</v>
      </c>
      <c r="F705" s="37">
        <v>45100404</v>
      </c>
      <c r="G705" s="38">
        <v>44508</v>
      </c>
      <c r="H705" s="36" t="s">
        <v>1272</v>
      </c>
      <c r="I705" s="36" t="s">
        <v>292</v>
      </c>
      <c r="J705" s="36"/>
      <c r="K705" s="36"/>
      <c r="L705" s="36"/>
      <c r="M705" s="36"/>
      <c r="N705" s="36"/>
      <c r="O705" s="36"/>
      <c r="P705" s="36"/>
      <c r="Q705" s="36"/>
      <c r="R705" s="36"/>
    </row>
    <row r="706" spans="1:18" x14ac:dyDescent="0.25">
      <c r="A706" s="22" t="s">
        <v>1506</v>
      </c>
      <c r="B706" s="22" t="s">
        <v>201</v>
      </c>
      <c r="C706" s="22" t="s">
        <v>202</v>
      </c>
      <c r="D706" s="22" t="s">
        <v>1505</v>
      </c>
      <c r="E706" s="22" t="s">
        <v>57</v>
      </c>
      <c r="F706" s="23">
        <v>-2662981</v>
      </c>
      <c r="G706" s="24">
        <v>44594</v>
      </c>
      <c r="H706" s="22" t="s">
        <v>1272</v>
      </c>
      <c r="I706" s="22" t="s">
        <v>1314</v>
      </c>
      <c r="J706" s="22"/>
      <c r="K706" s="22"/>
      <c r="L706" s="22"/>
      <c r="M706" s="22"/>
      <c r="N706" s="22"/>
      <c r="O706" s="22"/>
      <c r="P706" s="22"/>
      <c r="Q706" s="22"/>
      <c r="R706" s="22"/>
    </row>
    <row r="707" spans="1:18" x14ac:dyDescent="0.25">
      <c r="A707" s="22" t="s">
        <v>1508</v>
      </c>
      <c r="B707" s="22" t="s">
        <v>201</v>
      </c>
      <c r="C707" s="22" t="s">
        <v>202</v>
      </c>
      <c r="D707" s="22" t="s">
        <v>1507</v>
      </c>
      <c r="E707" s="22" t="s">
        <v>57</v>
      </c>
      <c r="F707" s="23">
        <v>-3500214</v>
      </c>
      <c r="G707" s="24">
        <v>44592</v>
      </c>
      <c r="H707" s="22" t="s">
        <v>1272</v>
      </c>
      <c r="I707" s="22" t="s">
        <v>1309</v>
      </c>
      <c r="J707" s="22"/>
      <c r="K707" s="22"/>
      <c r="L707" s="22"/>
      <c r="M707" s="22"/>
      <c r="N707" s="22"/>
      <c r="O707" s="22"/>
      <c r="P707" s="22"/>
      <c r="Q707" s="22"/>
      <c r="R707" s="22"/>
    </row>
    <row r="708" spans="1:18" x14ac:dyDescent="0.25">
      <c r="A708" s="22" t="s">
        <v>1510</v>
      </c>
      <c r="B708" s="22" t="s">
        <v>201</v>
      </c>
      <c r="C708" s="22" t="s">
        <v>202</v>
      </c>
      <c r="D708" s="22" t="s">
        <v>1509</v>
      </c>
      <c r="E708" s="22" t="s">
        <v>57</v>
      </c>
      <c r="F708" s="23">
        <v>-59100</v>
      </c>
      <c r="G708" s="24">
        <v>44592</v>
      </c>
      <c r="H708" s="22" t="s">
        <v>1272</v>
      </c>
      <c r="I708" s="22" t="s">
        <v>1511</v>
      </c>
      <c r="J708" s="22"/>
      <c r="K708" s="22"/>
      <c r="L708" s="22"/>
      <c r="M708" s="22"/>
      <c r="N708" s="22"/>
      <c r="O708" s="22"/>
      <c r="P708" s="22"/>
      <c r="Q708" s="22"/>
      <c r="R708" s="22"/>
    </row>
    <row r="709" spans="1:18" x14ac:dyDescent="0.25">
      <c r="A709" s="22" t="s">
        <v>1513</v>
      </c>
      <c r="B709" s="22" t="s">
        <v>201</v>
      </c>
      <c r="C709" s="22" t="s">
        <v>202</v>
      </c>
      <c r="D709" s="22" t="s">
        <v>1512</v>
      </c>
      <c r="E709" s="22" t="s">
        <v>57</v>
      </c>
      <c r="F709" s="23">
        <v>-164072</v>
      </c>
      <c r="G709" s="24">
        <v>44589</v>
      </c>
      <c r="H709" s="22" t="s">
        <v>1272</v>
      </c>
      <c r="I709" s="22" t="s">
        <v>1514</v>
      </c>
      <c r="J709" s="22"/>
      <c r="K709" s="22"/>
      <c r="L709" s="22"/>
      <c r="M709" s="22"/>
      <c r="N709" s="22"/>
      <c r="O709" s="22"/>
      <c r="P709" s="22"/>
      <c r="Q709" s="22"/>
      <c r="R709" s="22"/>
    </row>
    <row r="710" spans="1:18" x14ac:dyDescent="0.25">
      <c r="A710" s="22" t="s">
        <v>1516</v>
      </c>
      <c r="B710" s="22" t="s">
        <v>201</v>
      </c>
      <c r="C710" s="22" t="s">
        <v>202</v>
      </c>
      <c r="D710" s="22" t="s">
        <v>1515</v>
      </c>
      <c r="E710" s="22" t="s">
        <v>57</v>
      </c>
      <c r="F710" s="23">
        <v>-2367666</v>
      </c>
      <c r="G710" s="24">
        <v>44589</v>
      </c>
      <c r="H710" s="22" t="s">
        <v>1272</v>
      </c>
      <c r="I710" s="22" t="s">
        <v>1517</v>
      </c>
      <c r="J710" s="22"/>
      <c r="K710" s="22"/>
      <c r="L710" s="22"/>
      <c r="M710" s="22"/>
      <c r="N710" s="22"/>
      <c r="O710" s="22"/>
      <c r="P710" s="22"/>
      <c r="Q710" s="22"/>
      <c r="R710" s="22"/>
    </row>
    <row r="711" spans="1:18" x14ac:dyDescent="0.25">
      <c r="A711" s="22" t="s">
        <v>1519</v>
      </c>
      <c r="B711" s="22" t="s">
        <v>201</v>
      </c>
      <c r="C711" s="22" t="s">
        <v>202</v>
      </c>
      <c r="D711" s="22" t="s">
        <v>1518</v>
      </c>
      <c r="E711" s="22" t="s">
        <v>57</v>
      </c>
      <c r="F711" s="23">
        <v>-1121100</v>
      </c>
      <c r="G711" s="24">
        <v>44589</v>
      </c>
      <c r="H711" s="22" t="s">
        <v>1272</v>
      </c>
      <c r="I711" s="22" t="s">
        <v>1520</v>
      </c>
      <c r="J711" s="22"/>
      <c r="K711" s="22"/>
      <c r="L711" s="22"/>
      <c r="M711" s="22"/>
      <c r="N711" s="22"/>
      <c r="O711" s="22"/>
      <c r="P711" s="22"/>
      <c r="Q711" s="22"/>
      <c r="R711" s="22"/>
    </row>
    <row r="712" spans="1:18" x14ac:dyDescent="0.25">
      <c r="A712" s="22" t="s">
        <v>1522</v>
      </c>
      <c r="B712" s="22" t="s">
        <v>201</v>
      </c>
      <c r="C712" s="22" t="s">
        <v>202</v>
      </c>
      <c r="D712" s="22" t="s">
        <v>1521</v>
      </c>
      <c r="E712" s="22" t="s">
        <v>57</v>
      </c>
      <c r="F712" s="23">
        <v>-3553521</v>
      </c>
      <c r="G712" s="24">
        <v>44589</v>
      </c>
      <c r="H712" s="22" t="s">
        <v>1272</v>
      </c>
      <c r="I712" s="22" t="s">
        <v>1523</v>
      </c>
      <c r="J712" s="22"/>
      <c r="K712" s="22"/>
      <c r="L712" s="22"/>
      <c r="M712" s="22"/>
      <c r="N712" s="22"/>
      <c r="O712" s="22"/>
      <c r="P712" s="22"/>
      <c r="Q712" s="22"/>
      <c r="R712" s="22"/>
    </row>
    <row r="713" spans="1:18" x14ac:dyDescent="0.25">
      <c r="A713" s="22" t="s">
        <v>1525</v>
      </c>
      <c r="B713" s="22" t="s">
        <v>201</v>
      </c>
      <c r="C713" s="22" t="s">
        <v>202</v>
      </c>
      <c r="D713" s="22" t="s">
        <v>1524</v>
      </c>
      <c r="E713" s="22" t="s">
        <v>57</v>
      </c>
      <c r="F713" s="23">
        <v>-131801</v>
      </c>
      <c r="G713" s="24">
        <v>44588</v>
      </c>
      <c r="H713" s="22" t="s">
        <v>1272</v>
      </c>
      <c r="I713" s="22" t="s">
        <v>1526</v>
      </c>
      <c r="J713" s="22"/>
      <c r="K713" s="22"/>
      <c r="L713" s="22"/>
      <c r="M713" s="22"/>
      <c r="N713" s="22"/>
      <c r="O713" s="22"/>
      <c r="P713" s="22"/>
      <c r="Q713" s="22"/>
      <c r="R713" s="22"/>
    </row>
    <row r="714" spans="1:18" x14ac:dyDescent="0.25">
      <c r="A714" s="22" t="s">
        <v>1528</v>
      </c>
      <c r="B714" s="22" t="s">
        <v>201</v>
      </c>
      <c r="C714" s="22" t="s">
        <v>202</v>
      </c>
      <c r="D714" s="22" t="s">
        <v>1527</v>
      </c>
      <c r="E714" s="22" t="s">
        <v>57</v>
      </c>
      <c r="F714" s="23">
        <v>-59191</v>
      </c>
      <c r="G714" s="24">
        <v>44587</v>
      </c>
      <c r="H714" s="22" t="s">
        <v>1272</v>
      </c>
      <c r="I714" s="22" t="s">
        <v>319</v>
      </c>
      <c r="J714" s="22"/>
      <c r="K714" s="22"/>
      <c r="L714" s="22"/>
      <c r="M714" s="22"/>
      <c r="N714" s="22"/>
      <c r="O714" s="22"/>
      <c r="P714" s="22"/>
      <c r="Q714" s="22"/>
      <c r="R714" s="22"/>
    </row>
    <row r="715" spans="1:18" x14ac:dyDescent="0.25">
      <c r="A715" s="22" t="s">
        <v>1530</v>
      </c>
      <c r="B715" s="22" t="s">
        <v>201</v>
      </c>
      <c r="C715" s="22" t="s">
        <v>202</v>
      </c>
      <c r="D715" s="22" t="s">
        <v>1529</v>
      </c>
      <c r="E715" s="22" t="s">
        <v>57</v>
      </c>
      <c r="F715" s="23">
        <v>-610275</v>
      </c>
      <c r="G715" s="24">
        <v>44584</v>
      </c>
      <c r="H715" s="22" t="s">
        <v>1272</v>
      </c>
      <c r="I715" s="22" t="s">
        <v>1531</v>
      </c>
      <c r="J715" s="22"/>
      <c r="K715" s="22"/>
      <c r="L715" s="22"/>
      <c r="M715" s="22"/>
      <c r="N715" s="22"/>
      <c r="O715" s="22"/>
      <c r="P715" s="22"/>
      <c r="Q715" s="22"/>
      <c r="R715" s="22"/>
    </row>
    <row r="716" spans="1:18" x14ac:dyDescent="0.25">
      <c r="A716" s="22" t="s">
        <v>1533</v>
      </c>
      <c r="B716" s="22" t="s">
        <v>201</v>
      </c>
      <c r="C716" s="22" t="s">
        <v>202</v>
      </c>
      <c r="D716" s="22" t="s">
        <v>1532</v>
      </c>
      <c r="E716" s="22" t="s">
        <v>57</v>
      </c>
      <c r="F716" s="23">
        <v>-547296</v>
      </c>
      <c r="G716" s="24">
        <v>44583</v>
      </c>
      <c r="H716" s="22" t="s">
        <v>1272</v>
      </c>
      <c r="I716" s="22" t="s">
        <v>1534</v>
      </c>
      <c r="J716" s="22"/>
      <c r="K716" s="22"/>
      <c r="L716" s="22"/>
      <c r="M716" s="22"/>
      <c r="N716" s="22"/>
      <c r="O716" s="22"/>
      <c r="P716" s="22"/>
      <c r="Q716" s="22"/>
      <c r="R716" s="22"/>
    </row>
    <row r="717" spans="1:18" x14ac:dyDescent="0.25">
      <c r="A717" s="22" t="s">
        <v>1536</v>
      </c>
      <c r="B717" s="22" t="s">
        <v>201</v>
      </c>
      <c r="C717" s="22" t="s">
        <v>202</v>
      </c>
      <c r="D717" s="22" t="s">
        <v>1535</v>
      </c>
      <c r="E717" s="22" t="s">
        <v>57</v>
      </c>
      <c r="F717" s="23">
        <v>-103500</v>
      </c>
      <c r="G717" s="24">
        <v>44582</v>
      </c>
      <c r="H717" s="22" t="s">
        <v>1272</v>
      </c>
      <c r="I717" s="22" t="s">
        <v>1105</v>
      </c>
      <c r="J717" s="22"/>
      <c r="K717" s="22"/>
      <c r="L717" s="22"/>
      <c r="M717" s="22"/>
      <c r="N717" s="22"/>
      <c r="O717" s="22"/>
      <c r="P717" s="22"/>
      <c r="Q717" s="22"/>
      <c r="R717" s="22"/>
    </row>
    <row r="718" spans="1:18" x14ac:dyDescent="0.25">
      <c r="A718" s="22" t="s">
        <v>1538</v>
      </c>
      <c r="B718" s="22" t="s">
        <v>201</v>
      </c>
      <c r="C718" s="22" t="s">
        <v>202</v>
      </c>
      <c r="D718" s="22" t="s">
        <v>1537</v>
      </c>
      <c r="E718" s="22" t="s">
        <v>57</v>
      </c>
      <c r="F718" s="23">
        <v>-62060</v>
      </c>
      <c r="G718" s="24">
        <v>44582</v>
      </c>
      <c r="H718" s="22" t="s">
        <v>1272</v>
      </c>
      <c r="I718" s="22" t="s">
        <v>1539</v>
      </c>
      <c r="J718" s="22"/>
      <c r="K718" s="22"/>
      <c r="L718" s="22"/>
      <c r="M718" s="22"/>
      <c r="N718" s="22"/>
      <c r="O718" s="22"/>
      <c r="P718" s="22"/>
      <c r="Q718" s="22"/>
      <c r="R718" s="22"/>
    </row>
    <row r="719" spans="1:18" x14ac:dyDescent="0.25">
      <c r="A719" s="22" t="s">
        <v>1541</v>
      </c>
      <c r="B719" s="22" t="s">
        <v>201</v>
      </c>
      <c r="C719" s="22" t="s">
        <v>202</v>
      </c>
      <c r="D719" s="22" t="s">
        <v>1540</v>
      </c>
      <c r="E719" s="22" t="s">
        <v>57</v>
      </c>
      <c r="F719" s="23">
        <v>-219000</v>
      </c>
      <c r="G719" s="24">
        <v>44581</v>
      </c>
      <c r="H719" s="22" t="s">
        <v>1272</v>
      </c>
      <c r="I719" s="22" t="s">
        <v>1542</v>
      </c>
      <c r="J719" s="22"/>
      <c r="K719" s="22"/>
      <c r="L719" s="22"/>
      <c r="M719" s="22"/>
      <c r="N719" s="22"/>
      <c r="O719" s="22"/>
      <c r="P719" s="22"/>
      <c r="Q719" s="22"/>
      <c r="R719" s="22"/>
    </row>
    <row r="720" spans="1:18" x14ac:dyDescent="0.25">
      <c r="A720" s="22" t="s">
        <v>1544</v>
      </c>
      <c r="B720" s="22" t="s">
        <v>201</v>
      </c>
      <c r="C720" s="22" t="s">
        <v>202</v>
      </c>
      <c r="D720" s="22" t="s">
        <v>1543</v>
      </c>
      <c r="E720" s="22" t="s">
        <v>57</v>
      </c>
      <c r="F720" s="23">
        <v>-156300</v>
      </c>
      <c r="G720" s="24">
        <v>44580</v>
      </c>
      <c r="H720" s="22" t="s">
        <v>1272</v>
      </c>
      <c r="I720" s="22" t="s">
        <v>1309</v>
      </c>
      <c r="J720" s="22"/>
      <c r="K720" s="22"/>
      <c r="L720" s="22"/>
      <c r="M720" s="22"/>
      <c r="N720" s="22"/>
      <c r="O720" s="22"/>
      <c r="P720" s="22"/>
      <c r="Q720" s="22"/>
      <c r="R720" s="22"/>
    </row>
    <row r="721" spans="1:18" x14ac:dyDescent="0.25">
      <c r="A721" s="22" t="s">
        <v>1546</v>
      </c>
      <c r="B721" s="22" t="s">
        <v>201</v>
      </c>
      <c r="C721" s="22" t="s">
        <v>202</v>
      </c>
      <c r="D721" s="22" t="s">
        <v>1545</v>
      </c>
      <c r="E721" s="22" t="s">
        <v>57</v>
      </c>
      <c r="F721" s="23">
        <v>-274998</v>
      </c>
      <c r="G721" s="24">
        <v>44577</v>
      </c>
      <c r="H721" s="22" t="s">
        <v>1272</v>
      </c>
      <c r="I721" s="22" t="s">
        <v>1547</v>
      </c>
      <c r="J721" s="22"/>
      <c r="K721" s="22"/>
      <c r="L721" s="22"/>
      <c r="M721" s="22"/>
      <c r="N721" s="22"/>
      <c r="O721" s="22"/>
      <c r="P721" s="22"/>
      <c r="Q721" s="22"/>
      <c r="R721" s="22"/>
    </row>
    <row r="722" spans="1:18" x14ac:dyDescent="0.25">
      <c r="A722" s="22" t="s">
        <v>1549</v>
      </c>
      <c r="B722" s="22" t="s">
        <v>201</v>
      </c>
      <c r="C722" s="22" t="s">
        <v>202</v>
      </c>
      <c r="D722" s="22" t="s">
        <v>1548</v>
      </c>
      <c r="E722" s="22" t="s">
        <v>57</v>
      </c>
      <c r="F722" s="23">
        <v>-1161016</v>
      </c>
      <c r="G722" s="24">
        <v>44576</v>
      </c>
      <c r="H722" s="22" t="s">
        <v>1272</v>
      </c>
      <c r="I722" s="22" t="s">
        <v>1550</v>
      </c>
      <c r="J722" s="22"/>
      <c r="K722" s="22"/>
      <c r="L722" s="22"/>
      <c r="M722" s="22"/>
      <c r="N722" s="22"/>
      <c r="O722" s="22"/>
      <c r="P722" s="22"/>
      <c r="Q722" s="22"/>
      <c r="R722" s="22"/>
    </row>
    <row r="723" spans="1:18" x14ac:dyDescent="0.25">
      <c r="A723" s="22" t="s">
        <v>1552</v>
      </c>
      <c r="B723" s="22" t="s">
        <v>201</v>
      </c>
      <c r="C723" s="22" t="s">
        <v>202</v>
      </c>
      <c r="D723" s="22" t="s">
        <v>1551</v>
      </c>
      <c r="E723" s="22" t="s">
        <v>57</v>
      </c>
      <c r="F723" s="23">
        <v>-221400</v>
      </c>
      <c r="G723" s="24">
        <v>44576</v>
      </c>
      <c r="H723" s="22" t="s">
        <v>1272</v>
      </c>
      <c r="I723" s="22" t="s">
        <v>1553</v>
      </c>
      <c r="J723" s="22"/>
      <c r="K723" s="22"/>
      <c r="L723" s="22"/>
      <c r="M723" s="22"/>
      <c r="N723" s="22"/>
      <c r="O723" s="22"/>
      <c r="P723" s="22"/>
      <c r="Q723" s="22"/>
      <c r="R723" s="22"/>
    </row>
    <row r="724" spans="1:18" x14ac:dyDescent="0.25">
      <c r="A724" s="22" t="s">
        <v>1555</v>
      </c>
      <c r="B724" s="22" t="s">
        <v>201</v>
      </c>
      <c r="C724" s="22" t="s">
        <v>202</v>
      </c>
      <c r="D724" s="22" t="s">
        <v>1554</v>
      </c>
      <c r="E724" s="22" t="s">
        <v>57</v>
      </c>
      <c r="F724" s="23">
        <v>-1423628</v>
      </c>
      <c r="G724" s="24">
        <v>44571</v>
      </c>
      <c r="H724" s="22" t="s">
        <v>1272</v>
      </c>
      <c r="I724" s="22" t="s">
        <v>1556</v>
      </c>
      <c r="J724" s="22"/>
      <c r="K724" s="22"/>
      <c r="L724" s="22"/>
      <c r="M724" s="22"/>
      <c r="N724" s="22"/>
      <c r="O724" s="22"/>
      <c r="P724" s="22"/>
      <c r="Q724" s="22"/>
      <c r="R724" s="22"/>
    </row>
    <row r="725" spans="1:18" x14ac:dyDescent="0.25">
      <c r="A725" s="22" t="s">
        <v>1558</v>
      </c>
      <c r="B725" s="22" t="s">
        <v>201</v>
      </c>
      <c r="C725" s="22" t="s">
        <v>202</v>
      </c>
      <c r="D725" s="22" t="s">
        <v>1557</v>
      </c>
      <c r="E725" s="22" t="s">
        <v>57</v>
      </c>
      <c r="F725" s="23">
        <v>-115861</v>
      </c>
      <c r="G725" s="24">
        <v>44571</v>
      </c>
      <c r="H725" s="22" t="s">
        <v>1272</v>
      </c>
      <c r="I725" s="22" t="s">
        <v>1559</v>
      </c>
      <c r="J725" s="22"/>
      <c r="K725" s="22"/>
      <c r="L725" s="22"/>
      <c r="M725" s="22"/>
      <c r="N725" s="22"/>
      <c r="O725" s="22"/>
      <c r="P725" s="22"/>
      <c r="Q725" s="22"/>
      <c r="R725" s="22"/>
    </row>
    <row r="726" spans="1:18" x14ac:dyDescent="0.25">
      <c r="A726" s="22" t="s">
        <v>1561</v>
      </c>
      <c r="B726" s="22" t="s">
        <v>201</v>
      </c>
      <c r="C726" s="22" t="s">
        <v>202</v>
      </c>
      <c r="D726" s="22" t="s">
        <v>1560</v>
      </c>
      <c r="E726" s="22" t="s">
        <v>57</v>
      </c>
      <c r="F726" s="23">
        <v>-166272</v>
      </c>
      <c r="G726" s="24">
        <v>44570</v>
      </c>
      <c r="H726" s="22" t="s">
        <v>1272</v>
      </c>
      <c r="I726" s="22" t="s">
        <v>532</v>
      </c>
      <c r="J726" s="22"/>
      <c r="K726" s="22"/>
      <c r="L726" s="22"/>
      <c r="M726" s="22"/>
      <c r="N726" s="22"/>
      <c r="O726" s="22"/>
      <c r="P726" s="22"/>
      <c r="Q726" s="22"/>
      <c r="R726" s="22"/>
    </row>
    <row r="727" spans="1:18" x14ac:dyDescent="0.25">
      <c r="A727" s="22" t="s">
        <v>1563</v>
      </c>
      <c r="B727" s="22" t="s">
        <v>201</v>
      </c>
      <c r="C727" s="22" t="s">
        <v>202</v>
      </c>
      <c r="D727" s="22" t="s">
        <v>1562</v>
      </c>
      <c r="E727" s="22" t="s">
        <v>57</v>
      </c>
      <c r="F727" s="23">
        <v>-1680135</v>
      </c>
      <c r="G727" s="24">
        <v>44568</v>
      </c>
      <c r="H727" s="22" t="s">
        <v>1272</v>
      </c>
      <c r="I727" s="22" t="s">
        <v>1564</v>
      </c>
      <c r="J727" s="22"/>
      <c r="K727" s="22"/>
      <c r="L727" s="22"/>
      <c r="M727" s="22"/>
      <c r="N727" s="22"/>
      <c r="O727" s="22"/>
      <c r="P727" s="22"/>
      <c r="Q727" s="22"/>
      <c r="R727" s="22"/>
    </row>
    <row r="728" spans="1:18" x14ac:dyDescent="0.25">
      <c r="A728" s="22" t="s">
        <v>1566</v>
      </c>
      <c r="B728" s="22" t="s">
        <v>201</v>
      </c>
      <c r="C728" s="22" t="s">
        <v>202</v>
      </c>
      <c r="D728" s="22" t="s">
        <v>1565</v>
      </c>
      <c r="E728" s="22" t="s">
        <v>57</v>
      </c>
      <c r="F728" s="23">
        <v>-103500</v>
      </c>
      <c r="G728" s="24">
        <v>44568</v>
      </c>
      <c r="H728" s="22" t="s">
        <v>1272</v>
      </c>
      <c r="I728" s="22" t="s">
        <v>1309</v>
      </c>
      <c r="J728" s="22"/>
      <c r="K728" s="22"/>
      <c r="L728" s="22"/>
      <c r="M728" s="22"/>
      <c r="N728" s="22"/>
      <c r="O728" s="22"/>
      <c r="P728" s="22"/>
      <c r="Q728" s="22"/>
      <c r="R728" s="22"/>
    </row>
    <row r="729" spans="1:18" x14ac:dyDescent="0.25">
      <c r="A729" s="22" t="s">
        <v>1568</v>
      </c>
      <c r="B729" s="22" t="s">
        <v>201</v>
      </c>
      <c r="C729" s="22" t="s">
        <v>202</v>
      </c>
      <c r="D729" s="22" t="s">
        <v>1567</v>
      </c>
      <c r="E729" s="22" t="s">
        <v>57</v>
      </c>
      <c r="F729" s="23">
        <v>-182400</v>
      </c>
      <c r="G729" s="24">
        <v>44581</v>
      </c>
      <c r="H729" s="22" t="s">
        <v>1272</v>
      </c>
      <c r="I729" s="22" t="s">
        <v>1006</v>
      </c>
      <c r="J729" s="22"/>
      <c r="K729" s="22"/>
      <c r="L729" s="22"/>
      <c r="M729" s="22"/>
      <c r="N729" s="22"/>
      <c r="O729" s="22"/>
      <c r="P729" s="22"/>
      <c r="Q729" s="22"/>
      <c r="R729" s="22"/>
    </row>
    <row r="730" spans="1:18" x14ac:dyDescent="0.25">
      <c r="A730" s="22" t="s">
        <v>1570</v>
      </c>
      <c r="B730" s="22" t="s">
        <v>201</v>
      </c>
      <c r="C730" s="22" t="s">
        <v>202</v>
      </c>
      <c r="D730" s="22" t="s">
        <v>1569</v>
      </c>
      <c r="E730" s="22" t="s">
        <v>57</v>
      </c>
      <c r="F730" s="23">
        <v>-48200</v>
      </c>
      <c r="G730" s="24">
        <v>44573</v>
      </c>
      <c r="H730" s="22" t="s">
        <v>1272</v>
      </c>
      <c r="I730" s="22" t="s">
        <v>919</v>
      </c>
      <c r="J730" s="22"/>
      <c r="K730" s="22"/>
      <c r="L730" s="22"/>
      <c r="M730" s="22"/>
      <c r="N730" s="22"/>
      <c r="O730" s="22"/>
      <c r="P730" s="22"/>
      <c r="Q730" s="22"/>
      <c r="R730" s="22"/>
    </row>
    <row r="731" spans="1:18" x14ac:dyDescent="0.25">
      <c r="A731" s="22" t="s">
        <v>1572</v>
      </c>
      <c r="B731" s="22" t="s">
        <v>201</v>
      </c>
      <c r="C731" s="22" t="s">
        <v>202</v>
      </c>
      <c r="D731" s="22" t="s">
        <v>1571</v>
      </c>
      <c r="E731" s="22" t="s">
        <v>57</v>
      </c>
      <c r="F731" s="23">
        <v>-59100</v>
      </c>
      <c r="G731" s="24">
        <v>44571</v>
      </c>
      <c r="H731" s="22" t="s">
        <v>1272</v>
      </c>
      <c r="I731" s="22" t="s">
        <v>206</v>
      </c>
      <c r="J731" s="22"/>
      <c r="K731" s="22"/>
      <c r="L731" s="22"/>
      <c r="M731" s="22"/>
      <c r="N731" s="22"/>
      <c r="O731" s="22"/>
      <c r="P731" s="22"/>
      <c r="Q731" s="22"/>
      <c r="R731" s="22"/>
    </row>
    <row r="732" spans="1:18" x14ac:dyDescent="0.25">
      <c r="A732" s="22" t="s">
        <v>1574</v>
      </c>
      <c r="B732" s="22" t="s">
        <v>201</v>
      </c>
      <c r="C732" s="22" t="s">
        <v>202</v>
      </c>
      <c r="D732" s="22" t="s">
        <v>1573</v>
      </c>
      <c r="E732" s="22" t="s">
        <v>57</v>
      </c>
      <c r="F732" s="23">
        <v>-265200</v>
      </c>
      <c r="G732" s="24">
        <v>44566</v>
      </c>
      <c r="H732" s="22" t="s">
        <v>1272</v>
      </c>
      <c r="I732" s="22" t="s">
        <v>897</v>
      </c>
      <c r="J732" s="22"/>
      <c r="K732" s="22"/>
      <c r="L732" s="22"/>
      <c r="M732" s="22"/>
      <c r="N732" s="22"/>
      <c r="O732" s="22"/>
      <c r="P732" s="22"/>
      <c r="Q732" s="22"/>
      <c r="R732" s="22"/>
    </row>
    <row r="733" spans="1:18" x14ac:dyDescent="0.25">
      <c r="A733" s="22" t="s">
        <v>1576</v>
      </c>
      <c r="B733" s="22" t="s">
        <v>201</v>
      </c>
      <c r="C733" s="22" t="s">
        <v>202</v>
      </c>
      <c r="D733" s="22" t="s">
        <v>1575</v>
      </c>
      <c r="E733" s="22" t="s">
        <v>57</v>
      </c>
      <c r="F733" s="23">
        <v>-32300</v>
      </c>
      <c r="G733" s="24">
        <v>44564</v>
      </c>
      <c r="H733" s="22" t="s">
        <v>1272</v>
      </c>
      <c r="I733" s="22" t="s">
        <v>486</v>
      </c>
      <c r="J733" s="22"/>
      <c r="K733" s="22"/>
      <c r="L733" s="22"/>
      <c r="M733" s="22"/>
      <c r="N733" s="22"/>
      <c r="O733" s="22"/>
      <c r="P733" s="22"/>
      <c r="Q733" s="22"/>
      <c r="R733" s="22"/>
    </row>
    <row r="734" spans="1:18" x14ac:dyDescent="0.25">
      <c r="A734" s="22" t="s">
        <v>1578</v>
      </c>
      <c r="B734" s="22" t="s">
        <v>201</v>
      </c>
      <c r="C734" s="22" t="s">
        <v>202</v>
      </c>
      <c r="D734" s="22" t="s">
        <v>1577</v>
      </c>
      <c r="E734" s="22" t="s">
        <v>57</v>
      </c>
      <c r="F734" s="23">
        <v>-32300</v>
      </c>
      <c r="G734" s="24">
        <v>44564</v>
      </c>
      <c r="H734" s="22" t="s">
        <v>1272</v>
      </c>
      <c r="I734" s="22" t="s">
        <v>282</v>
      </c>
      <c r="J734" s="22"/>
      <c r="K734" s="22"/>
      <c r="L734" s="22"/>
      <c r="M734" s="22"/>
      <c r="N734" s="22"/>
      <c r="O734" s="22"/>
      <c r="P734" s="22"/>
      <c r="Q734" s="22"/>
      <c r="R734" s="22"/>
    </row>
    <row r="735" spans="1:18" x14ac:dyDescent="0.25">
      <c r="A735" s="22" t="s">
        <v>1504</v>
      </c>
      <c r="B735" s="22" t="s">
        <v>201</v>
      </c>
      <c r="C735" s="22" t="s">
        <v>202</v>
      </c>
      <c r="D735" s="22" t="s">
        <v>1272</v>
      </c>
      <c r="E735" s="22" t="s">
        <v>45</v>
      </c>
      <c r="F735" s="23">
        <v>31238290</v>
      </c>
      <c r="G735" s="24">
        <v>44508</v>
      </c>
      <c r="H735" s="22" t="s">
        <v>1272</v>
      </c>
      <c r="I735" s="22"/>
      <c r="J735" s="22"/>
      <c r="K735" s="22"/>
      <c r="L735" s="22"/>
      <c r="M735" s="22"/>
      <c r="N735" s="22"/>
      <c r="O735" s="22"/>
      <c r="P735" s="22"/>
      <c r="Q735" s="22"/>
      <c r="R735" s="22"/>
    </row>
    <row r="736" spans="1:18" x14ac:dyDescent="0.25">
      <c r="A736" s="22" t="s">
        <v>1504</v>
      </c>
      <c r="B736" s="22" t="s">
        <v>201</v>
      </c>
      <c r="C736" s="22" t="s">
        <v>202</v>
      </c>
      <c r="D736" s="22" t="s">
        <v>1272</v>
      </c>
      <c r="E736" s="22" t="s">
        <v>45</v>
      </c>
      <c r="F736" s="23">
        <v>-44779540</v>
      </c>
      <c r="G736" s="24">
        <v>44508</v>
      </c>
      <c r="H736" s="22" t="s">
        <v>1272</v>
      </c>
      <c r="I736" s="22"/>
      <c r="J736" s="22"/>
      <c r="K736" s="22"/>
      <c r="L736" s="22"/>
      <c r="M736" s="22"/>
      <c r="N736" s="22"/>
      <c r="O736" s="22"/>
      <c r="P736" s="22"/>
      <c r="Q736" s="22"/>
      <c r="R736" s="22"/>
    </row>
    <row r="737" spans="1:18" x14ac:dyDescent="0.25">
      <c r="A737" s="22" t="s">
        <v>1504</v>
      </c>
      <c r="B737" s="22" t="s">
        <v>201</v>
      </c>
      <c r="C737" s="22" t="s">
        <v>202</v>
      </c>
      <c r="D737" s="22" t="s">
        <v>1272</v>
      </c>
      <c r="E737" s="22" t="s">
        <v>45</v>
      </c>
      <c r="F737" s="23">
        <v>13033974</v>
      </c>
      <c r="G737" s="24">
        <v>44508</v>
      </c>
      <c r="H737" s="22" t="s">
        <v>1272</v>
      </c>
      <c r="I737" s="22"/>
      <c r="J737" s="22"/>
      <c r="K737" s="22"/>
      <c r="L737" s="22"/>
      <c r="M737" s="22"/>
      <c r="N737" s="22"/>
      <c r="O737" s="22"/>
      <c r="P737" s="22"/>
      <c r="Q737" s="22"/>
      <c r="R737" s="22"/>
    </row>
    <row r="738" spans="1:18" x14ac:dyDescent="0.25">
      <c r="A738" s="22" t="s">
        <v>1504</v>
      </c>
      <c r="B738" s="22" t="s">
        <v>201</v>
      </c>
      <c r="C738" s="22" t="s">
        <v>202</v>
      </c>
      <c r="D738" s="22" t="s">
        <v>1272</v>
      </c>
      <c r="E738" s="22" t="s">
        <v>45</v>
      </c>
      <c r="F738" s="23">
        <v>269166</v>
      </c>
      <c r="G738" s="24">
        <v>44508</v>
      </c>
      <c r="H738" s="22" t="s">
        <v>1272</v>
      </c>
      <c r="I738" s="22"/>
      <c r="J738" s="22"/>
      <c r="K738" s="22"/>
      <c r="L738" s="22"/>
      <c r="M738" s="22"/>
      <c r="N738" s="22"/>
      <c r="O738" s="22"/>
      <c r="P738" s="22"/>
      <c r="Q738" s="22"/>
      <c r="R738" s="22"/>
    </row>
    <row r="739" spans="1:18" x14ac:dyDescent="0.25">
      <c r="A739" s="22" t="s">
        <v>1580</v>
      </c>
      <c r="B739" s="22" t="s">
        <v>201</v>
      </c>
      <c r="C739" s="22" t="s">
        <v>202</v>
      </c>
      <c r="D739" s="22" t="s">
        <v>1579</v>
      </c>
      <c r="E739" s="22" t="s">
        <v>57</v>
      </c>
      <c r="F739" s="23">
        <v>-32700</v>
      </c>
      <c r="G739" s="24">
        <v>44526</v>
      </c>
      <c r="H739" s="22" t="s">
        <v>1272</v>
      </c>
      <c r="I739" s="22" t="s">
        <v>941</v>
      </c>
      <c r="J739" s="22"/>
      <c r="K739" s="22"/>
      <c r="L739" s="22"/>
      <c r="M739" s="22"/>
      <c r="N739" s="22"/>
      <c r="O739" s="22"/>
      <c r="P739" s="22"/>
      <c r="Q739" s="22"/>
      <c r="R739" s="22"/>
    </row>
    <row r="740" spans="1:18" x14ac:dyDescent="0.25">
      <c r="A740" s="22" t="s">
        <v>1582</v>
      </c>
      <c r="B740" s="22" t="s">
        <v>201</v>
      </c>
      <c r="C740" s="22" t="s">
        <v>202</v>
      </c>
      <c r="D740" s="22" t="s">
        <v>1581</v>
      </c>
      <c r="E740" s="22" t="s">
        <v>57</v>
      </c>
      <c r="F740" s="23">
        <v>-22900</v>
      </c>
      <c r="G740" s="24">
        <v>44526</v>
      </c>
      <c r="H740" s="22" t="s">
        <v>1272</v>
      </c>
      <c r="I740" s="22" t="s">
        <v>941</v>
      </c>
      <c r="J740" s="22"/>
      <c r="K740" s="22"/>
      <c r="L740" s="22"/>
      <c r="M740" s="22"/>
      <c r="N740" s="22"/>
      <c r="O740" s="22"/>
      <c r="P740" s="22"/>
      <c r="Q740" s="22"/>
      <c r="R740" s="22"/>
    </row>
    <row r="741" spans="1:18" x14ac:dyDescent="0.25">
      <c r="A741" s="22" t="s">
        <v>1584</v>
      </c>
      <c r="B741" s="22" t="s">
        <v>201</v>
      </c>
      <c r="C741" s="22" t="s">
        <v>202</v>
      </c>
      <c r="D741" s="22" t="s">
        <v>1583</v>
      </c>
      <c r="E741" s="22" t="s">
        <v>57</v>
      </c>
      <c r="F741" s="23">
        <v>-39500</v>
      </c>
      <c r="G741" s="24">
        <v>44526</v>
      </c>
      <c r="H741" s="22" t="s">
        <v>1272</v>
      </c>
      <c r="I741" s="22" t="s">
        <v>941</v>
      </c>
      <c r="J741" s="22"/>
      <c r="K741" s="22"/>
      <c r="L741" s="22"/>
      <c r="M741" s="22"/>
      <c r="N741" s="22"/>
      <c r="O741" s="22"/>
      <c r="P741" s="22"/>
      <c r="Q741" s="22"/>
      <c r="R741" s="22"/>
    </row>
    <row r="742" spans="1:18" x14ac:dyDescent="0.25">
      <c r="A742" s="22" t="s">
        <v>1586</v>
      </c>
      <c r="B742" s="22" t="s">
        <v>201</v>
      </c>
      <c r="C742" s="22" t="s">
        <v>202</v>
      </c>
      <c r="D742" s="22" t="s">
        <v>1585</v>
      </c>
      <c r="E742" s="22" t="s">
        <v>57</v>
      </c>
      <c r="F742" s="23">
        <v>-45800</v>
      </c>
      <c r="G742" s="24">
        <v>44519</v>
      </c>
      <c r="H742" s="22" t="s">
        <v>1272</v>
      </c>
      <c r="I742" s="22" t="s">
        <v>941</v>
      </c>
      <c r="J742" s="22"/>
      <c r="K742" s="22"/>
      <c r="L742" s="22"/>
      <c r="M742" s="22"/>
      <c r="N742" s="22"/>
      <c r="O742" s="22"/>
      <c r="P742" s="22"/>
      <c r="Q742" s="22"/>
      <c r="R742" s="22"/>
    </row>
    <row r="743" spans="1:18" x14ac:dyDescent="0.25">
      <c r="A743" s="22" t="s">
        <v>1588</v>
      </c>
      <c r="B743" s="22" t="s">
        <v>201</v>
      </c>
      <c r="C743" s="22" t="s">
        <v>202</v>
      </c>
      <c r="D743" s="22" t="s">
        <v>1587</v>
      </c>
      <c r="E743" s="22" t="s">
        <v>57</v>
      </c>
      <c r="F743" s="23">
        <v>-146600</v>
      </c>
      <c r="G743" s="24">
        <v>44518</v>
      </c>
      <c r="H743" s="22" t="s">
        <v>1272</v>
      </c>
      <c r="I743" s="22" t="s">
        <v>979</v>
      </c>
      <c r="J743" s="22"/>
      <c r="K743" s="22"/>
      <c r="L743" s="22"/>
      <c r="M743" s="22"/>
      <c r="N743" s="22"/>
      <c r="O743" s="22"/>
      <c r="P743" s="22"/>
      <c r="Q743" s="22"/>
      <c r="R743" s="22"/>
    </row>
    <row r="744" spans="1:18" x14ac:dyDescent="0.25">
      <c r="A744" s="22" t="s">
        <v>1590</v>
      </c>
      <c r="B744" s="22" t="s">
        <v>201</v>
      </c>
      <c r="C744" s="22" t="s">
        <v>202</v>
      </c>
      <c r="D744" s="22" t="s">
        <v>1589</v>
      </c>
      <c r="E744" s="22" t="s">
        <v>57</v>
      </c>
      <c r="F744" s="23">
        <v>-47200</v>
      </c>
      <c r="G744" s="24">
        <v>44511</v>
      </c>
      <c r="H744" s="22" t="s">
        <v>1272</v>
      </c>
      <c r="I744" s="22" t="s">
        <v>979</v>
      </c>
      <c r="J744" s="22"/>
      <c r="K744" s="22"/>
      <c r="L744" s="22"/>
      <c r="M744" s="22"/>
      <c r="N744" s="22"/>
      <c r="O744" s="22"/>
      <c r="P744" s="22"/>
      <c r="Q744" s="22"/>
      <c r="R744" s="22"/>
    </row>
    <row r="745" spans="1:18" x14ac:dyDescent="0.25">
      <c r="A745" s="22" t="s">
        <v>1592</v>
      </c>
      <c r="B745" s="22" t="s">
        <v>201</v>
      </c>
      <c r="C745" s="22" t="s">
        <v>202</v>
      </c>
      <c r="D745" s="22" t="s">
        <v>1591</v>
      </c>
      <c r="E745" s="22" t="s">
        <v>57</v>
      </c>
      <c r="F745" s="23">
        <v>-22300</v>
      </c>
      <c r="G745" s="24">
        <v>44511</v>
      </c>
      <c r="H745" s="22" t="s">
        <v>1272</v>
      </c>
      <c r="I745" s="22" t="s">
        <v>979</v>
      </c>
      <c r="J745" s="22"/>
      <c r="K745" s="22"/>
      <c r="L745" s="22"/>
      <c r="M745" s="22"/>
      <c r="N745" s="22"/>
      <c r="O745" s="22"/>
      <c r="P745" s="22"/>
      <c r="Q745" s="22"/>
      <c r="R745" s="22"/>
    </row>
    <row r="746" spans="1:18" x14ac:dyDescent="0.25">
      <c r="A746" s="22" t="s">
        <v>1594</v>
      </c>
      <c r="B746" s="22" t="s">
        <v>201</v>
      </c>
      <c r="C746" s="22" t="s">
        <v>202</v>
      </c>
      <c r="D746" s="22" t="s">
        <v>1593</v>
      </c>
      <c r="E746" s="22" t="s">
        <v>57</v>
      </c>
      <c r="F746" s="23">
        <v>-31600</v>
      </c>
      <c r="G746" s="24">
        <v>44511</v>
      </c>
      <c r="H746" s="22" t="s">
        <v>1272</v>
      </c>
      <c r="I746" s="22" t="s">
        <v>979</v>
      </c>
      <c r="J746" s="22"/>
      <c r="K746" s="22"/>
      <c r="L746" s="22"/>
      <c r="M746" s="22"/>
      <c r="N746" s="22"/>
      <c r="O746" s="22"/>
      <c r="P746" s="22"/>
      <c r="Q746" s="22"/>
      <c r="R746" s="22"/>
    </row>
    <row r="747" spans="1:18" x14ac:dyDescent="0.25">
      <c r="A747" s="22" t="s">
        <v>1596</v>
      </c>
      <c r="B747" s="22" t="s">
        <v>201</v>
      </c>
      <c r="C747" s="22" t="s">
        <v>202</v>
      </c>
      <c r="D747" s="22" t="s">
        <v>1595</v>
      </c>
      <c r="E747" s="22" t="s">
        <v>57</v>
      </c>
      <c r="F747" s="23">
        <v>-23700</v>
      </c>
      <c r="G747" s="24">
        <v>44511</v>
      </c>
      <c r="H747" s="22" t="s">
        <v>1272</v>
      </c>
      <c r="I747" s="22" t="s">
        <v>979</v>
      </c>
      <c r="J747" s="22"/>
      <c r="K747" s="22"/>
      <c r="L747" s="22"/>
      <c r="M747" s="22"/>
      <c r="N747" s="22"/>
      <c r="O747" s="22"/>
      <c r="P747" s="22"/>
      <c r="Q747" s="22"/>
      <c r="R747" s="22"/>
    </row>
    <row r="748" spans="1:18" x14ac:dyDescent="0.25">
      <c r="A748" s="22" t="s">
        <v>1598</v>
      </c>
      <c r="B748" s="22" t="s">
        <v>201</v>
      </c>
      <c r="C748" s="22" t="s">
        <v>202</v>
      </c>
      <c r="D748" s="22" t="s">
        <v>1597</v>
      </c>
      <c r="E748" s="22" t="s">
        <v>57</v>
      </c>
      <c r="F748" s="23">
        <v>-47200</v>
      </c>
      <c r="G748" s="24">
        <v>44508</v>
      </c>
      <c r="H748" s="22" t="s">
        <v>1272</v>
      </c>
      <c r="I748" s="22" t="s">
        <v>332</v>
      </c>
      <c r="J748" s="22"/>
      <c r="K748" s="22"/>
      <c r="L748" s="22"/>
      <c r="M748" s="22"/>
      <c r="N748" s="22"/>
      <c r="O748" s="22"/>
      <c r="P748" s="22"/>
      <c r="Q748" s="22"/>
      <c r="R748" s="22"/>
    </row>
    <row r="749" spans="1:18" x14ac:dyDescent="0.25">
      <c r="A749" s="22" t="s">
        <v>1600</v>
      </c>
      <c r="B749" s="22" t="s">
        <v>201</v>
      </c>
      <c r="C749" s="22" t="s">
        <v>202</v>
      </c>
      <c r="D749" s="22" t="s">
        <v>1599</v>
      </c>
      <c r="E749" s="22" t="s">
        <v>57</v>
      </c>
      <c r="F749" s="23">
        <v>-128300</v>
      </c>
      <c r="G749" s="24">
        <v>44505</v>
      </c>
      <c r="H749" s="22" t="s">
        <v>1272</v>
      </c>
      <c r="I749" s="22" t="s">
        <v>319</v>
      </c>
      <c r="J749" s="22"/>
      <c r="K749" s="22"/>
      <c r="L749" s="22"/>
      <c r="M749" s="22"/>
      <c r="N749" s="22"/>
      <c r="O749" s="22"/>
      <c r="P749" s="22"/>
      <c r="Q749" s="22"/>
      <c r="R749" s="22"/>
    </row>
    <row r="750" spans="1:18" x14ac:dyDescent="0.25">
      <c r="A750" s="22" t="s">
        <v>1602</v>
      </c>
      <c r="B750" s="22" t="s">
        <v>201</v>
      </c>
      <c r="C750" s="22" t="s">
        <v>202</v>
      </c>
      <c r="D750" s="22" t="s">
        <v>1601</v>
      </c>
      <c r="E750" s="22" t="s">
        <v>57</v>
      </c>
      <c r="F750" s="23">
        <v>-100678</v>
      </c>
      <c r="G750" s="24">
        <v>44531</v>
      </c>
      <c r="H750" s="22" t="s">
        <v>1272</v>
      </c>
      <c r="I750" s="22" t="s">
        <v>1603</v>
      </c>
      <c r="J750" s="22"/>
      <c r="K750" s="22"/>
      <c r="L750" s="22"/>
      <c r="M750" s="22"/>
      <c r="N750" s="22"/>
      <c r="O750" s="22"/>
      <c r="P750" s="22"/>
      <c r="Q750" s="22"/>
      <c r="R750" s="22"/>
    </row>
    <row r="751" spans="1:18" x14ac:dyDescent="0.25">
      <c r="A751" s="22" t="s">
        <v>1605</v>
      </c>
      <c r="B751" s="22" t="s">
        <v>201</v>
      </c>
      <c r="C751" s="22" t="s">
        <v>202</v>
      </c>
      <c r="D751" s="22" t="s">
        <v>1604</v>
      </c>
      <c r="E751" s="22" t="s">
        <v>57</v>
      </c>
      <c r="F751" s="23">
        <v>-422208</v>
      </c>
      <c r="G751" s="24">
        <v>44522</v>
      </c>
      <c r="H751" s="22" t="s">
        <v>1272</v>
      </c>
      <c r="I751" s="22" t="s">
        <v>1606</v>
      </c>
      <c r="J751" s="22"/>
      <c r="K751" s="22"/>
      <c r="L751" s="22"/>
      <c r="M751" s="22"/>
      <c r="N751" s="22"/>
      <c r="O751" s="22"/>
      <c r="P751" s="22"/>
      <c r="Q751" s="22"/>
      <c r="R751" s="22"/>
    </row>
    <row r="752" spans="1:18" x14ac:dyDescent="0.25">
      <c r="A752" s="22" t="s">
        <v>1608</v>
      </c>
      <c r="B752" s="22" t="s">
        <v>201</v>
      </c>
      <c r="C752" s="22" t="s">
        <v>202</v>
      </c>
      <c r="D752" s="22" t="s">
        <v>1607</v>
      </c>
      <c r="E752" s="22" t="s">
        <v>57</v>
      </c>
      <c r="F752" s="23">
        <v>-316180</v>
      </c>
      <c r="G752" s="24">
        <v>44522</v>
      </c>
      <c r="H752" s="22" t="s">
        <v>1272</v>
      </c>
      <c r="I752" s="22" t="s">
        <v>1609</v>
      </c>
      <c r="J752" s="22"/>
      <c r="K752" s="22"/>
      <c r="L752" s="22"/>
      <c r="M752" s="22"/>
      <c r="N752" s="22"/>
      <c r="O752" s="22"/>
      <c r="P752" s="22"/>
      <c r="Q752" s="22"/>
      <c r="R752" s="22"/>
    </row>
    <row r="753" spans="1:18" x14ac:dyDescent="0.25">
      <c r="A753" s="22" t="s">
        <v>1611</v>
      </c>
      <c r="B753" s="22" t="s">
        <v>201</v>
      </c>
      <c r="C753" s="22" t="s">
        <v>202</v>
      </c>
      <c r="D753" s="22" t="s">
        <v>1610</v>
      </c>
      <c r="E753" s="22" t="s">
        <v>57</v>
      </c>
      <c r="F753" s="23">
        <v>-71455</v>
      </c>
      <c r="G753" s="24">
        <v>44512</v>
      </c>
      <c r="H753" s="22" t="s">
        <v>1272</v>
      </c>
      <c r="I753" s="22" t="s">
        <v>1612</v>
      </c>
      <c r="J753" s="22"/>
      <c r="K753" s="22"/>
      <c r="L753" s="22"/>
      <c r="M753" s="22"/>
      <c r="N753" s="22"/>
      <c r="O753" s="22"/>
      <c r="P753" s="22"/>
      <c r="Q753" s="22"/>
      <c r="R753" s="22"/>
    </row>
    <row r="754" spans="1:18" x14ac:dyDescent="0.25">
      <c r="A754" s="22" t="s">
        <v>1614</v>
      </c>
      <c r="B754" s="22" t="s">
        <v>201</v>
      </c>
      <c r="C754" s="22" t="s">
        <v>202</v>
      </c>
      <c r="D754" s="22" t="s">
        <v>1613</v>
      </c>
      <c r="E754" s="22" t="s">
        <v>57</v>
      </c>
      <c r="F754" s="23">
        <v>-89937</v>
      </c>
      <c r="G754" s="24">
        <v>44580</v>
      </c>
      <c r="H754" s="22" t="s">
        <v>1272</v>
      </c>
      <c r="I754" s="22" t="s">
        <v>491</v>
      </c>
      <c r="J754" s="22"/>
      <c r="K754" s="22"/>
      <c r="L754" s="22"/>
      <c r="M754" s="22"/>
      <c r="N754" s="22"/>
      <c r="O754" s="22"/>
      <c r="P754" s="22"/>
      <c r="Q754" s="22"/>
      <c r="R754" s="22"/>
    </row>
    <row r="755" spans="1:18" x14ac:dyDescent="0.25">
      <c r="A755" s="22" t="s">
        <v>1616</v>
      </c>
      <c r="B755" s="22" t="s">
        <v>201</v>
      </c>
      <c r="C755" s="22" t="s">
        <v>202</v>
      </c>
      <c r="D755" s="22" t="s">
        <v>1615</v>
      </c>
      <c r="E755" s="22" t="s">
        <v>57</v>
      </c>
      <c r="F755" s="23">
        <v>-633274</v>
      </c>
      <c r="G755" s="24">
        <v>44579</v>
      </c>
      <c r="H755" s="22" t="s">
        <v>1272</v>
      </c>
      <c r="I755" s="22" t="s">
        <v>375</v>
      </c>
      <c r="J755" s="22"/>
      <c r="K755" s="22"/>
      <c r="L755" s="22"/>
      <c r="M755" s="22"/>
      <c r="N755" s="22"/>
      <c r="O755" s="22"/>
      <c r="P755" s="22"/>
      <c r="Q755" s="22"/>
      <c r="R755" s="22"/>
    </row>
    <row r="756" spans="1:18" x14ac:dyDescent="0.25">
      <c r="A756" s="22" t="s">
        <v>1618</v>
      </c>
      <c r="B756" s="22" t="s">
        <v>201</v>
      </c>
      <c r="C756" s="22" t="s">
        <v>202</v>
      </c>
      <c r="D756" s="22" t="s">
        <v>1617</v>
      </c>
      <c r="E756" s="22" t="s">
        <v>57</v>
      </c>
      <c r="F756" s="23">
        <v>-262100</v>
      </c>
      <c r="G756" s="24">
        <v>44577</v>
      </c>
      <c r="H756" s="22" t="s">
        <v>1272</v>
      </c>
      <c r="I756" s="22" t="s">
        <v>1619</v>
      </c>
      <c r="J756" s="22"/>
      <c r="K756" s="22"/>
      <c r="L756" s="22"/>
      <c r="M756" s="22"/>
      <c r="N756" s="22"/>
      <c r="O756" s="22"/>
      <c r="P756" s="22"/>
      <c r="Q756" s="22"/>
      <c r="R756" s="22"/>
    </row>
    <row r="757" spans="1:18" x14ac:dyDescent="0.25">
      <c r="A757" s="22" t="s">
        <v>1621</v>
      </c>
      <c r="B757" s="22" t="s">
        <v>201</v>
      </c>
      <c r="C757" s="22" t="s">
        <v>202</v>
      </c>
      <c r="D757" s="22" t="s">
        <v>1620</v>
      </c>
      <c r="E757" s="22" t="s">
        <v>57</v>
      </c>
      <c r="F757" s="23">
        <v>-1990165</v>
      </c>
      <c r="G757" s="24">
        <v>44577</v>
      </c>
      <c r="H757" s="22" t="s">
        <v>1272</v>
      </c>
      <c r="I757" s="22" t="s">
        <v>1622</v>
      </c>
      <c r="J757" s="22"/>
      <c r="K757" s="22"/>
      <c r="L757" s="22"/>
      <c r="M757" s="22"/>
      <c r="N757" s="22"/>
      <c r="O757" s="22"/>
      <c r="P757" s="22"/>
      <c r="Q757" s="22"/>
      <c r="R757" s="22"/>
    </row>
    <row r="758" spans="1:18" x14ac:dyDescent="0.25">
      <c r="A758" s="22" t="s">
        <v>1624</v>
      </c>
      <c r="B758" s="22" t="s">
        <v>201</v>
      </c>
      <c r="C758" s="22" t="s">
        <v>202</v>
      </c>
      <c r="D758" s="22" t="s">
        <v>1623</v>
      </c>
      <c r="E758" s="22" t="s">
        <v>57</v>
      </c>
      <c r="F758" s="23">
        <v>-59100</v>
      </c>
      <c r="G758" s="24">
        <v>44576</v>
      </c>
      <c r="H758" s="22" t="s">
        <v>1272</v>
      </c>
      <c r="I758" s="22" t="s">
        <v>375</v>
      </c>
      <c r="J758" s="22"/>
      <c r="K758" s="22"/>
      <c r="L758" s="22"/>
      <c r="M758" s="22"/>
      <c r="N758" s="22"/>
      <c r="O758" s="22"/>
      <c r="P758" s="22"/>
      <c r="Q758" s="22"/>
      <c r="R758" s="22"/>
    </row>
    <row r="759" spans="1:18" x14ac:dyDescent="0.25">
      <c r="A759" s="22" t="s">
        <v>1626</v>
      </c>
      <c r="B759" s="22" t="s">
        <v>201</v>
      </c>
      <c r="C759" s="22" t="s">
        <v>202</v>
      </c>
      <c r="D759" s="22" t="s">
        <v>1625</v>
      </c>
      <c r="E759" s="22" t="s">
        <v>57</v>
      </c>
      <c r="F759" s="23">
        <v>-208634</v>
      </c>
      <c r="G759" s="24">
        <v>44575</v>
      </c>
      <c r="H759" s="22" t="s">
        <v>1272</v>
      </c>
      <c r="I759" s="22" t="s">
        <v>547</v>
      </c>
      <c r="J759" s="22"/>
      <c r="K759" s="22"/>
      <c r="L759" s="22"/>
      <c r="M759" s="22"/>
      <c r="N759" s="22"/>
      <c r="O759" s="22"/>
      <c r="P759" s="22"/>
      <c r="Q759" s="22"/>
      <c r="R759" s="22"/>
    </row>
    <row r="760" spans="1:18" x14ac:dyDescent="0.25">
      <c r="A760" s="22" t="s">
        <v>1628</v>
      </c>
      <c r="B760" s="22" t="s">
        <v>201</v>
      </c>
      <c r="C760" s="22" t="s">
        <v>202</v>
      </c>
      <c r="D760" s="22" t="s">
        <v>1627</v>
      </c>
      <c r="E760" s="22" t="s">
        <v>57</v>
      </c>
      <c r="F760" s="23">
        <v>-152537</v>
      </c>
      <c r="G760" s="24">
        <v>44573</v>
      </c>
      <c r="H760" s="22" t="s">
        <v>1272</v>
      </c>
      <c r="I760" s="22" t="s">
        <v>375</v>
      </c>
      <c r="J760" s="22"/>
      <c r="K760" s="22"/>
      <c r="L760" s="22"/>
      <c r="M760" s="22"/>
      <c r="N760" s="22"/>
      <c r="O760" s="22"/>
      <c r="P760" s="22"/>
      <c r="Q760" s="22"/>
      <c r="R760" s="22"/>
    </row>
    <row r="761" spans="1:18" x14ac:dyDescent="0.25">
      <c r="A761" s="22" t="s">
        <v>1630</v>
      </c>
      <c r="B761" s="22" t="s">
        <v>201</v>
      </c>
      <c r="C761" s="22" t="s">
        <v>202</v>
      </c>
      <c r="D761" s="22" t="s">
        <v>1629</v>
      </c>
      <c r="E761" s="22" t="s">
        <v>57</v>
      </c>
      <c r="F761" s="23">
        <v>-59978</v>
      </c>
      <c r="G761" s="24">
        <v>44569</v>
      </c>
      <c r="H761" s="22" t="s">
        <v>1272</v>
      </c>
      <c r="I761" s="22" t="s">
        <v>1631</v>
      </c>
      <c r="J761" s="22"/>
      <c r="K761" s="22"/>
      <c r="L761" s="22"/>
      <c r="M761" s="22"/>
      <c r="N761" s="22"/>
      <c r="O761" s="22"/>
      <c r="P761" s="22"/>
      <c r="Q761" s="22"/>
      <c r="R761" s="22"/>
    </row>
    <row r="762" spans="1:18" x14ac:dyDescent="0.25">
      <c r="A762" s="22" t="s">
        <v>1633</v>
      </c>
      <c r="B762" s="22" t="s">
        <v>201</v>
      </c>
      <c r="C762" s="22" t="s">
        <v>202</v>
      </c>
      <c r="D762" s="22" t="s">
        <v>1632</v>
      </c>
      <c r="E762" s="22" t="s">
        <v>57</v>
      </c>
      <c r="F762" s="23">
        <v>-192434</v>
      </c>
      <c r="G762" s="24">
        <v>44567</v>
      </c>
      <c r="H762" s="22" t="s">
        <v>1272</v>
      </c>
      <c r="I762" s="22" t="s">
        <v>1244</v>
      </c>
      <c r="J762" s="22"/>
      <c r="K762" s="22"/>
      <c r="L762" s="22"/>
      <c r="M762" s="22"/>
      <c r="N762" s="22"/>
      <c r="O762" s="22"/>
      <c r="P762" s="22"/>
      <c r="Q762" s="22"/>
      <c r="R762" s="22"/>
    </row>
    <row r="763" spans="1:18" x14ac:dyDescent="0.25">
      <c r="A763" s="22" t="s">
        <v>1635</v>
      </c>
      <c r="B763" s="22" t="s">
        <v>201</v>
      </c>
      <c r="C763" s="22" t="s">
        <v>202</v>
      </c>
      <c r="D763" s="22" t="s">
        <v>1634</v>
      </c>
      <c r="E763" s="22" t="s">
        <v>57</v>
      </c>
      <c r="F763" s="23">
        <v>-59100</v>
      </c>
      <c r="G763" s="24">
        <v>44566</v>
      </c>
      <c r="H763" s="22" t="s">
        <v>1272</v>
      </c>
      <c r="I763" s="22" t="s">
        <v>375</v>
      </c>
      <c r="J763" s="22"/>
      <c r="K763" s="22"/>
      <c r="L763" s="22"/>
      <c r="M763" s="22"/>
      <c r="N763" s="22"/>
      <c r="O763" s="22"/>
      <c r="P763" s="22"/>
      <c r="Q763" s="22"/>
      <c r="R763" s="22"/>
    </row>
    <row r="764" spans="1:18" x14ac:dyDescent="0.25">
      <c r="A764" s="22" t="s">
        <v>1637</v>
      </c>
      <c r="B764" s="22" t="s">
        <v>201</v>
      </c>
      <c r="C764" s="22" t="s">
        <v>202</v>
      </c>
      <c r="D764" s="22" t="s">
        <v>1636</v>
      </c>
      <c r="E764" s="22" t="s">
        <v>57</v>
      </c>
      <c r="F764" s="23">
        <v>-331300</v>
      </c>
      <c r="G764" s="24">
        <v>44564</v>
      </c>
      <c r="H764" s="22" t="s">
        <v>1272</v>
      </c>
      <c r="I764" s="22" t="s">
        <v>1448</v>
      </c>
      <c r="J764" s="22"/>
      <c r="K764" s="22"/>
      <c r="L764" s="22"/>
      <c r="M764" s="22"/>
      <c r="N764" s="22"/>
      <c r="O764" s="22"/>
      <c r="P764" s="22"/>
      <c r="Q764" s="22"/>
      <c r="R764" s="22"/>
    </row>
    <row r="765" spans="1:18" x14ac:dyDescent="0.25">
      <c r="A765" s="22" t="s">
        <v>1639</v>
      </c>
      <c r="B765" s="22" t="s">
        <v>201</v>
      </c>
      <c r="C765" s="22" t="s">
        <v>202</v>
      </c>
      <c r="D765" s="22" t="s">
        <v>1638</v>
      </c>
      <c r="E765" s="22" t="s">
        <v>57</v>
      </c>
      <c r="F765" s="23">
        <v>-72591</v>
      </c>
      <c r="G765" s="24">
        <v>44562</v>
      </c>
      <c r="H765" s="22" t="s">
        <v>1272</v>
      </c>
      <c r="I765" s="22" t="s">
        <v>1640</v>
      </c>
      <c r="J765" s="22"/>
      <c r="K765" s="22"/>
      <c r="L765" s="22"/>
      <c r="M765" s="22"/>
      <c r="N765" s="22"/>
      <c r="O765" s="22"/>
      <c r="P765" s="22"/>
      <c r="Q765" s="22"/>
      <c r="R765" s="22"/>
    </row>
    <row r="766" spans="1:18" x14ac:dyDescent="0.25">
      <c r="A766" s="22" t="s">
        <v>1642</v>
      </c>
      <c r="B766" s="22" t="s">
        <v>201</v>
      </c>
      <c r="C766" s="22" t="s">
        <v>202</v>
      </c>
      <c r="D766" s="22" t="s">
        <v>1641</v>
      </c>
      <c r="E766" s="22" t="s">
        <v>57</v>
      </c>
      <c r="F766" s="23">
        <v>-31000</v>
      </c>
      <c r="G766" s="24">
        <v>44596</v>
      </c>
      <c r="H766" s="22" t="s">
        <v>1272</v>
      </c>
      <c r="I766" s="22" t="s">
        <v>375</v>
      </c>
      <c r="J766" s="22"/>
      <c r="K766" s="22"/>
      <c r="L766" s="22"/>
      <c r="M766" s="22"/>
      <c r="N766" s="22"/>
      <c r="O766" s="22"/>
      <c r="P766" s="22"/>
      <c r="Q766" s="22"/>
      <c r="R766" s="22"/>
    </row>
    <row r="767" spans="1:18" x14ac:dyDescent="0.25">
      <c r="A767" s="22" t="s">
        <v>1644</v>
      </c>
      <c r="B767" s="22" t="s">
        <v>201</v>
      </c>
      <c r="C767" s="22" t="s">
        <v>202</v>
      </c>
      <c r="D767" s="22" t="s">
        <v>1643</v>
      </c>
      <c r="E767" s="22" t="s">
        <v>57</v>
      </c>
      <c r="F767" s="23">
        <v>-31000</v>
      </c>
      <c r="G767" s="24">
        <v>44589</v>
      </c>
      <c r="H767" s="22" t="s">
        <v>1272</v>
      </c>
      <c r="I767" s="22" t="s">
        <v>491</v>
      </c>
      <c r="J767" s="22"/>
      <c r="K767" s="22"/>
      <c r="L767" s="22"/>
      <c r="M767" s="22"/>
      <c r="N767" s="22"/>
      <c r="O767" s="22"/>
      <c r="P767" s="22"/>
      <c r="Q767" s="22"/>
      <c r="R767" s="22"/>
    </row>
    <row r="768" spans="1:18" x14ac:dyDescent="0.25">
      <c r="A768" s="22" t="s">
        <v>1646</v>
      </c>
      <c r="B768" s="22" t="s">
        <v>201</v>
      </c>
      <c r="C768" s="22" t="s">
        <v>202</v>
      </c>
      <c r="D768" s="22" t="s">
        <v>1645</v>
      </c>
      <c r="E768" s="22" t="s">
        <v>57</v>
      </c>
      <c r="F768" s="23">
        <v>-32300</v>
      </c>
      <c r="G768" s="24">
        <v>44589</v>
      </c>
      <c r="H768" s="22" t="s">
        <v>1272</v>
      </c>
      <c r="I768" s="22" t="s">
        <v>483</v>
      </c>
      <c r="J768" s="22"/>
      <c r="K768" s="22"/>
      <c r="L768" s="22"/>
      <c r="M768" s="22"/>
      <c r="N768" s="22"/>
      <c r="O768" s="22"/>
      <c r="P768" s="22"/>
      <c r="Q768" s="22"/>
      <c r="R768" s="22"/>
    </row>
    <row r="769" spans="1:18" x14ac:dyDescent="0.25">
      <c r="A769" s="22" t="s">
        <v>1648</v>
      </c>
      <c r="B769" s="22" t="s">
        <v>201</v>
      </c>
      <c r="C769" s="22" t="s">
        <v>202</v>
      </c>
      <c r="D769" s="22" t="s">
        <v>1647</v>
      </c>
      <c r="E769" s="22" t="s">
        <v>57</v>
      </c>
      <c r="F769" s="23">
        <v>-10700</v>
      </c>
      <c r="G769" s="24">
        <v>44588</v>
      </c>
      <c r="H769" s="22" t="s">
        <v>1272</v>
      </c>
      <c r="I769" s="22" t="s">
        <v>532</v>
      </c>
      <c r="J769" s="22"/>
      <c r="K769" s="22"/>
      <c r="L769" s="22"/>
      <c r="M769" s="22"/>
      <c r="N769" s="22"/>
      <c r="O769" s="22"/>
      <c r="P769" s="22"/>
      <c r="Q769" s="22"/>
      <c r="R769" s="22"/>
    </row>
    <row r="770" spans="1:18" x14ac:dyDescent="0.25">
      <c r="A770" s="22" t="s">
        <v>1650</v>
      </c>
      <c r="B770" s="22" t="s">
        <v>201</v>
      </c>
      <c r="C770" s="22" t="s">
        <v>202</v>
      </c>
      <c r="D770" s="22" t="s">
        <v>1649</v>
      </c>
      <c r="E770" s="22" t="s">
        <v>57</v>
      </c>
      <c r="F770" s="23">
        <v>-135100</v>
      </c>
      <c r="G770" s="24">
        <v>44586</v>
      </c>
      <c r="H770" s="22" t="s">
        <v>1272</v>
      </c>
      <c r="I770" s="22" t="s">
        <v>375</v>
      </c>
      <c r="J770" s="22"/>
      <c r="K770" s="22"/>
      <c r="L770" s="22"/>
      <c r="M770" s="22"/>
      <c r="N770" s="22"/>
      <c r="O770" s="22"/>
      <c r="P770" s="22"/>
      <c r="Q770" s="22"/>
      <c r="R770" s="22"/>
    </row>
    <row r="771" spans="1:18" x14ac:dyDescent="0.25">
      <c r="A771" s="22" t="s">
        <v>1652</v>
      </c>
      <c r="B771" s="22" t="s">
        <v>201</v>
      </c>
      <c r="C771" s="22" t="s">
        <v>202</v>
      </c>
      <c r="D771" s="22" t="s">
        <v>1651</v>
      </c>
      <c r="E771" s="22" t="s">
        <v>57</v>
      </c>
      <c r="F771" s="23">
        <v>-478400</v>
      </c>
      <c r="G771" s="24">
        <v>44586</v>
      </c>
      <c r="H771" s="22" t="s">
        <v>1272</v>
      </c>
      <c r="I771" s="22" t="s">
        <v>375</v>
      </c>
      <c r="J771" s="22"/>
      <c r="K771" s="22"/>
      <c r="L771" s="22"/>
      <c r="M771" s="22"/>
      <c r="N771" s="22"/>
      <c r="O771" s="22"/>
      <c r="P771" s="22"/>
      <c r="Q771" s="22"/>
      <c r="R771" s="22"/>
    </row>
    <row r="772" spans="1:18" x14ac:dyDescent="0.25">
      <c r="A772" s="22" t="s">
        <v>1654</v>
      </c>
      <c r="B772" s="22" t="s">
        <v>201</v>
      </c>
      <c r="C772" s="22" t="s">
        <v>202</v>
      </c>
      <c r="D772" s="22" t="s">
        <v>1653</v>
      </c>
      <c r="E772" s="22" t="s">
        <v>57</v>
      </c>
      <c r="F772" s="23">
        <v>-2327100</v>
      </c>
      <c r="G772" s="24">
        <v>44585</v>
      </c>
      <c r="H772" s="22" t="s">
        <v>1272</v>
      </c>
      <c r="I772" s="22" t="s">
        <v>1655</v>
      </c>
      <c r="J772" s="22"/>
      <c r="K772" s="22"/>
      <c r="L772" s="22"/>
      <c r="M772" s="22"/>
      <c r="N772" s="22"/>
      <c r="O772" s="22"/>
      <c r="P772" s="22"/>
      <c r="Q772" s="22"/>
      <c r="R772" s="22"/>
    </row>
    <row r="773" spans="1:18" x14ac:dyDescent="0.25">
      <c r="A773" s="22" t="s">
        <v>1657</v>
      </c>
      <c r="B773" s="22" t="s">
        <v>201</v>
      </c>
      <c r="C773" s="22" t="s">
        <v>202</v>
      </c>
      <c r="D773" s="22" t="s">
        <v>1656</v>
      </c>
      <c r="E773" s="22" t="s">
        <v>57</v>
      </c>
      <c r="F773" s="23">
        <v>-32300</v>
      </c>
      <c r="G773" s="24">
        <v>44582</v>
      </c>
      <c r="H773" s="22" t="s">
        <v>1272</v>
      </c>
      <c r="I773" s="22" t="s">
        <v>1658</v>
      </c>
      <c r="J773" s="22"/>
      <c r="K773" s="22"/>
      <c r="L773" s="22"/>
      <c r="M773" s="22"/>
      <c r="N773" s="22"/>
      <c r="O773" s="22"/>
      <c r="P773" s="22"/>
      <c r="Q773" s="22"/>
      <c r="R773" s="22"/>
    </row>
    <row r="774" spans="1:18" x14ac:dyDescent="0.25">
      <c r="A774" s="22" t="s">
        <v>1660</v>
      </c>
      <c r="B774" s="22" t="s">
        <v>201</v>
      </c>
      <c r="C774" s="22" t="s">
        <v>202</v>
      </c>
      <c r="D774" s="22" t="s">
        <v>1659</v>
      </c>
      <c r="E774" s="22" t="s">
        <v>57</v>
      </c>
      <c r="F774" s="23">
        <v>-32300</v>
      </c>
      <c r="G774" s="24">
        <v>44581</v>
      </c>
      <c r="H774" s="22" t="s">
        <v>1272</v>
      </c>
      <c r="I774" s="22" t="s">
        <v>799</v>
      </c>
      <c r="J774" s="22"/>
      <c r="K774" s="22"/>
      <c r="L774" s="22"/>
      <c r="M774" s="22"/>
      <c r="N774" s="22"/>
      <c r="O774" s="22"/>
      <c r="P774" s="22"/>
      <c r="Q774" s="22"/>
      <c r="R774" s="22"/>
    </row>
    <row r="775" spans="1:18" x14ac:dyDescent="0.25">
      <c r="A775" s="22" t="s">
        <v>1662</v>
      </c>
      <c r="B775" s="22" t="s">
        <v>201</v>
      </c>
      <c r="C775" s="22" t="s">
        <v>202</v>
      </c>
      <c r="D775" s="22" t="s">
        <v>1661</v>
      </c>
      <c r="E775" s="22" t="s">
        <v>57</v>
      </c>
      <c r="F775" s="23">
        <v>-20900</v>
      </c>
      <c r="G775" s="24">
        <v>44580</v>
      </c>
      <c r="H775" s="22" t="s">
        <v>1272</v>
      </c>
      <c r="I775" s="22" t="s">
        <v>1663</v>
      </c>
      <c r="J775" s="22"/>
      <c r="K775" s="22"/>
      <c r="L775" s="22"/>
      <c r="M775" s="22"/>
      <c r="N775" s="22"/>
      <c r="O775" s="22"/>
      <c r="P775" s="22"/>
      <c r="Q775" s="22"/>
      <c r="R775" s="22"/>
    </row>
    <row r="776" spans="1:18" x14ac:dyDescent="0.25">
      <c r="A776" s="22" t="s">
        <v>1665</v>
      </c>
      <c r="B776" s="22" t="s">
        <v>201</v>
      </c>
      <c r="C776" s="22" t="s">
        <v>202</v>
      </c>
      <c r="D776" s="22" t="s">
        <v>1664</v>
      </c>
      <c r="E776" s="22" t="s">
        <v>57</v>
      </c>
      <c r="F776" s="23">
        <v>-980600</v>
      </c>
      <c r="G776" s="24">
        <v>44578</v>
      </c>
      <c r="H776" s="22" t="s">
        <v>1272</v>
      </c>
      <c r="I776" s="22" t="s">
        <v>491</v>
      </c>
      <c r="J776" s="22"/>
      <c r="K776" s="22"/>
      <c r="L776" s="22"/>
      <c r="M776" s="22"/>
      <c r="N776" s="22"/>
      <c r="O776" s="22"/>
      <c r="P776" s="22"/>
      <c r="Q776" s="22"/>
      <c r="R776" s="22"/>
    </row>
    <row r="777" spans="1:18" x14ac:dyDescent="0.25">
      <c r="A777" s="22" t="s">
        <v>1667</v>
      </c>
      <c r="B777" s="22" t="s">
        <v>201</v>
      </c>
      <c r="C777" s="22" t="s">
        <v>202</v>
      </c>
      <c r="D777" s="22" t="s">
        <v>1666</v>
      </c>
      <c r="E777" s="22" t="s">
        <v>57</v>
      </c>
      <c r="F777" s="23">
        <v>-157700</v>
      </c>
      <c r="G777" s="24">
        <v>44574</v>
      </c>
      <c r="H777" s="22" t="s">
        <v>1272</v>
      </c>
      <c r="I777" s="22" t="s">
        <v>375</v>
      </c>
      <c r="J777" s="22"/>
      <c r="K777" s="22"/>
      <c r="L777" s="22"/>
      <c r="M777" s="22"/>
      <c r="N777" s="22"/>
      <c r="O777" s="22"/>
      <c r="P777" s="22"/>
      <c r="Q777" s="22"/>
      <c r="R777" s="22"/>
    </row>
    <row r="778" spans="1:18" s="39" customFormat="1" x14ac:dyDescent="0.25">
      <c r="A778" s="36" t="s">
        <v>1669</v>
      </c>
      <c r="B778" s="36" t="s">
        <v>201</v>
      </c>
      <c r="C778" s="36" t="s">
        <v>202</v>
      </c>
      <c r="D778" s="36" t="s">
        <v>1668</v>
      </c>
      <c r="E778" s="36" t="s">
        <v>42</v>
      </c>
      <c r="F778" s="37">
        <v>415150</v>
      </c>
      <c r="G778" s="38">
        <v>44385</v>
      </c>
      <c r="H778" s="36" t="s">
        <v>1670</v>
      </c>
      <c r="I778" s="36" t="s">
        <v>1671</v>
      </c>
      <c r="J778" s="36"/>
      <c r="K778" s="36"/>
      <c r="L778" s="36"/>
      <c r="M778" s="36"/>
      <c r="N778" s="36"/>
      <c r="O778" s="36"/>
      <c r="P778" s="36"/>
      <c r="Q778" s="36"/>
      <c r="R778" s="36"/>
    </row>
    <row r="779" spans="1:18" x14ac:dyDescent="0.25">
      <c r="A779" s="22" t="s">
        <v>1673</v>
      </c>
      <c r="B779" s="22" t="s">
        <v>201</v>
      </c>
      <c r="C779" s="22" t="s">
        <v>202</v>
      </c>
      <c r="D779" s="22" t="s">
        <v>1672</v>
      </c>
      <c r="E779" s="22" t="s">
        <v>45</v>
      </c>
      <c r="F779" s="23">
        <v>171451</v>
      </c>
      <c r="G779" s="24">
        <v>44350</v>
      </c>
      <c r="H779" s="22" t="s">
        <v>1672</v>
      </c>
      <c r="I779" s="22"/>
      <c r="J779" s="22"/>
      <c r="K779" s="22"/>
      <c r="L779" s="22"/>
      <c r="M779" s="22"/>
      <c r="N779" s="22"/>
      <c r="O779" s="22"/>
      <c r="P779" s="22"/>
      <c r="Q779" s="22"/>
      <c r="R779" s="22"/>
    </row>
    <row r="780" spans="1:18" x14ac:dyDescent="0.25">
      <c r="A780" s="22" t="s">
        <v>1673</v>
      </c>
      <c r="B780" s="22" t="s">
        <v>201</v>
      </c>
      <c r="C780" s="22" t="s">
        <v>202</v>
      </c>
      <c r="D780" s="22" t="s">
        <v>1672</v>
      </c>
      <c r="E780" s="22" t="s">
        <v>45</v>
      </c>
      <c r="F780" s="23">
        <v>55561</v>
      </c>
      <c r="G780" s="24">
        <v>44350</v>
      </c>
      <c r="H780" s="22" t="s">
        <v>1672</v>
      </c>
      <c r="I780" s="22"/>
      <c r="J780" s="22"/>
      <c r="K780" s="22"/>
      <c r="L780" s="22"/>
      <c r="M780" s="22"/>
      <c r="N780" s="22"/>
      <c r="O780" s="22"/>
      <c r="P780" s="22"/>
      <c r="Q780" s="22"/>
      <c r="R780" s="22"/>
    </row>
    <row r="781" spans="1:18" x14ac:dyDescent="0.25">
      <c r="A781" s="22" t="s">
        <v>1675</v>
      </c>
      <c r="B781" s="22" t="s">
        <v>201</v>
      </c>
      <c r="C781" s="22" t="s">
        <v>202</v>
      </c>
      <c r="D781" s="22" t="s">
        <v>1674</v>
      </c>
      <c r="E781" s="22" t="s">
        <v>45</v>
      </c>
      <c r="F781" s="23">
        <v>-161286</v>
      </c>
      <c r="G781" s="24">
        <v>44340</v>
      </c>
      <c r="H781" s="22" t="s">
        <v>1670</v>
      </c>
      <c r="I781" s="22" t="s">
        <v>1676</v>
      </c>
      <c r="J781" s="22"/>
      <c r="K781" s="22"/>
      <c r="L781" s="22"/>
      <c r="M781" s="22"/>
      <c r="N781" s="22"/>
      <c r="O781" s="22"/>
      <c r="P781" s="22"/>
      <c r="Q781" s="22"/>
      <c r="R781" s="22"/>
    </row>
    <row r="782" spans="1:18" x14ac:dyDescent="0.25">
      <c r="A782" s="22" t="s">
        <v>1678</v>
      </c>
      <c r="B782" s="22" t="s">
        <v>201</v>
      </c>
      <c r="C782" s="22" t="s">
        <v>202</v>
      </c>
      <c r="D782" s="22" t="s">
        <v>1677</v>
      </c>
      <c r="E782" s="22" t="s">
        <v>57</v>
      </c>
      <c r="F782" s="23">
        <v>-103600</v>
      </c>
      <c r="G782" s="24">
        <v>44329</v>
      </c>
      <c r="H782" s="22" t="s">
        <v>1670</v>
      </c>
      <c r="I782" s="22" t="s">
        <v>1679</v>
      </c>
      <c r="J782" s="22"/>
      <c r="K782" s="22"/>
      <c r="L782" s="22"/>
      <c r="M782" s="22"/>
      <c r="N782" s="22"/>
      <c r="O782" s="22"/>
      <c r="P782" s="22"/>
      <c r="Q782" s="22"/>
      <c r="R782" s="22"/>
    </row>
    <row r="783" spans="1:18" x14ac:dyDescent="0.25">
      <c r="A783" s="22" t="s">
        <v>1681</v>
      </c>
      <c r="B783" s="22" t="s">
        <v>201</v>
      </c>
      <c r="C783" s="22" t="s">
        <v>202</v>
      </c>
      <c r="D783" s="22" t="s">
        <v>1680</v>
      </c>
      <c r="E783" s="22" t="s">
        <v>57</v>
      </c>
      <c r="F783" s="23">
        <v>-126200</v>
      </c>
      <c r="G783" s="24">
        <v>44345</v>
      </c>
      <c r="H783" s="22" t="s">
        <v>1670</v>
      </c>
      <c r="I783" s="22" t="s">
        <v>1682</v>
      </c>
      <c r="J783" s="22"/>
      <c r="K783" s="22"/>
      <c r="L783" s="22"/>
      <c r="M783" s="22"/>
      <c r="N783" s="22"/>
      <c r="O783" s="22"/>
      <c r="P783" s="22"/>
      <c r="Q783" s="22"/>
      <c r="R783" s="22"/>
    </row>
    <row r="784" spans="1:18" x14ac:dyDescent="0.25">
      <c r="A784" s="22" t="s">
        <v>1673</v>
      </c>
      <c r="B784" s="22" t="s">
        <v>201</v>
      </c>
      <c r="C784" s="22" t="s">
        <v>202</v>
      </c>
      <c r="D784" s="22" t="s">
        <v>1672</v>
      </c>
      <c r="E784" s="22" t="s">
        <v>45</v>
      </c>
      <c r="F784" s="23">
        <v>-222336</v>
      </c>
      <c r="G784" s="24">
        <v>44350</v>
      </c>
      <c r="H784" s="22" t="s">
        <v>1672</v>
      </c>
      <c r="I784" s="22"/>
      <c r="J784" s="22"/>
      <c r="K784" s="22"/>
      <c r="L784" s="22"/>
      <c r="M784" s="22"/>
      <c r="N784" s="22"/>
      <c r="O784" s="22"/>
      <c r="P784" s="22"/>
      <c r="Q784" s="22"/>
      <c r="R784" s="22"/>
    </row>
    <row r="785" spans="1:18" x14ac:dyDescent="0.25">
      <c r="A785" s="22" t="s">
        <v>1675</v>
      </c>
      <c r="B785" s="22" t="s">
        <v>201</v>
      </c>
      <c r="C785" s="22" t="s">
        <v>202</v>
      </c>
      <c r="D785" s="22" t="s">
        <v>1670</v>
      </c>
      <c r="E785" s="22" t="s">
        <v>45</v>
      </c>
      <c r="F785" s="23">
        <v>-68599</v>
      </c>
      <c r="G785" s="24">
        <v>44340</v>
      </c>
      <c r="H785" s="22" t="s">
        <v>1672</v>
      </c>
      <c r="I785" s="22" t="s">
        <v>1683</v>
      </c>
      <c r="J785" s="22"/>
      <c r="K785" s="22"/>
      <c r="L785" s="22"/>
      <c r="M785" s="22"/>
      <c r="N785" s="22"/>
      <c r="O785" s="22"/>
      <c r="P785" s="22"/>
      <c r="Q785" s="22"/>
      <c r="R785" s="22"/>
    </row>
    <row r="786" spans="1:18" x14ac:dyDescent="0.25">
      <c r="A786" s="22" t="s">
        <v>1673</v>
      </c>
      <c r="B786" s="22" t="s">
        <v>201</v>
      </c>
      <c r="C786" s="22" t="s">
        <v>202</v>
      </c>
      <c r="D786" s="22" t="s">
        <v>1684</v>
      </c>
      <c r="E786" s="22" t="s">
        <v>57</v>
      </c>
      <c r="F786" s="23">
        <v>-55561</v>
      </c>
      <c r="G786" s="24">
        <v>44350</v>
      </c>
      <c r="H786" s="22" t="s">
        <v>1672</v>
      </c>
      <c r="I786" s="22" t="s">
        <v>1685</v>
      </c>
      <c r="J786" s="22"/>
      <c r="K786" s="22"/>
      <c r="L786" s="22"/>
      <c r="M786" s="22"/>
      <c r="N786" s="22"/>
      <c r="O786" s="22"/>
      <c r="P786" s="22"/>
      <c r="Q786" s="22"/>
      <c r="R786" s="22"/>
    </row>
    <row r="787" spans="1:18" x14ac:dyDescent="0.25">
      <c r="A787" s="22" t="s">
        <v>150</v>
      </c>
      <c r="B787" s="22" t="s">
        <v>201</v>
      </c>
      <c r="C787" s="22" t="s">
        <v>202</v>
      </c>
      <c r="D787" s="22" t="s">
        <v>152</v>
      </c>
      <c r="E787" s="22" t="s">
        <v>57</v>
      </c>
      <c r="F787" s="23">
        <v>-70057</v>
      </c>
      <c r="G787" s="24">
        <v>44358</v>
      </c>
      <c r="H787" s="22" t="s">
        <v>1672</v>
      </c>
      <c r="I787" s="22" t="s">
        <v>1686</v>
      </c>
      <c r="J787" s="22"/>
      <c r="K787" s="22"/>
      <c r="L787" s="22"/>
      <c r="M787" s="22"/>
      <c r="N787" s="22"/>
      <c r="O787" s="22"/>
      <c r="P787" s="22"/>
      <c r="Q787" s="22"/>
      <c r="R787" s="22"/>
    </row>
    <row r="788" spans="1:18" x14ac:dyDescent="0.25">
      <c r="A788" s="22" t="s">
        <v>153</v>
      </c>
      <c r="B788" s="22" t="s">
        <v>201</v>
      </c>
      <c r="C788" s="22" t="s">
        <v>202</v>
      </c>
      <c r="D788" s="22" t="s">
        <v>155</v>
      </c>
      <c r="E788" s="22" t="s">
        <v>57</v>
      </c>
      <c r="F788" s="23">
        <v>-32795</v>
      </c>
      <c r="G788" s="24">
        <v>44372</v>
      </c>
      <c r="H788" s="22" t="s">
        <v>1672</v>
      </c>
      <c r="I788" s="22" t="s">
        <v>1687</v>
      </c>
      <c r="J788" s="22"/>
      <c r="K788" s="22"/>
      <c r="L788" s="22"/>
      <c r="M788" s="22"/>
      <c r="N788" s="22"/>
      <c r="O788" s="22"/>
      <c r="P788" s="22"/>
      <c r="Q788" s="22"/>
      <c r="R788" s="22"/>
    </row>
    <row r="789" spans="1:18" s="39" customFormat="1" x14ac:dyDescent="0.25">
      <c r="A789" s="36" t="s">
        <v>1689</v>
      </c>
      <c r="B789" s="36" t="s">
        <v>201</v>
      </c>
      <c r="C789" s="36" t="s">
        <v>202</v>
      </c>
      <c r="D789" s="36" t="s">
        <v>1688</v>
      </c>
      <c r="E789" s="36" t="s">
        <v>42</v>
      </c>
      <c r="F789" s="37">
        <v>222336</v>
      </c>
      <c r="G789" s="38">
        <v>44414</v>
      </c>
      <c r="H789" s="36" t="s">
        <v>1672</v>
      </c>
      <c r="I789" s="36" t="s">
        <v>1671</v>
      </c>
      <c r="J789" s="36"/>
      <c r="K789" s="36"/>
      <c r="L789" s="36"/>
      <c r="M789" s="36"/>
      <c r="N789" s="36"/>
      <c r="O789" s="36"/>
      <c r="P789" s="36"/>
      <c r="Q789" s="36"/>
      <c r="R789" s="36"/>
    </row>
    <row r="790" spans="1:18" x14ac:dyDescent="0.25">
      <c r="A790" s="22" t="s">
        <v>142</v>
      </c>
      <c r="B790" s="22" t="s">
        <v>201</v>
      </c>
      <c r="C790" s="22" t="s">
        <v>202</v>
      </c>
      <c r="D790" s="22" t="s">
        <v>144</v>
      </c>
      <c r="E790" s="22" t="s">
        <v>57</v>
      </c>
      <c r="F790" s="23">
        <v>-70363</v>
      </c>
      <c r="G790" s="24">
        <v>44319</v>
      </c>
      <c r="H790" s="22" t="s">
        <v>1670</v>
      </c>
      <c r="I790" s="22" t="s">
        <v>1690</v>
      </c>
      <c r="J790" s="22"/>
      <c r="K790" s="22"/>
      <c r="L790" s="22"/>
      <c r="M790" s="22"/>
      <c r="N790" s="22"/>
      <c r="O790" s="22"/>
      <c r="P790" s="22"/>
      <c r="Q790" s="22"/>
      <c r="R790" s="22"/>
    </row>
    <row r="791" spans="1:18" x14ac:dyDescent="0.25">
      <c r="A791" s="22" t="s">
        <v>1692</v>
      </c>
      <c r="B791" s="22" t="s">
        <v>201</v>
      </c>
      <c r="C791" s="22" t="s">
        <v>202</v>
      </c>
      <c r="D791" s="22" t="s">
        <v>1691</v>
      </c>
      <c r="E791" s="22" t="s">
        <v>57</v>
      </c>
      <c r="F791" s="23">
        <v>-22300</v>
      </c>
      <c r="G791" s="24">
        <v>44344</v>
      </c>
      <c r="H791" s="22" t="s">
        <v>1670</v>
      </c>
      <c r="I791" s="22" t="s">
        <v>1693</v>
      </c>
      <c r="J791" s="22"/>
      <c r="K791" s="22"/>
      <c r="L791" s="22"/>
      <c r="M791" s="22"/>
      <c r="N791" s="22"/>
      <c r="O791" s="22"/>
      <c r="P791" s="22"/>
      <c r="Q791" s="22"/>
      <c r="R791" s="22"/>
    </row>
    <row r="792" spans="1:18" x14ac:dyDescent="0.25">
      <c r="A792" s="22" t="s">
        <v>1675</v>
      </c>
      <c r="B792" s="22" t="s">
        <v>201</v>
      </c>
      <c r="C792" s="22" t="s">
        <v>202</v>
      </c>
      <c r="D792" s="22" t="s">
        <v>1670</v>
      </c>
      <c r="E792" s="22" t="s">
        <v>45</v>
      </c>
      <c r="F792" s="23">
        <v>-196287</v>
      </c>
      <c r="G792" s="24">
        <v>44340</v>
      </c>
      <c r="H792" s="22" t="s">
        <v>1670</v>
      </c>
      <c r="I792" s="22"/>
      <c r="J792" s="22"/>
      <c r="K792" s="22"/>
      <c r="L792" s="22"/>
      <c r="M792" s="22"/>
      <c r="N792" s="22"/>
      <c r="O792" s="22"/>
      <c r="P792" s="22"/>
      <c r="Q792" s="22"/>
      <c r="R792" s="22"/>
    </row>
    <row r="793" spans="1:18" x14ac:dyDescent="0.25">
      <c r="A793" s="22" t="s">
        <v>1675</v>
      </c>
      <c r="B793" s="22" t="s">
        <v>201</v>
      </c>
      <c r="C793" s="22" t="s">
        <v>202</v>
      </c>
      <c r="D793" s="22" t="s">
        <v>1670</v>
      </c>
      <c r="E793" s="22" t="s">
        <v>45</v>
      </c>
      <c r="F793" s="23">
        <v>264886</v>
      </c>
      <c r="G793" s="24">
        <v>44340</v>
      </c>
      <c r="H793" s="22" t="s">
        <v>1670</v>
      </c>
      <c r="I793" s="22"/>
      <c r="J793" s="22"/>
      <c r="K793" s="22"/>
      <c r="L793" s="22"/>
      <c r="M793" s="22"/>
      <c r="N793" s="22"/>
      <c r="O793" s="22"/>
      <c r="P793" s="22"/>
      <c r="Q793" s="22"/>
      <c r="R793" s="22"/>
    </row>
    <row r="794" spans="1:18" s="39" customFormat="1" x14ac:dyDescent="0.25">
      <c r="A794" s="36" t="s">
        <v>1695</v>
      </c>
      <c r="B794" s="36" t="s">
        <v>201</v>
      </c>
      <c r="C794" s="36" t="s">
        <v>202</v>
      </c>
      <c r="D794" s="36" t="s">
        <v>1694</v>
      </c>
      <c r="E794" s="36" t="s">
        <v>42</v>
      </c>
      <c r="F794" s="37">
        <v>1940619</v>
      </c>
      <c r="G794" s="38">
        <v>44355</v>
      </c>
      <c r="H794" s="36" t="s">
        <v>1674</v>
      </c>
      <c r="I794" s="36" t="s">
        <v>605</v>
      </c>
      <c r="J794" s="36"/>
      <c r="K794" s="36"/>
      <c r="L794" s="36"/>
      <c r="M794" s="36"/>
      <c r="N794" s="36"/>
      <c r="O794" s="36"/>
      <c r="P794" s="36"/>
      <c r="Q794" s="36"/>
      <c r="R794" s="36"/>
    </row>
    <row r="795" spans="1:18" x14ac:dyDescent="0.25">
      <c r="A795" s="22" t="s">
        <v>1675</v>
      </c>
      <c r="B795" s="22" t="s">
        <v>201</v>
      </c>
      <c r="C795" s="22" t="s">
        <v>202</v>
      </c>
      <c r="D795" s="22" t="s">
        <v>1696</v>
      </c>
      <c r="E795" s="22" t="s">
        <v>57</v>
      </c>
      <c r="F795" s="23">
        <v>-958442</v>
      </c>
      <c r="G795" s="24">
        <v>44340</v>
      </c>
      <c r="H795" s="22" t="s">
        <v>1674</v>
      </c>
      <c r="I795" s="22" t="s">
        <v>1697</v>
      </c>
      <c r="J795" s="22"/>
      <c r="K795" s="22"/>
      <c r="L795" s="22"/>
      <c r="M795" s="22"/>
      <c r="N795" s="22"/>
      <c r="O795" s="22"/>
      <c r="P795" s="22"/>
      <c r="Q795" s="22"/>
      <c r="R795" s="22"/>
    </row>
    <row r="796" spans="1:18" x14ac:dyDescent="0.25">
      <c r="A796" s="22" t="s">
        <v>1699</v>
      </c>
      <c r="B796" s="22" t="s">
        <v>201</v>
      </c>
      <c r="C796" s="22" t="s">
        <v>202</v>
      </c>
      <c r="D796" s="22" t="s">
        <v>1698</v>
      </c>
      <c r="E796" s="22" t="s">
        <v>45</v>
      </c>
      <c r="F796" s="23">
        <v>-133236</v>
      </c>
      <c r="G796" s="24">
        <v>44301</v>
      </c>
      <c r="H796" s="22" t="s">
        <v>1674</v>
      </c>
      <c r="I796" s="22" t="s">
        <v>1700</v>
      </c>
      <c r="J796" s="22"/>
      <c r="K796" s="22"/>
      <c r="L796" s="22"/>
      <c r="M796" s="22"/>
      <c r="N796" s="22"/>
      <c r="O796" s="22"/>
      <c r="P796" s="22"/>
      <c r="Q796" s="22"/>
      <c r="R796" s="22"/>
    </row>
    <row r="797" spans="1:18" x14ac:dyDescent="0.25">
      <c r="A797" s="22" t="s">
        <v>1702</v>
      </c>
      <c r="B797" s="22" t="s">
        <v>201</v>
      </c>
      <c r="C797" s="22" t="s">
        <v>202</v>
      </c>
      <c r="D797" s="22" t="s">
        <v>1701</v>
      </c>
      <c r="E797" s="22" t="s">
        <v>45</v>
      </c>
      <c r="F797" s="23">
        <v>-220690</v>
      </c>
      <c r="G797" s="24">
        <v>44304</v>
      </c>
      <c r="H797" s="22" t="s">
        <v>1674</v>
      </c>
      <c r="I797" s="22" t="s">
        <v>1700</v>
      </c>
      <c r="J797" s="22"/>
      <c r="K797" s="22"/>
      <c r="L797" s="22"/>
      <c r="M797" s="22"/>
      <c r="N797" s="22"/>
      <c r="O797" s="22"/>
      <c r="P797" s="22"/>
      <c r="Q797" s="22"/>
      <c r="R797" s="22"/>
    </row>
    <row r="798" spans="1:18" x14ac:dyDescent="0.25">
      <c r="A798" s="22" t="s">
        <v>1704</v>
      </c>
      <c r="B798" s="22" t="s">
        <v>201</v>
      </c>
      <c r="C798" s="22" t="s">
        <v>202</v>
      </c>
      <c r="D798" s="22" t="s">
        <v>1703</v>
      </c>
      <c r="E798" s="22" t="s">
        <v>57</v>
      </c>
      <c r="F798" s="23">
        <v>-55797</v>
      </c>
      <c r="G798" s="24">
        <v>44303</v>
      </c>
      <c r="H798" s="22" t="s">
        <v>1674</v>
      </c>
      <c r="I798" s="22" t="s">
        <v>1686</v>
      </c>
      <c r="J798" s="22"/>
      <c r="K798" s="22"/>
      <c r="L798" s="22"/>
      <c r="M798" s="22"/>
      <c r="N798" s="22"/>
      <c r="O798" s="22"/>
      <c r="P798" s="22"/>
      <c r="Q798" s="22"/>
      <c r="R798" s="22"/>
    </row>
    <row r="799" spans="1:18" x14ac:dyDescent="0.25">
      <c r="A799" s="22" t="s">
        <v>1706</v>
      </c>
      <c r="B799" s="22" t="s">
        <v>201</v>
      </c>
      <c r="C799" s="22" t="s">
        <v>202</v>
      </c>
      <c r="D799" s="22" t="s">
        <v>1705</v>
      </c>
      <c r="E799" s="22" t="s">
        <v>57</v>
      </c>
      <c r="F799" s="23">
        <v>-169078</v>
      </c>
      <c r="G799" s="24">
        <v>44303</v>
      </c>
      <c r="H799" s="22" t="s">
        <v>1674</v>
      </c>
      <c r="I799" s="22" t="s">
        <v>1707</v>
      </c>
      <c r="J799" s="22"/>
      <c r="K799" s="22"/>
      <c r="L799" s="22"/>
      <c r="M799" s="22"/>
      <c r="N799" s="22"/>
      <c r="O799" s="22"/>
      <c r="P799" s="22"/>
      <c r="Q799" s="22"/>
      <c r="R799" s="22"/>
    </row>
    <row r="800" spans="1:18" x14ac:dyDescent="0.25">
      <c r="A800" s="22" t="s">
        <v>1709</v>
      </c>
      <c r="B800" s="22" t="s">
        <v>201</v>
      </c>
      <c r="C800" s="22" t="s">
        <v>202</v>
      </c>
      <c r="D800" s="22" t="s">
        <v>1708</v>
      </c>
      <c r="E800" s="22" t="s">
        <v>57</v>
      </c>
      <c r="F800" s="23">
        <v>-115583</v>
      </c>
      <c r="G800" s="24">
        <v>44291</v>
      </c>
      <c r="H800" s="22" t="s">
        <v>1674</v>
      </c>
      <c r="I800" s="22" t="s">
        <v>1710</v>
      </c>
      <c r="J800" s="22"/>
      <c r="K800" s="22"/>
      <c r="L800" s="22"/>
      <c r="M800" s="22"/>
      <c r="N800" s="22"/>
      <c r="O800" s="22"/>
      <c r="P800" s="22"/>
      <c r="Q800" s="22"/>
      <c r="R800" s="22"/>
    </row>
    <row r="801" spans="1:18" x14ac:dyDescent="0.25">
      <c r="A801" s="22" t="s">
        <v>1712</v>
      </c>
      <c r="B801" s="22" t="s">
        <v>201</v>
      </c>
      <c r="C801" s="22" t="s">
        <v>202</v>
      </c>
      <c r="D801" s="22" t="s">
        <v>1711</v>
      </c>
      <c r="E801" s="22" t="s">
        <v>57</v>
      </c>
      <c r="F801" s="23">
        <v>-271900</v>
      </c>
      <c r="G801" s="24">
        <v>44316</v>
      </c>
      <c r="H801" s="22" t="s">
        <v>1674</v>
      </c>
      <c r="I801" s="22" t="s">
        <v>1713</v>
      </c>
      <c r="J801" s="22"/>
      <c r="K801" s="22"/>
      <c r="L801" s="22"/>
      <c r="M801" s="22"/>
      <c r="N801" s="22"/>
      <c r="O801" s="22"/>
      <c r="P801" s="22"/>
      <c r="Q801" s="22"/>
      <c r="R801" s="22"/>
    </row>
    <row r="802" spans="1:18" x14ac:dyDescent="0.25">
      <c r="A802" s="22" t="s">
        <v>1715</v>
      </c>
      <c r="B802" s="22" t="s">
        <v>201</v>
      </c>
      <c r="C802" s="22" t="s">
        <v>202</v>
      </c>
      <c r="D802" s="22" t="s">
        <v>1714</v>
      </c>
      <c r="E802" s="22" t="s">
        <v>57</v>
      </c>
      <c r="F802" s="23">
        <v>-8760319</v>
      </c>
      <c r="G802" s="24">
        <v>44379</v>
      </c>
      <c r="H802" s="22" t="s">
        <v>1716</v>
      </c>
      <c r="I802" s="22" t="s">
        <v>1717</v>
      </c>
      <c r="J802" s="22"/>
      <c r="K802" s="22"/>
      <c r="L802" s="22"/>
      <c r="M802" s="22"/>
      <c r="N802" s="22"/>
      <c r="O802" s="22"/>
      <c r="P802" s="22"/>
      <c r="Q802" s="22"/>
      <c r="R802" s="22"/>
    </row>
    <row r="803" spans="1:18" x14ac:dyDescent="0.25">
      <c r="A803" s="22" t="s">
        <v>161</v>
      </c>
      <c r="B803" s="22" t="s">
        <v>201</v>
      </c>
      <c r="C803" s="22" t="s">
        <v>202</v>
      </c>
      <c r="D803" s="22" t="s">
        <v>163</v>
      </c>
      <c r="E803" s="22" t="s">
        <v>57</v>
      </c>
      <c r="F803" s="23">
        <v>-14599</v>
      </c>
      <c r="G803" s="24">
        <v>44358</v>
      </c>
      <c r="H803" s="22" t="s">
        <v>1716</v>
      </c>
      <c r="I803" s="22" t="s">
        <v>1718</v>
      </c>
      <c r="J803" s="22"/>
      <c r="K803" s="22"/>
      <c r="L803" s="22"/>
      <c r="M803" s="22"/>
      <c r="N803" s="22"/>
      <c r="O803" s="22"/>
      <c r="P803" s="22"/>
      <c r="Q803" s="22"/>
      <c r="R803" s="22"/>
    </row>
    <row r="804" spans="1:18" x14ac:dyDescent="0.25">
      <c r="A804" s="22" t="s">
        <v>1720</v>
      </c>
      <c r="B804" s="22" t="s">
        <v>201</v>
      </c>
      <c r="C804" s="22" t="s">
        <v>202</v>
      </c>
      <c r="D804" s="22" t="s">
        <v>1719</v>
      </c>
      <c r="E804" s="22" t="s">
        <v>57</v>
      </c>
      <c r="F804" s="23">
        <v>-562352</v>
      </c>
      <c r="G804" s="24">
        <v>44367</v>
      </c>
      <c r="H804" s="22" t="s">
        <v>1716</v>
      </c>
      <c r="I804" s="22" t="s">
        <v>1721</v>
      </c>
      <c r="J804" s="22"/>
      <c r="K804" s="22"/>
      <c r="L804" s="22"/>
      <c r="M804" s="22"/>
      <c r="N804" s="22"/>
      <c r="O804" s="22"/>
      <c r="P804" s="22"/>
      <c r="Q804" s="22"/>
      <c r="R804" s="22"/>
    </row>
    <row r="805" spans="1:18" x14ac:dyDescent="0.25">
      <c r="A805" s="22" t="s">
        <v>1715</v>
      </c>
      <c r="B805" s="22" t="s">
        <v>201</v>
      </c>
      <c r="C805" s="22" t="s">
        <v>202</v>
      </c>
      <c r="D805" s="22" t="s">
        <v>1716</v>
      </c>
      <c r="E805" s="22" t="s">
        <v>45</v>
      </c>
      <c r="F805" s="23">
        <v>3838918</v>
      </c>
      <c r="G805" s="24">
        <v>44379</v>
      </c>
      <c r="H805" s="22" t="s">
        <v>1716</v>
      </c>
      <c r="I805" s="22"/>
      <c r="J805" s="22"/>
      <c r="K805" s="22"/>
      <c r="L805" s="22"/>
      <c r="M805" s="22"/>
      <c r="N805" s="22"/>
      <c r="O805" s="22"/>
      <c r="P805" s="22"/>
      <c r="Q805" s="22"/>
      <c r="R805" s="22"/>
    </row>
    <row r="806" spans="1:18" x14ac:dyDescent="0.25">
      <c r="A806" s="22" t="s">
        <v>1715</v>
      </c>
      <c r="B806" s="22" t="s">
        <v>201</v>
      </c>
      <c r="C806" s="22" t="s">
        <v>202</v>
      </c>
      <c r="D806" s="22" t="s">
        <v>1716</v>
      </c>
      <c r="E806" s="22" t="s">
        <v>45</v>
      </c>
      <c r="F806" s="23">
        <v>562352</v>
      </c>
      <c r="G806" s="24">
        <v>44379</v>
      </c>
      <c r="H806" s="22" t="s">
        <v>1716</v>
      </c>
      <c r="I806" s="22"/>
      <c r="J806" s="22"/>
      <c r="K806" s="22"/>
      <c r="L806" s="22"/>
      <c r="M806" s="22"/>
      <c r="N806" s="22"/>
      <c r="O806" s="22"/>
      <c r="P806" s="22"/>
      <c r="Q806" s="22"/>
      <c r="R806" s="22"/>
    </row>
    <row r="807" spans="1:18" s="39" customFormat="1" x14ac:dyDescent="0.25">
      <c r="A807" s="36" t="s">
        <v>1723</v>
      </c>
      <c r="B807" s="36" t="s">
        <v>201</v>
      </c>
      <c r="C807" s="36" t="s">
        <v>202</v>
      </c>
      <c r="D807" s="36" t="s">
        <v>1722</v>
      </c>
      <c r="E807" s="36" t="s">
        <v>42</v>
      </c>
      <c r="F807" s="37">
        <v>1808546</v>
      </c>
      <c r="G807" s="38">
        <v>44414</v>
      </c>
      <c r="H807" s="36" t="s">
        <v>1724</v>
      </c>
      <c r="I807" s="36" t="s">
        <v>1671</v>
      </c>
      <c r="J807" s="36"/>
      <c r="K807" s="36"/>
      <c r="L807" s="36"/>
      <c r="M807" s="36"/>
      <c r="N807" s="36"/>
      <c r="O807" s="36"/>
      <c r="P807" s="36"/>
      <c r="Q807" s="36"/>
      <c r="R807" s="36"/>
    </row>
    <row r="808" spans="1:18" x14ac:dyDescent="0.25">
      <c r="A808" s="22" t="s">
        <v>157</v>
      </c>
      <c r="B808" s="22" t="s">
        <v>201</v>
      </c>
      <c r="C808" s="22" t="s">
        <v>202</v>
      </c>
      <c r="D808" s="22" t="s">
        <v>159</v>
      </c>
      <c r="E808" s="22" t="s">
        <v>57</v>
      </c>
      <c r="F808" s="23">
        <v>-3064510</v>
      </c>
      <c r="G808" s="24">
        <v>44382</v>
      </c>
      <c r="H808" s="22" t="s">
        <v>1724</v>
      </c>
      <c r="I808" s="22" t="s">
        <v>1725</v>
      </c>
      <c r="J808" s="22"/>
      <c r="K808" s="22"/>
      <c r="L808" s="22"/>
      <c r="M808" s="22"/>
      <c r="N808" s="22"/>
      <c r="O808" s="22"/>
      <c r="P808" s="22"/>
      <c r="Q808" s="22"/>
      <c r="R808" s="22"/>
    </row>
    <row r="809" spans="1:18" x14ac:dyDescent="0.25">
      <c r="A809" s="22" t="s">
        <v>157</v>
      </c>
      <c r="B809" s="22" t="s">
        <v>201</v>
      </c>
      <c r="C809" s="22" t="s">
        <v>202</v>
      </c>
      <c r="D809" s="22" t="s">
        <v>1724</v>
      </c>
      <c r="E809" s="22" t="s">
        <v>45</v>
      </c>
      <c r="F809" s="23">
        <v>1255964</v>
      </c>
      <c r="G809" s="24">
        <v>44382</v>
      </c>
      <c r="H809" s="22" t="s">
        <v>1724</v>
      </c>
      <c r="I809" s="22"/>
      <c r="J809" s="22"/>
      <c r="K809" s="22"/>
      <c r="L809" s="22"/>
      <c r="M809" s="22"/>
      <c r="N809" s="22"/>
      <c r="O809" s="22"/>
      <c r="P809" s="22"/>
      <c r="Q809" s="22"/>
      <c r="R809" s="22"/>
    </row>
    <row r="810" spans="1:18" s="39" customFormat="1" x14ac:dyDescent="0.25">
      <c r="A810" s="36" t="s">
        <v>1727</v>
      </c>
      <c r="B810" s="36" t="s">
        <v>201</v>
      </c>
      <c r="C810" s="36" t="s">
        <v>202</v>
      </c>
      <c r="D810" s="36" t="s">
        <v>1726</v>
      </c>
      <c r="E810" s="36" t="s">
        <v>42</v>
      </c>
      <c r="F810" s="37">
        <v>347175</v>
      </c>
      <c r="G810" s="38">
        <v>44355</v>
      </c>
      <c r="H810" s="36" t="s">
        <v>1728</v>
      </c>
      <c r="I810" s="36" t="s">
        <v>605</v>
      </c>
      <c r="J810" s="36"/>
      <c r="K810" s="36"/>
      <c r="L810" s="36"/>
      <c r="M810" s="36"/>
      <c r="N810" s="36"/>
      <c r="O810" s="36"/>
      <c r="P810" s="36"/>
      <c r="Q810" s="36"/>
      <c r="R810" s="36"/>
    </row>
    <row r="811" spans="1:18" x14ac:dyDescent="0.25">
      <c r="A811" s="22" t="s">
        <v>1730</v>
      </c>
      <c r="B811" s="22" t="s">
        <v>201</v>
      </c>
      <c r="C811" s="22" t="s">
        <v>202</v>
      </c>
      <c r="D811" s="22" t="s">
        <v>1729</v>
      </c>
      <c r="E811" s="22" t="s">
        <v>57</v>
      </c>
      <c r="F811" s="23">
        <v>-37100</v>
      </c>
      <c r="G811" s="24">
        <v>44334</v>
      </c>
      <c r="H811" s="22" t="s">
        <v>1728</v>
      </c>
      <c r="I811" s="22" t="s">
        <v>1731</v>
      </c>
      <c r="J811" s="22"/>
      <c r="K811" s="22"/>
      <c r="L811" s="22"/>
      <c r="M811" s="22"/>
      <c r="N811" s="22"/>
      <c r="O811" s="22"/>
      <c r="P811" s="22"/>
      <c r="Q811" s="22"/>
      <c r="R811" s="22"/>
    </row>
    <row r="812" spans="1:18" x14ac:dyDescent="0.25">
      <c r="A812" s="22" t="s">
        <v>1733</v>
      </c>
      <c r="B812" s="22" t="s">
        <v>201</v>
      </c>
      <c r="C812" s="22" t="s">
        <v>202</v>
      </c>
      <c r="D812" s="22" t="s">
        <v>1732</v>
      </c>
      <c r="E812" s="22" t="s">
        <v>57</v>
      </c>
      <c r="F812" s="23">
        <v>-10100</v>
      </c>
      <c r="G812" s="24">
        <v>44334</v>
      </c>
      <c r="H812" s="22" t="s">
        <v>1728</v>
      </c>
      <c r="I812" s="22" t="s">
        <v>740</v>
      </c>
      <c r="J812" s="22"/>
      <c r="K812" s="22"/>
      <c r="L812" s="22"/>
      <c r="M812" s="22"/>
      <c r="N812" s="22"/>
      <c r="O812" s="22"/>
      <c r="P812" s="22"/>
      <c r="Q812" s="22"/>
      <c r="R812" s="22"/>
    </row>
    <row r="813" spans="1:18" x14ac:dyDescent="0.25">
      <c r="A813" s="22" t="s">
        <v>1735</v>
      </c>
      <c r="B813" s="22" t="s">
        <v>201</v>
      </c>
      <c r="C813" s="22" t="s">
        <v>202</v>
      </c>
      <c r="D813" s="22" t="s">
        <v>1734</v>
      </c>
      <c r="E813" s="22" t="s">
        <v>57</v>
      </c>
      <c r="F813" s="23">
        <v>-253900</v>
      </c>
      <c r="G813" s="24">
        <v>44334</v>
      </c>
      <c r="H813" s="22" t="s">
        <v>1728</v>
      </c>
      <c r="I813" s="22" t="s">
        <v>1731</v>
      </c>
      <c r="J813" s="22"/>
      <c r="K813" s="22"/>
      <c r="L813" s="22"/>
      <c r="M813" s="22"/>
      <c r="N813" s="22"/>
      <c r="O813" s="22"/>
      <c r="P813" s="22"/>
      <c r="Q813" s="22"/>
      <c r="R813" s="22"/>
    </row>
    <row r="814" spans="1:18" x14ac:dyDescent="0.25">
      <c r="A814" s="22" t="s">
        <v>1737</v>
      </c>
      <c r="B814" s="22" t="s">
        <v>201</v>
      </c>
      <c r="C814" s="22" t="s">
        <v>202</v>
      </c>
      <c r="D814" s="22" t="s">
        <v>1736</v>
      </c>
      <c r="E814" s="22" t="s">
        <v>57</v>
      </c>
      <c r="F814" s="23">
        <v>-47200</v>
      </c>
      <c r="G814" s="24">
        <v>44322</v>
      </c>
      <c r="H814" s="22" t="s">
        <v>1728</v>
      </c>
      <c r="I814" s="22" t="s">
        <v>608</v>
      </c>
      <c r="J814" s="22"/>
      <c r="K814" s="22"/>
      <c r="L814" s="22"/>
      <c r="M814" s="22"/>
      <c r="N814" s="22"/>
      <c r="O814" s="22"/>
      <c r="P814" s="22"/>
      <c r="Q814" s="22"/>
      <c r="R814" s="22"/>
    </row>
    <row r="815" spans="1:18" x14ac:dyDescent="0.25">
      <c r="A815" s="22" t="s">
        <v>1730</v>
      </c>
      <c r="B815" s="22" t="s">
        <v>201</v>
      </c>
      <c r="C815" s="22" t="s">
        <v>202</v>
      </c>
      <c r="D815" s="22" t="s">
        <v>1728</v>
      </c>
      <c r="E815" s="22" t="s">
        <v>45</v>
      </c>
      <c r="F815" s="23">
        <v>348300</v>
      </c>
      <c r="G815" s="24">
        <v>44334</v>
      </c>
      <c r="H815" s="22" t="s">
        <v>1728</v>
      </c>
      <c r="I815" s="22"/>
      <c r="J815" s="22"/>
      <c r="K815" s="22"/>
      <c r="L815" s="22"/>
      <c r="M815" s="22"/>
      <c r="N815" s="22"/>
      <c r="O815" s="22"/>
      <c r="P815" s="22"/>
      <c r="Q815" s="22"/>
      <c r="R815" s="22"/>
    </row>
    <row r="816" spans="1:18" x14ac:dyDescent="0.25">
      <c r="A816" s="22" t="s">
        <v>1730</v>
      </c>
      <c r="B816" s="22" t="s">
        <v>201</v>
      </c>
      <c r="C816" s="22" t="s">
        <v>202</v>
      </c>
      <c r="D816" s="22" t="s">
        <v>1728</v>
      </c>
      <c r="E816" s="22" t="s">
        <v>45</v>
      </c>
      <c r="F816" s="23">
        <v>-347175</v>
      </c>
      <c r="G816" s="24">
        <v>44334</v>
      </c>
      <c r="H816" s="22" t="s">
        <v>1728</v>
      </c>
      <c r="I816" s="22"/>
      <c r="J816" s="22"/>
      <c r="K816" s="22"/>
      <c r="L816" s="22"/>
      <c r="M816" s="22"/>
      <c r="N816" s="22"/>
      <c r="O816" s="22"/>
      <c r="P816" s="22"/>
      <c r="Q816" s="22"/>
      <c r="R816" s="22"/>
    </row>
    <row r="817" spans="1:18" s="39" customFormat="1" x14ac:dyDescent="0.25">
      <c r="A817" s="36" t="s">
        <v>1739</v>
      </c>
      <c r="B817" s="36" t="s">
        <v>201</v>
      </c>
      <c r="C817" s="36" t="s">
        <v>202</v>
      </c>
      <c r="D817" s="36" t="s">
        <v>1738</v>
      </c>
      <c r="E817" s="36" t="s">
        <v>42</v>
      </c>
      <c r="F817" s="37">
        <v>27289</v>
      </c>
      <c r="G817" s="38">
        <v>44260</v>
      </c>
      <c r="H817" s="36" t="s">
        <v>1740</v>
      </c>
      <c r="I817" s="36" t="s">
        <v>1741</v>
      </c>
      <c r="J817" s="36"/>
      <c r="K817" s="36"/>
      <c r="L817" s="36"/>
      <c r="M817" s="36"/>
      <c r="N817" s="36"/>
      <c r="O817" s="36"/>
      <c r="P817" s="36"/>
      <c r="Q817" s="36"/>
      <c r="R817" s="36"/>
    </row>
    <row r="818" spans="1:18" x14ac:dyDescent="0.25">
      <c r="A818" s="22" t="s">
        <v>1743</v>
      </c>
      <c r="B818" s="22" t="s">
        <v>201</v>
      </c>
      <c r="C818" s="22" t="s">
        <v>202</v>
      </c>
      <c r="D818" s="22" t="s">
        <v>1742</v>
      </c>
      <c r="E818" s="22" t="s">
        <v>57</v>
      </c>
      <c r="F818" s="23">
        <v>-32700</v>
      </c>
      <c r="G818" s="24">
        <v>44258</v>
      </c>
      <c r="H818" s="22" t="s">
        <v>1740</v>
      </c>
      <c r="I818" s="22" t="s">
        <v>1731</v>
      </c>
      <c r="J818" s="22"/>
      <c r="K818" s="22"/>
      <c r="L818" s="22"/>
      <c r="M818" s="22"/>
      <c r="N818" s="22"/>
      <c r="O818" s="22"/>
      <c r="P818" s="22"/>
      <c r="Q818" s="22"/>
      <c r="R818" s="22"/>
    </row>
    <row r="819" spans="1:18" x14ac:dyDescent="0.25">
      <c r="A819" s="22" t="s">
        <v>1743</v>
      </c>
      <c r="B819" s="22" t="s">
        <v>201</v>
      </c>
      <c r="C819" s="22" t="s">
        <v>202</v>
      </c>
      <c r="D819" s="22" t="s">
        <v>1740</v>
      </c>
      <c r="E819" s="22" t="s">
        <v>45</v>
      </c>
      <c r="F819" s="23">
        <v>5411</v>
      </c>
      <c r="G819" s="24">
        <v>44258</v>
      </c>
      <c r="H819" s="22" t="s">
        <v>1740</v>
      </c>
      <c r="I819" s="22"/>
      <c r="J819" s="22"/>
      <c r="K819" s="22"/>
      <c r="L819" s="22"/>
      <c r="M819" s="22"/>
      <c r="N819" s="22"/>
      <c r="O819" s="22"/>
      <c r="P819" s="22"/>
      <c r="Q819" s="22"/>
      <c r="R819" s="22"/>
    </row>
    <row r="820" spans="1:18" s="39" customFormat="1" x14ac:dyDescent="0.25">
      <c r="A820" s="36" t="s">
        <v>1745</v>
      </c>
      <c r="B820" s="36" t="s">
        <v>201</v>
      </c>
      <c r="C820" s="36" t="s">
        <v>202</v>
      </c>
      <c r="D820" s="36" t="s">
        <v>1744</v>
      </c>
      <c r="E820" s="36" t="s">
        <v>42</v>
      </c>
      <c r="F820" s="37">
        <v>172734</v>
      </c>
      <c r="G820" s="38">
        <v>44385</v>
      </c>
      <c r="H820" s="36" t="s">
        <v>1746</v>
      </c>
      <c r="I820" s="36" t="s">
        <v>1671</v>
      </c>
      <c r="J820" s="36"/>
      <c r="K820" s="36"/>
      <c r="L820" s="36"/>
      <c r="M820" s="36"/>
      <c r="N820" s="36"/>
      <c r="O820" s="36"/>
      <c r="P820" s="36"/>
      <c r="Q820" s="36"/>
      <c r="R820" s="36"/>
    </row>
    <row r="821" spans="1:18" x14ac:dyDescent="0.25">
      <c r="A821" s="22" t="s">
        <v>1748</v>
      </c>
      <c r="B821" s="22" t="s">
        <v>201</v>
      </c>
      <c r="C821" s="22" t="s">
        <v>202</v>
      </c>
      <c r="D821" s="22" t="s">
        <v>1747</v>
      </c>
      <c r="E821" s="22" t="s">
        <v>45</v>
      </c>
      <c r="F821" s="23">
        <v>-1119902</v>
      </c>
      <c r="G821" s="24">
        <v>44269</v>
      </c>
      <c r="H821" s="22" t="s">
        <v>1746</v>
      </c>
      <c r="I821" s="22" t="s">
        <v>1749</v>
      </c>
      <c r="J821" s="22"/>
      <c r="K821" s="22"/>
      <c r="L821" s="22"/>
      <c r="M821" s="22"/>
      <c r="N821" s="22"/>
      <c r="O821" s="22"/>
      <c r="P821" s="22"/>
      <c r="Q821" s="22"/>
      <c r="R821" s="22"/>
    </row>
    <row r="822" spans="1:18" x14ac:dyDescent="0.25">
      <c r="A822" s="22" t="s">
        <v>1748</v>
      </c>
      <c r="B822" s="22" t="s">
        <v>201</v>
      </c>
      <c r="C822" s="22" t="s">
        <v>202</v>
      </c>
      <c r="D822" s="22" t="s">
        <v>1746</v>
      </c>
      <c r="E822" s="22" t="s">
        <v>45</v>
      </c>
      <c r="F822" s="23">
        <v>947168</v>
      </c>
      <c r="G822" s="24">
        <v>44269</v>
      </c>
      <c r="H822" s="22" t="s">
        <v>1746</v>
      </c>
      <c r="I822" s="22"/>
      <c r="J822" s="22"/>
      <c r="K822" s="22"/>
      <c r="L822" s="22"/>
      <c r="M822" s="22"/>
      <c r="N822" s="22"/>
      <c r="O822" s="22"/>
      <c r="P822" s="22"/>
      <c r="Q822" s="22"/>
      <c r="R822" s="22"/>
    </row>
    <row r="823" spans="1:18" s="39" customFormat="1" x14ac:dyDescent="0.25">
      <c r="A823" s="36" t="s">
        <v>1751</v>
      </c>
      <c r="B823" s="36" t="s">
        <v>201</v>
      </c>
      <c r="C823" s="36" t="s">
        <v>202</v>
      </c>
      <c r="D823" s="36" t="s">
        <v>1750</v>
      </c>
      <c r="E823" s="36" t="s">
        <v>42</v>
      </c>
      <c r="F823" s="37">
        <v>1496228</v>
      </c>
      <c r="G823" s="38">
        <v>44355</v>
      </c>
      <c r="H823" s="36" t="s">
        <v>1747</v>
      </c>
      <c r="I823" s="36" t="s">
        <v>605</v>
      </c>
      <c r="J823" s="36"/>
      <c r="K823" s="36"/>
      <c r="L823" s="36"/>
      <c r="M823" s="36"/>
      <c r="N823" s="36"/>
      <c r="O823" s="36"/>
      <c r="P823" s="36"/>
      <c r="Q823" s="36"/>
      <c r="R823" s="36"/>
    </row>
    <row r="824" spans="1:18" x14ac:dyDescent="0.25">
      <c r="A824" s="22" t="s">
        <v>1748</v>
      </c>
      <c r="B824" s="22" t="s">
        <v>201</v>
      </c>
      <c r="C824" s="22" t="s">
        <v>202</v>
      </c>
      <c r="D824" s="22" t="s">
        <v>1752</v>
      </c>
      <c r="E824" s="22" t="s">
        <v>57</v>
      </c>
      <c r="F824" s="23">
        <v>-2616130</v>
      </c>
      <c r="G824" s="24">
        <v>44269</v>
      </c>
      <c r="H824" s="22" t="s">
        <v>1747</v>
      </c>
      <c r="I824" s="22" t="s">
        <v>1753</v>
      </c>
      <c r="J824" s="22"/>
      <c r="K824" s="22"/>
      <c r="L824" s="22"/>
      <c r="M824" s="22"/>
      <c r="N824" s="22"/>
      <c r="O824" s="22"/>
      <c r="P824" s="22"/>
      <c r="Q824" s="22"/>
      <c r="R824" s="22"/>
    </row>
    <row r="825" spans="1:18" x14ac:dyDescent="0.25">
      <c r="A825" s="22" t="s">
        <v>1748</v>
      </c>
      <c r="B825" s="22" t="s">
        <v>201</v>
      </c>
      <c r="C825" s="22" t="s">
        <v>202</v>
      </c>
      <c r="D825" s="22" t="s">
        <v>1747</v>
      </c>
      <c r="E825" s="22" t="s">
        <v>45</v>
      </c>
      <c r="F825" s="23">
        <v>1119902</v>
      </c>
      <c r="G825" s="24">
        <v>44269</v>
      </c>
      <c r="H825" s="22" t="s">
        <v>1747</v>
      </c>
      <c r="I825" s="22"/>
      <c r="J825" s="22"/>
      <c r="K825" s="22"/>
      <c r="L825" s="22"/>
      <c r="M825" s="22"/>
      <c r="N825" s="22"/>
      <c r="O825" s="22"/>
      <c r="P825" s="22"/>
      <c r="Q825" s="22"/>
      <c r="R825" s="22"/>
    </row>
    <row r="826" spans="1:18" x14ac:dyDescent="0.25">
      <c r="A826" s="22" t="s">
        <v>1755</v>
      </c>
      <c r="B826" s="22" t="s">
        <v>201</v>
      </c>
      <c r="C826" s="22" t="s">
        <v>202</v>
      </c>
      <c r="D826" s="22" t="s">
        <v>1754</v>
      </c>
      <c r="E826" s="22" t="s">
        <v>57</v>
      </c>
      <c r="F826" s="23">
        <v>-53700</v>
      </c>
      <c r="G826" s="24">
        <v>44291</v>
      </c>
      <c r="H826" s="22" t="s">
        <v>1674</v>
      </c>
      <c r="I826" s="22" t="s">
        <v>1756</v>
      </c>
      <c r="J826" s="22"/>
      <c r="K826" s="22"/>
      <c r="L826" s="22"/>
      <c r="M826" s="22"/>
      <c r="N826" s="22"/>
      <c r="O826" s="22"/>
      <c r="P826" s="22"/>
      <c r="Q826" s="22"/>
      <c r="R826" s="22"/>
    </row>
    <row r="827" spans="1:18" x14ac:dyDescent="0.25">
      <c r="A827" s="22" t="s">
        <v>130</v>
      </c>
      <c r="B827" s="22" t="s">
        <v>201</v>
      </c>
      <c r="C827" s="22" t="s">
        <v>202</v>
      </c>
      <c r="D827" s="22" t="s">
        <v>1757</v>
      </c>
      <c r="E827" s="22" t="s">
        <v>45</v>
      </c>
      <c r="F827" s="23">
        <v>1986540</v>
      </c>
      <c r="G827" s="24">
        <v>44314</v>
      </c>
      <c r="H827" s="22" t="s">
        <v>1757</v>
      </c>
      <c r="I827" s="22"/>
      <c r="J827" s="22"/>
      <c r="K827" s="22"/>
      <c r="L827" s="22"/>
      <c r="M827" s="22"/>
      <c r="N827" s="22"/>
      <c r="O827" s="22"/>
      <c r="P827" s="22"/>
      <c r="Q827" s="22"/>
      <c r="R827" s="22"/>
    </row>
    <row r="828" spans="1:18" x14ac:dyDescent="0.25">
      <c r="A828" s="22" t="s">
        <v>130</v>
      </c>
      <c r="B828" s="22" t="s">
        <v>201</v>
      </c>
      <c r="C828" s="22" t="s">
        <v>202</v>
      </c>
      <c r="D828" s="22" t="s">
        <v>1757</v>
      </c>
      <c r="E828" s="22" t="s">
        <v>45</v>
      </c>
      <c r="F828" s="23">
        <v>-413404</v>
      </c>
      <c r="G828" s="24">
        <v>44314</v>
      </c>
      <c r="H828" s="22" t="s">
        <v>1757</v>
      </c>
      <c r="I828" s="22"/>
      <c r="J828" s="22"/>
      <c r="K828" s="22"/>
      <c r="L828" s="22"/>
      <c r="M828" s="22"/>
      <c r="N828" s="22"/>
      <c r="O828" s="22"/>
      <c r="P828" s="22"/>
      <c r="Q828" s="22"/>
      <c r="R828" s="22"/>
    </row>
    <row r="829" spans="1:18" s="39" customFormat="1" x14ac:dyDescent="0.25">
      <c r="A829" s="36" t="s">
        <v>1759</v>
      </c>
      <c r="B829" s="36" t="s">
        <v>201</v>
      </c>
      <c r="C829" s="36" t="s">
        <v>202</v>
      </c>
      <c r="D829" s="36" t="s">
        <v>1758</v>
      </c>
      <c r="E829" s="36" t="s">
        <v>42</v>
      </c>
      <c r="F829" s="37">
        <v>18084526</v>
      </c>
      <c r="G829" s="38">
        <v>44214</v>
      </c>
      <c r="H829" s="36" t="s">
        <v>1701</v>
      </c>
      <c r="I829" s="36" t="s">
        <v>1741</v>
      </c>
      <c r="J829" s="36"/>
      <c r="K829" s="36"/>
      <c r="L829" s="36"/>
      <c r="M829" s="36"/>
      <c r="N829" s="36"/>
      <c r="O829" s="36"/>
      <c r="P829" s="36"/>
      <c r="Q829" s="36"/>
      <c r="R829" s="36"/>
    </row>
    <row r="830" spans="1:18" x14ac:dyDescent="0.25">
      <c r="A830" s="22" t="s">
        <v>1702</v>
      </c>
      <c r="B830" s="22" t="s">
        <v>201</v>
      </c>
      <c r="C830" s="22" t="s">
        <v>202</v>
      </c>
      <c r="D830" s="22" t="s">
        <v>1760</v>
      </c>
      <c r="E830" s="22" t="s">
        <v>57</v>
      </c>
      <c r="F830" s="23">
        <v>-674374</v>
      </c>
      <c r="G830" s="24">
        <v>44304</v>
      </c>
      <c r="H830" s="22" t="s">
        <v>1701</v>
      </c>
      <c r="I830" s="22" t="s">
        <v>1761</v>
      </c>
      <c r="J830" s="22"/>
      <c r="K830" s="22"/>
      <c r="L830" s="22"/>
      <c r="M830" s="22"/>
      <c r="N830" s="22"/>
      <c r="O830" s="22"/>
      <c r="P830" s="22"/>
      <c r="Q830" s="22"/>
      <c r="R830" s="22"/>
    </row>
    <row r="831" spans="1:18" x14ac:dyDescent="0.25">
      <c r="A831" s="22" t="s">
        <v>125</v>
      </c>
      <c r="B831" s="22" t="s">
        <v>201</v>
      </c>
      <c r="C831" s="22" t="s">
        <v>202</v>
      </c>
      <c r="D831" s="22" t="s">
        <v>127</v>
      </c>
      <c r="E831" s="22" t="s">
        <v>57</v>
      </c>
      <c r="F831" s="23">
        <v>-10681621</v>
      </c>
      <c r="G831" s="24">
        <v>44152</v>
      </c>
      <c r="H831" s="22" t="s">
        <v>1701</v>
      </c>
      <c r="I831" s="22" t="s">
        <v>1762</v>
      </c>
      <c r="J831" s="22"/>
      <c r="K831" s="22"/>
      <c r="L831" s="22"/>
      <c r="M831" s="22"/>
      <c r="N831" s="22"/>
      <c r="O831" s="22"/>
      <c r="P831" s="22"/>
      <c r="Q831" s="22"/>
      <c r="R831" s="22"/>
    </row>
    <row r="832" spans="1:18" x14ac:dyDescent="0.25">
      <c r="A832" s="22" t="s">
        <v>1764</v>
      </c>
      <c r="B832" s="22" t="s">
        <v>201</v>
      </c>
      <c r="C832" s="22" t="s">
        <v>202</v>
      </c>
      <c r="D832" s="22" t="s">
        <v>1763</v>
      </c>
      <c r="E832" s="22" t="s">
        <v>57</v>
      </c>
      <c r="F832" s="23">
        <v>-45600</v>
      </c>
      <c r="G832" s="24">
        <v>44165</v>
      </c>
      <c r="H832" s="22" t="s">
        <v>1701</v>
      </c>
      <c r="I832" s="22" t="s">
        <v>989</v>
      </c>
      <c r="J832" s="22"/>
      <c r="K832" s="22"/>
      <c r="L832" s="22"/>
      <c r="M832" s="22"/>
      <c r="N832" s="22"/>
      <c r="O832" s="22"/>
      <c r="P832" s="22"/>
      <c r="Q832" s="22"/>
      <c r="R832" s="22"/>
    </row>
    <row r="833" spans="1:18" x14ac:dyDescent="0.25">
      <c r="A833" s="22" t="s">
        <v>1766</v>
      </c>
      <c r="B833" s="22" t="s">
        <v>201</v>
      </c>
      <c r="C833" s="22" t="s">
        <v>202</v>
      </c>
      <c r="D833" s="22" t="s">
        <v>1765</v>
      </c>
      <c r="E833" s="22" t="s">
        <v>57</v>
      </c>
      <c r="F833" s="23">
        <v>-45600</v>
      </c>
      <c r="G833" s="24">
        <v>44155</v>
      </c>
      <c r="H833" s="22" t="s">
        <v>1701</v>
      </c>
      <c r="I833" s="22" t="s">
        <v>550</v>
      </c>
      <c r="J833" s="22"/>
      <c r="K833" s="22"/>
      <c r="L833" s="22"/>
      <c r="M833" s="22"/>
      <c r="N833" s="22"/>
      <c r="O833" s="22"/>
      <c r="P833" s="22"/>
      <c r="Q833" s="22"/>
      <c r="R833" s="22"/>
    </row>
    <row r="834" spans="1:18" x14ac:dyDescent="0.25">
      <c r="A834" s="22" t="s">
        <v>1768</v>
      </c>
      <c r="B834" s="22" t="s">
        <v>201</v>
      </c>
      <c r="C834" s="22" t="s">
        <v>202</v>
      </c>
      <c r="D834" s="22" t="s">
        <v>1767</v>
      </c>
      <c r="E834" s="22" t="s">
        <v>57</v>
      </c>
      <c r="F834" s="23">
        <v>-64445</v>
      </c>
      <c r="G834" s="24">
        <v>44272</v>
      </c>
      <c r="H834" s="22" t="s">
        <v>1701</v>
      </c>
      <c r="I834" s="22" t="s">
        <v>919</v>
      </c>
      <c r="J834" s="22"/>
      <c r="K834" s="22"/>
      <c r="L834" s="22"/>
      <c r="M834" s="22"/>
      <c r="N834" s="22"/>
      <c r="O834" s="22"/>
      <c r="P834" s="22"/>
      <c r="Q834" s="22"/>
      <c r="R834" s="22"/>
    </row>
    <row r="835" spans="1:18" x14ac:dyDescent="0.25">
      <c r="A835" s="22" t="s">
        <v>1770</v>
      </c>
      <c r="B835" s="22" t="s">
        <v>201</v>
      </c>
      <c r="C835" s="22" t="s">
        <v>202</v>
      </c>
      <c r="D835" s="22" t="s">
        <v>1769</v>
      </c>
      <c r="E835" s="22" t="s">
        <v>57</v>
      </c>
      <c r="F835" s="23">
        <v>-98462</v>
      </c>
      <c r="G835" s="24">
        <v>44268</v>
      </c>
      <c r="H835" s="22" t="s">
        <v>1701</v>
      </c>
      <c r="I835" s="22" t="s">
        <v>919</v>
      </c>
      <c r="J835" s="22"/>
      <c r="K835" s="22"/>
      <c r="L835" s="22"/>
      <c r="M835" s="22"/>
      <c r="N835" s="22"/>
      <c r="O835" s="22"/>
      <c r="P835" s="22"/>
      <c r="Q835" s="22"/>
      <c r="R835" s="22"/>
    </row>
    <row r="836" spans="1:18" x14ac:dyDescent="0.25">
      <c r="A836" s="22" t="s">
        <v>1772</v>
      </c>
      <c r="B836" s="22" t="s">
        <v>201</v>
      </c>
      <c r="C836" s="22" t="s">
        <v>202</v>
      </c>
      <c r="D836" s="22" t="s">
        <v>1771</v>
      </c>
      <c r="E836" s="22" t="s">
        <v>57</v>
      </c>
      <c r="F836" s="23">
        <v>-442780</v>
      </c>
      <c r="G836" s="24">
        <v>44260</v>
      </c>
      <c r="H836" s="22" t="s">
        <v>1701</v>
      </c>
      <c r="I836" s="22" t="s">
        <v>1773</v>
      </c>
      <c r="J836" s="22"/>
      <c r="K836" s="22"/>
      <c r="L836" s="22"/>
      <c r="M836" s="22"/>
      <c r="N836" s="22"/>
      <c r="O836" s="22"/>
      <c r="P836" s="22"/>
      <c r="Q836" s="22"/>
      <c r="R836" s="22"/>
    </row>
    <row r="837" spans="1:18" x14ac:dyDescent="0.25">
      <c r="A837" s="22" t="s">
        <v>1775</v>
      </c>
      <c r="B837" s="22" t="s">
        <v>201</v>
      </c>
      <c r="C837" s="22" t="s">
        <v>202</v>
      </c>
      <c r="D837" s="22" t="s">
        <v>1774</v>
      </c>
      <c r="E837" s="22" t="s">
        <v>57</v>
      </c>
      <c r="F837" s="23">
        <v>-497200</v>
      </c>
      <c r="G837" s="24">
        <v>44284</v>
      </c>
      <c r="H837" s="22" t="s">
        <v>1701</v>
      </c>
      <c r="I837" s="22" t="s">
        <v>309</v>
      </c>
      <c r="J837" s="22"/>
      <c r="K837" s="22"/>
      <c r="L837" s="22"/>
      <c r="M837" s="22"/>
      <c r="N837" s="22"/>
      <c r="O837" s="22"/>
      <c r="P837" s="22"/>
      <c r="Q837" s="22"/>
      <c r="R837" s="22"/>
    </row>
    <row r="838" spans="1:18" x14ac:dyDescent="0.25">
      <c r="A838" s="22" t="s">
        <v>1777</v>
      </c>
      <c r="B838" s="22" t="s">
        <v>201</v>
      </c>
      <c r="C838" s="22" t="s">
        <v>202</v>
      </c>
      <c r="D838" s="22" t="s">
        <v>1776</v>
      </c>
      <c r="E838" s="22" t="s">
        <v>57</v>
      </c>
      <c r="F838" s="23">
        <v>-43700</v>
      </c>
      <c r="G838" s="24">
        <v>44284</v>
      </c>
      <c r="H838" s="22" t="s">
        <v>1701</v>
      </c>
      <c r="I838" s="22" t="s">
        <v>836</v>
      </c>
      <c r="J838" s="22"/>
      <c r="K838" s="22"/>
      <c r="L838" s="22"/>
      <c r="M838" s="22"/>
      <c r="N838" s="22"/>
      <c r="O838" s="22"/>
      <c r="P838" s="22"/>
      <c r="Q838" s="22"/>
      <c r="R838" s="22"/>
    </row>
    <row r="839" spans="1:18" x14ac:dyDescent="0.25">
      <c r="A839" s="22" t="s">
        <v>1779</v>
      </c>
      <c r="B839" s="22" t="s">
        <v>201</v>
      </c>
      <c r="C839" s="22" t="s">
        <v>202</v>
      </c>
      <c r="D839" s="22" t="s">
        <v>1778</v>
      </c>
      <c r="E839" s="22" t="s">
        <v>57</v>
      </c>
      <c r="F839" s="23">
        <v>-29200</v>
      </c>
      <c r="G839" s="24">
        <v>44281</v>
      </c>
      <c r="H839" s="22" t="s">
        <v>1701</v>
      </c>
      <c r="I839" s="22" t="s">
        <v>280</v>
      </c>
      <c r="J839" s="22"/>
      <c r="K839" s="22"/>
      <c r="L839" s="22"/>
      <c r="M839" s="22"/>
      <c r="N839" s="22"/>
      <c r="O839" s="22"/>
      <c r="P839" s="22"/>
      <c r="Q839" s="22"/>
      <c r="R839" s="22"/>
    </row>
    <row r="840" spans="1:18" x14ac:dyDescent="0.25">
      <c r="A840" s="22" t="s">
        <v>1781</v>
      </c>
      <c r="B840" s="22" t="s">
        <v>201</v>
      </c>
      <c r="C840" s="22" t="s">
        <v>202</v>
      </c>
      <c r="D840" s="22" t="s">
        <v>1780</v>
      </c>
      <c r="E840" s="22" t="s">
        <v>57</v>
      </c>
      <c r="F840" s="23">
        <v>-43700</v>
      </c>
      <c r="G840" s="24">
        <v>44280</v>
      </c>
      <c r="H840" s="22" t="s">
        <v>1701</v>
      </c>
      <c r="I840" s="22" t="s">
        <v>820</v>
      </c>
      <c r="J840" s="22"/>
      <c r="K840" s="22"/>
      <c r="L840" s="22"/>
      <c r="M840" s="22"/>
      <c r="N840" s="22"/>
      <c r="O840" s="22"/>
      <c r="P840" s="22"/>
      <c r="Q840" s="22"/>
      <c r="R840" s="22"/>
    </row>
    <row r="841" spans="1:18" x14ac:dyDescent="0.25">
      <c r="A841" s="22" t="s">
        <v>1783</v>
      </c>
      <c r="B841" s="22" t="s">
        <v>201</v>
      </c>
      <c r="C841" s="22" t="s">
        <v>202</v>
      </c>
      <c r="D841" s="22" t="s">
        <v>1782</v>
      </c>
      <c r="E841" s="22" t="s">
        <v>57</v>
      </c>
      <c r="F841" s="23">
        <v>-206500</v>
      </c>
      <c r="G841" s="24">
        <v>44279</v>
      </c>
      <c r="H841" s="22" t="s">
        <v>1701</v>
      </c>
      <c r="I841" s="22" t="s">
        <v>897</v>
      </c>
      <c r="J841" s="22"/>
      <c r="K841" s="22"/>
      <c r="L841" s="22"/>
      <c r="M841" s="22"/>
      <c r="N841" s="22"/>
      <c r="O841" s="22"/>
      <c r="P841" s="22"/>
      <c r="Q841" s="22"/>
      <c r="R841" s="22"/>
    </row>
    <row r="842" spans="1:18" x14ac:dyDescent="0.25">
      <c r="A842" s="22" t="s">
        <v>1785</v>
      </c>
      <c r="B842" s="22" t="s">
        <v>201</v>
      </c>
      <c r="C842" s="22" t="s">
        <v>202</v>
      </c>
      <c r="D842" s="22" t="s">
        <v>1784</v>
      </c>
      <c r="E842" s="22" t="s">
        <v>57</v>
      </c>
      <c r="F842" s="23">
        <v>-18800</v>
      </c>
      <c r="G842" s="24">
        <v>44274</v>
      </c>
      <c r="H842" s="22" t="s">
        <v>1701</v>
      </c>
      <c r="I842" s="22" t="s">
        <v>1786</v>
      </c>
      <c r="J842" s="22"/>
      <c r="K842" s="22"/>
      <c r="L842" s="22"/>
      <c r="M842" s="22"/>
      <c r="N842" s="22"/>
      <c r="O842" s="22"/>
      <c r="P842" s="22"/>
      <c r="Q842" s="22"/>
      <c r="R842" s="22"/>
    </row>
    <row r="843" spans="1:18" x14ac:dyDescent="0.25">
      <c r="A843" s="22" t="s">
        <v>1788</v>
      </c>
      <c r="B843" s="22" t="s">
        <v>201</v>
      </c>
      <c r="C843" s="22" t="s">
        <v>202</v>
      </c>
      <c r="D843" s="22" t="s">
        <v>1787</v>
      </c>
      <c r="E843" s="22" t="s">
        <v>57</v>
      </c>
      <c r="F843" s="23">
        <v>-29200</v>
      </c>
      <c r="G843" s="24">
        <v>44273</v>
      </c>
      <c r="H843" s="22" t="s">
        <v>1701</v>
      </c>
      <c r="I843" s="22" t="s">
        <v>280</v>
      </c>
      <c r="J843" s="22"/>
      <c r="K843" s="22"/>
      <c r="L843" s="22"/>
      <c r="M843" s="22"/>
      <c r="N843" s="22"/>
      <c r="O843" s="22"/>
      <c r="P843" s="22"/>
      <c r="Q843" s="22"/>
      <c r="R843" s="22"/>
    </row>
    <row r="844" spans="1:18" x14ac:dyDescent="0.25">
      <c r="A844" s="22" t="s">
        <v>1790</v>
      </c>
      <c r="B844" s="22" t="s">
        <v>201</v>
      </c>
      <c r="C844" s="22" t="s">
        <v>202</v>
      </c>
      <c r="D844" s="22" t="s">
        <v>1789</v>
      </c>
      <c r="E844" s="22" t="s">
        <v>57</v>
      </c>
      <c r="F844" s="23">
        <v>-92700</v>
      </c>
      <c r="G844" s="24">
        <v>44272</v>
      </c>
      <c r="H844" s="22" t="s">
        <v>1701</v>
      </c>
      <c r="I844" s="22" t="s">
        <v>1791</v>
      </c>
      <c r="J844" s="22"/>
      <c r="K844" s="22"/>
      <c r="L844" s="22"/>
      <c r="M844" s="22"/>
      <c r="N844" s="22"/>
      <c r="O844" s="22"/>
      <c r="P844" s="22"/>
      <c r="Q844" s="22"/>
      <c r="R844" s="22"/>
    </row>
    <row r="845" spans="1:18" x14ac:dyDescent="0.25">
      <c r="A845" s="22" t="s">
        <v>1793</v>
      </c>
      <c r="B845" s="22" t="s">
        <v>201</v>
      </c>
      <c r="C845" s="22" t="s">
        <v>202</v>
      </c>
      <c r="D845" s="22" t="s">
        <v>1792</v>
      </c>
      <c r="E845" s="22" t="s">
        <v>57</v>
      </c>
      <c r="F845" s="23">
        <v>-6200</v>
      </c>
      <c r="G845" s="24">
        <v>44272</v>
      </c>
      <c r="H845" s="22" t="s">
        <v>1701</v>
      </c>
      <c r="I845" s="22" t="s">
        <v>820</v>
      </c>
      <c r="J845" s="22"/>
      <c r="K845" s="22"/>
      <c r="L845" s="22"/>
      <c r="M845" s="22"/>
      <c r="N845" s="22"/>
      <c r="O845" s="22"/>
      <c r="P845" s="22"/>
      <c r="Q845" s="22"/>
      <c r="R845" s="22"/>
    </row>
    <row r="846" spans="1:18" x14ac:dyDescent="0.25">
      <c r="A846" s="22" t="s">
        <v>1795</v>
      </c>
      <c r="B846" s="22" t="s">
        <v>201</v>
      </c>
      <c r="C846" s="22" t="s">
        <v>202</v>
      </c>
      <c r="D846" s="22" t="s">
        <v>1794</v>
      </c>
      <c r="E846" s="22" t="s">
        <v>57</v>
      </c>
      <c r="F846" s="23">
        <v>-43700</v>
      </c>
      <c r="G846" s="24">
        <v>44272</v>
      </c>
      <c r="H846" s="22" t="s">
        <v>1701</v>
      </c>
      <c r="I846" s="22" t="s">
        <v>483</v>
      </c>
      <c r="J846" s="22"/>
      <c r="K846" s="22"/>
      <c r="L846" s="22"/>
      <c r="M846" s="22"/>
      <c r="N846" s="22"/>
      <c r="O846" s="22"/>
      <c r="P846" s="22"/>
      <c r="Q846" s="22"/>
      <c r="R846" s="22"/>
    </row>
    <row r="847" spans="1:18" x14ac:dyDescent="0.25">
      <c r="A847" s="22" t="s">
        <v>1797</v>
      </c>
      <c r="B847" s="22" t="s">
        <v>201</v>
      </c>
      <c r="C847" s="22" t="s">
        <v>202</v>
      </c>
      <c r="D847" s="22" t="s">
        <v>1796</v>
      </c>
      <c r="E847" s="22" t="s">
        <v>57</v>
      </c>
      <c r="F847" s="23">
        <v>-43700</v>
      </c>
      <c r="G847" s="24">
        <v>44264</v>
      </c>
      <c r="H847" s="22" t="s">
        <v>1701</v>
      </c>
      <c r="I847" s="22" t="s">
        <v>309</v>
      </c>
      <c r="J847" s="22"/>
      <c r="K847" s="22"/>
      <c r="L847" s="22"/>
      <c r="M847" s="22"/>
      <c r="N847" s="22"/>
      <c r="O847" s="22"/>
      <c r="P847" s="22"/>
      <c r="Q847" s="22"/>
      <c r="R847" s="22"/>
    </row>
    <row r="848" spans="1:18" x14ac:dyDescent="0.25">
      <c r="A848" s="22" t="s">
        <v>1799</v>
      </c>
      <c r="B848" s="22" t="s">
        <v>201</v>
      </c>
      <c r="C848" s="22" t="s">
        <v>202</v>
      </c>
      <c r="D848" s="22" t="s">
        <v>1798</v>
      </c>
      <c r="E848" s="22" t="s">
        <v>57</v>
      </c>
      <c r="F848" s="23">
        <v>-39000</v>
      </c>
      <c r="G848" s="24">
        <v>44256</v>
      </c>
      <c r="H848" s="22" t="s">
        <v>1701</v>
      </c>
      <c r="I848" s="22" t="s">
        <v>478</v>
      </c>
      <c r="J848" s="22"/>
      <c r="K848" s="22"/>
      <c r="L848" s="22"/>
      <c r="M848" s="22"/>
      <c r="N848" s="22"/>
      <c r="O848" s="22"/>
      <c r="P848" s="22"/>
      <c r="Q848" s="22"/>
      <c r="R848" s="22"/>
    </row>
    <row r="849" spans="1:18" x14ac:dyDescent="0.25">
      <c r="A849" s="22" t="s">
        <v>1801</v>
      </c>
      <c r="B849" s="22" t="s">
        <v>201</v>
      </c>
      <c r="C849" s="22" t="s">
        <v>202</v>
      </c>
      <c r="D849" s="22" t="s">
        <v>1800</v>
      </c>
      <c r="E849" s="22" t="s">
        <v>57</v>
      </c>
      <c r="F849" s="23">
        <v>-2025000</v>
      </c>
      <c r="G849" s="24">
        <v>44134</v>
      </c>
      <c r="H849" s="22" t="s">
        <v>1701</v>
      </c>
      <c r="I849" s="22" t="s">
        <v>1802</v>
      </c>
      <c r="J849" s="22"/>
      <c r="K849" s="22"/>
      <c r="L849" s="22"/>
      <c r="M849" s="22"/>
      <c r="N849" s="22"/>
      <c r="O849" s="22"/>
      <c r="P849" s="22"/>
      <c r="Q849" s="22"/>
      <c r="R849" s="22"/>
    </row>
    <row r="850" spans="1:18" x14ac:dyDescent="0.25">
      <c r="A850" s="22" t="s">
        <v>1804</v>
      </c>
      <c r="B850" s="22" t="s">
        <v>201</v>
      </c>
      <c r="C850" s="22" t="s">
        <v>202</v>
      </c>
      <c r="D850" s="22" t="s">
        <v>1803</v>
      </c>
      <c r="E850" s="22" t="s">
        <v>57</v>
      </c>
      <c r="F850" s="23">
        <v>-160200</v>
      </c>
      <c r="G850" s="24">
        <v>44133</v>
      </c>
      <c r="H850" s="22" t="s">
        <v>1701</v>
      </c>
      <c r="I850" s="22" t="s">
        <v>1805</v>
      </c>
      <c r="J850" s="22"/>
      <c r="K850" s="22"/>
      <c r="L850" s="22"/>
      <c r="M850" s="22"/>
      <c r="N850" s="22"/>
      <c r="O850" s="22"/>
      <c r="P850" s="22"/>
      <c r="Q850" s="22"/>
      <c r="R850" s="22"/>
    </row>
    <row r="851" spans="1:18" x14ac:dyDescent="0.25">
      <c r="A851" s="22" t="s">
        <v>1807</v>
      </c>
      <c r="B851" s="22" t="s">
        <v>201</v>
      </c>
      <c r="C851" s="22" t="s">
        <v>202</v>
      </c>
      <c r="D851" s="22" t="s">
        <v>1806</v>
      </c>
      <c r="E851" s="22" t="s">
        <v>57</v>
      </c>
      <c r="F851" s="23">
        <v>-68046</v>
      </c>
      <c r="G851" s="24">
        <v>44289</v>
      </c>
      <c r="H851" s="22" t="s">
        <v>1674</v>
      </c>
      <c r="I851" s="22" t="s">
        <v>1756</v>
      </c>
      <c r="J851" s="22"/>
      <c r="K851" s="22"/>
      <c r="L851" s="22"/>
      <c r="M851" s="22"/>
      <c r="N851" s="22"/>
      <c r="O851" s="22"/>
      <c r="P851" s="22"/>
      <c r="Q851" s="22"/>
      <c r="R851" s="22"/>
    </row>
    <row r="852" spans="1:18" x14ac:dyDescent="0.25">
      <c r="A852" s="22" t="s">
        <v>1809</v>
      </c>
      <c r="B852" s="22" t="s">
        <v>201</v>
      </c>
      <c r="C852" s="22" t="s">
        <v>202</v>
      </c>
      <c r="D852" s="22" t="s">
        <v>1808</v>
      </c>
      <c r="E852" s="22" t="s">
        <v>57</v>
      </c>
      <c r="F852" s="23">
        <v>-55433</v>
      </c>
      <c r="G852" s="24">
        <v>44287</v>
      </c>
      <c r="H852" s="22" t="s">
        <v>1674</v>
      </c>
      <c r="I852" s="22" t="s">
        <v>1756</v>
      </c>
      <c r="J852" s="22"/>
      <c r="K852" s="22"/>
      <c r="L852" s="22"/>
      <c r="M852" s="22"/>
      <c r="N852" s="22"/>
      <c r="O852" s="22"/>
      <c r="P852" s="22"/>
      <c r="Q852" s="22"/>
      <c r="R852" s="22"/>
    </row>
    <row r="853" spans="1:18" x14ac:dyDescent="0.25">
      <c r="A853" s="22" t="s">
        <v>1675</v>
      </c>
      <c r="B853" s="22" t="s">
        <v>201</v>
      </c>
      <c r="C853" s="22" t="s">
        <v>202</v>
      </c>
      <c r="D853" s="22" t="s">
        <v>1674</v>
      </c>
      <c r="E853" s="22" t="s">
        <v>45</v>
      </c>
      <c r="F853" s="23">
        <v>-1940619</v>
      </c>
      <c r="G853" s="24">
        <v>44340</v>
      </c>
      <c r="H853" s="22" t="s">
        <v>1674</v>
      </c>
      <c r="I853" s="22"/>
      <c r="J853" s="22"/>
      <c r="K853" s="22"/>
      <c r="L853" s="22"/>
      <c r="M853" s="22"/>
      <c r="N853" s="22"/>
      <c r="O853" s="22"/>
      <c r="P853" s="22"/>
      <c r="Q853" s="22"/>
      <c r="R853" s="22"/>
    </row>
    <row r="854" spans="1:18" x14ac:dyDescent="0.25">
      <c r="A854" s="22" t="s">
        <v>1675</v>
      </c>
      <c r="B854" s="22" t="s">
        <v>201</v>
      </c>
      <c r="C854" s="22" t="s">
        <v>202</v>
      </c>
      <c r="D854" s="22" t="s">
        <v>1674</v>
      </c>
      <c r="E854" s="22" t="s">
        <v>45</v>
      </c>
      <c r="F854" s="23">
        <v>449079</v>
      </c>
      <c r="G854" s="24">
        <v>44340</v>
      </c>
      <c r="H854" s="22" t="s">
        <v>1674</v>
      </c>
      <c r="I854" s="22"/>
      <c r="J854" s="22"/>
      <c r="K854" s="22"/>
      <c r="L854" s="22"/>
      <c r="M854" s="22"/>
      <c r="N854" s="22"/>
      <c r="O854" s="22"/>
      <c r="P854" s="22"/>
      <c r="Q854" s="22"/>
      <c r="R854" s="22"/>
    </row>
    <row r="855" spans="1:18" x14ac:dyDescent="0.25">
      <c r="A855" s="22" t="s">
        <v>1675</v>
      </c>
      <c r="B855" s="22" t="s">
        <v>201</v>
      </c>
      <c r="C855" s="22" t="s">
        <v>202</v>
      </c>
      <c r="D855" s="22" t="s">
        <v>1674</v>
      </c>
      <c r="E855" s="22" t="s">
        <v>45</v>
      </c>
      <c r="F855" s="23">
        <v>1652826</v>
      </c>
      <c r="G855" s="24">
        <v>44340</v>
      </c>
      <c r="H855" s="22" t="s">
        <v>1674</v>
      </c>
      <c r="I855" s="22"/>
      <c r="J855" s="22"/>
      <c r="K855" s="22"/>
      <c r="L855" s="22"/>
      <c r="M855" s="22"/>
      <c r="N855" s="22"/>
      <c r="O855" s="22"/>
      <c r="P855" s="22"/>
      <c r="Q855" s="22"/>
      <c r="R855" s="22"/>
    </row>
    <row r="856" spans="1:18" s="39" customFormat="1" x14ac:dyDescent="0.25">
      <c r="A856" s="36" t="s">
        <v>1811</v>
      </c>
      <c r="B856" s="36" t="s">
        <v>201</v>
      </c>
      <c r="C856" s="36" t="s">
        <v>202</v>
      </c>
      <c r="D856" s="36" t="s">
        <v>1810</v>
      </c>
      <c r="E856" s="36" t="s">
        <v>42</v>
      </c>
      <c r="F856" s="37">
        <v>2254412</v>
      </c>
      <c r="G856" s="38">
        <v>44295</v>
      </c>
      <c r="H856" s="36" t="s">
        <v>1698</v>
      </c>
      <c r="I856" s="36" t="s">
        <v>1812</v>
      </c>
      <c r="J856" s="36"/>
      <c r="K856" s="36"/>
      <c r="L856" s="36"/>
      <c r="M856" s="36"/>
      <c r="N856" s="36"/>
      <c r="O856" s="36"/>
      <c r="P856" s="36"/>
      <c r="Q856" s="36"/>
      <c r="R856" s="36"/>
    </row>
    <row r="857" spans="1:18" x14ac:dyDescent="0.25">
      <c r="A857" s="22" t="s">
        <v>1814</v>
      </c>
      <c r="B857" s="22" t="s">
        <v>201</v>
      </c>
      <c r="C857" s="22" t="s">
        <v>202</v>
      </c>
      <c r="D857" s="22" t="s">
        <v>1813</v>
      </c>
      <c r="E857" s="22" t="s">
        <v>57</v>
      </c>
      <c r="F857" s="23">
        <v>-32700</v>
      </c>
      <c r="G857" s="24">
        <v>44302</v>
      </c>
      <c r="H857" s="22" t="s">
        <v>1698</v>
      </c>
      <c r="I857" s="22" t="s">
        <v>1815</v>
      </c>
      <c r="J857" s="22"/>
      <c r="K857" s="22"/>
      <c r="L857" s="22"/>
      <c r="M857" s="22"/>
      <c r="N857" s="22"/>
      <c r="O857" s="22"/>
      <c r="P857" s="22"/>
      <c r="Q857" s="22"/>
      <c r="R857" s="22"/>
    </row>
    <row r="858" spans="1:18" x14ac:dyDescent="0.25">
      <c r="A858" s="22" t="s">
        <v>1817</v>
      </c>
      <c r="B858" s="22" t="s">
        <v>201</v>
      </c>
      <c r="C858" s="22" t="s">
        <v>202</v>
      </c>
      <c r="D858" s="22" t="s">
        <v>1816</v>
      </c>
      <c r="E858" s="22" t="s">
        <v>45</v>
      </c>
      <c r="F858" s="23">
        <v>-5242</v>
      </c>
      <c r="G858" s="24">
        <v>44301</v>
      </c>
      <c r="H858" s="22" t="s">
        <v>1698</v>
      </c>
      <c r="I858" s="22" t="s">
        <v>1818</v>
      </c>
      <c r="J858" s="22"/>
      <c r="K858" s="22"/>
      <c r="L858" s="22"/>
      <c r="M858" s="22"/>
      <c r="N858" s="22"/>
      <c r="O858" s="22"/>
      <c r="P858" s="22"/>
      <c r="Q858" s="22"/>
      <c r="R858" s="22"/>
    </row>
    <row r="859" spans="1:18" x14ac:dyDescent="0.25">
      <c r="A859" s="22" t="s">
        <v>1820</v>
      </c>
      <c r="B859" s="22" t="s">
        <v>201</v>
      </c>
      <c r="C859" s="22" t="s">
        <v>202</v>
      </c>
      <c r="D859" s="22" t="s">
        <v>1819</v>
      </c>
      <c r="E859" s="22" t="s">
        <v>45</v>
      </c>
      <c r="F859" s="23">
        <v>-18098</v>
      </c>
      <c r="G859" s="24">
        <v>44307</v>
      </c>
      <c r="H859" s="22" t="s">
        <v>1698</v>
      </c>
      <c r="I859" s="22" t="s">
        <v>1821</v>
      </c>
      <c r="J859" s="22"/>
      <c r="K859" s="22"/>
      <c r="L859" s="22"/>
      <c r="M859" s="22"/>
      <c r="N859" s="22"/>
      <c r="O859" s="22"/>
      <c r="P859" s="22"/>
      <c r="Q859" s="22"/>
      <c r="R859" s="22"/>
    </row>
    <row r="860" spans="1:18" x14ac:dyDescent="0.25">
      <c r="A860" s="22" t="s">
        <v>1823</v>
      </c>
      <c r="B860" s="22" t="s">
        <v>201</v>
      </c>
      <c r="C860" s="22" t="s">
        <v>202</v>
      </c>
      <c r="D860" s="22" t="s">
        <v>1822</v>
      </c>
      <c r="E860" s="22" t="s">
        <v>57</v>
      </c>
      <c r="F860" s="23">
        <v>-10100</v>
      </c>
      <c r="G860" s="24">
        <v>44315</v>
      </c>
      <c r="H860" s="22" t="s">
        <v>1698</v>
      </c>
      <c r="I860" s="22" t="s">
        <v>1386</v>
      </c>
      <c r="J860" s="22"/>
      <c r="K860" s="22"/>
      <c r="L860" s="22"/>
      <c r="M860" s="22"/>
      <c r="N860" s="22"/>
      <c r="O860" s="22"/>
      <c r="P860" s="22"/>
      <c r="Q860" s="22"/>
      <c r="R860" s="22"/>
    </row>
    <row r="861" spans="1:18" x14ac:dyDescent="0.25">
      <c r="A861" s="22" t="s">
        <v>1825</v>
      </c>
      <c r="B861" s="22" t="s">
        <v>201</v>
      </c>
      <c r="C861" s="22" t="s">
        <v>202</v>
      </c>
      <c r="D861" s="22" t="s">
        <v>1824</v>
      </c>
      <c r="E861" s="22" t="s">
        <v>57</v>
      </c>
      <c r="F861" s="23">
        <v>-269300</v>
      </c>
      <c r="G861" s="24">
        <v>44307</v>
      </c>
      <c r="H861" s="22" t="s">
        <v>1698</v>
      </c>
      <c r="I861" s="22" t="s">
        <v>1815</v>
      </c>
      <c r="J861" s="22"/>
      <c r="K861" s="22"/>
      <c r="L861" s="22"/>
      <c r="M861" s="22"/>
      <c r="N861" s="22"/>
      <c r="O861" s="22"/>
      <c r="P861" s="22"/>
      <c r="Q861" s="22"/>
      <c r="R861" s="22"/>
    </row>
    <row r="862" spans="1:18" x14ac:dyDescent="0.25">
      <c r="A862" s="22" t="s">
        <v>1699</v>
      </c>
      <c r="B862" s="22" t="s">
        <v>201</v>
      </c>
      <c r="C862" s="22" t="s">
        <v>202</v>
      </c>
      <c r="D862" s="22" t="s">
        <v>1826</v>
      </c>
      <c r="E862" s="22" t="s">
        <v>57</v>
      </c>
      <c r="F862" s="23">
        <v>-251738</v>
      </c>
      <c r="G862" s="24">
        <v>44301</v>
      </c>
      <c r="H862" s="22" t="s">
        <v>1698</v>
      </c>
      <c r="I862" s="22" t="s">
        <v>1761</v>
      </c>
      <c r="J862" s="22"/>
      <c r="K862" s="22"/>
      <c r="L862" s="22"/>
      <c r="M862" s="22"/>
      <c r="N862" s="22"/>
      <c r="O862" s="22"/>
      <c r="P862" s="22"/>
      <c r="Q862" s="22"/>
      <c r="R862" s="22"/>
    </row>
    <row r="863" spans="1:18" x14ac:dyDescent="0.25">
      <c r="A863" s="22" t="s">
        <v>1828</v>
      </c>
      <c r="B863" s="22" t="s">
        <v>201</v>
      </c>
      <c r="C863" s="22" t="s">
        <v>202</v>
      </c>
      <c r="D863" s="22" t="s">
        <v>1827</v>
      </c>
      <c r="E863" s="22" t="s">
        <v>57</v>
      </c>
      <c r="F863" s="23">
        <v>-151600</v>
      </c>
      <c r="G863" s="24">
        <v>44309</v>
      </c>
      <c r="H863" s="22" t="s">
        <v>1698</v>
      </c>
      <c r="I863" s="22" t="s">
        <v>1713</v>
      </c>
      <c r="J863" s="22"/>
      <c r="K863" s="22"/>
      <c r="L863" s="22"/>
      <c r="M863" s="22"/>
      <c r="N863" s="22"/>
      <c r="O863" s="22"/>
      <c r="P863" s="22"/>
      <c r="Q863" s="22"/>
      <c r="R863" s="22"/>
    </row>
    <row r="864" spans="1:18" x14ac:dyDescent="0.25">
      <c r="A864" s="22" t="s">
        <v>1830</v>
      </c>
      <c r="B864" s="22" t="s">
        <v>201</v>
      </c>
      <c r="C864" s="22" t="s">
        <v>202</v>
      </c>
      <c r="D864" s="22" t="s">
        <v>1829</v>
      </c>
      <c r="E864" s="22" t="s">
        <v>45</v>
      </c>
      <c r="F864" s="23">
        <v>-46534</v>
      </c>
      <c r="G864" s="24">
        <v>44292</v>
      </c>
      <c r="H864" s="22" t="s">
        <v>1698</v>
      </c>
      <c r="I864" s="22" t="s">
        <v>1831</v>
      </c>
      <c r="J864" s="22"/>
      <c r="K864" s="22"/>
      <c r="L864" s="22"/>
      <c r="M864" s="22"/>
      <c r="N864" s="22"/>
      <c r="O864" s="22"/>
      <c r="P864" s="22"/>
      <c r="Q864" s="22"/>
      <c r="R864" s="22"/>
    </row>
    <row r="865" spans="1:18" x14ac:dyDescent="0.25">
      <c r="A865" s="22" t="s">
        <v>1833</v>
      </c>
      <c r="B865" s="22" t="s">
        <v>201</v>
      </c>
      <c r="C865" s="22" t="s">
        <v>202</v>
      </c>
      <c r="D865" s="22" t="s">
        <v>1832</v>
      </c>
      <c r="E865" s="22" t="s">
        <v>57</v>
      </c>
      <c r="F865" s="23">
        <v>-29200</v>
      </c>
      <c r="G865" s="24">
        <v>44298</v>
      </c>
      <c r="H865" s="22" t="s">
        <v>1698</v>
      </c>
      <c r="I865" s="22" t="s">
        <v>1345</v>
      </c>
      <c r="J865" s="22"/>
      <c r="K865" s="22"/>
      <c r="L865" s="22"/>
      <c r="M865" s="22"/>
      <c r="N865" s="22"/>
      <c r="O865" s="22"/>
      <c r="P865" s="22"/>
      <c r="Q865" s="22"/>
      <c r="R865" s="22"/>
    </row>
    <row r="866" spans="1:18" x14ac:dyDescent="0.25">
      <c r="A866" s="22" t="s">
        <v>130</v>
      </c>
      <c r="B866" s="22" t="s">
        <v>201</v>
      </c>
      <c r="C866" s="22" t="s">
        <v>202</v>
      </c>
      <c r="D866" s="22" t="s">
        <v>1757</v>
      </c>
      <c r="E866" s="22" t="s">
        <v>45</v>
      </c>
      <c r="F866" s="23">
        <v>-1573136</v>
      </c>
      <c r="G866" s="24">
        <v>44314</v>
      </c>
      <c r="H866" s="22" t="s">
        <v>1698</v>
      </c>
      <c r="I866" s="22" t="s">
        <v>1834</v>
      </c>
      <c r="J866" s="22"/>
      <c r="K866" s="22"/>
      <c r="L866" s="22"/>
      <c r="M866" s="22"/>
      <c r="N866" s="22"/>
      <c r="O866" s="22"/>
      <c r="P866" s="22"/>
      <c r="Q866" s="22"/>
      <c r="R866" s="22"/>
    </row>
    <row r="867" spans="1:18" x14ac:dyDescent="0.25">
      <c r="A867" s="22" t="s">
        <v>1699</v>
      </c>
      <c r="B867" s="22" t="s">
        <v>201</v>
      </c>
      <c r="C867" s="22" t="s">
        <v>202</v>
      </c>
      <c r="D867" s="22" t="s">
        <v>1698</v>
      </c>
      <c r="E867" s="22" t="s">
        <v>45</v>
      </c>
      <c r="F867" s="23">
        <v>1903334</v>
      </c>
      <c r="G867" s="24">
        <v>44301</v>
      </c>
      <c r="H867" s="22" t="s">
        <v>1698</v>
      </c>
      <c r="I867" s="22"/>
      <c r="J867" s="22"/>
      <c r="K867" s="22"/>
      <c r="L867" s="22"/>
      <c r="M867" s="22"/>
      <c r="N867" s="22"/>
      <c r="O867" s="22"/>
      <c r="P867" s="22"/>
      <c r="Q867" s="22"/>
      <c r="R867" s="22"/>
    </row>
    <row r="868" spans="1:18" x14ac:dyDescent="0.25">
      <c r="A868" s="22" t="s">
        <v>1699</v>
      </c>
      <c r="B868" s="22" t="s">
        <v>201</v>
      </c>
      <c r="C868" s="22" t="s">
        <v>202</v>
      </c>
      <c r="D868" s="22" t="s">
        <v>1698</v>
      </c>
      <c r="E868" s="22" t="s">
        <v>45</v>
      </c>
      <c r="F868" s="23">
        <v>-2249170</v>
      </c>
      <c r="G868" s="24">
        <v>44301</v>
      </c>
      <c r="H868" s="22" t="s">
        <v>1698</v>
      </c>
      <c r="I868" s="22"/>
      <c r="J868" s="22"/>
      <c r="K868" s="22"/>
      <c r="L868" s="22"/>
      <c r="M868" s="22"/>
      <c r="N868" s="22"/>
      <c r="O868" s="22"/>
      <c r="P868" s="22"/>
      <c r="Q868" s="22"/>
      <c r="R868" s="22"/>
    </row>
    <row r="869" spans="1:18" x14ac:dyDescent="0.25">
      <c r="A869" s="22" t="s">
        <v>1699</v>
      </c>
      <c r="B869" s="22" t="s">
        <v>201</v>
      </c>
      <c r="C869" s="22" t="s">
        <v>202</v>
      </c>
      <c r="D869" s="22" t="s">
        <v>1698</v>
      </c>
      <c r="E869" s="22" t="s">
        <v>45</v>
      </c>
      <c r="F869" s="23">
        <v>75734</v>
      </c>
      <c r="G869" s="24">
        <v>44301</v>
      </c>
      <c r="H869" s="22" t="s">
        <v>1698</v>
      </c>
      <c r="I869" s="22"/>
      <c r="J869" s="22"/>
      <c r="K869" s="22"/>
      <c r="L869" s="22"/>
      <c r="M869" s="22"/>
      <c r="N869" s="22"/>
      <c r="O869" s="22"/>
      <c r="P869" s="22"/>
      <c r="Q869" s="22"/>
      <c r="R869" s="22"/>
    </row>
    <row r="870" spans="1:18" x14ac:dyDescent="0.25">
      <c r="A870" s="22" t="s">
        <v>1699</v>
      </c>
      <c r="B870" s="22" t="s">
        <v>201</v>
      </c>
      <c r="C870" s="22" t="s">
        <v>202</v>
      </c>
      <c r="D870" s="22" t="s">
        <v>1698</v>
      </c>
      <c r="E870" s="22" t="s">
        <v>45</v>
      </c>
      <c r="F870" s="23">
        <v>403338</v>
      </c>
      <c r="G870" s="24">
        <v>44301</v>
      </c>
      <c r="H870" s="22" t="s">
        <v>1698</v>
      </c>
      <c r="I870" s="22"/>
      <c r="J870" s="22"/>
      <c r="K870" s="22"/>
      <c r="L870" s="22"/>
      <c r="M870" s="22"/>
      <c r="N870" s="22"/>
      <c r="O870" s="22"/>
      <c r="P870" s="22"/>
      <c r="Q870" s="22"/>
      <c r="R870" s="22"/>
    </row>
    <row r="871" spans="1:18" s="39" customFormat="1" x14ac:dyDescent="0.25">
      <c r="A871" s="36" t="s">
        <v>1836</v>
      </c>
      <c r="B871" s="36" t="s">
        <v>201</v>
      </c>
      <c r="C871" s="36" t="s">
        <v>202</v>
      </c>
      <c r="D871" s="36" t="s">
        <v>1835</v>
      </c>
      <c r="E871" s="36" t="s">
        <v>42</v>
      </c>
      <c r="F871" s="37">
        <v>575148</v>
      </c>
      <c r="G871" s="38">
        <v>44260</v>
      </c>
      <c r="H871" s="36" t="s">
        <v>1757</v>
      </c>
      <c r="I871" s="36" t="s">
        <v>1741</v>
      </c>
      <c r="J871" s="36"/>
      <c r="K871" s="36"/>
      <c r="L871" s="36"/>
      <c r="M871" s="36"/>
      <c r="N871" s="36"/>
      <c r="O871" s="36"/>
      <c r="P871" s="36"/>
      <c r="Q871" s="36"/>
      <c r="R871" s="36"/>
    </row>
    <row r="872" spans="1:18" x14ac:dyDescent="0.25">
      <c r="A872" s="22" t="s">
        <v>130</v>
      </c>
      <c r="B872" s="22" t="s">
        <v>201</v>
      </c>
      <c r="C872" s="22" t="s">
        <v>202</v>
      </c>
      <c r="D872" s="22" t="s">
        <v>132</v>
      </c>
      <c r="E872" s="22" t="s">
        <v>57</v>
      </c>
      <c r="F872" s="23">
        <v>-1986540</v>
      </c>
      <c r="G872" s="24">
        <v>44314</v>
      </c>
      <c r="H872" s="22" t="s">
        <v>1757</v>
      </c>
      <c r="I872" s="22" t="s">
        <v>1837</v>
      </c>
      <c r="J872" s="22"/>
      <c r="K872" s="22"/>
      <c r="L872" s="22"/>
      <c r="M872" s="22"/>
      <c r="N872" s="22"/>
      <c r="O872" s="22"/>
      <c r="P872" s="22"/>
      <c r="Q872" s="22"/>
      <c r="R872" s="22"/>
    </row>
    <row r="873" spans="1:18" x14ac:dyDescent="0.25">
      <c r="A873" s="22" t="s">
        <v>1839</v>
      </c>
      <c r="B873" s="22" t="s">
        <v>201</v>
      </c>
      <c r="C873" s="22" t="s">
        <v>202</v>
      </c>
      <c r="D873" s="22" t="s">
        <v>1838</v>
      </c>
      <c r="E873" s="22" t="s">
        <v>57</v>
      </c>
      <c r="F873" s="23">
        <v>-54657</v>
      </c>
      <c r="G873" s="24">
        <v>44307</v>
      </c>
      <c r="H873" s="22" t="s">
        <v>1757</v>
      </c>
      <c r="I873" s="22" t="s">
        <v>1840</v>
      </c>
      <c r="J873" s="22"/>
      <c r="K873" s="22"/>
      <c r="L873" s="22"/>
      <c r="M873" s="22"/>
      <c r="N873" s="22"/>
      <c r="O873" s="22"/>
      <c r="P873" s="22"/>
      <c r="Q873" s="22"/>
      <c r="R873" s="22"/>
    </row>
    <row r="874" spans="1:18" x14ac:dyDescent="0.25">
      <c r="A874" s="22" t="s">
        <v>1842</v>
      </c>
      <c r="B874" s="22" t="s">
        <v>201</v>
      </c>
      <c r="C874" s="22" t="s">
        <v>202</v>
      </c>
      <c r="D874" s="22" t="s">
        <v>1841</v>
      </c>
      <c r="E874" s="22" t="s">
        <v>45</v>
      </c>
      <c r="F874" s="23">
        <v>-107087</v>
      </c>
      <c r="G874" s="24">
        <v>44308</v>
      </c>
      <c r="H874" s="22" t="s">
        <v>1757</v>
      </c>
      <c r="I874" s="22" t="s">
        <v>1843</v>
      </c>
      <c r="J874" s="22"/>
      <c r="K874" s="22"/>
      <c r="L874" s="22"/>
      <c r="M874" s="22"/>
      <c r="N874" s="22"/>
      <c r="O874" s="22"/>
      <c r="P874" s="22"/>
      <c r="Q874" s="22"/>
      <c r="R874" s="22"/>
    </row>
    <row r="875" spans="1:18" x14ac:dyDescent="0.25">
      <c r="A875" s="22" t="s">
        <v>1845</v>
      </c>
      <c r="B875" s="22" t="s">
        <v>201</v>
      </c>
      <c r="C875" s="22" t="s">
        <v>202</v>
      </c>
      <c r="D875" s="22" t="s">
        <v>1844</v>
      </c>
      <c r="E875" s="22" t="s">
        <v>57</v>
      </c>
      <c r="F875" s="23">
        <v>-143100</v>
      </c>
      <c r="G875" s="24">
        <v>44320</v>
      </c>
      <c r="H875" s="22" t="s">
        <v>1846</v>
      </c>
      <c r="I875" s="22" t="s">
        <v>280</v>
      </c>
      <c r="J875" s="22"/>
      <c r="K875" s="22"/>
      <c r="L875" s="22"/>
      <c r="M875" s="22"/>
      <c r="N875" s="22"/>
      <c r="O875" s="22"/>
      <c r="P875" s="22"/>
      <c r="Q875" s="22"/>
      <c r="R875" s="22"/>
    </row>
    <row r="876" spans="1:18" x14ac:dyDescent="0.25">
      <c r="A876" s="22" t="s">
        <v>1848</v>
      </c>
      <c r="B876" s="22" t="s">
        <v>201</v>
      </c>
      <c r="C876" s="22" t="s">
        <v>202</v>
      </c>
      <c r="D876" s="22" t="s">
        <v>1847</v>
      </c>
      <c r="E876" s="22" t="s">
        <v>57</v>
      </c>
      <c r="F876" s="23">
        <v>-54511</v>
      </c>
      <c r="G876" s="24">
        <v>44347</v>
      </c>
      <c r="H876" s="22" t="s">
        <v>1846</v>
      </c>
      <c r="I876" s="22" t="s">
        <v>1849</v>
      </c>
      <c r="J876" s="22"/>
      <c r="K876" s="22"/>
      <c r="L876" s="22"/>
      <c r="M876" s="22"/>
      <c r="N876" s="22"/>
      <c r="O876" s="22"/>
      <c r="P876" s="22"/>
      <c r="Q876" s="22"/>
      <c r="R876" s="22"/>
    </row>
    <row r="877" spans="1:18" x14ac:dyDescent="0.25">
      <c r="A877" s="22" t="s">
        <v>1851</v>
      </c>
      <c r="B877" s="22" t="s">
        <v>201</v>
      </c>
      <c r="C877" s="22" t="s">
        <v>202</v>
      </c>
      <c r="D877" s="22" t="s">
        <v>1850</v>
      </c>
      <c r="E877" s="22" t="s">
        <v>57</v>
      </c>
      <c r="F877" s="23">
        <v>-260098</v>
      </c>
      <c r="G877" s="24">
        <v>44332</v>
      </c>
      <c r="H877" s="22" t="s">
        <v>1846</v>
      </c>
      <c r="I877" s="22" t="s">
        <v>764</v>
      </c>
      <c r="J877" s="22"/>
      <c r="K877" s="22"/>
      <c r="L877" s="22"/>
      <c r="M877" s="22"/>
      <c r="N877" s="22"/>
      <c r="O877" s="22"/>
      <c r="P877" s="22"/>
      <c r="Q877" s="22"/>
      <c r="R877" s="22"/>
    </row>
    <row r="878" spans="1:18" x14ac:dyDescent="0.25">
      <c r="A878" s="22" t="s">
        <v>1852</v>
      </c>
      <c r="B878" s="22" t="s">
        <v>201</v>
      </c>
      <c r="C878" s="22" t="s">
        <v>202</v>
      </c>
      <c r="D878" s="22" t="s">
        <v>1846</v>
      </c>
      <c r="E878" s="22" t="s">
        <v>45</v>
      </c>
      <c r="F878" s="23">
        <v>314609</v>
      </c>
      <c r="G878" s="24">
        <v>44346</v>
      </c>
      <c r="H878" s="22" t="s">
        <v>1846</v>
      </c>
      <c r="I878" s="22"/>
      <c r="J878" s="22"/>
      <c r="K878" s="22"/>
      <c r="L878" s="22"/>
      <c r="M878" s="22"/>
      <c r="N878" s="22"/>
      <c r="O878" s="22"/>
      <c r="P878" s="22"/>
      <c r="Q878" s="22"/>
      <c r="R878" s="22"/>
    </row>
    <row r="879" spans="1:18" x14ac:dyDescent="0.25">
      <c r="A879" s="22" t="s">
        <v>1852</v>
      </c>
      <c r="B879" s="22" t="s">
        <v>201</v>
      </c>
      <c r="C879" s="22" t="s">
        <v>202</v>
      </c>
      <c r="D879" s="22" t="s">
        <v>1846</v>
      </c>
      <c r="E879" s="22" t="s">
        <v>45</v>
      </c>
      <c r="F879" s="23">
        <v>-879205</v>
      </c>
      <c r="G879" s="24">
        <v>44346</v>
      </c>
      <c r="H879" s="22" t="s">
        <v>1846</v>
      </c>
      <c r="I879" s="22"/>
      <c r="J879" s="22"/>
      <c r="K879" s="22"/>
      <c r="L879" s="22"/>
      <c r="M879" s="22"/>
      <c r="N879" s="22"/>
      <c r="O879" s="22"/>
      <c r="P879" s="22"/>
      <c r="Q879" s="22"/>
      <c r="R879" s="22"/>
    </row>
    <row r="880" spans="1:18" x14ac:dyDescent="0.25">
      <c r="A880" s="22" t="s">
        <v>1852</v>
      </c>
      <c r="B880" s="22" t="s">
        <v>201</v>
      </c>
      <c r="C880" s="22" t="s">
        <v>202</v>
      </c>
      <c r="D880" s="22" t="s">
        <v>1846</v>
      </c>
      <c r="E880" s="22" t="s">
        <v>45</v>
      </c>
      <c r="F880" s="23">
        <v>614700</v>
      </c>
      <c r="G880" s="24">
        <v>44346</v>
      </c>
      <c r="H880" s="22" t="s">
        <v>1846</v>
      </c>
      <c r="I880" s="22"/>
      <c r="J880" s="22"/>
      <c r="K880" s="22"/>
      <c r="L880" s="22"/>
      <c r="M880" s="22"/>
      <c r="N880" s="22"/>
      <c r="O880" s="22"/>
      <c r="P880" s="22"/>
      <c r="Q880" s="22"/>
      <c r="R880" s="22"/>
    </row>
    <row r="881" spans="1:18" s="39" customFormat="1" x14ac:dyDescent="0.25">
      <c r="A881" s="36" t="s">
        <v>1854</v>
      </c>
      <c r="B881" s="36" t="s">
        <v>201</v>
      </c>
      <c r="C881" s="36" t="s">
        <v>202</v>
      </c>
      <c r="D881" s="36" t="s">
        <v>1853</v>
      </c>
      <c r="E881" s="36" t="s">
        <v>42</v>
      </c>
      <c r="F881" s="37">
        <v>1429634</v>
      </c>
      <c r="G881" s="38">
        <v>44260</v>
      </c>
      <c r="H881" s="36" t="s">
        <v>1855</v>
      </c>
      <c r="I881" s="36" t="s">
        <v>1741</v>
      </c>
      <c r="J881" s="36"/>
      <c r="K881" s="36"/>
      <c r="L881" s="36"/>
      <c r="M881" s="36"/>
      <c r="N881" s="36"/>
      <c r="O881" s="36"/>
      <c r="P881" s="36"/>
      <c r="Q881" s="36"/>
      <c r="R881" s="36"/>
    </row>
    <row r="882" spans="1:18" x14ac:dyDescent="0.25">
      <c r="A882" s="22" t="s">
        <v>1857</v>
      </c>
      <c r="B882" s="22" t="s">
        <v>201</v>
      </c>
      <c r="C882" s="22" t="s">
        <v>202</v>
      </c>
      <c r="D882" s="22" t="s">
        <v>1856</v>
      </c>
      <c r="E882" s="22" t="s">
        <v>57</v>
      </c>
      <c r="F882" s="23">
        <v>-1754912</v>
      </c>
      <c r="G882" s="24">
        <v>44323</v>
      </c>
      <c r="H882" s="22" t="s">
        <v>1855</v>
      </c>
      <c r="I882" s="22" t="s">
        <v>1805</v>
      </c>
      <c r="J882" s="22"/>
      <c r="K882" s="22"/>
      <c r="L882" s="22"/>
      <c r="M882" s="22"/>
      <c r="N882" s="22"/>
      <c r="O882" s="22"/>
      <c r="P882" s="22"/>
      <c r="Q882" s="22"/>
      <c r="R882" s="22"/>
    </row>
    <row r="883" spans="1:18" x14ac:dyDescent="0.25">
      <c r="A883" s="22" t="s">
        <v>1859</v>
      </c>
      <c r="B883" s="22" t="s">
        <v>201</v>
      </c>
      <c r="C883" s="22" t="s">
        <v>202</v>
      </c>
      <c r="D883" s="22" t="s">
        <v>1858</v>
      </c>
      <c r="E883" s="22" t="s">
        <v>45</v>
      </c>
      <c r="F883" s="23">
        <v>-45587</v>
      </c>
      <c r="G883" s="24">
        <v>44327</v>
      </c>
      <c r="H883" s="22" t="s">
        <v>1855</v>
      </c>
      <c r="I883" s="22" t="s">
        <v>1860</v>
      </c>
      <c r="J883" s="22"/>
      <c r="K883" s="22"/>
      <c r="L883" s="22"/>
      <c r="M883" s="22"/>
      <c r="N883" s="22"/>
      <c r="O883" s="22"/>
      <c r="P883" s="22"/>
      <c r="Q883" s="22"/>
      <c r="R883" s="22"/>
    </row>
    <row r="884" spans="1:18" x14ac:dyDescent="0.25">
      <c r="A884" s="22" t="s">
        <v>1862</v>
      </c>
      <c r="B884" s="22" t="s">
        <v>201</v>
      </c>
      <c r="C884" s="22" t="s">
        <v>202</v>
      </c>
      <c r="D884" s="22" t="s">
        <v>1861</v>
      </c>
      <c r="E884" s="22" t="s">
        <v>57</v>
      </c>
      <c r="F884" s="23">
        <v>-22600</v>
      </c>
      <c r="G884" s="24">
        <v>44347</v>
      </c>
      <c r="H884" s="22" t="s">
        <v>1855</v>
      </c>
      <c r="I884" s="22" t="s">
        <v>764</v>
      </c>
      <c r="J884" s="22"/>
      <c r="K884" s="22"/>
      <c r="L884" s="22"/>
      <c r="M884" s="22"/>
      <c r="N884" s="22"/>
      <c r="O884" s="22"/>
      <c r="P884" s="22"/>
      <c r="Q884" s="22"/>
      <c r="R884" s="22"/>
    </row>
    <row r="885" spans="1:18" x14ac:dyDescent="0.25">
      <c r="A885" s="22" t="s">
        <v>1864</v>
      </c>
      <c r="B885" s="22" t="s">
        <v>201</v>
      </c>
      <c r="C885" s="22" t="s">
        <v>202</v>
      </c>
      <c r="D885" s="22" t="s">
        <v>1863</v>
      </c>
      <c r="E885" s="22" t="s">
        <v>57</v>
      </c>
      <c r="F885" s="23">
        <v>-71600</v>
      </c>
      <c r="G885" s="24">
        <v>44344</v>
      </c>
      <c r="H885" s="22" t="s">
        <v>1855</v>
      </c>
      <c r="I885" s="22" t="s">
        <v>740</v>
      </c>
      <c r="J885" s="22"/>
      <c r="K885" s="22"/>
      <c r="L885" s="22"/>
      <c r="M885" s="22"/>
      <c r="N885" s="22"/>
      <c r="O885" s="22"/>
      <c r="P885" s="22"/>
      <c r="Q885" s="22"/>
      <c r="R885" s="22"/>
    </row>
    <row r="886" spans="1:18" x14ac:dyDescent="0.25">
      <c r="A886" s="22" t="s">
        <v>1866</v>
      </c>
      <c r="B886" s="22" t="s">
        <v>201</v>
      </c>
      <c r="C886" s="22" t="s">
        <v>202</v>
      </c>
      <c r="D886" s="22" t="s">
        <v>1865</v>
      </c>
      <c r="E886" s="22" t="s">
        <v>57</v>
      </c>
      <c r="F886" s="23">
        <v>-23700</v>
      </c>
      <c r="G886" s="24">
        <v>44341</v>
      </c>
      <c r="H886" s="22" t="s">
        <v>1855</v>
      </c>
      <c r="I886" s="22" t="s">
        <v>764</v>
      </c>
      <c r="J886" s="22"/>
      <c r="K886" s="22"/>
      <c r="L886" s="22"/>
      <c r="M886" s="22"/>
      <c r="N886" s="22"/>
      <c r="O886" s="22"/>
      <c r="P886" s="22"/>
      <c r="Q886" s="22"/>
      <c r="R886" s="22"/>
    </row>
    <row r="887" spans="1:18" x14ac:dyDescent="0.25">
      <c r="A887" s="22" t="s">
        <v>1868</v>
      </c>
      <c r="B887" s="22" t="s">
        <v>201</v>
      </c>
      <c r="C887" s="22" t="s">
        <v>202</v>
      </c>
      <c r="D887" s="22" t="s">
        <v>1867</v>
      </c>
      <c r="E887" s="22" t="s">
        <v>57</v>
      </c>
      <c r="F887" s="23">
        <v>-47200</v>
      </c>
      <c r="G887" s="24">
        <v>44335</v>
      </c>
      <c r="H887" s="22" t="s">
        <v>1855</v>
      </c>
      <c r="I887" s="22" t="s">
        <v>764</v>
      </c>
      <c r="J887" s="22"/>
      <c r="K887" s="22"/>
      <c r="L887" s="22"/>
      <c r="M887" s="22"/>
      <c r="N887" s="22"/>
      <c r="O887" s="22"/>
      <c r="P887" s="22"/>
      <c r="Q887" s="22"/>
      <c r="R887" s="22"/>
    </row>
    <row r="888" spans="1:18" x14ac:dyDescent="0.25">
      <c r="A888" s="22" t="s">
        <v>1870</v>
      </c>
      <c r="B888" s="22" t="s">
        <v>201</v>
      </c>
      <c r="C888" s="22" t="s">
        <v>202</v>
      </c>
      <c r="D888" s="22" t="s">
        <v>1869</v>
      </c>
      <c r="E888" s="22" t="s">
        <v>57</v>
      </c>
      <c r="F888" s="23">
        <v>-22300</v>
      </c>
      <c r="G888" s="24">
        <v>44335</v>
      </c>
      <c r="H888" s="22" t="s">
        <v>1855</v>
      </c>
      <c r="I888" s="22" t="s">
        <v>1871</v>
      </c>
      <c r="J888" s="22"/>
      <c r="K888" s="22"/>
      <c r="L888" s="22"/>
      <c r="M888" s="22"/>
      <c r="N888" s="22"/>
      <c r="O888" s="22"/>
      <c r="P888" s="22"/>
      <c r="Q888" s="22"/>
      <c r="R888" s="22"/>
    </row>
    <row r="889" spans="1:18" x14ac:dyDescent="0.25">
      <c r="A889" s="22" t="s">
        <v>1873</v>
      </c>
      <c r="B889" s="22" t="s">
        <v>201</v>
      </c>
      <c r="C889" s="22" t="s">
        <v>202</v>
      </c>
      <c r="D889" s="22" t="s">
        <v>1872</v>
      </c>
      <c r="E889" s="22" t="s">
        <v>57</v>
      </c>
      <c r="F889" s="23">
        <v>-32700</v>
      </c>
      <c r="G889" s="24">
        <v>44335</v>
      </c>
      <c r="H889" s="22" t="s">
        <v>1855</v>
      </c>
      <c r="I889" s="22" t="s">
        <v>1871</v>
      </c>
      <c r="J889" s="22"/>
      <c r="K889" s="22"/>
      <c r="L889" s="22"/>
      <c r="M889" s="22"/>
      <c r="N889" s="22"/>
      <c r="O889" s="22"/>
      <c r="P889" s="22"/>
      <c r="Q889" s="22"/>
      <c r="R889" s="22"/>
    </row>
    <row r="890" spans="1:18" x14ac:dyDescent="0.25">
      <c r="A890" s="22" t="s">
        <v>1875</v>
      </c>
      <c r="B890" s="22" t="s">
        <v>201</v>
      </c>
      <c r="C890" s="22" t="s">
        <v>202</v>
      </c>
      <c r="D890" s="22" t="s">
        <v>1874</v>
      </c>
      <c r="E890" s="22" t="s">
        <v>57</v>
      </c>
      <c r="F890" s="23">
        <v>-40300</v>
      </c>
      <c r="G890" s="24">
        <v>44334</v>
      </c>
      <c r="H890" s="22" t="s">
        <v>1855</v>
      </c>
      <c r="I890" s="22" t="s">
        <v>1876</v>
      </c>
      <c r="J890" s="22"/>
      <c r="K890" s="22"/>
      <c r="L890" s="22"/>
      <c r="M890" s="22"/>
      <c r="N890" s="22"/>
      <c r="O890" s="22"/>
      <c r="P890" s="22"/>
      <c r="Q890" s="22"/>
      <c r="R890" s="22"/>
    </row>
    <row r="891" spans="1:18" x14ac:dyDescent="0.25">
      <c r="A891" s="22" t="s">
        <v>1878</v>
      </c>
      <c r="B891" s="22" t="s">
        <v>201</v>
      </c>
      <c r="C891" s="22" t="s">
        <v>202</v>
      </c>
      <c r="D891" s="22" t="s">
        <v>1877</v>
      </c>
      <c r="E891" s="22" t="s">
        <v>57</v>
      </c>
      <c r="F891" s="23">
        <v>-32700</v>
      </c>
      <c r="G891" s="24">
        <v>44328</v>
      </c>
      <c r="H891" s="22" t="s">
        <v>1855</v>
      </c>
      <c r="I891" s="22" t="s">
        <v>989</v>
      </c>
      <c r="J891" s="22"/>
      <c r="K891" s="22"/>
      <c r="L891" s="22"/>
      <c r="M891" s="22"/>
      <c r="N891" s="22"/>
      <c r="O891" s="22"/>
      <c r="P891" s="22"/>
      <c r="Q891" s="22"/>
      <c r="R891" s="22"/>
    </row>
    <row r="892" spans="1:18" x14ac:dyDescent="0.25">
      <c r="A892" s="22" t="s">
        <v>1880</v>
      </c>
      <c r="B892" s="22" t="s">
        <v>201</v>
      </c>
      <c r="C892" s="22" t="s">
        <v>202</v>
      </c>
      <c r="D892" s="22" t="s">
        <v>1879</v>
      </c>
      <c r="E892" s="22" t="s">
        <v>57</v>
      </c>
      <c r="F892" s="23">
        <v>-71600</v>
      </c>
      <c r="G892" s="24">
        <v>44326</v>
      </c>
      <c r="H892" s="22" t="s">
        <v>1855</v>
      </c>
      <c r="I892" s="22" t="s">
        <v>764</v>
      </c>
      <c r="J892" s="22"/>
      <c r="K892" s="22"/>
      <c r="L892" s="22"/>
      <c r="M892" s="22"/>
      <c r="N892" s="22"/>
      <c r="O892" s="22"/>
      <c r="P892" s="22"/>
      <c r="Q892" s="22"/>
      <c r="R892" s="22"/>
    </row>
    <row r="893" spans="1:18" x14ac:dyDescent="0.25">
      <c r="A893" s="22" t="s">
        <v>1857</v>
      </c>
      <c r="B893" s="22" t="s">
        <v>201</v>
      </c>
      <c r="C893" s="22" t="s">
        <v>202</v>
      </c>
      <c r="D893" s="22" t="s">
        <v>1855</v>
      </c>
      <c r="E893" s="22" t="s">
        <v>45</v>
      </c>
      <c r="F893" s="23">
        <v>2165199</v>
      </c>
      <c r="G893" s="24">
        <v>44323</v>
      </c>
      <c r="H893" s="22" t="s">
        <v>1855</v>
      </c>
      <c r="I893" s="22"/>
      <c r="J893" s="22"/>
      <c r="K893" s="22"/>
      <c r="L893" s="22"/>
      <c r="M893" s="22"/>
      <c r="N893" s="22"/>
      <c r="O893" s="22"/>
      <c r="P893" s="22"/>
      <c r="Q893" s="22"/>
      <c r="R893" s="22"/>
    </row>
    <row r="894" spans="1:18" x14ac:dyDescent="0.25">
      <c r="A894" s="22" t="s">
        <v>1857</v>
      </c>
      <c r="B894" s="22" t="s">
        <v>201</v>
      </c>
      <c r="C894" s="22" t="s">
        <v>202</v>
      </c>
      <c r="D894" s="22" t="s">
        <v>1855</v>
      </c>
      <c r="E894" s="22" t="s">
        <v>45</v>
      </c>
      <c r="F894" s="23">
        <v>-1429634</v>
      </c>
      <c r="G894" s="24">
        <v>44323</v>
      </c>
      <c r="H894" s="22" t="s">
        <v>1855</v>
      </c>
      <c r="I894" s="22"/>
      <c r="J894" s="22"/>
      <c r="K894" s="22"/>
      <c r="L894" s="22"/>
      <c r="M894" s="22"/>
      <c r="N894" s="22"/>
      <c r="O894" s="22"/>
      <c r="P894" s="22"/>
      <c r="Q894" s="22"/>
      <c r="R894" s="22"/>
    </row>
    <row r="895" spans="1:18" x14ac:dyDescent="0.25">
      <c r="A895" s="22" t="s">
        <v>1882</v>
      </c>
      <c r="B895" s="22" t="s">
        <v>201</v>
      </c>
      <c r="C895" s="22" t="s">
        <v>202</v>
      </c>
      <c r="D895" s="22" t="s">
        <v>1881</v>
      </c>
      <c r="E895" s="22" t="s">
        <v>588</v>
      </c>
      <c r="F895" s="23">
        <v>-108220</v>
      </c>
      <c r="G895" s="24">
        <v>44273</v>
      </c>
      <c r="H895" s="22" t="s">
        <v>1858</v>
      </c>
      <c r="I895" s="22" t="s">
        <v>1883</v>
      </c>
      <c r="J895" s="22"/>
      <c r="K895" s="22"/>
      <c r="L895" s="22"/>
      <c r="M895" s="22"/>
      <c r="N895" s="22"/>
      <c r="O895" s="22"/>
      <c r="P895" s="22"/>
      <c r="Q895" s="22"/>
      <c r="R895" s="22"/>
    </row>
    <row r="896" spans="1:18" s="39" customFormat="1" x14ac:dyDescent="0.25">
      <c r="A896" s="36" t="s">
        <v>1885</v>
      </c>
      <c r="B896" s="36" t="s">
        <v>201</v>
      </c>
      <c r="C896" s="36" t="s">
        <v>202</v>
      </c>
      <c r="D896" s="36" t="s">
        <v>1884</v>
      </c>
      <c r="E896" s="36" t="s">
        <v>42</v>
      </c>
      <c r="F896" s="37">
        <v>175233</v>
      </c>
      <c r="G896" s="38">
        <v>44232</v>
      </c>
      <c r="H896" s="36" t="s">
        <v>1858</v>
      </c>
      <c r="I896" s="36" t="s">
        <v>1886</v>
      </c>
      <c r="J896" s="36"/>
      <c r="K896" s="36"/>
      <c r="L896" s="36"/>
      <c r="M896" s="36"/>
      <c r="N896" s="36"/>
      <c r="O896" s="36"/>
      <c r="P896" s="36"/>
      <c r="Q896" s="36"/>
      <c r="R896" s="36"/>
    </row>
    <row r="897" spans="1:18" x14ac:dyDescent="0.25">
      <c r="A897" s="22" t="s">
        <v>1859</v>
      </c>
      <c r="B897" s="22" t="s">
        <v>201</v>
      </c>
      <c r="C897" s="22" t="s">
        <v>202</v>
      </c>
      <c r="D897" s="22" t="s">
        <v>1887</v>
      </c>
      <c r="E897" s="22" t="s">
        <v>57</v>
      </c>
      <c r="F897" s="23">
        <v>-47200</v>
      </c>
      <c r="G897" s="24">
        <v>44327</v>
      </c>
      <c r="H897" s="22" t="s">
        <v>1858</v>
      </c>
      <c r="I897" s="22" t="s">
        <v>919</v>
      </c>
      <c r="J897" s="22"/>
      <c r="K897" s="22"/>
      <c r="L897" s="22"/>
      <c r="M897" s="22"/>
      <c r="N897" s="22"/>
      <c r="O897" s="22"/>
      <c r="P897" s="22"/>
      <c r="Q897" s="22"/>
      <c r="R897" s="22"/>
    </row>
    <row r="898" spans="1:18" x14ac:dyDescent="0.25">
      <c r="A898" s="22" t="s">
        <v>1889</v>
      </c>
      <c r="B898" s="22" t="s">
        <v>201</v>
      </c>
      <c r="C898" s="22" t="s">
        <v>202</v>
      </c>
      <c r="D898" s="22" t="s">
        <v>1888</v>
      </c>
      <c r="E898" s="22" t="s">
        <v>57</v>
      </c>
      <c r="F898" s="23">
        <v>-32700</v>
      </c>
      <c r="G898" s="24">
        <v>44326</v>
      </c>
      <c r="H898" s="22" t="s">
        <v>1858</v>
      </c>
      <c r="I898" s="22" t="s">
        <v>919</v>
      </c>
      <c r="J898" s="22"/>
      <c r="K898" s="22"/>
      <c r="L898" s="22"/>
      <c r="M898" s="22"/>
      <c r="N898" s="22"/>
      <c r="O898" s="22"/>
      <c r="P898" s="22"/>
      <c r="Q898" s="22"/>
      <c r="R898" s="22"/>
    </row>
    <row r="899" spans="1:18" x14ac:dyDescent="0.25">
      <c r="A899" s="22" t="s">
        <v>1891</v>
      </c>
      <c r="B899" s="22" t="s">
        <v>201</v>
      </c>
      <c r="C899" s="22" t="s">
        <v>202</v>
      </c>
      <c r="D899" s="22" t="s">
        <v>1890</v>
      </c>
      <c r="E899" s="22" t="s">
        <v>57</v>
      </c>
      <c r="F899" s="23">
        <v>-53700</v>
      </c>
      <c r="G899" s="24">
        <v>44404</v>
      </c>
      <c r="H899" s="22" t="s">
        <v>1892</v>
      </c>
      <c r="I899" s="22" t="s">
        <v>280</v>
      </c>
      <c r="J899" s="22"/>
      <c r="K899" s="22"/>
      <c r="L899" s="22"/>
      <c r="M899" s="22"/>
      <c r="N899" s="22"/>
      <c r="O899" s="22"/>
      <c r="P899" s="22"/>
      <c r="Q899" s="22"/>
      <c r="R899" s="22"/>
    </row>
    <row r="900" spans="1:18" x14ac:dyDescent="0.25">
      <c r="A900" s="22" t="s">
        <v>1894</v>
      </c>
      <c r="B900" s="22" t="s">
        <v>201</v>
      </c>
      <c r="C900" s="22" t="s">
        <v>202</v>
      </c>
      <c r="D900" s="22" t="s">
        <v>1893</v>
      </c>
      <c r="E900" s="22" t="s">
        <v>57</v>
      </c>
      <c r="F900" s="23">
        <v>-101533</v>
      </c>
      <c r="G900" s="24">
        <v>44394</v>
      </c>
      <c r="H900" s="22" t="s">
        <v>1892</v>
      </c>
      <c r="I900" s="22" t="s">
        <v>1895</v>
      </c>
      <c r="J900" s="22"/>
      <c r="K900" s="22"/>
      <c r="L900" s="22"/>
      <c r="M900" s="22"/>
      <c r="N900" s="22"/>
      <c r="O900" s="22"/>
      <c r="P900" s="22"/>
      <c r="Q900" s="22"/>
      <c r="R900" s="22"/>
    </row>
    <row r="901" spans="1:18" x14ac:dyDescent="0.25">
      <c r="A901" s="22" t="s">
        <v>165</v>
      </c>
      <c r="B901" s="22" t="s">
        <v>201</v>
      </c>
      <c r="C901" s="22" t="s">
        <v>202</v>
      </c>
      <c r="D901" s="22" t="s">
        <v>1896</v>
      </c>
      <c r="E901" s="22" t="s">
        <v>45</v>
      </c>
      <c r="F901" s="23">
        <v>-644346</v>
      </c>
      <c r="G901" s="24">
        <v>44383</v>
      </c>
      <c r="H901" s="22" t="s">
        <v>1892</v>
      </c>
      <c r="I901" s="22" t="s">
        <v>1897</v>
      </c>
      <c r="J901" s="22"/>
      <c r="K901" s="22"/>
      <c r="L901" s="22"/>
      <c r="M901" s="22"/>
      <c r="N901" s="22"/>
      <c r="O901" s="22"/>
      <c r="P901" s="22"/>
      <c r="Q901" s="22"/>
      <c r="R901" s="22"/>
    </row>
    <row r="902" spans="1:18" x14ac:dyDescent="0.25">
      <c r="A902" s="22" t="s">
        <v>1894</v>
      </c>
      <c r="B902" s="22" t="s">
        <v>201</v>
      </c>
      <c r="C902" s="22" t="s">
        <v>202</v>
      </c>
      <c r="D902" s="22" t="s">
        <v>1892</v>
      </c>
      <c r="E902" s="22" t="s">
        <v>45</v>
      </c>
      <c r="F902" s="23">
        <v>644346</v>
      </c>
      <c r="G902" s="24">
        <v>44394</v>
      </c>
      <c r="H902" s="22" t="s">
        <v>1892</v>
      </c>
      <c r="I902" s="22"/>
      <c r="J902" s="22"/>
      <c r="K902" s="22"/>
      <c r="L902" s="22"/>
      <c r="M902" s="22"/>
      <c r="N902" s="22"/>
      <c r="O902" s="22"/>
      <c r="P902" s="22"/>
      <c r="Q902" s="22"/>
      <c r="R902" s="22"/>
    </row>
    <row r="903" spans="1:18" x14ac:dyDescent="0.25">
      <c r="A903" s="22" t="s">
        <v>1894</v>
      </c>
      <c r="B903" s="22" t="s">
        <v>201</v>
      </c>
      <c r="C903" s="22" t="s">
        <v>202</v>
      </c>
      <c r="D903" s="22" t="s">
        <v>1892</v>
      </c>
      <c r="E903" s="22" t="s">
        <v>45</v>
      </c>
      <c r="F903" s="23">
        <v>-1217170</v>
      </c>
      <c r="G903" s="24">
        <v>44394</v>
      </c>
      <c r="H903" s="22" t="s">
        <v>1892</v>
      </c>
      <c r="I903" s="22"/>
      <c r="J903" s="22"/>
      <c r="K903" s="22"/>
      <c r="L903" s="22"/>
      <c r="M903" s="22"/>
      <c r="N903" s="22"/>
      <c r="O903" s="22"/>
      <c r="P903" s="22"/>
      <c r="Q903" s="22"/>
      <c r="R903" s="22"/>
    </row>
    <row r="904" spans="1:18" x14ac:dyDescent="0.25">
      <c r="A904" s="22" t="s">
        <v>1894</v>
      </c>
      <c r="B904" s="22" t="s">
        <v>201</v>
      </c>
      <c r="C904" s="22" t="s">
        <v>202</v>
      </c>
      <c r="D904" s="22" t="s">
        <v>1892</v>
      </c>
      <c r="E904" s="22" t="s">
        <v>45</v>
      </c>
      <c r="F904" s="23">
        <v>617561</v>
      </c>
      <c r="G904" s="24">
        <v>44394</v>
      </c>
      <c r="H904" s="22" t="s">
        <v>1892</v>
      </c>
      <c r="I904" s="22"/>
      <c r="J904" s="22"/>
      <c r="K904" s="22"/>
      <c r="L904" s="22"/>
      <c r="M904" s="22"/>
      <c r="N904" s="22"/>
      <c r="O904" s="22"/>
      <c r="P904" s="22"/>
      <c r="Q904" s="22"/>
      <c r="R904" s="22"/>
    </row>
    <row r="905" spans="1:18" x14ac:dyDescent="0.25">
      <c r="A905" s="22" t="s">
        <v>1899</v>
      </c>
      <c r="B905" s="22" t="s">
        <v>201</v>
      </c>
      <c r="C905" s="22" t="s">
        <v>202</v>
      </c>
      <c r="D905" s="22" t="s">
        <v>1898</v>
      </c>
      <c r="E905" s="22" t="s">
        <v>588</v>
      </c>
      <c r="F905" s="23">
        <v>-111500</v>
      </c>
      <c r="G905" s="24">
        <v>44375</v>
      </c>
      <c r="H905" s="22" t="s">
        <v>1896</v>
      </c>
      <c r="I905" s="22" t="s">
        <v>1900</v>
      </c>
      <c r="J905" s="22"/>
      <c r="K905" s="22"/>
      <c r="L905" s="22"/>
      <c r="M905" s="22"/>
      <c r="N905" s="22"/>
      <c r="O905" s="22"/>
      <c r="P905" s="22"/>
      <c r="Q905" s="22"/>
      <c r="R905" s="22"/>
    </row>
    <row r="906" spans="1:18" x14ac:dyDescent="0.25">
      <c r="A906" s="22" t="s">
        <v>1902</v>
      </c>
      <c r="B906" s="22" t="s">
        <v>201</v>
      </c>
      <c r="C906" s="22" t="s">
        <v>202</v>
      </c>
      <c r="D906" s="22" t="s">
        <v>1901</v>
      </c>
      <c r="E906" s="22" t="s">
        <v>45</v>
      </c>
      <c r="F906" s="23">
        <v>-104334</v>
      </c>
      <c r="G906" s="24">
        <v>44273</v>
      </c>
      <c r="H906" s="22" t="s">
        <v>1896</v>
      </c>
      <c r="I906" s="22" t="s">
        <v>1903</v>
      </c>
      <c r="J906" s="22"/>
      <c r="K906" s="22"/>
      <c r="L906" s="22"/>
      <c r="M906" s="22"/>
      <c r="N906" s="22"/>
      <c r="O906" s="22"/>
      <c r="P906" s="22"/>
      <c r="Q906" s="22"/>
      <c r="R906" s="22"/>
    </row>
    <row r="907" spans="1:18" s="39" customFormat="1" x14ac:dyDescent="0.25">
      <c r="A907" s="36" t="s">
        <v>1905</v>
      </c>
      <c r="B907" s="36" t="s">
        <v>201</v>
      </c>
      <c r="C907" s="36" t="s">
        <v>202</v>
      </c>
      <c r="D907" s="36" t="s">
        <v>1904</v>
      </c>
      <c r="E907" s="36" t="s">
        <v>42</v>
      </c>
      <c r="F907" s="37">
        <v>11123515</v>
      </c>
      <c r="G907" s="38">
        <v>44295</v>
      </c>
      <c r="H907" s="36" t="s">
        <v>1896</v>
      </c>
      <c r="I907" s="36" t="s">
        <v>1812</v>
      </c>
      <c r="J907" s="36"/>
      <c r="K907" s="36"/>
      <c r="L907" s="36"/>
      <c r="M907" s="36"/>
      <c r="N907" s="36"/>
      <c r="O907" s="36"/>
      <c r="P907" s="36"/>
      <c r="Q907" s="36"/>
      <c r="R907" s="36"/>
    </row>
    <row r="908" spans="1:18" x14ac:dyDescent="0.25">
      <c r="A908" s="22" t="s">
        <v>1907</v>
      </c>
      <c r="B908" s="22" t="s">
        <v>201</v>
      </c>
      <c r="C908" s="22" t="s">
        <v>202</v>
      </c>
      <c r="D908" s="22" t="s">
        <v>1906</v>
      </c>
      <c r="E908" s="22" t="s">
        <v>45</v>
      </c>
      <c r="F908" s="23">
        <v>-347324</v>
      </c>
      <c r="G908" s="24">
        <v>43872</v>
      </c>
      <c r="H908" s="22" t="s">
        <v>1896</v>
      </c>
      <c r="I908" s="22" t="s">
        <v>1908</v>
      </c>
      <c r="J908" s="22"/>
      <c r="K908" s="22"/>
      <c r="L908" s="22"/>
      <c r="M908" s="22"/>
      <c r="N908" s="22"/>
      <c r="O908" s="22"/>
      <c r="P908" s="22"/>
      <c r="Q908" s="22"/>
      <c r="R908" s="22"/>
    </row>
    <row r="909" spans="1:18" x14ac:dyDescent="0.25">
      <c r="A909" s="22" t="s">
        <v>165</v>
      </c>
      <c r="B909" s="22" t="s">
        <v>201</v>
      </c>
      <c r="C909" s="22" t="s">
        <v>202</v>
      </c>
      <c r="D909" s="22" t="s">
        <v>167</v>
      </c>
      <c r="E909" s="22" t="s">
        <v>57</v>
      </c>
      <c r="F909" s="23">
        <v>-5117420</v>
      </c>
      <c r="G909" s="24">
        <v>44383</v>
      </c>
      <c r="H909" s="22" t="s">
        <v>1896</v>
      </c>
      <c r="I909" s="22" t="s">
        <v>1909</v>
      </c>
      <c r="J909" s="22"/>
      <c r="K909" s="22"/>
      <c r="L909" s="22"/>
      <c r="M909" s="22"/>
      <c r="N909" s="22"/>
      <c r="O909" s="22"/>
      <c r="P909" s="22"/>
      <c r="Q909" s="22"/>
      <c r="R909" s="22"/>
    </row>
    <row r="910" spans="1:18" x14ac:dyDescent="0.25">
      <c r="A910" s="22" t="s">
        <v>1911</v>
      </c>
      <c r="B910" s="22" t="s">
        <v>201</v>
      </c>
      <c r="C910" s="22" t="s">
        <v>202</v>
      </c>
      <c r="D910" s="22" t="s">
        <v>1910</v>
      </c>
      <c r="E910" s="22" t="s">
        <v>57</v>
      </c>
      <c r="F910" s="23">
        <v>-1302400</v>
      </c>
      <c r="G910" s="24">
        <v>44378</v>
      </c>
      <c r="H910" s="22" t="s">
        <v>1896</v>
      </c>
      <c r="I910" s="22" t="s">
        <v>1876</v>
      </c>
      <c r="J910" s="22"/>
      <c r="K910" s="22"/>
      <c r="L910" s="22"/>
      <c r="M910" s="22"/>
      <c r="N910" s="22"/>
      <c r="O910" s="22"/>
      <c r="P910" s="22"/>
      <c r="Q910" s="22"/>
      <c r="R910" s="22"/>
    </row>
    <row r="911" spans="1:18" x14ac:dyDescent="0.25">
      <c r="A911" s="22" t="s">
        <v>1913</v>
      </c>
      <c r="B911" s="22" t="s">
        <v>201</v>
      </c>
      <c r="C911" s="22" t="s">
        <v>202</v>
      </c>
      <c r="D911" s="22" t="s">
        <v>1912</v>
      </c>
      <c r="E911" s="22" t="s">
        <v>57</v>
      </c>
      <c r="F911" s="23">
        <v>-624500</v>
      </c>
      <c r="G911" s="24">
        <v>44364</v>
      </c>
      <c r="H911" s="22" t="s">
        <v>1896</v>
      </c>
      <c r="I911" s="22" t="s">
        <v>799</v>
      </c>
      <c r="J911" s="22"/>
      <c r="K911" s="22"/>
      <c r="L911" s="22"/>
      <c r="M911" s="22"/>
      <c r="N911" s="22"/>
      <c r="O911" s="22"/>
      <c r="P911" s="22"/>
      <c r="Q911" s="22"/>
      <c r="R911" s="22"/>
    </row>
    <row r="912" spans="1:18" x14ac:dyDescent="0.25">
      <c r="A912" s="22" t="s">
        <v>1915</v>
      </c>
      <c r="B912" s="22" t="s">
        <v>201</v>
      </c>
      <c r="C912" s="22" t="s">
        <v>202</v>
      </c>
      <c r="D912" s="22" t="s">
        <v>1914</v>
      </c>
      <c r="E912" s="22" t="s">
        <v>57</v>
      </c>
      <c r="F912" s="23">
        <v>-70404</v>
      </c>
      <c r="G912" s="24">
        <v>44374</v>
      </c>
      <c r="H912" s="22" t="s">
        <v>1896</v>
      </c>
      <c r="I912" s="22" t="s">
        <v>1916</v>
      </c>
      <c r="J912" s="22"/>
      <c r="K912" s="22"/>
      <c r="L912" s="22"/>
      <c r="M912" s="22"/>
      <c r="N912" s="22"/>
      <c r="O912" s="22"/>
      <c r="P912" s="22"/>
      <c r="Q912" s="22"/>
      <c r="R912" s="22"/>
    </row>
    <row r="913" spans="1:18" x14ac:dyDescent="0.25">
      <c r="A913" s="22" t="s">
        <v>1852</v>
      </c>
      <c r="B913" s="22" t="s">
        <v>201</v>
      </c>
      <c r="C913" s="22" t="s">
        <v>202</v>
      </c>
      <c r="D913" s="22" t="s">
        <v>1846</v>
      </c>
      <c r="E913" s="22" t="s">
        <v>45</v>
      </c>
      <c r="F913" s="23">
        <v>-50104</v>
      </c>
      <c r="G913" s="24">
        <v>44346</v>
      </c>
      <c r="H913" s="22" t="s">
        <v>1896</v>
      </c>
      <c r="I913" s="22" t="s">
        <v>1917</v>
      </c>
      <c r="J913" s="22"/>
      <c r="K913" s="22"/>
      <c r="L913" s="22"/>
      <c r="M913" s="22"/>
      <c r="N913" s="22"/>
      <c r="O913" s="22"/>
      <c r="P913" s="22"/>
      <c r="Q913" s="22"/>
      <c r="R913" s="22"/>
    </row>
    <row r="914" spans="1:18" x14ac:dyDescent="0.25">
      <c r="A914" s="22" t="s">
        <v>146</v>
      </c>
      <c r="B914" s="22" t="s">
        <v>201</v>
      </c>
      <c r="C914" s="22" t="s">
        <v>202</v>
      </c>
      <c r="D914" s="22" t="s">
        <v>148</v>
      </c>
      <c r="E914" s="22" t="s">
        <v>57</v>
      </c>
      <c r="F914" s="23">
        <v>-3304310</v>
      </c>
      <c r="G914" s="24">
        <v>44326</v>
      </c>
      <c r="H914" s="22" t="s">
        <v>1896</v>
      </c>
      <c r="I914" s="22" t="s">
        <v>1918</v>
      </c>
      <c r="J914" s="22"/>
      <c r="K914" s="22"/>
      <c r="L914" s="22"/>
      <c r="M914" s="22"/>
      <c r="N914" s="22"/>
      <c r="O914" s="22"/>
      <c r="P914" s="22"/>
      <c r="Q914" s="22"/>
      <c r="R914" s="22"/>
    </row>
    <row r="915" spans="1:18" x14ac:dyDescent="0.25">
      <c r="A915" s="22" t="s">
        <v>1857</v>
      </c>
      <c r="B915" s="22" t="s">
        <v>201</v>
      </c>
      <c r="C915" s="22" t="s">
        <v>202</v>
      </c>
      <c r="D915" s="22" t="s">
        <v>1855</v>
      </c>
      <c r="E915" s="22" t="s">
        <v>45</v>
      </c>
      <c r="F915" s="23">
        <v>-735565</v>
      </c>
      <c r="G915" s="24">
        <v>44323</v>
      </c>
      <c r="H915" s="22" t="s">
        <v>1896</v>
      </c>
      <c r="I915" s="22" t="s">
        <v>1919</v>
      </c>
      <c r="J915" s="22"/>
      <c r="K915" s="22"/>
      <c r="L915" s="22"/>
      <c r="M915" s="22"/>
      <c r="N915" s="22"/>
      <c r="O915" s="22"/>
      <c r="P915" s="22"/>
      <c r="Q915" s="22"/>
      <c r="R915" s="22"/>
    </row>
    <row r="916" spans="1:18" x14ac:dyDescent="0.25">
      <c r="A916" s="22" t="s">
        <v>165</v>
      </c>
      <c r="B916" s="22" t="s">
        <v>201</v>
      </c>
      <c r="C916" s="22" t="s">
        <v>202</v>
      </c>
      <c r="D916" s="22" t="s">
        <v>1896</v>
      </c>
      <c r="E916" s="22" t="s">
        <v>45</v>
      </c>
      <c r="F916" s="23">
        <v>7502709</v>
      </c>
      <c r="G916" s="24">
        <v>44383</v>
      </c>
      <c r="H916" s="22" t="s">
        <v>1896</v>
      </c>
      <c r="I916" s="22"/>
      <c r="J916" s="22"/>
      <c r="K916" s="22"/>
      <c r="L916" s="22"/>
      <c r="M916" s="22"/>
      <c r="N916" s="22"/>
      <c r="O916" s="22"/>
      <c r="P916" s="22"/>
      <c r="Q916" s="22"/>
      <c r="R916" s="22"/>
    </row>
    <row r="917" spans="1:18" x14ac:dyDescent="0.25">
      <c r="A917" s="22" t="s">
        <v>165</v>
      </c>
      <c r="B917" s="22" t="s">
        <v>201</v>
      </c>
      <c r="C917" s="22" t="s">
        <v>202</v>
      </c>
      <c r="D917" s="22" t="s">
        <v>1896</v>
      </c>
      <c r="E917" s="22" t="s">
        <v>45</v>
      </c>
      <c r="F917" s="23">
        <v>-10907681</v>
      </c>
      <c r="G917" s="24">
        <v>44383</v>
      </c>
      <c r="H917" s="22" t="s">
        <v>1896</v>
      </c>
      <c r="I917" s="22"/>
      <c r="J917" s="22"/>
      <c r="K917" s="22"/>
      <c r="L917" s="22"/>
      <c r="M917" s="22"/>
      <c r="N917" s="22"/>
      <c r="O917" s="22"/>
      <c r="P917" s="22"/>
      <c r="Q917" s="22"/>
      <c r="R917" s="22"/>
    </row>
    <row r="918" spans="1:18" x14ac:dyDescent="0.25">
      <c r="A918" s="22" t="s">
        <v>165</v>
      </c>
      <c r="B918" s="22" t="s">
        <v>201</v>
      </c>
      <c r="C918" s="22" t="s">
        <v>202</v>
      </c>
      <c r="D918" s="22" t="s">
        <v>1896</v>
      </c>
      <c r="E918" s="22" t="s">
        <v>45</v>
      </c>
      <c r="F918" s="23">
        <v>4049318</v>
      </c>
      <c r="G918" s="24">
        <v>44383</v>
      </c>
      <c r="H918" s="22" t="s">
        <v>1896</v>
      </c>
      <c r="I918" s="22"/>
      <c r="J918" s="22"/>
      <c r="K918" s="22"/>
      <c r="L918" s="22"/>
      <c r="M918" s="22"/>
      <c r="N918" s="22"/>
      <c r="O918" s="22"/>
      <c r="P918" s="22"/>
      <c r="Q918" s="22"/>
      <c r="R918" s="22"/>
    </row>
    <row r="919" spans="1:18" s="39" customFormat="1" x14ac:dyDescent="0.25">
      <c r="A919" s="36" t="s">
        <v>1921</v>
      </c>
      <c r="B919" s="36" t="s">
        <v>201</v>
      </c>
      <c r="C919" s="36" t="s">
        <v>202</v>
      </c>
      <c r="D919" s="36" t="s">
        <v>1920</v>
      </c>
      <c r="E919" s="36" t="s">
        <v>42</v>
      </c>
      <c r="F919" s="37">
        <v>879205</v>
      </c>
      <c r="G919" s="38">
        <v>44260</v>
      </c>
      <c r="H919" s="36" t="s">
        <v>1846</v>
      </c>
      <c r="I919" s="36" t="s">
        <v>1741</v>
      </c>
      <c r="J919" s="36"/>
      <c r="K919" s="36"/>
      <c r="L919" s="36"/>
      <c r="M919" s="36"/>
      <c r="N919" s="36"/>
      <c r="O919" s="36"/>
      <c r="P919" s="36"/>
      <c r="Q919" s="36"/>
      <c r="R919" s="36"/>
    </row>
    <row r="920" spans="1:18" x14ac:dyDescent="0.25">
      <c r="A920" s="22" t="s">
        <v>1852</v>
      </c>
      <c r="B920" s="22" t="s">
        <v>201</v>
      </c>
      <c r="C920" s="22" t="s">
        <v>202</v>
      </c>
      <c r="D920" s="22" t="s">
        <v>1922</v>
      </c>
      <c r="E920" s="22" t="s">
        <v>57</v>
      </c>
      <c r="F920" s="23">
        <v>-391100</v>
      </c>
      <c r="G920" s="24">
        <v>44346</v>
      </c>
      <c r="H920" s="22" t="s">
        <v>1846</v>
      </c>
      <c r="I920" s="22" t="s">
        <v>836</v>
      </c>
      <c r="J920" s="22"/>
      <c r="K920" s="22"/>
      <c r="L920" s="22"/>
      <c r="M920" s="22"/>
      <c r="N920" s="22"/>
      <c r="O920" s="22"/>
      <c r="P920" s="22"/>
      <c r="Q920" s="22"/>
      <c r="R920" s="22"/>
    </row>
    <row r="921" spans="1:18" x14ac:dyDescent="0.25">
      <c r="A921" s="22" t="s">
        <v>1924</v>
      </c>
      <c r="B921" s="22" t="s">
        <v>201</v>
      </c>
      <c r="C921" s="22" t="s">
        <v>202</v>
      </c>
      <c r="D921" s="22" t="s">
        <v>1923</v>
      </c>
      <c r="E921" s="22" t="s">
        <v>57</v>
      </c>
      <c r="F921" s="23">
        <v>-43700</v>
      </c>
      <c r="G921" s="24">
        <v>44321</v>
      </c>
      <c r="H921" s="22" t="s">
        <v>1846</v>
      </c>
      <c r="I921" s="22" t="s">
        <v>280</v>
      </c>
      <c r="J921" s="22"/>
      <c r="K921" s="22"/>
      <c r="L921" s="22"/>
      <c r="M921" s="22"/>
      <c r="N921" s="22"/>
      <c r="O921" s="22"/>
      <c r="P921" s="22"/>
      <c r="Q921" s="22"/>
      <c r="R921" s="22"/>
    </row>
    <row r="922" spans="1:18" x14ac:dyDescent="0.25">
      <c r="A922" s="22" t="s">
        <v>1926</v>
      </c>
      <c r="B922" s="22" t="s">
        <v>201</v>
      </c>
      <c r="C922" s="22" t="s">
        <v>202</v>
      </c>
      <c r="D922" s="22" t="s">
        <v>1925</v>
      </c>
      <c r="E922" s="22" t="s">
        <v>57</v>
      </c>
      <c r="F922" s="23">
        <v>-36800</v>
      </c>
      <c r="G922" s="24">
        <v>44320</v>
      </c>
      <c r="H922" s="22" t="s">
        <v>1846</v>
      </c>
      <c r="I922" s="22" t="s">
        <v>836</v>
      </c>
      <c r="J922" s="22"/>
      <c r="K922" s="22"/>
      <c r="L922" s="22"/>
      <c r="M922" s="22"/>
      <c r="N922" s="22"/>
      <c r="O922" s="22"/>
      <c r="P922" s="22"/>
      <c r="Q922" s="22"/>
      <c r="R922" s="22"/>
    </row>
    <row r="923" spans="1:18" x14ac:dyDescent="0.25">
      <c r="A923" s="22" t="s">
        <v>1928</v>
      </c>
      <c r="B923" s="22" t="s">
        <v>201</v>
      </c>
      <c r="C923" s="22" t="s">
        <v>202</v>
      </c>
      <c r="D923" s="22" t="s">
        <v>1927</v>
      </c>
      <c r="E923" s="22" t="s">
        <v>57</v>
      </c>
      <c r="F923" s="23">
        <v>-32700</v>
      </c>
      <c r="G923" s="24">
        <v>44322</v>
      </c>
      <c r="H923" s="22" t="s">
        <v>1858</v>
      </c>
      <c r="I923" s="22" t="s">
        <v>740</v>
      </c>
      <c r="J923" s="22"/>
      <c r="K923" s="22"/>
      <c r="L923" s="22"/>
      <c r="M923" s="22"/>
      <c r="N923" s="22"/>
      <c r="O923" s="22"/>
      <c r="P923" s="22"/>
      <c r="Q923" s="22"/>
      <c r="R923" s="22"/>
    </row>
    <row r="924" spans="1:18" x14ac:dyDescent="0.25">
      <c r="A924" s="22" t="s">
        <v>169</v>
      </c>
      <c r="B924" s="22" t="s">
        <v>201</v>
      </c>
      <c r="C924" s="22" t="s">
        <v>202</v>
      </c>
      <c r="D924" s="22" t="s">
        <v>1929</v>
      </c>
      <c r="E924" s="22" t="s">
        <v>45</v>
      </c>
      <c r="F924" s="23">
        <v>2697219</v>
      </c>
      <c r="G924" s="24">
        <v>44382</v>
      </c>
      <c r="H924" s="22" t="s">
        <v>1929</v>
      </c>
      <c r="I924" s="22"/>
      <c r="J924" s="22"/>
      <c r="K924" s="22"/>
      <c r="L924" s="22"/>
      <c r="M924" s="22"/>
      <c r="N924" s="22"/>
      <c r="O924" s="22"/>
      <c r="P924" s="22"/>
      <c r="Q924" s="22"/>
      <c r="R924" s="22"/>
    </row>
    <row r="925" spans="1:18" x14ac:dyDescent="0.25">
      <c r="A925" s="22" t="s">
        <v>169</v>
      </c>
      <c r="B925" s="22" t="s">
        <v>201</v>
      </c>
      <c r="C925" s="22" t="s">
        <v>202</v>
      </c>
      <c r="D925" s="22" t="s">
        <v>1929</v>
      </c>
      <c r="E925" s="22" t="s">
        <v>45</v>
      </c>
      <c r="F925" s="23">
        <v>4676</v>
      </c>
      <c r="G925" s="24">
        <v>44382</v>
      </c>
      <c r="H925" s="22" t="s">
        <v>1929</v>
      </c>
      <c r="I925" s="22"/>
      <c r="J925" s="22"/>
      <c r="K925" s="22"/>
      <c r="L925" s="22"/>
      <c r="M925" s="22"/>
      <c r="N925" s="22"/>
      <c r="O925" s="22"/>
      <c r="P925" s="22"/>
      <c r="Q925" s="22"/>
      <c r="R925" s="22"/>
    </row>
    <row r="926" spans="1:18" x14ac:dyDescent="0.25">
      <c r="A926" s="22" t="s">
        <v>169</v>
      </c>
      <c r="B926" s="22" t="s">
        <v>201</v>
      </c>
      <c r="C926" s="22" t="s">
        <v>202</v>
      </c>
      <c r="D926" s="22" t="s">
        <v>1929</v>
      </c>
      <c r="E926" s="22" t="s">
        <v>45</v>
      </c>
      <c r="F926" s="23">
        <v>29200</v>
      </c>
      <c r="G926" s="24">
        <v>44382</v>
      </c>
      <c r="H926" s="22" t="s">
        <v>1929</v>
      </c>
      <c r="I926" s="22"/>
      <c r="J926" s="22"/>
      <c r="K926" s="22"/>
      <c r="L926" s="22"/>
      <c r="M926" s="22"/>
      <c r="N926" s="22"/>
      <c r="O926" s="22"/>
      <c r="P926" s="22"/>
      <c r="Q926" s="22"/>
      <c r="R926" s="22"/>
    </row>
    <row r="927" spans="1:18" s="39" customFormat="1" x14ac:dyDescent="0.25">
      <c r="A927" s="36" t="s">
        <v>1931</v>
      </c>
      <c r="B927" s="36" t="s">
        <v>201</v>
      </c>
      <c r="C927" s="36" t="s">
        <v>202</v>
      </c>
      <c r="D927" s="36" t="s">
        <v>1930</v>
      </c>
      <c r="E927" s="36" t="s">
        <v>42</v>
      </c>
      <c r="F927" s="37">
        <v>848404</v>
      </c>
      <c r="G927" s="38">
        <v>44446</v>
      </c>
      <c r="H927" s="36" t="s">
        <v>1932</v>
      </c>
      <c r="I927" s="36" t="s">
        <v>605</v>
      </c>
      <c r="J927" s="36"/>
      <c r="K927" s="36"/>
      <c r="L927" s="36"/>
      <c r="M927" s="36"/>
      <c r="N927" s="36"/>
      <c r="O927" s="36"/>
      <c r="P927" s="36"/>
      <c r="Q927" s="36"/>
      <c r="R927" s="36"/>
    </row>
    <row r="928" spans="1:18" x14ac:dyDescent="0.25">
      <c r="A928" s="22" t="s">
        <v>1715</v>
      </c>
      <c r="B928" s="22" t="s">
        <v>201</v>
      </c>
      <c r="C928" s="22" t="s">
        <v>202</v>
      </c>
      <c r="D928" s="22" t="s">
        <v>1933</v>
      </c>
      <c r="E928" s="22" t="s">
        <v>45</v>
      </c>
      <c r="F928" s="23">
        <v>-232334</v>
      </c>
      <c r="G928" s="24">
        <v>44379</v>
      </c>
      <c r="H928" s="22" t="s">
        <v>1932</v>
      </c>
      <c r="I928" s="22" t="s">
        <v>1934</v>
      </c>
      <c r="J928" s="22"/>
      <c r="K928" s="22"/>
      <c r="L928" s="22"/>
      <c r="M928" s="22"/>
      <c r="N928" s="22"/>
      <c r="O928" s="22"/>
      <c r="P928" s="22"/>
      <c r="Q928" s="22"/>
      <c r="R928" s="22"/>
    </row>
    <row r="929" spans="1:18" x14ac:dyDescent="0.25">
      <c r="A929" s="22" t="s">
        <v>157</v>
      </c>
      <c r="B929" s="22" t="s">
        <v>201</v>
      </c>
      <c r="C929" s="22" t="s">
        <v>202</v>
      </c>
      <c r="D929" s="22" t="s">
        <v>1935</v>
      </c>
      <c r="E929" s="22" t="s">
        <v>45</v>
      </c>
      <c r="F929" s="23">
        <v>-704914</v>
      </c>
      <c r="G929" s="24">
        <v>44382</v>
      </c>
      <c r="H929" s="22" t="s">
        <v>1932</v>
      </c>
      <c r="I929" s="22" t="s">
        <v>1936</v>
      </c>
      <c r="J929" s="22"/>
      <c r="K929" s="22"/>
      <c r="L929" s="22"/>
      <c r="M929" s="22"/>
      <c r="N929" s="22"/>
      <c r="O929" s="22"/>
      <c r="P929" s="22"/>
      <c r="Q929" s="22"/>
      <c r="R929" s="22"/>
    </row>
    <row r="930" spans="1:18" x14ac:dyDescent="0.25">
      <c r="A930" s="22" t="s">
        <v>1715</v>
      </c>
      <c r="B930" s="22" t="s">
        <v>201</v>
      </c>
      <c r="C930" s="22" t="s">
        <v>202</v>
      </c>
      <c r="D930" s="22" t="s">
        <v>1932</v>
      </c>
      <c r="E930" s="22" t="s">
        <v>45</v>
      </c>
      <c r="F930" s="23">
        <v>88844</v>
      </c>
      <c r="G930" s="24">
        <v>44379</v>
      </c>
      <c r="H930" s="22" t="s">
        <v>1932</v>
      </c>
      <c r="I930" s="22"/>
      <c r="J930" s="22"/>
      <c r="K930" s="22"/>
      <c r="L930" s="22"/>
      <c r="M930" s="22"/>
      <c r="N930" s="22"/>
      <c r="O930" s="22"/>
      <c r="P930" s="22"/>
      <c r="Q930" s="22"/>
      <c r="R930" s="22"/>
    </row>
    <row r="931" spans="1:18" s="39" customFormat="1" x14ac:dyDescent="0.25">
      <c r="A931" s="36" t="s">
        <v>1938</v>
      </c>
      <c r="B931" s="36" t="s">
        <v>201</v>
      </c>
      <c r="C931" s="36" t="s">
        <v>202</v>
      </c>
      <c r="D931" s="36" t="s">
        <v>1937</v>
      </c>
      <c r="E931" s="36" t="s">
        <v>42</v>
      </c>
      <c r="F931" s="37">
        <v>4168936</v>
      </c>
      <c r="G931" s="38">
        <v>44414</v>
      </c>
      <c r="H931" s="36" t="s">
        <v>1933</v>
      </c>
      <c r="I931" s="36" t="s">
        <v>1671</v>
      </c>
      <c r="J931" s="36"/>
      <c r="K931" s="36"/>
      <c r="L931" s="36"/>
      <c r="M931" s="36"/>
      <c r="N931" s="36"/>
      <c r="O931" s="36"/>
      <c r="P931" s="36"/>
      <c r="Q931" s="36"/>
      <c r="R931" s="36"/>
    </row>
    <row r="932" spans="1:18" x14ac:dyDescent="0.25">
      <c r="A932" s="22" t="s">
        <v>1715</v>
      </c>
      <c r="B932" s="22" t="s">
        <v>201</v>
      </c>
      <c r="C932" s="22" t="s">
        <v>202</v>
      </c>
      <c r="D932" s="22" t="s">
        <v>1716</v>
      </c>
      <c r="E932" s="22" t="s">
        <v>45</v>
      </c>
      <c r="F932" s="23">
        <v>-4401270</v>
      </c>
      <c r="G932" s="24">
        <v>44379</v>
      </c>
      <c r="H932" s="22" t="s">
        <v>1933</v>
      </c>
      <c r="I932" s="22" t="s">
        <v>1939</v>
      </c>
      <c r="J932" s="22"/>
      <c r="K932" s="22"/>
      <c r="L932" s="22"/>
      <c r="M932" s="22"/>
      <c r="N932" s="22"/>
      <c r="O932" s="22"/>
      <c r="P932" s="22"/>
      <c r="Q932" s="22"/>
      <c r="R932" s="22"/>
    </row>
    <row r="933" spans="1:18" x14ac:dyDescent="0.25">
      <c r="A933" s="22" t="s">
        <v>1715</v>
      </c>
      <c r="B933" s="22" t="s">
        <v>201</v>
      </c>
      <c r="C933" s="22" t="s">
        <v>202</v>
      </c>
      <c r="D933" s="22" t="s">
        <v>1933</v>
      </c>
      <c r="E933" s="22" t="s">
        <v>45</v>
      </c>
      <c r="F933" s="23">
        <v>232334</v>
      </c>
      <c r="G933" s="24">
        <v>44379</v>
      </c>
      <c r="H933" s="22" t="s">
        <v>1933</v>
      </c>
      <c r="I933" s="22"/>
      <c r="J933" s="22"/>
      <c r="K933" s="22"/>
      <c r="L933" s="22"/>
      <c r="M933" s="22"/>
      <c r="N933" s="22"/>
      <c r="O933" s="22"/>
      <c r="P933" s="22"/>
      <c r="Q933" s="22"/>
      <c r="R933" s="22"/>
    </row>
    <row r="934" spans="1:18" s="39" customFormat="1" x14ac:dyDescent="0.25">
      <c r="A934" s="36" t="s">
        <v>1941</v>
      </c>
      <c r="B934" s="36" t="s">
        <v>201</v>
      </c>
      <c r="C934" s="36" t="s">
        <v>202</v>
      </c>
      <c r="D934" s="36" t="s">
        <v>1940</v>
      </c>
      <c r="E934" s="36" t="s">
        <v>42</v>
      </c>
      <c r="F934" s="37">
        <v>551050</v>
      </c>
      <c r="G934" s="38">
        <v>44446</v>
      </c>
      <c r="H934" s="36" t="s">
        <v>1935</v>
      </c>
      <c r="I934" s="36" t="s">
        <v>605</v>
      </c>
      <c r="J934" s="36"/>
      <c r="K934" s="36"/>
      <c r="L934" s="36"/>
      <c r="M934" s="36"/>
      <c r="N934" s="36"/>
      <c r="O934" s="36"/>
      <c r="P934" s="36"/>
      <c r="Q934" s="36"/>
      <c r="R934" s="36"/>
    </row>
    <row r="935" spans="1:18" x14ac:dyDescent="0.25">
      <c r="A935" s="22" t="s">
        <v>157</v>
      </c>
      <c r="B935" s="22" t="s">
        <v>201</v>
      </c>
      <c r="C935" s="22" t="s">
        <v>202</v>
      </c>
      <c r="D935" s="22" t="s">
        <v>1724</v>
      </c>
      <c r="E935" s="22" t="s">
        <v>45</v>
      </c>
      <c r="F935" s="23">
        <v>-1255964</v>
      </c>
      <c r="G935" s="24">
        <v>44382</v>
      </c>
      <c r="H935" s="22" t="s">
        <v>1935</v>
      </c>
      <c r="I935" s="22" t="s">
        <v>1942</v>
      </c>
      <c r="J935" s="22"/>
      <c r="K935" s="22"/>
      <c r="L935" s="22"/>
      <c r="M935" s="22"/>
      <c r="N935" s="22"/>
      <c r="O935" s="22"/>
      <c r="P935" s="22"/>
      <c r="Q935" s="22"/>
      <c r="R935" s="22"/>
    </row>
    <row r="936" spans="1:18" x14ac:dyDescent="0.25">
      <c r="A936" s="22" t="s">
        <v>157</v>
      </c>
      <c r="B936" s="22" t="s">
        <v>201</v>
      </c>
      <c r="C936" s="22" t="s">
        <v>202</v>
      </c>
      <c r="D936" s="22" t="s">
        <v>1935</v>
      </c>
      <c r="E936" s="22" t="s">
        <v>45</v>
      </c>
      <c r="F936" s="23">
        <v>704914</v>
      </c>
      <c r="G936" s="24">
        <v>44382</v>
      </c>
      <c r="H936" s="22" t="s">
        <v>1935</v>
      </c>
      <c r="I936" s="22"/>
      <c r="J936" s="22"/>
      <c r="K936" s="22"/>
      <c r="L936" s="22"/>
      <c r="M936" s="22"/>
      <c r="N936" s="22"/>
      <c r="O936" s="22"/>
      <c r="P936" s="22"/>
      <c r="Q936" s="22"/>
      <c r="R936" s="22"/>
    </row>
    <row r="937" spans="1:18" s="39" customFormat="1" x14ac:dyDescent="0.25">
      <c r="A937" s="36" t="s">
        <v>1944</v>
      </c>
      <c r="B937" s="36" t="s">
        <v>201</v>
      </c>
      <c r="C937" s="36" t="s">
        <v>202</v>
      </c>
      <c r="D937" s="36" t="s">
        <v>1943</v>
      </c>
      <c r="E937" s="36" t="s">
        <v>42</v>
      </c>
      <c r="F937" s="37">
        <v>1000916</v>
      </c>
      <c r="G937" s="38">
        <v>44385</v>
      </c>
      <c r="H937" s="36" t="s">
        <v>1945</v>
      </c>
      <c r="I937" s="36" t="s">
        <v>1671</v>
      </c>
      <c r="J937" s="36"/>
      <c r="K937" s="36"/>
      <c r="L937" s="36"/>
      <c r="M937" s="36"/>
      <c r="N937" s="36"/>
      <c r="O937" s="36"/>
      <c r="P937" s="36"/>
      <c r="Q937" s="36"/>
      <c r="R937" s="36"/>
    </row>
    <row r="938" spans="1:18" x14ac:dyDescent="0.25">
      <c r="A938" s="22" t="s">
        <v>138</v>
      </c>
      <c r="B938" s="22" t="s">
        <v>201</v>
      </c>
      <c r="C938" s="22" t="s">
        <v>202</v>
      </c>
      <c r="D938" s="22" t="s">
        <v>140</v>
      </c>
      <c r="E938" s="22" t="s">
        <v>57</v>
      </c>
      <c r="F938" s="23">
        <v>-742200</v>
      </c>
      <c r="G938" s="24">
        <v>44344</v>
      </c>
      <c r="H938" s="22" t="s">
        <v>1945</v>
      </c>
      <c r="I938" s="22" t="s">
        <v>637</v>
      </c>
      <c r="J938" s="22"/>
      <c r="K938" s="22"/>
      <c r="L938" s="22"/>
      <c r="M938" s="22"/>
      <c r="N938" s="22"/>
      <c r="O938" s="22"/>
      <c r="P938" s="22"/>
      <c r="Q938" s="22"/>
      <c r="R938" s="22"/>
    </row>
    <row r="939" spans="1:18" x14ac:dyDescent="0.25">
      <c r="A939" s="22" t="s">
        <v>1947</v>
      </c>
      <c r="B939" s="22" t="s">
        <v>201</v>
      </c>
      <c r="C939" s="22" t="s">
        <v>202</v>
      </c>
      <c r="D939" s="22" t="s">
        <v>1946</v>
      </c>
      <c r="E939" s="22" t="s">
        <v>57</v>
      </c>
      <c r="F939" s="23">
        <v>-10100</v>
      </c>
      <c r="G939" s="24">
        <v>44344</v>
      </c>
      <c r="H939" s="22" t="s">
        <v>1945</v>
      </c>
      <c r="I939" s="22" t="s">
        <v>637</v>
      </c>
      <c r="J939" s="22"/>
      <c r="K939" s="22"/>
      <c r="L939" s="22"/>
      <c r="M939" s="22"/>
      <c r="N939" s="22"/>
      <c r="O939" s="22"/>
      <c r="P939" s="22"/>
      <c r="Q939" s="22"/>
      <c r="R939" s="22"/>
    </row>
    <row r="940" spans="1:18" x14ac:dyDescent="0.25">
      <c r="A940" s="22" t="s">
        <v>1949</v>
      </c>
      <c r="B940" s="22" t="s">
        <v>201</v>
      </c>
      <c r="C940" s="22" t="s">
        <v>202</v>
      </c>
      <c r="D940" s="22" t="s">
        <v>1948</v>
      </c>
      <c r="E940" s="22" t="s">
        <v>57</v>
      </c>
      <c r="F940" s="23">
        <v>-115000</v>
      </c>
      <c r="G940" s="24">
        <v>44343</v>
      </c>
      <c r="H940" s="22" t="s">
        <v>1945</v>
      </c>
      <c r="I940" s="22" t="s">
        <v>890</v>
      </c>
      <c r="J940" s="22"/>
      <c r="K940" s="22"/>
      <c r="L940" s="22"/>
      <c r="M940" s="22"/>
      <c r="N940" s="22"/>
      <c r="O940" s="22"/>
      <c r="P940" s="22"/>
      <c r="Q940" s="22"/>
      <c r="R940" s="22"/>
    </row>
    <row r="941" spans="1:18" x14ac:dyDescent="0.25">
      <c r="A941" s="22" t="s">
        <v>1951</v>
      </c>
      <c r="B941" s="22" t="s">
        <v>201</v>
      </c>
      <c r="C941" s="22" t="s">
        <v>202</v>
      </c>
      <c r="D941" s="22" t="s">
        <v>1950</v>
      </c>
      <c r="E941" s="22" t="s">
        <v>57</v>
      </c>
      <c r="F941" s="23">
        <v>-146600</v>
      </c>
      <c r="G941" s="24">
        <v>44343</v>
      </c>
      <c r="H941" s="22" t="s">
        <v>1945</v>
      </c>
      <c r="I941" s="22" t="s">
        <v>637</v>
      </c>
      <c r="J941" s="22"/>
      <c r="K941" s="22"/>
      <c r="L941" s="22"/>
      <c r="M941" s="22"/>
      <c r="N941" s="22"/>
      <c r="O941" s="22"/>
      <c r="P941" s="22"/>
      <c r="Q941" s="22"/>
      <c r="R941" s="22"/>
    </row>
    <row r="942" spans="1:18" x14ac:dyDescent="0.25">
      <c r="A942" s="22" t="s">
        <v>1951</v>
      </c>
      <c r="B942" s="22" t="s">
        <v>201</v>
      </c>
      <c r="C942" s="22" t="s">
        <v>202</v>
      </c>
      <c r="D942" s="22" t="s">
        <v>1945</v>
      </c>
      <c r="E942" s="22" t="s">
        <v>45</v>
      </c>
      <c r="F942" s="23">
        <v>1013900</v>
      </c>
      <c r="G942" s="24">
        <v>44343</v>
      </c>
      <c r="H942" s="22" t="s">
        <v>1945</v>
      </c>
      <c r="I942" s="22"/>
      <c r="J942" s="22"/>
      <c r="K942" s="22"/>
      <c r="L942" s="22"/>
      <c r="M942" s="22"/>
      <c r="N942" s="22"/>
      <c r="O942" s="22"/>
      <c r="P942" s="22"/>
      <c r="Q942" s="22"/>
      <c r="R942" s="22"/>
    </row>
    <row r="943" spans="1:18" x14ac:dyDescent="0.25">
      <c r="A943" s="22" t="s">
        <v>1951</v>
      </c>
      <c r="B943" s="22" t="s">
        <v>201</v>
      </c>
      <c r="C943" s="22" t="s">
        <v>202</v>
      </c>
      <c r="D943" s="22" t="s">
        <v>1945</v>
      </c>
      <c r="E943" s="22" t="s">
        <v>45</v>
      </c>
      <c r="F943" s="23">
        <v>-1000916</v>
      </c>
      <c r="G943" s="24">
        <v>44343</v>
      </c>
      <c r="H943" s="22" t="s">
        <v>1945</v>
      </c>
      <c r="I943" s="22"/>
      <c r="J943" s="22"/>
      <c r="K943" s="22"/>
      <c r="L943" s="22"/>
      <c r="M943" s="22"/>
      <c r="N943" s="22"/>
      <c r="O943" s="22"/>
      <c r="P943" s="22"/>
      <c r="Q943" s="22"/>
      <c r="R943" s="22"/>
    </row>
    <row r="944" spans="1:18" s="39" customFormat="1" x14ac:dyDescent="0.25">
      <c r="A944" s="36" t="s">
        <v>1953</v>
      </c>
      <c r="B944" s="36" t="s">
        <v>201</v>
      </c>
      <c r="C944" s="36" t="s">
        <v>202</v>
      </c>
      <c r="D944" s="36" t="s">
        <v>1952</v>
      </c>
      <c r="E944" s="36" t="s">
        <v>42</v>
      </c>
      <c r="F944" s="37">
        <v>3068854</v>
      </c>
      <c r="G944" s="38">
        <v>44414</v>
      </c>
      <c r="H944" s="36" t="s">
        <v>1954</v>
      </c>
      <c r="I944" s="36" t="s">
        <v>1671</v>
      </c>
      <c r="J944" s="36"/>
      <c r="K944" s="36"/>
      <c r="L944" s="36"/>
      <c r="M944" s="36"/>
      <c r="N944" s="36"/>
      <c r="O944" s="36"/>
      <c r="P944" s="36"/>
      <c r="Q944" s="36"/>
      <c r="R944" s="36"/>
    </row>
    <row r="945" spans="1:18" x14ac:dyDescent="0.25">
      <c r="A945" s="22" t="s">
        <v>1956</v>
      </c>
      <c r="B945" s="22" t="s">
        <v>201</v>
      </c>
      <c r="C945" s="22" t="s">
        <v>202</v>
      </c>
      <c r="D945" s="22" t="s">
        <v>1955</v>
      </c>
      <c r="E945" s="22" t="s">
        <v>57</v>
      </c>
      <c r="F945" s="23">
        <v>-6137707</v>
      </c>
      <c r="G945" s="24">
        <v>44382</v>
      </c>
      <c r="H945" s="22" t="s">
        <v>1954</v>
      </c>
      <c r="I945" s="22" t="s">
        <v>1957</v>
      </c>
      <c r="J945" s="22"/>
      <c r="K945" s="22"/>
      <c r="L945" s="22"/>
      <c r="M945" s="22"/>
      <c r="N945" s="22"/>
      <c r="O945" s="22"/>
      <c r="P945" s="22"/>
      <c r="Q945" s="22"/>
      <c r="R945" s="22"/>
    </row>
    <row r="946" spans="1:18" x14ac:dyDescent="0.25">
      <c r="A946" s="22" t="s">
        <v>1956</v>
      </c>
      <c r="B946" s="22" t="s">
        <v>201</v>
      </c>
      <c r="C946" s="22" t="s">
        <v>202</v>
      </c>
      <c r="D946" s="22" t="s">
        <v>1954</v>
      </c>
      <c r="E946" s="22" t="s">
        <v>45</v>
      </c>
      <c r="F946" s="23">
        <v>3068853</v>
      </c>
      <c r="G946" s="24">
        <v>44382</v>
      </c>
      <c r="H946" s="22" t="s">
        <v>1954</v>
      </c>
      <c r="I946" s="22"/>
      <c r="J946" s="22"/>
      <c r="K946" s="22"/>
      <c r="L946" s="22"/>
      <c r="M946" s="22"/>
      <c r="N946" s="22"/>
      <c r="O946" s="22"/>
      <c r="P946" s="22"/>
      <c r="Q946" s="22"/>
      <c r="R946" s="22"/>
    </row>
    <row r="947" spans="1:18" s="39" customFormat="1" x14ac:dyDescent="0.25">
      <c r="A947" s="36" t="s">
        <v>1959</v>
      </c>
      <c r="B947" s="36" t="s">
        <v>201</v>
      </c>
      <c r="C947" s="36" t="s">
        <v>202</v>
      </c>
      <c r="D947" s="36" t="s">
        <v>1958</v>
      </c>
      <c r="E947" s="36" t="s">
        <v>42</v>
      </c>
      <c r="F947" s="37">
        <v>4936000</v>
      </c>
      <c r="G947" s="38">
        <v>44414</v>
      </c>
      <c r="H947" s="36" t="s">
        <v>1716</v>
      </c>
      <c r="I947" s="36" t="s">
        <v>1671</v>
      </c>
      <c r="J947" s="36"/>
      <c r="K947" s="36"/>
      <c r="L947" s="36"/>
      <c r="M947" s="36"/>
      <c r="N947" s="36"/>
      <c r="O947" s="36"/>
      <c r="P947" s="36"/>
      <c r="Q947" s="36"/>
      <c r="R947" s="36"/>
    </row>
    <row r="948" spans="1:18" x14ac:dyDescent="0.25">
      <c r="A948" s="22" t="s">
        <v>1859</v>
      </c>
      <c r="B948" s="22" t="s">
        <v>201</v>
      </c>
      <c r="C948" s="22" t="s">
        <v>202</v>
      </c>
      <c r="D948" s="22" t="s">
        <v>1858</v>
      </c>
      <c r="E948" s="22" t="s">
        <v>45</v>
      </c>
      <c r="F948" s="23">
        <v>112600</v>
      </c>
      <c r="G948" s="24">
        <v>44327</v>
      </c>
      <c r="H948" s="22" t="s">
        <v>1858</v>
      </c>
      <c r="I948" s="22"/>
      <c r="J948" s="22"/>
      <c r="K948" s="22"/>
      <c r="L948" s="22"/>
      <c r="M948" s="22"/>
      <c r="N948" s="22"/>
      <c r="O948" s="22"/>
      <c r="P948" s="22"/>
      <c r="Q948" s="22"/>
      <c r="R948" s="22"/>
    </row>
    <row r="949" spans="1:18" x14ac:dyDescent="0.25">
      <c r="A949" s="22" t="s">
        <v>1859</v>
      </c>
      <c r="B949" s="22" t="s">
        <v>201</v>
      </c>
      <c r="C949" s="22" t="s">
        <v>202</v>
      </c>
      <c r="D949" s="22" t="s">
        <v>1858</v>
      </c>
      <c r="E949" s="22" t="s">
        <v>45</v>
      </c>
      <c r="F949" s="23">
        <v>-67013</v>
      </c>
      <c r="G949" s="24">
        <v>44327</v>
      </c>
      <c r="H949" s="22" t="s">
        <v>1858</v>
      </c>
      <c r="I949" s="22"/>
      <c r="J949" s="22"/>
      <c r="K949" s="22"/>
      <c r="L949" s="22"/>
      <c r="M949" s="22"/>
      <c r="N949" s="22"/>
      <c r="O949" s="22"/>
      <c r="P949" s="22"/>
      <c r="Q949" s="22"/>
      <c r="R949" s="22"/>
    </row>
    <row r="950" spans="1:18" x14ac:dyDescent="0.25">
      <c r="A950" s="22" t="s">
        <v>1902</v>
      </c>
      <c r="B950" s="22" t="s">
        <v>201</v>
      </c>
      <c r="C950" s="22" t="s">
        <v>202</v>
      </c>
      <c r="D950" s="22" t="s">
        <v>1960</v>
      </c>
      <c r="E950" s="22" t="s">
        <v>588</v>
      </c>
      <c r="F950" s="23">
        <v>-261800</v>
      </c>
      <c r="G950" s="24">
        <v>44273</v>
      </c>
      <c r="H950" s="22" t="s">
        <v>1901</v>
      </c>
      <c r="I950" s="22" t="s">
        <v>1961</v>
      </c>
      <c r="J950" s="22"/>
      <c r="K950" s="22"/>
      <c r="L950" s="22"/>
      <c r="M950" s="22"/>
      <c r="N950" s="22"/>
      <c r="O950" s="22"/>
      <c r="P950" s="22"/>
      <c r="Q950" s="22"/>
      <c r="R950" s="22"/>
    </row>
    <row r="951" spans="1:18" s="39" customFormat="1" x14ac:dyDescent="0.25">
      <c r="A951" s="36" t="s">
        <v>1963</v>
      </c>
      <c r="B951" s="36" t="s">
        <v>201</v>
      </c>
      <c r="C951" s="36" t="s">
        <v>202</v>
      </c>
      <c r="D951" s="36" t="s">
        <v>1962</v>
      </c>
      <c r="E951" s="36" t="s">
        <v>42</v>
      </c>
      <c r="F951" s="37">
        <v>157466</v>
      </c>
      <c r="G951" s="38">
        <v>44232</v>
      </c>
      <c r="H951" s="36" t="s">
        <v>1901</v>
      </c>
      <c r="I951" s="36" t="s">
        <v>1886</v>
      </c>
      <c r="J951" s="36"/>
      <c r="K951" s="36"/>
      <c r="L951" s="36"/>
      <c r="M951" s="36"/>
      <c r="N951" s="36"/>
      <c r="O951" s="36"/>
      <c r="P951" s="36"/>
      <c r="Q951" s="36"/>
      <c r="R951" s="36"/>
    </row>
    <row r="952" spans="1:18" x14ac:dyDescent="0.25">
      <c r="A952" s="22" t="s">
        <v>1902</v>
      </c>
      <c r="B952" s="22" t="s">
        <v>201</v>
      </c>
      <c r="C952" s="22" t="s">
        <v>202</v>
      </c>
      <c r="D952" s="22" t="s">
        <v>1901</v>
      </c>
      <c r="E952" s="22" t="s">
        <v>45</v>
      </c>
      <c r="F952" s="23">
        <v>104334</v>
      </c>
      <c r="G952" s="24">
        <v>44273</v>
      </c>
      <c r="H952" s="22" t="s">
        <v>1901</v>
      </c>
      <c r="I952" s="22"/>
      <c r="J952" s="22"/>
      <c r="K952" s="22"/>
      <c r="L952" s="22"/>
      <c r="M952" s="22"/>
      <c r="N952" s="22"/>
      <c r="O952" s="22"/>
      <c r="P952" s="22"/>
      <c r="Q952" s="22"/>
      <c r="R952" s="22"/>
    </row>
    <row r="953" spans="1:18" s="39" customFormat="1" x14ac:dyDescent="0.25">
      <c r="A953" s="36" t="s">
        <v>1965</v>
      </c>
      <c r="B953" s="36" t="s">
        <v>201</v>
      </c>
      <c r="C953" s="36" t="s">
        <v>202</v>
      </c>
      <c r="D953" s="36" t="s">
        <v>1964</v>
      </c>
      <c r="E953" s="36" t="s">
        <v>42</v>
      </c>
      <c r="F953" s="37">
        <v>2081912</v>
      </c>
      <c r="G953" s="38">
        <v>44214</v>
      </c>
      <c r="H953" s="36" t="s">
        <v>1906</v>
      </c>
      <c r="I953" s="36" t="s">
        <v>1741</v>
      </c>
      <c r="J953" s="36"/>
      <c r="K953" s="36"/>
      <c r="L953" s="36"/>
      <c r="M953" s="36"/>
      <c r="N953" s="36"/>
      <c r="O953" s="36"/>
      <c r="P953" s="36"/>
      <c r="Q953" s="36"/>
      <c r="R953" s="36"/>
    </row>
    <row r="954" spans="1:18" x14ac:dyDescent="0.25">
      <c r="A954" s="22" t="s">
        <v>1907</v>
      </c>
      <c r="B954" s="22" t="s">
        <v>201</v>
      </c>
      <c r="C954" s="22" t="s">
        <v>202</v>
      </c>
      <c r="D954" s="22" t="s">
        <v>1966</v>
      </c>
      <c r="E954" s="22" t="s">
        <v>57</v>
      </c>
      <c r="F954" s="23">
        <v>-2429236</v>
      </c>
      <c r="G954" s="24">
        <v>43872</v>
      </c>
      <c r="H954" s="22" t="s">
        <v>1906</v>
      </c>
      <c r="I954" s="22" t="s">
        <v>1967</v>
      </c>
      <c r="J954" s="22"/>
      <c r="K954" s="22"/>
      <c r="L954" s="22"/>
      <c r="M954" s="22"/>
      <c r="N954" s="22"/>
      <c r="O954" s="22"/>
      <c r="P954" s="22"/>
      <c r="Q954" s="22"/>
      <c r="R954" s="22"/>
    </row>
    <row r="955" spans="1:18" x14ac:dyDescent="0.25">
      <c r="A955" s="22" t="s">
        <v>1907</v>
      </c>
      <c r="B955" s="22" t="s">
        <v>201</v>
      </c>
      <c r="C955" s="22" t="s">
        <v>202</v>
      </c>
      <c r="D955" s="22" t="s">
        <v>1906</v>
      </c>
      <c r="E955" s="22" t="s">
        <v>45</v>
      </c>
      <c r="F955" s="23">
        <v>2429236</v>
      </c>
      <c r="G955" s="24">
        <v>43872</v>
      </c>
      <c r="H955" s="22" t="s">
        <v>1906</v>
      </c>
      <c r="I955" s="22"/>
      <c r="J955" s="22"/>
      <c r="K955" s="22"/>
      <c r="L955" s="22"/>
      <c r="M955" s="22"/>
      <c r="N955" s="22"/>
      <c r="O955" s="22"/>
      <c r="P955" s="22"/>
      <c r="Q955" s="22"/>
      <c r="R955" s="22"/>
    </row>
    <row r="956" spans="1:18" x14ac:dyDescent="0.25">
      <c r="A956" s="22" t="s">
        <v>1907</v>
      </c>
      <c r="B956" s="22" t="s">
        <v>201</v>
      </c>
      <c r="C956" s="22" t="s">
        <v>202</v>
      </c>
      <c r="D956" s="22" t="s">
        <v>1906</v>
      </c>
      <c r="E956" s="22" t="s">
        <v>45</v>
      </c>
      <c r="F956" s="23">
        <v>-2081912</v>
      </c>
      <c r="G956" s="24">
        <v>43872</v>
      </c>
      <c r="H956" s="22" t="s">
        <v>1906</v>
      </c>
      <c r="I956" s="22"/>
      <c r="J956" s="22"/>
      <c r="K956" s="22"/>
      <c r="L956" s="22"/>
      <c r="M956" s="22"/>
      <c r="N956" s="22"/>
      <c r="O956" s="22"/>
      <c r="P956" s="22"/>
      <c r="Q956" s="22"/>
      <c r="R956" s="22"/>
    </row>
    <row r="957" spans="1:18" s="39" customFormat="1" x14ac:dyDescent="0.25">
      <c r="A957" s="36" t="s">
        <v>1969</v>
      </c>
      <c r="B957" s="36" t="s">
        <v>201</v>
      </c>
      <c r="C957" s="36" t="s">
        <v>202</v>
      </c>
      <c r="D957" s="36" t="s">
        <v>1968</v>
      </c>
      <c r="E957" s="36" t="s">
        <v>42</v>
      </c>
      <c r="F957" s="37">
        <v>784898</v>
      </c>
      <c r="G957" s="38">
        <v>44446</v>
      </c>
      <c r="H957" s="36" t="s">
        <v>1970</v>
      </c>
      <c r="I957" s="36" t="s">
        <v>605</v>
      </c>
      <c r="J957" s="36"/>
      <c r="K957" s="36"/>
      <c r="L957" s="36"/>
      <c r="M957" s="36"/>
      <c r="N957" s="36"/>
      <c r="O957" s="36"/>
      <c r="P957" s="36"/>
      <c r="Q957" s="36"/>
      <c r="R957" s="36"/>
    </row>
    <row r="958" spans="1:18" x14ac:dyDescent="0.25">
      <c r="A958" s="22" t="s">
        <v>177</v>
      </c>
      <c r="B958" s="22" t="s">
        <v>201</v>
      </c>
      <c r="C958" s="22" t="s">
        <v>202</v>
      </c>
      <c r="D958" s="22" t="s">
        <v>179</v>
      </c>
      <c r="E958" s="22" t="s">
        <v>57</v>
      </c>
      <c r="F958" s="23">
        <v>-289956</v>
      </c>
      <c r="G958" s="24">
        <v>44413</v>
      </c>
      <c r="H958" s="22" t="s">
        <v>1970</v>
      </c>
      <c r="I958" s="22" t="s">
        <v>1971</v>
      </c>
      <c r="J958" s="22"/>
      <c r="K958" s="22"/>
      <c r="L958" s="22"/>
      <c r="M958" s="22"/>
      <c r="N958" s="22"/>
      <c r="O958" s="22"/>
      <c r="P958" s="22"/>
      <c r="Q958" s="22"/>
      <c r="R958" s="22"/>
    </row>
    <row r="959" spans="1:18" x14ac:dyDescent="0.25">
      <c r="A959" s="22" t="s">
        <v>1973</v>
      </c>
      <c r="B959" s="22" t="s">
        <v>201</v>
      </c>
      <c r="C959" s="22" t="s">
        <v>202</v>
      </c>
      <c r="D959" s="22" t="s">
        <v>1972</v>
      </c>
      <c r="E959" s="22" t="s">
        <v>57</v>
      </c>
      <c r="F959" s="23">
        <v>-445275</v>
      </c>
      <c r="G959" s="24">
        <v>44410</v>
      </c>
      <c r="H959" s="22" t="s">
        <v>1970</v>
      </c>
      <c r="I959" s="22" t="s">
        <v>1974</v>
      </c>
      <c r="J959" s="22"/>
      <c r="K959" s="22"/>
      <c r="L959" s="22"/>
      <c r="M959" s="22"/>
      <c r="N959" s="22"/>
      <c r="O959" s="22"/>
      <c r="P959" s="22"/>
      <c r="Q959" s="22"/>
      <c r="R959" s="22"/>
    </row>
    <row r="960" spans="1:18" x14ac:dyDescent="0.25">
      <c r="A960" s="22" t="s">
        <v>1969</v>
      </c>
      <c r="B960" s="22" t="s">
        <v>201</v>
      </c>
      <c r="C960" s="22" t="s">
        <v>202</v>
      </c>
      <c r="D960" s="22" t="s">
        <v>1970</v>
      </c>
      <c r="E960" s="22" t="s">
        <v>45</v>
      </c>
      <c r="F960" s="23">
        <v>-784898</v>
      </c>
      <c r="G960" s="24">
        <v>44446</v>
      </c>
      <c r="H960" s="22" t="s">
        <v>1970</v>
      </c>
      <c r="I960" s="22"/>
      <c r="J960" s="22"/>
      <c r="K960" s="22"/>
      <c r="L960" s="22"/>
      <c r="M960" s="22"/>
      <c r="N960" s="22"/>
      <c r="O960" s="22"/>
      <c r="P960" s="22"/>
      <c r="Q960" s="22"/>
      <c r="R960" s="22"/>
    </row>
    <row r="961" spans="1:18" x14ac:dyDescent="0.25">
      <c r="A961" s="22" t="s">
        <v>1969</v>
      </c>
      <c r="B961" s="22" t="s">
        <v>201</v>
      </c>
      <c r="C961" s="22" t="s">
        <v>202</v>
      </c>
      <c r="D961" s="22" t="s">
        <v>1970</v>
      </c>
      <c r="E961" s="22" t="s">
        <v>45</v>
      </c>
      <c r="F961" s="23">
        <v>735231</v>
      </c>
      <c r="G961" s="24">
        <v>44446</v>
      </c>
      <c r="H961" s="22" t="s">
        <v>1970</v>
      </c>
      <c r="I961" s="22"/>
      <c r="J961" s="22"/>
      <c r="K961" s="22"/>
      <c r="L961" s="22"/>
      <c r="M961" s="22"/>
      <c r="N961" s="22"/>
      <c r="O961" s="22"/>
      <c r="P961" s="22"/>
      <c r="Q961" s="22"/>
      <c r="R961" s="22"/>
    </row>
    <row r="962" spans="1:18" s="39" customFormat="1" x14ac:dyDescent="0.25">
      <c r="A962" s="36" t="s">
        <v>1976</v>
      </c>
      <c r="B962" s="36" t="s">
        <v>201</v>
      </c>
      <c r="C962" s="36" t="s">
        <v>202</v>
      </c>
      <c r="D962" s="36" t="s">
        <v>1975</v>
      </c>
      <c r="E962" s="36" t="s">
        <v>42</v>
      </c>
      <c r="F962" s="37">
        <v>5054837</v>
      </c>
      <c r="G962" s="38">
        <v>44355</v>
      </c>
      <c r="H962" s="36" t="s">
        <v>1929</v>
      </c>
      <c r="I962" s="36" t="s">
        <v>605</v>
      </c>
      <c r="J962" s="36"/>
      <c r="K962" s="36"/>
      <c r="L962" s="36"/>
      <c r="M962" s="36"/>
      <c r="N962" s="36"/>
      <c r="O962" s="36"/>
      <c r="P962" s="36"/>
      <c r="Q962" s="36"/>
      <c r="R962" s="36"/>
    </row>
    <row r="963" spans="1:18" x14ac:dyDescent="0.25">
      <c r="A963" s="22" t="s">
        <v>169</v>
      </c>
      <c r="B963" s="22" t="s">
        <v>201</v>
      </c>
      <c r="C963" s="22" t="s">
        <v>202</v>
      </c>
      <c r="D963" s="22" t="s">
        <v>171</v>
      </c>
      <c r="E963" s="22" t="s">
        <v>57</v>
      </c>
      <c r="F963" s="23">
        <v>-4677792</v>
      </c>
      <c r="G963" s="24">
        <v>44382</v>
      </c>
      <c r="H963" s="22" t="s">
        <v>1929</v>
      </c>
      <c r="I963" s="22" t="s">
        <v>1977</v>
      </c>
      <c r="J963" s="22"/>
      <c r="K963" s="22"/>
      <c r="L963" s="22"/>
      <c r="M963" s="22"/>
      <c r="N963" s="22"/>
      <c r="O963" s="22"/>
      <c r="P963" s="22"/>
      <c r="Q963" s="22"/>
      <c r="R963" s="22"/>
    </row>
    <row r="964" spans="1:18" x14ac:dyDescent="0.25">
      <c r="A964" s="22" t="s">
        <v>1956</v>
      </c>
      <c r="B964" s="22" t="s">
        <v>201</v>
      </c>
      <c r="C964" s="22" t="s">
        <v>202</v>
      </c>
      <c r="D964" s="22" t="s">
        <v>1954</v>
      </c>
      <c r="E964" s="22" t="s">
        <v>45</v>
      </c>
      <c r="F964" s="23">
        <v>-3068853</v>
      </c>
      <c r="G964" s="24">
        <v>44382</v>
      </c>
      <c r="H964" s="22" t="s">
        <v>1929</v>
      </c>
      <c r="I964" s="22" t="s">
        <v>1978</v>
      </c>
      <c r="J964" s="22"/>
      <c r="K964" s="22"/>
      <c r="L964" s="22"/>
      <c r="M964" s="22"/>
      <c r="N964" s="22"/>
      <c r="O964" s="22"/>
      <c r="P964" s="22"/>
      <c r="Q964" s="22"/>
      <c r="R964" s="22"/>
    </row>
    <row r="965" spans="1:18" x14ac:dyDescent="0.25">
      <c r="A965" s="22" t="s">
        <v>1980</v>
      </c>
      <c r="B965" s="22" t="s">
        <v>201</v>
      </c>
      <c r="C965" s="22" t="s">
        <v>202</v>
      </c>
      <c r="D965" s="22" t="s">
        <v>1979</v>
      </c>
      <c r="E965" s="22" t="s">
        <v>57</v>
      </c>
      <c r="F965" s="23">
        <v>-29200</v>
      </c>
      <c r="G965" s="24">
        <v>44355</v>
      </c>
      <c r="H965" s="22" t="s">
        <v>1929</v>
      </c>
      <c r="I965" s="22" t="s">
        <v>1981</v>
      </c>
      <c r="J965" s="22"/>
      <c r="K965" s="22"/>
      <c r="L965" s="22"/>
      <c r="M965" s="22"/>
      <c r="N965" s="22"/>
      <c r="O965" s="22"/>
      <c r="P965" s="22"/>
      <c r="Q965" s="22"/>
      <c r="R965" s="22"/>
    </row>
    <row r="966" spans="1:18" x14ac:dyDescent="0.25">
      <c r="A966" s="22" t="s">
        <v>1673</v>
      </c>
      <c r="B966" s="22" t="s">
        <v>201</v>
      </c>
      <c r="C966" s="22" t="s">
        <v>202</v>
      </c>
      <c r="D966" s="22" t="s">
        <v>1672</v>
      </c>
      <c r="E966" s="22" t="s">
        <v>45</v>
      </c>
      <c r="F966" s="23">
        <v>-4676</v>
      </c>
      <c r="G966" s="24">
        <v>44350</v>
      </c>
      <c r="H966" s="22" t="s">
        <v>1929</v>
      </c>
      <c r="I966" s="22" t="s">
        <v>1982</v>
      </c>
      <c r="J966" s="22"/>
      <c r="K966" s="22"/>
      <c r="L966" s="22"/>
      <c r="M966" s="22"/>
      <c r="N966" s="22"/>
      <c r="O966" s="22"/>
      <c r="P966" s="22"/>
      <c r="Q966" s="22"/>
      <c r="R966" s="22"/>
    </row>
    <row r="967" spans="1:18" x14ac:dyDescent="0.25">
      <c r="A967" s="22" t="s">
        <v>1951</v>
      </c>
      <c r="B967" s="22" t="s">
        <v>201</v>
      </c>
      <c r="C967" s="22" t="s">
        <v>202</v>
      </c>
      <c r="D967" s="22" t="s">
        <v>1945</v>
      </c>
      <c r="E967" s="22" t="s">
        <v>45</v>
      </c>
      <c r="F967" s="23">
        <v>-12984</v>
      </c>
      <c r="G967" s="24">
        <v>44343</v>
      </c>
      <c r="H967" s="22" t="s">
        <v>1929</v>
      </c>
      <c r="I967" s="22" t="s">
        <v>1983</v>
      </c>
      <c r="J967" s="22"/>
      <c r="K967" s="22"/>
      <c r="L967" s="22"/>
      <c r="M967" s="22"/>
      <c r="N967" s="22"/>
      <c r="O967" s="22"/>
      <c r="P967" s="22"/>
      <c r="Q967" s="22"/>
      <c r="R967" s="22"/>
    </row>
    <row r="968" spans="1:18" x14ac:dyDescent="0.25">
      <c r="A968" s="22" t="s">
        <v>1730</v>
      </c>
      <c r="B968" s="22" t="s">
        <v>201</v>
      </c>
      <c r="C968" s="22" t="s">
        <v>202</v>
      </c>
      <c r="D968" s="22" t="s">
        <v>1728</v>
      </c>
      <c r="E968" s="22" t="s">
        <v>45</v>
      </c>
      <c r="F968" s="23">
        <v>-1125</v>
      </c>
      <c r="G968" s="24">
        <v>44334</v>
      </c>
      <c r="H968" s="22" t="s">
        <v>1929</v>
      </c>
      <c r="I968" s="22" t="s">
        <v>1984</v>
      </c>
      <c r="J968" s="22"/>
      <c r="K968" s="22"/>
      <c r="L968" s="22"/>
      <c r="M968" s="22"/>
      <c r="N968" s="22"/>
      <c r="O968" s="22"/>
      <c r="P968" s="22"/>
      <c r="Q968" s="22"/>
      <c r="R968" s="22"/>
    </row>
    <row r="969" spans="1:18" x14ac:dyDescent="0.25">
      <c r="A969" s="22" t="s">
        <v>1986</v>
      </c>
      <c r="B969" s="22" t="s">
        <v>201</v>
      </c>
      <c r="C969" s="22" t="s">
        <v>202</v>
      </c>
      <c r="D969" s="22" t="s">
        <v>1985</v>
      </c>
      <c r="E969" s="22" t="s">
        <v>57</v>
      </c>
      <c r="F969" s="23">
        <v>-32700</v>
      </c>
      <c r="G969" s="24">
        <v>44337</v>
      </c>
      <c r="H969" s="22" t="s">
        <v>1929</v>
      </c>
      <c r="I969" s="22" t="s">
        <v>637</v>
      </c>
      <c r="J969" s="22"/>
      <c r="K969" s="22"/>
      <c r="L969" s="22"/>
      <c r="M969" s="22"/>
      <c r="N969" s="22"/>
      <c r="O969" s="22"/>
      <c r="P969" s="22"/>
      <c r="Q969" s="22"/>
      <c r="R969" s="22"/>
    </row>
    <row r="970" spans="1:18" x14ac:dyDescent="0.25">
      <c r="A970" s="22" t="s">
        <v>1743</v>
      </c>
      <c r="B970" s="22" t="s">
        <v>201</v>
      </c>
      <c r="C970" s="22" t="s">
        <v>202</v>
      </c>
      <c r="D970" s="22" t="s">
        <v>1740</v>
      </c>
      <c r="E970" s="22" t="s">
        <v>45</v>
      </c>
      <c r="F970" s="23">
        <v>-5411</v>
      </c>
      <c r="G970" s="24">
        <v>44258</v>
      </c>
      <c r="H970" s="22" t="s">
        <v>1929</v>
      </c>
      <c r="I970" s="22" t="s">
        <v>1984</v>
      </c>
      <c r="J970" s="22"/>
      <c r="K970" s="22"/>
      <c r="L970" s="22"/>
      <c r="M970" s="22"/>
      <c r="N970" s="22"/>
      <c r="O970" s="22"/>
      <c r="P970" s="22"/>
      <c r="Q970" s="22"/>
      <c r="R970" s="22"/>
    </row>
    <row r="971" spans="1:18" x14ac:dyDescent="0.25">
      <c r="A971" s="22" t="s">
        <v>169</v>
      </c>
      <c r="B971" s="22" t="s">
        <v>201</v>
      </c>
      <c r="C971" s="22" t="s">
        <v>202</v>
      </c>
      <c r="D971" s="22" t="s">
        <v>1929</v>
      </c>
      <c r="E971" s="22" t="s">
        <v>45</v>
      </c>
      <c r="F971" s="23">
        <v>46809</v>
      </c>
      <c r="G971" s="24">
        <v>44382</v>
      </c>
      <c r="H971" s="22" t="s">
        <v>1929</v>
      </c>
      <c r="I971" s="22"/>
      <c r="J971" s="22"/>
      <c r="K971" s="22"/>
      <c r="L971" s="22"/>
      <c r="M971" s="22"/>
      <c r="N971" s="22"/>
      <c r="O971" s="22"/>
      <c r="P971" s="22"/>
      <c r="Q971" s="22"/>
      <c r="R971" s="22"/>
    </row>
    <row r="972" spans="1:18" s="39" customFormat="1" x14ac:dyDescent="0.25">
      <c r="A972" s="36" t="s">
        <v>1988</v>
      </c>
      <c r="B972" s="36" t="s">
        <v>201</v>
      </c>
      <c r="C972" s="36" t="s">
        <v>202</v>
      </c>
      <c r="D972" s="36" t="s">
        <v>1987</v>
      </c>
      <c r="E972" s="36" t="s">
        <v>42</v>
      </c>
      <c r="F972" s="37">
        <v>25950</v>
      </c>
      <c r="G972" s="38">
        <v>44232</v>
      </c>
      <c r="H972" s="36" t="s">
        <v>1989</v>
      </c>
      <c r="I972" s="36" t="s">
        <v>1886</v>
      </c>
      <c r="J972" s="36"/>
      <c r="K972" s="36"/>
      <c r="L972" s="36"/>
      <c r="M972" s="36"/>
      <c r="N972" s="36"/>
      <c r="O972" s="36"/>
      <c r="P972" s="36"/>
      <c r="Q972" s="36"/>
      <c r="R972" s="36"/>
    </row>
    <row r="973" spans="1:18" x14ac:dyDescent="0.25">
      <c r="A973" s="22" t="s">
        <v>1990</v>
      </c>
      <c r="B973" s="22" t="s">
        <v>201</v>
      </c>
      <c r="C973" s="22" t="s">
        <v>202</v>
      </c>
      <c r="D973" s="22" t="s">
        <v>1989</v>
      </c>
      <c r="E973" s="22" t="s">
        <v>45</v>
      </c>
      <c r="F973" s="23">
        <v>27750</v>
      </c>
      <c r="G973" s="24">
        <v>44207</v>
      </c>
      <c r="H973" s="22" t="s">
        <v>1989</v>
      </c>
      <c r="I973" s="22"/>
      <c r="J973" s="22"/>
      <c r="K973" s="22"/>
      <c r="L973" s="22"/>
      <c r="M973" s="22"/>
      <c r="N973" s="22"/>
      <c r="O973" s="22"/>
      <c r="P973" s="22"/>
      <c r="Q973" s="22"/>
      <c r="R973" s="22"/>
    </row>
    <row r="974" spans="1:18" x14ac:dyDescent="0.25">
      <c r="A974" s="22" t="s">
        <v>1990</v>
      </c>
      <c r="B974" s="22" t="s">
        <v>201</v>
      </c>
      <c r="C974" s="22" t="s">
        <v>202</v>
      </c>
      <c r="D974" s="22" t="s">
        <v>1991</v>
      </c>
      <c r="E974" s="22" t="s">
        <v>57</v>
      </c>
      <c r="F974" s="23">
        <v>-53700</v>
      </c>
      <c r="G974" s="24">
        <v>44207</v>
      </c>
      <c r="H974" s="22" t="s">
        <v>1989</v>
      </c>
      <c r="I974" s="22" t="s">
        <v>1992</v>
      </c>
      <c r="J974" s="22"/>
      <c r="K974" s="22"/>
      <c r="L974" s="22"/>
      <c r="M974" s="22"/>
      <c r="N974" s="22"/>
      <c r="O974" s="22"/>
      <c r="P974" s="22"/>
      <c r="Q974" s="22"/>
      <c r="R974" s="22"/>
    </row>
    <row r="975" spans="1:18" s="39" customFormat="1" x14ac:dyDescent="0.25">
      <c r="A975" s="36" t="s">
        <v>1994</v>
      </c>
      <c r="B975" s="36" t="s">
        <v>201</v>
      </c>
      <c r="C975" s="36" t="s">
        <v>202</v>
      </c>
      <c r="D975" s="36" t="s">
        <v>1993</v>
      </c>
      <c r="E975" s="36" t="s">
        <v>42</v>
      </c>
      <c r="F975" s="37">
        <v>31151</v>
      </c>
      <c r="G975" s="38">
        <v>44232</v>
      </c>
      <c r="H975" s="36" t="s">
        <v>1995</v>
      </c>
      <c r="I975" s="36" t="s">
        <v>1886</v>
      </c>
      <c r="J975" s="36"/>
      <c r="K975" s="36"/>
      <c r="L975" s="36"/>
      <c r="M975" s="36"/>
      <c r="N975" s="36"/>
      <c r="O975" s="36"/>
      <c r="P975" s="36"/>
      <c r="Q975" s="36"/>
      <c r="R975" s="36"/>
    </row>
    <row r="976" spans="1:18" x14ac:dyDescent="0.25">
      <c r="A976" s="22" t="s">
        <v>1997</v>
      </c>
      <c r="B976" s="22" t="s">
        <v>201</v>
      </c>
      <c r="C976" s="22" t="s">
        <v>202</v>
      </c>
      <c r="D976" s="22" t="s">
        <v>1996</v>
      </c>
      <c r="E976" s="22" t="s">
        <v>57</v>
      </c>
      <c r="F976" s="23">
        <v>-54724</v>
      </c>
      <c r="G976" s="24">
        <v>44222</v>
      </c>
      <c r="H976" s="22" t="s">
        <v>1995</v>
      </c>
      <c r="I976" s="22" t="s">
        <v>1998</v>
      </c>
      <c r="J976" s="22"/>
      <c r="K976" s="22"/>
      <c r="L976" s="22"/>
      <c r="M976" s="22"/>
      <c r="N976" s="22"/>
      <c r="O976" s="22"/>
      <c r="P976" s="22"/>
      <c r="Q976" s="22"/>
      <c r="R976" s="22"/>
    </row>
    <row r="977" spans="1:18" x14ac:dyDescent="0.25">
      <c r="A977" s="22" t="s">
        <v>1997</v>
      </c>
      <c r="B977" s="22" t="s">
        <v>201</v>
      </c>
      <c r="C977" s="22" t="s">
        <v>202</v>
      </c>
      <c r="D977" s="22" t="s">
        <v>1995</v>
      </c>
      <c r="E977" s="22" t="s">
        <v>45</v>
      </c>
      <c r="F977" s="23">
        <v>23573</v>
      </c>
      <c r="G977" s="24">
        <v>44222</v>
      </c>
      <c r="H977" s="22" t="s">
        <v>1995</v>
      </c>
      <c r="I977" s="22"/>
      <c r="J977" s="22"/>
      <c r="K977" s="22"/>
      <c r="L977" s="22"/>
      <c r="M977" s="22"/>
      <c r="N977" s="22"/>
      <c r="O977" s="22"/>
      <c r="P977" s="22"/>
      <c r="Q977" s="22"/>
      <c r="R977" s="22"/>
    </row>
    <row r="978" spans="1:18" s="39" customFormat="1" x14ac:dyDescent="0.25">
      <c r="A978" s="36" t="s">
        <v>2000</v>
      </c>
      <c r="B978" s="36" t="s">
        <v>201</v>
      </c>
      <c r="C978" s="36" t="s">
        <v>202</v>
      </c>
      <c r="D978" s="36" t="s">
        <v>1999</v>
      </c>
      <c r="E978" s="36" t="s">
        <v>42</v>
      </c>
      <c r="F978" s="37">
        <v>26722</v>
      </c>
      <c r="G978" s="38">
        <v>44232</v>
      </c>
      <c r="H978" s="36" t="s">
        <v>2001</v>
      </c>
      <c r="I978" s="36" t="s">
        <v>1886</v>
      </c>
      <c r="J978" s="36"/>
      <c r="K978" s="36"/>
      <c r="L978" s="36"/>
      <c r="M978" s="36"/>
      <c r="N978" s="36"/>
      <c r="O978" s="36"/>
      <c r="P978" s="36"/>
      <c r="Q978" s="36"/>
      <c r="R978" s="36"/>
    </row>
    <row r="979" spans="1:18" x14ac:dyDescent="0.25">
      <c r="A979" s="22" t="s">
        <v>2003</v>
      </c>
      <c r="B979" s="22" t="s">
        <v>201</v>
      </c>
      <c r="C979" s="22" t="s">
        <v>202</v>
      </c>
      <c r="D979" s="22" t="s">
        <v>2002</v>
      </c>
      <c r="E979" s="22" t="s">
        <v>57</v>
      </c>
      <c r="F979" s="23">
        <v>-203014</v>
      </c>
      <c r="G979" s="24">
        <v>44209</v>
      </c>
      <c r="H979" s="22" t="s">
        <v>2001</v>
      </c>
      <c r="I979" s="22" t="s">
        <v>2004</v>
      </c>
      <c r="J979" s="22"/>
      <c r="K979" s="22"/>
      <c r="L979" s="22"/>
      <c r="M979" s="22"/>
      <c r="N979" s="22"/>
      <c r="O979" s="22"/>
      <c r="P979" s="22"/>
      <c r="Q979" s="22"/>
      <c r="R979" s="22"/>
    </row>
    <row r="980" spans="1:18" x14ac:dyDescent="0.25">
      <c r="A980" s="22" t="s">
        <v>2003</v>
      </c>
      <c r="B980" s="22" t="s">
        <v>201</v>
      </c>
      <c r="C980" s="22" t="s">
        <v>202</v>
      </c>
      <c r="D980" s="22" t="s">
        <v>2001</v>
      </c>
      <c r="E980" s="22" t="s">
        <v>45</v>
      </c>
      <c r="F980" s="23">
        <v>176292</v>
      </c>
      <c r="G980" s="24">
        <v>44209</v>
      </c>
      <c r="H980" s="22" t="s">
        <v>2001</v>
      </c>
      <c r="I980" s="22"/>
      <c r="J980" s="22"/>
      <c r="K980" s="22"/>
      <c r="L980" s="22"/>
      <c r="M980" s="22"/>
      <c r="N980" s="22"/>
      <c r="O980" s="22"/>
      <c r="P980" s="22"/>
      <c r="Q980" s="22"/>
      <c r="R980" s="22"/>
    </row>
    <row r="981" spans="1:18" s="39" customFormat="1" x14ac:dyDescent="0.25">
      <c r="A981" s="36" t="s">
        <v>2006</v>
      </c>
      <c r="B981" s="36" t="s">
        <v>201</v>
      </c>
      <c r="C981" s="36" t="s">
        <v>202</v>
      </c>
      <c r="D981" s="36" t="s">
        <v>2005</v>
      </c>
      <c r="E981" s="36" t="s">
        <v>42</v>
      </c>
      <c r="F981" s="37">
        <v>5405367</v>
      </c>
      <c r="G981" s="38">
        <v>44260</v>
      </c>
      <c r="H981" s="36" t="s">
        <v>2007</v>
      </c>
      <c r="I981" s="36" t="s">
        <v>1741</v>
      </c>
      <c r="J981" s="36"/>
      <c r="K981" s="36"/>
      <c r="L981" s="36"/>
      <c r="M981" s="36"/>
      <c r="N981" s="36"/>
      <c r="O981" s="36"/>
      <c r="P981" s="36"/>
      <c r="Q981" s="36"/>
      <c r="R981" s="36"/>
    </row>
    <row r="982" spans="1:18" x14ac:dyDescent="0.25">
      <c r="A982" s="22" t="s">
        <v>719</v>
      </c>
      <c r="B982" s="22" t="s">
        <v>201</v>
      </c>
      <c r="C982" s="22" t="s">
        <v>202</v>
      </c>
      <c r="D982" s="22" t="s">
        <v>2008</v>
      </c>
      <c r="E982" s="22" t="s">
        <v>45</v>
      </c>
      <c r="F982" s="23">
        <v>-4070543</v>
      </c>
      <c r="G982" s="24">
        <v>44215</v>
      </c>
      <c r="H982" s="22" t="s">
        <v>2007</v>
      </c>
      <c r="I982" s="22" t="s">
        <v>2009</v>
      </c>
      <c r="J982" s="22"/>
      <c r="K982" s="22"/>
      <c r="L982" s="22"/>
      <c r="M982" s="22"/>
      <c r="N982" s="22"/>
      <c r="O982" s="22"/>
      <c r="P982" s="22"/>
      <c r="Q982" s="22"/>
      <c r="R982" s="22"/>
    </row>
    <row r="983" spans="1:18" x14ac:dyDescent="0.25">
      <c r="A983" s="22" t="s">
        <v>2011</v>
      </c>
      <c r="B983" s="22" t="s">
        <v>201</v>
      </c>
      <c r="C983" s="22" t="s">
        <v>202</v>
      </c>
      <c r="D983" s="22" t="s">
        <v>2010</v>
      </c>
      <c r="E983" s="22" t="s">
        <v>57</v>
      </c>
      <c r="F983" s="23">
        <v>-3074013</v>
      </c>
      <c r="G983" s="24">
        <v>44227</v>
      </c>
      <c r="H983" s="22" t="s">
        <v>2007</v>
      </c>
      <c r="I983" s="22" t="s">
        <v>2012</v>
      </c>
      <c r="J983" s="22"/>
      <c r="K983" s="22"/>
      <c r="L983" s="22"/>
      <c r="M983" s="22"/>
      <c r="N983" s="22"/>
      <c r="O983" s="22"/>
      <c r="P983" s="22"/>
      <c r="Q983" s="22"/>
      <c r="R983" s="22"/>
    </row>
    <row r="984" spans="1:18" x14ac:dyDescent="0.25">
      <c r="A984" s="22" t="s">
        <v>2011</v>
      </c>
      <c r="B984" s="22" t="s">
        <v>201</v>
      </c>
      <c r="C984" s="22" t="s">
        <v>202</v>
      </c>
      <c r="D984" s="22" t="s">
        <v>2007</v>
      </c>
      <c r="E984" s="22" t="s">
        <v>45</v>
      </c>
      <c r="F984" s="23">
        <v>1739189</v>
      </c>
      <c r="G984" s="24">
        <v>44227</v>
      </c>
      <c r="H984" s="22" t="s">
        <v>2007</v>
      </c>
      <c r="I984" s="22"/>
      <c r="J984" s="22"/>
      <c r="K984" s="22"/>
      <c r="L984" s="22"/>
      <c r="M984" s="22"/>
      <c r="N984" s="22"/>
      <c r="O984" s="22"/>
      <c r="P984" s="22"/>
      <c r="Q984" s="22"/>
      <c r="R984" s="22"/>
    </row>
    <row r="985" spans="1:18" s="39" customFormat="1" x14ac:dyDescent="0.25">
      <c r="A985" s="36" t="s">
        <v>2014</v>
      </c>
      <c r="B985" s="36" t="s">
        <v>201</v>
      </c>
      <c r="C985" s="36" t="s">
        <v>202</v>
      </c>
      <c r="D985" s="36" t="s">
        <v>2013</v>
      </c>
      <c r="E985" s="36" t="s">
        <v>42</v>
      </c>
      <c r="F985" s="37">
        <v>25950</v>
      </c>
      <c r="G985" s="38">
        <v>44232</v>
      </c>
      <c r="H985" s="36" t="s">
        <v>2015</v>
      </c>
      <c r="I985" s="36" t="s">
        <v>1886</v>
      </c>
      <c r="J985" s="36"/>
      <c r="K985" s="36"/>
      <c r="L985" s="36"/>
      <c r="M985" s="36"/>
      <c r="N985" s="36"/>
      <c r="O985" s="36"/>
      <c r="P985" s="36"/>
      <c r="Q985" s="36"/>
      <c r="R985" s="36"/>
    </row>
    <row r="986" spans="1:18" x14ac:dyDescent="0.25">
      <c r="A986" s="22" t="s">
        <v>2017</v>
      </c>
      <c r="B986" s="22" t="s">
        <v>201</v>
      </c>
      <c r="C986" s="22" t="s">
        <v>202</v>
      </c>
      <c r="D986" s="22" t="s">
        <v>2016</v>
      </c>
      <c r="E986" s="22" t="s">
        <v>57</v>
      </c>
      <c r="F986" s="23">
        <v>-128733</v>
      </c>
      <c r="G986" s="24">
        <v>44221</v>
      </c>
      <c r="H986" s="22" t="s">
        <v>2015</v>
      </c>
      <c r="I986" s="22" t="s">
        <v>2018</v>
      </c>
      <c r="J986" s="22"/>
      <c r="K986" s="22"/>
      <c r="L986" s="22"/>
      <c r="M986" s="22"/>
      <c r="N986" s="22"/>
      <c r="O986" s="22"/>
      <c r="P986" s="22"/>
      <c r="Q986" s="22"/>
      <c r="R986" s="22"/>
    </row>
    <row r="987" spans="1:18" x14ac:dyDescent="0.25">
      <c r="A987" s="22" t="s">
        <v>2017</v>
      </c>
      <c r="B987" s="22" t="s">
        <v>201</v>
      </c>
      <c r="C987" s="22" t="s">
        <v>202</v>
      </c>
      <c r="D987" s="22" t="s">
        <v>2015</v>
      </c>
      <c r="E987" s="22" t="s">
        <v>45</v>
      </c>
      <c r="F987" s="23">
        <v>102783</v>
      </c>
      <c r="G987" s="24">
        <v>44221</v>
      </c>
      <c r="H987" s="22" t="s">
        <v>2015</v>
      </c>
      <c r="I987" s="22"/>
      <c r="J987" s="22"/>
      <c r="K987" s="22"/>
      <c r="L987" s="22"/>
      <c r="M987" s="22"/>
      <c r="N987" s="22"/>
      <c r="O987" s="22"/>
      <c r="P987" s="22"/>
      <c r="Q987" s="22"/>
      <c r="R987" s="22"/>
    </row>
    <row r="988" spans="1:18" s="39" customFormat="1" x14ac:dyDescent="0.25">
      <c r="A988" s="36" t="s">
        <v>2020</v>
      </c>
      <c r="B988" s="36" t="s">
        <v>201</v>
      </c>
      <c r="C988" s="36" t="s">
        <v>202</v>
      </c>
      <c r="D988" s="36" t="s">
        <v>2019</v>
      </c>
      <c r="E988" s="36" t="s">
        <v>42</v>
      </c>
      <c r="F988" s="37">
        <v>1356428</v>
      </c>
      <c r="G988" s="38">
        <v>44260</v>
      </c>
      <c r="H988" s="36" t="s">
        <v>2021</v>
      </c>
      <c r="I988" s="36" t="s">
        <v>1741</v>
      </c>
      <c r="J988" s="36"/>
      <c r="K988" s="36"/>
      <c r="L988" s="36"/>
      <c r="M988" s="36"/>
      <c r="N988" s="36"/>
      <c r="O988" s="36"/>
      <c r="P988" s="36"/>
      <c r="Q988" s="36"/>
      <c r="R988" s="36"/>
    </row>
    <row r="989" spans="1:18" x14ac:dyDescent="0.25">
      <c r="A989" s="22" t="s">
        <v>2020</v>
      </c>
      <c r="B989" s="22" t="s">
        <v>201</v>
      </c>
      <c r="C989" s="22" t="s">
        <v>202</v>
      </c>
      <c r="D989" s="22" t="s">
        <v>2021</v>
      </c>
      <c r="E989" s="22" t="s">
        <v>45</v>
      </c>
      <c r="F989" s="23">
        <v>1284521</v>
      </c>
      <c r="G989" s="24">
        <v>44260</v>
      </c>
      <c r="H989" s="22" t="s">
        <v>2021</v>
      </c>
      <c r="I989" s="22" t="s">
        <v>2022</v>
      </c>
      <c r="J989" s="22"/>
      <c r="K989" s="22"/>
      <c r="L989" s="22"/>
      <c r="M989" s="22"/>
      <c r="N989" s="22"/>
      <c r="O989" s="22"/>
      <c r="P989" s="22"/>
      <c r="Q989" s="22"/>
      <c r="R989" s="22"/>
    </row>
    <row r="990" spans="1:18" x14ac:dyDescent="0.25">
      <c r="A990" s="22" t="s">
        <v>2020</v>
      </c>
      <c r="B990" s="22" t="s">
        <v>201</v>
      </c>
      <c r="C990" s="22" t="s">
        <v>202</v>
      </c>
      <c r="D990" s="22" t="s">
        <v>2021</v>
      </c>
      <c r="E990" s="22" t="s">
        <v>45</v>
      </c>
      <c r="F990" s="23">
        <v>-1356428</v>
      </c>
      <c r="G990" s="24">
        <v>44260</v>
      </c>
      <c r="H990" s="22" t="s">
        <v>2021</v>
      </c>
      <c r="I990" s="22" t="s">
        <v>2022</v>
      </c>
      <c r="J990" s="22"/>
      <c r="K990" s="22"/>
      <c r="L990" s="22"/>
      <c r="M990" s="22"/>
      <c r="N990" s="22"/>
      <c r="O990" s="22"/>
      <c r="P990" s="22"/>
      <c r="Q990" s="22"/>
      <c r="R990" s="22"/>
    </row>
    <row r="991" spans="1:18" x14ac:dyDescent="0.25">
      <c r="A991" s="22" t="s">
        <v>2024</v>
      </c>
      <c r="B991" s="22" t="s">
        <v>201</v>
      </c>
      <c r="C991" s="22" t="s">
        <v>202</v>
      </c>
      <c r="D991" s="22" t="s">
        <v>2023</v>
      </c>
      <c r="E991" s="22" t="s">
        <v>57</v>
      </c>
      <c r="F991" s="23">
        <v>-1284521</v>
      </c>
      <c r="G991" s="24">
        <v>44183</v>
      </c>
      <c r="H991" s="22" t="s">
        <v>2021</v>
      </c>
      <c r="I991" s="22" t="s">
        <v>2025</v>
      </c>
      <c r="J991" s="22"/>
      <c r="K991" s="22"/>
      <c r="L991" s="22"/>
      <c r="M991" s="22"/>
      <c r="N991" s="22"/>
      <c r="O991" s="22"/>
      <c r="P991" s="22"/>
      <c r="Q991" s="22"/>
      <c r="R991" s="22"/>
    </row>
    <row r="992" spans="1:18" s="39" customFormat="1" x14ac:dyDescent="0.25">
      <c r="A992" s="36" t="s">
        <v>2027</v>
      </c>
      <c r="B992" s="36" t="s">
        <v>201</v>
      </c>
      <c r="C992" s="36" t="s">
        <v>202</v>
      </c>
      <c r="D992" s="36" t="s">
        <v>2026</v>
      </c>
      <c r="E992" s="36" t="s">
        <v>42</v>
      </c>
      <c r="F992" s="37">
        <v>661985</v>
      </c>
      <c r="G992" s="38">
        <v>44260</v>
      </c>
      <c r="H992" s="36" t="s">
        <v>2028</v>
      </c>
      <c r="I992" s="36" t="s">
        <v>1741</v>
      </c>
      <c r="J992" s="36"/>
      <c r="K992" s="36"/>
      <c r="L992" s="36"/>
      <c r="M992" s="36"/>
      <c r="N992" s="36"/>
      <c r="O992" s="36"/>
      <c r="P992" s="36"/>
      <c r="Q992" s="36"/>
      <c r="R992" s="36"/>
    </row>
    <row r="993" spans="1:18" x14ac:dyDescent="0.25">
      <c r="A993" s="22" t="s">
        <v>2030</v>
      </c>
      <c r="B993" s="22" t="s">
        <v>201</v>
      </c>
      <c r="C993" s="22" t="s">
        <v>202</v>
      </c>
      <c r="D993" s="22" t="s">
        <v>2029</v>
      </c>
      <c r="E993" s="22" t="s">
        <v>57</v>
      </c>
      <c r="F993" s="23">
        <v>-50600</v>
      </c>
      <c r="G993" s="24">
        <v>44048</v>
      </c>
      <c r="H993" s="22" t="s">
        <v>2028</v>
      </c>
      <c r="I993" s="22" t="s">
        <v>2031</v>
      </c>
      <c r="J993" s="22"/>
      <c r="K993" s="22"/>
      <c r="L993" s="22"/>
      <c r="M993" s="22"/>
      <c r="N993" s="22"/>
      <c r="O993" s="22"/>
      <c r="P993" s="22"/>
      <c r="Q993" s="22"/>
      <c r="R993" s="22"/>
    </row>
    <row r="994" spans="1:18" x14ac:dyDescent="0.25">
      <c r="A994" s="22" t="s">
        <v>2033</v>
      </c>
      <c r="B994" s="22" t="s">
        <v>201</v>
      </c>
      <c r="C994" s="22" t="s">
        <v>202</v>
      </c>
      <c r="D994" s="22" t="s">
        <v>2032</v>
      </c>
      <c r="E994" s="22" t="s">
        <v>57</v>
      </c>
      <c r="F994" s="23">
        <v>-50600</v>
      </c>
      <c r="G994" s="24">
        <v>44036</v>
      </c>
      <c r="H994" s="22" t="s">
        <v>2028</v>
      </c>
      <c r="I994" s="22" t="s">
        <v>2034</v>
      </c>
      <c r="J994" s="22"/>
      <c r="K994" s="22"/>
      <c r="L994" s="22"/>
      <c r="M994" s="22"/>
      <c r="N994" s="22"/>
      <c r="O994" s="22"/>
      <c r="P994" s="22"/>
      <c r="Q994" s="22"/>
      <c r="R994" s="22"/>
    </row>
    <row r="995" spans="1:18" x14ac:dyDescent="0.25">
      <c r="A995" s="22" t="s">
        <v>2036</v>
      </c>
      <c r="B995" s="22" t="s">
        <v>201</v>
      </c>
      <c r="C995" s="22" t="s">
        <v>202</v>
      </c>
      <c r="D995" s="22" t="s">
        <v>2035</v>
      </c>
      <c r="E995" s="22" t="s">
        <v>57</v>
      </c>
      <c r="F995" s="23">
        <v>-2474</v>
      </c>
      <c r="G995" s="24">
        <v>43887</v>
      </c>
      <c r="H995" s="22" t="s">
        <v>2028</v>
      </c>
      <c r="I995" s="22" t="s">
        <v>2031</v>
      </c>
      <c r="J995" s="22"/>
      <c r="K995" s="22"/>
      <c r="L995" s="22"/>
      <c r="M995" s="22"/>
      <c r="N995" s="22"/>
      <c r="O995" s="22"/>
      <c r="P995" s="22"/>
      <c r="Q995" s="22"/>
      <c r="R995" s="22"/>
    </row>
    <row r="996" spans="1:18" x14ac:dyDescent="0.25">
      <c r="A996" s="22" t="s">
        <v>2038</v>
      </c>
      <c r="B996" s="22" t="s">
        <v>201</v>
      </c>
      <c r="C996" s="22" t="s">
        <v>202</v>
      </c>
      <c r="D996" s="22" t="s">
        <v>2037</v>
      </c>
      <c r="E996" s="22" t="s">
        <v>57</v>
      </c>
      <c r="F996" s="23">
        <v>-53700</v>
      </c>
      <c r="G996" s="24">
        <v>44292</v>
      </c>
      <c r="H996" s="22" t="s">
        <v>2039</v>
      </c>
      <c r="I996" s="22" t="s">
        <v>1322</v>
      </c>
      <c r="J996" s="22"/>
      <c r="K996" s="22"/>
      <c r="L996" s="22"/>
      <c r="M996" s="22"/>
      <c r="N996" s="22"/>
      <c r="O996" s="22"/>
      <c r="P996" s="22"/>
      <c r="Q996" s="22"/>
      <c r="R996" s="22"/>
    </row>
    <row r="997" spans="1:18" x14ac:dyDescent="0.25">
      <c r="A997" s="22" t="s">
        <v>2038</v>
      </c>
      <c r="B997" s="22" t="s">
        <v>201</v>
      </c>
      <c r="C997" s="22" t="s">
        <v>202</v>
      </c>
      <c r="D997" s="22" t="s">
        <v>2039</v>
      </c>
      <c r="E997" s="22" t="s">
        <v>45</v>
      </c>
      <c r="F997" s="23">
        <v>922</v>
      </c>
      <c r="G997" s="24">
        <v>44292</v>
      </c>
      <c r="H997" s="22" t="s">
        <v>2039</v>
      </c>
      <c r="I997" s="22"/>
      <c r="J997" s="22"/>
      <c r="K997" s="22"/>
      <c r="L997" s="22"/>
      <c r="M997" s="22"/>
      <c r="N997" s="22"/>
      <c r="O997" s="22"/>
      <c r="P997" s="22"/>
      <c r="Q997" s="22"/>
      <c r="R997" s="22"/>
    </row>
    <row r="998" spans="1:18" s="39" customFormat="1" x14ac:dyDescent="0.25">
      <c r="A998" s="36" t="s">
        <v>2041</v>
      </c>
      <c r="B998" s="36" t="s">
        <v>201</v>
      </c>
      <c r="C998" s="36" t="s">
        <v>202</v>
      </c>
      <c r="D998" s="36" t="s">
        <v>2040</v>
      </c>
      <c r="E998" s="36" t="s">
        <v>42</v>
      </c>
      <c r="F998" s="37">
        <v>165673</v>
      </c>
      <c r="G998" s="38">
        <v>44295</v>
      </c>
      <c r="H998" s="36" t="s">
        <v>2042</v>
      </c>
      <c r="I998" s="36" t="s">
        <v>1812</v>
      </c>
      <c r="J998" s="36"/>
      <c r="K998" s="36"/>
      <c r="L998" s="36"/>
      <c r="M998" s="36"/>
      <c r="N998" s="36"/>
      <c r="O998" s="36"/>
      <c r="P998" s="36"/>
      <c r="Q998" s="36"/>
      <c r="R998" s="36"/>
    </row>
    <row r="999" spans="1:18" x14ac:dyDescent="0.25">
      <c r="A999" s="22" t="s">
        <v>2044</v>
      </c>
      <c r="B999" s="22" t="s">
        <v>201</v>
      </c>
      <c r="C999" s="22" t="s">
        <v>202</v>
      </c>
      <c r="D999" s="22" t="s">
        <v>2043</v>
      </c>
      <c r="E999" s="22" t="s">
        <v>45</v>
      </c>
      <c r="F999" s="23">
        <v>-183147</v>
      </c>
      <c r="G999" s="24">
        <v>44205</v>
      </c>
      <c r="H999" s="22" t="s">
        <v>2042</v>
      </c>
      <c r="I999" s="22" t="s">
        <v>2045</v>
      </c>
      <c r="J999" s="22"/>
      <c r="K999" s="22"/>
      <c r="L999" s="22"/>
      <c r="M999" s="22"/>
      <c r="N999" s="22"/>
      <c r="O999" s="22"/>
      <c r="P999" s="22"/>
      <c r="Q999" s="22"/>
      <c r="R999" s="22"/>
    </row>
    <row r="1000" spans="1:18" x14ac:dyDescent="0.25">
      <c r="A1000" s="22" t="s">
        <v>2044</v>
      </c>
      <c r="B1000" s="22" t="s">
        <v>201</v>
      </c>
      <c r="C1000" s="22" t="s">
        <v>202</v>
      </c>
      <c r="D1000" s="22" t="s">
        <v>2042</v>
      </c>
      <c r="E1000" s="22" t="s">
        <v>45</v>
      </c>
      <c r="F1000" s="23">
        <v>-165673</v>
      </c>
      <c r="G1000" s="24">
        <v>44205</v>
      </c>
      <c r="H1000" s="22" t="s">
        <v>2042</v>
      </c>
      <c r="I1000" s="22"/>
      <c r="J1000" s="22"/>
      <c r="K1000" s="22"/>
      <c r="L1000" s="22"/>
      <c r="M1000" s="22"/>
      <c r="N1000" s="22"/>
      <c r="O1000" s="22"/>
      <c r="P1000" s="22"/>
      <c r="Q1000" s="22"/>
      <c r="R1000" s="22"/>
    </row>
    <row r="1001" spans="1:18" x14ac:dyDescent="0.25">
      <c r="A1001" s="22" t="s">
        <v>2044</v>
      </c>
      <c r="B1001" s="22" t="s">
        <v>201</v>
      </c>
      <c r="C1001" s="22" t="s">
        <v>202</v>
      </c>
      <c r="D1001" s="22" t="s">
        <v>2042</v>
      </c>
      <c r="E1001" s="22" t="s">
        <v>45</v>
      </c>
      <c r="F1001" s="23">
        <v>183147</v>
      </c>
      <c r="G1001" s="24">
        <v>44205</v>
      </c>
      <c r="H1001" s="22" t="s">
        <v>2042</v>
      </c>
      <c r="I1001" s="22"/>
      <c r="J1001" s="22"/>
      <c r="K1001" s="22"/>
      <c r="L1001" s="22"/>
      <c r="M1001" s="22"/>
      <c r="N1001" s="22"/>
      <c r="O1001" s="22"/>
      <c r="P1001" s="22"/>
      <c r="Q1001" s="22"/>
      <c r="R1001" s="22"/>
    </row>
    <row r="1002" spans="1:18" s="39" customFormat="1" x14ac:dyDescent="0.25">
      <c r="A1002" s="36" t="s">
        <v>2041</v>
      </c>
      <c r="B1002" s="36" t="s">
        <v>201</v>
      </c>
      <c r="C1002" s="36" t="s">
        <v>202</v>
      </c>
      <c r="D1002" s="36" t="s">
        <v>2046</v>
      </c>
      <c r="E1002" s="36" t="s">
        <v>42</v>
      </c>
      <c r="F1002" s="37">
        <v>108362</v>
      </c>
      <c r="G1002" s="38">
        <v>44260</v>
      </c>
      <c r="H1002" s="36" t="s">
        <v>2043</v>
      </c>
      <c r="I1002" s="36" t="s">
        <v>1741</v>
      </c>
      <c r="J1002" s="36"/>
      <c r="K1002" s="36"/>
      <c r="L1002" s="36"/>
      <c r="M1002" s="36"/>
      <c r="N1002" s="36"/>
      <c r="O1002" s="36"/>
      <c r="P1002" s="36"/>
      <c r="Q1002" s="36"/>
      <c r="R1002" s="36"/>
    </row>
    <row r="1003" spans="1:18" x14ac:dyDescent="0.25">
      <c r="A1003" s="22" t="s">
        <v>2003</v>
      </c>
      <c r="B1003" s="22" t="s">
        <v>201</v>
      </c>
      <c r="C1003" s="22" t="s">
        <v>202</v>
      </c>
      <c r="D1003" s="22" t="s">
        <v>2047</v>
      </c>
      <c r="E1003" s="22" t="s">
        <v>45</v>
      </c>
      <c r="F1003" s="23">
        <v>-74785</v>
      </c>
      <c r="G1003" s="24">
        <v>44209</v>
      </c>
      <c r="H1003" s="22" t="s">
        <v>2043</v>
      </c>
      <c r="I1003" s="22" t="s">
        <v>2048</v>
      </c>
      <c r="J1003" s="22"/>
      <c r="K1003" s="22"/>
      <c r="L1003" s="22"/>
      <c r="M1003" s="22"/>
      <c r="N1003" s="22"/>
      <c r="O1003" s="22"/>
      <c r="P1003" s="22"/>
      <c r="Q1003" s="22"/>
      <c r="R1003" s="22"/>
    </row>
    <row r="1004" spans="1:18" x14ac:dyDescent="0.25">
      <c r="A1004" s="22" t="s">
        <v>2044</v>
      </c>
      <c r="B1004" s="22" t="s">
        <v>201</v>
      </c>
      <c r="C1004" s="22" t="s">
        <v>202</v>
      </c>
      <c r="D1004" s="22" t="s">
        <v>2049</v>
      </c>
      <c r="E1004" s="22" t="s">
        <v>57</v>
      </c>
      <c r="F1004" s="23">
        <v>-216724</v>
      </c>
      <c r="G1004" s="24">
        <v>44205</v>
      </c>
      <c r="H1004" s="22" t="s">
        <v>2043</v>
      </c>
      <c r="I1004" s="22" t="s">
        <v>2050</v>
      </c>
      <c r="J1004" s="22"/>
      <c r="K1004" s="22"/>
      <c r="L1004" s="22"/>
      <c r="M1004" s="22"/>
      <c r="N1004" s="22"/>
      <c r="O1004" s="22"/>
      <c r="P1004" s="22"/>
      <c r="Q1004" s="22"/>
      <c r="R1004" s="22"/>
    </row>
    <row r="1005" spans="1:18" x14ac:dyDescent="0.25">
      <c r="A1005" s="22" t="s">
        <v>2044</v>
      </c>
      <c r="B1005" s="22" t="s">
        <v>201</v>
      </c>
      <c r="C1005" s="22" t="s">
        <v>202</v>
      </c>
      <c r="D1005" s="22" t="s">
        <v>2043</v>
      </c>
      <c r="E1005" s="22" t="s">
        <v>45</v>
      </c>
      <c r="F1005" s="23">
        <v>-33577</v>
      </c>
      <c r="G1005" s="24">
        <v>44205</v>
      </c>
      <c r="H1005" s="22" t="s">
        <v>2043</v>
      </c>
      <c r="I1005" s="22"/>
      <c r="J1005" s="22"/>
      <c r="K1005" s="22"/>
      <c r="L1005" s="22"/>
      <c r="M1005" s="22"/>
      <c r="N1005" s="22"/>
      <c r="O1005" s="22"/>
      <c r="P1005" s="22"/>
      <c r="Q1005" s="22"/>
      <c r="R1005" s="22"/>
    </row>
    <row r="1006" spans="1:18" x14ac:dyDescent="0.25">
      <c r="A1006" s="22" t="s">
        <v>2044</v>
      </c>
      <c r="B1006" s="22" t="s">
        <v>201</v>
      </c>
      <c r="C1006" s="22" t="s">
        <v>202</v>
      </c>
      <c r="D1006" s="22" t="s">
        <v>2043</v>
      </c>
      <c r="E1006" s="22" t="s">
        <v>45</v>
      </c>
      <c r="F1006" s="23">
        <v>216724</v>
      </c>
      <c r="G1006" s="24">
        <v>44205</v>
      </c>
      <c r="H1006" s="22" t="s">
        <v>2043</v>
      </c>
      <c r="I1006" s="22"/>
      <c r="J1006" s="22"/>
      <c r="K1006" s="22"/>
      <c r="L1006" s="22"/>
      <c r="M1006" s="22"/>
      <c r="N1006" s="22"/>
      <c r="O1006" s="22"/>
      <c r="P1006" s="22"/>
      <c r="Q1006" s="22"/>
      <c r="R1006" s="22"/>
    </row>
    <row r="1007" spans="1:18" s="39" customFormat="1" x14ac:dyDescent="0.25">
      <c r="A1007" s="36" t="s">
        <v>2052</v>
      </c>
      <c r="B1007" s="36" t="s">
        <v>201</v>
      </c>
      <c r="C1007" s="36" t="s">
        <v>202</v>
      </c>
      <c r="D1007" s="36" t="s">
        <v>2051</v>
      </c>
      <c r="E1007" s="36" t="s">
        <v>42</v>
      </c>
      <c r="F1007" s="37">
        <v>101507</v>
      </c>
      <c r="G1007" s="38">
        <v>44260</v>
      </c>
      <c r="H1007" s="36" t="s">
        <v>2047</v>
      </c>
      <c r="I1007" s="36" t="s">
        <v>1741</v>
      </c>
      <c r="J1007" s="36"/>
      <c r="K1007" s="36"/>
      <c r="L1007" s="36"/>
      <c r="M1007" s="36"/>
      <c r="N1007" s="36"/>
      <c r="O1007" s="36"/>
      <c r="P1007" s="36"/>
      <c r="Q1007" s="36"/>
      <c r="R1007" s="36"/>
    </row>
    <row r="1008" spans="1:18" x14ac:dyDescent="0.25">
      <c r="A1008" s="22" t="s">
        <v>2003</v>
      </c>
      <c r="B1008" s="22" t="s">
        <v>201</v>
      </c>
      <c r="C1008" s="22" t="s">
        <v>202</v>
      </c>
      <c r="D1008" s="22" t="s">
        <v>2001</v>
      </c>
      <c r="E1008" s="22" t="s">
        <v>45</v>
      </c>
      <c r="F1008" s="23">
        <v>-176292</v>
      </c>
      <c r="G1008" s="24">
        <v>44209</v>
      </c>
      <c r="H1008" s="22" t="s">
        <v>2047</v>
      </c>
      <c r="I1008" s="22" t="s">
        <v>2053</v>
      </c>
      <c r="J1008" s="22"/>
      <c r="K1008" s="22"/>
      <c r="L1008" s="22"/>
      <c r="M1008" s="22"/>
      <c r="N1008" s="22"/>
      <c r="O1008" s="22"/>
      <c r="P1008" s="22"/>
      <c r="Q1008" s="22"/>
      <c r="R1008" s="22"/>
    </row>
    <row r="1009" spans="1:18" x14ac:dyDescent="0.25">
      <c r="A1009" s="22" t="s">
        <v>2003</v>
      </c>
      <c r="B1009" s="22" t="s">
        <v>201</v>
      </c>
      <c r="C1009" s="22" t="s">
        <v>202</v>
      </c>
      <c r="D1009" s="22" t="s">
        <v>2047</v>
      </c>
      <c r="E1009" s="22" t="s">
        <v>45</v>
      </c>
      <c r="F1009" s="23">
        <v>74785</v>
      </c>
      <c r="G1009" s="24">
        <v>44209</v>
      </c>
      <c r="H1009" s="22" t="s">
        <v>2047</v>
      </c>
      <c r="I1009" s="22"/>
      <c r="J1009" s="22"/>
      <c r="K1009" s="22"/>
      <c r="L1009" s="22"/>
      <c r="M1009" s="22"/>
      <c r="N1009" s="22"/>
      <c r="O1009" s="22"/>
      <c r="P1009" s="22"/>
      <c r="Q1009" s="22"/>
      <c r="R1009" s="22"/>
    </row>
    <row r="1010" spans="1:18" s="39" customFormat="1" x14ac:dyDescent="0.25">
      <c r="A1010" s="36" t="s">
        <v>2055</v>
      </c>
      <c r="B1010" s="36" t="s">
        <v>201</v>
      </c>
      <c r="C1010" s="36" t="s">
        <v>202</v>
      </c>
      <c r="D1010" s="36" t="s">
        <v>2054</v>
      </c>
      <c r="E1010" s="36" t="s">
        <v>42</v>
      </c>
      <c r="F1010" s="37">
        <v>440568</v>
      </c>
      <c r="G1010" s="38">
        <v>44295</v>
      </c>
      <c r="H1010" s="36" t="s">
        <v>2056</v>
      </c>
      <c r="I1010" s="36" t="s">
        <v>1812</v>
      </c>
      <c r="J1010" s="36"/>
      <c r="K1010" s="36"/>
      <c r="L1010" s="36"/>
      <c r="M1010" s="36"/>
      <c r="N1010" s="36"/>
      <c r="O1010" s="36"/>
      <c r="P1010" s="36"/>
      <c r="Q1010" s="36"/>
      <c r="R1010" s="36"/>
    </row>
    <row r="1011" spans="1:18" x14ac:dyDescent="0.25">
      <c r="A1011" s="22" t="s">
        <v>2058</v>
      </c>
      <c r="B1011" s="22" t="s">
        <v>201</v>
      </c>
      <c r="C1011" s="22" t="s">
        <v>202</v>
      </c>
      <c r="D1011" s="22" t="s">
        <v>2057</v>
      </c>
      <c r="E1011" s="22" t="s">
        <v>57</v>
      </c>
      <c r="F1011" s="23">
        <v>-54578</v>
      </c>
      <c r="G1011" s="24">
        <v>44228</v>
      </c>
      <c r="H1011" s="22" t="s">
        <v>2056</v>
      </c>
      <c r="I1011" s="22" t="s">
        <v>2059</v>
      </c>
      <c r="J1011" s="22"/>
      <c r="K1011" s="22"/>
      <c r="L1011" s="22"/>
      <c r="M1011" s="22"/>
      <c r="N1011" s="22"/>
      <c r="O1011" s="22"/>
      <c r="P1011" s="22"/>
      <c r="Q1011" s="22"/>
      <c r="R1011" s="22"/>
    </row>
    <row r="1012" spans="1:18" x14ac:dyDescent="0.25">
      <c r="A1012" s="22" t="s">
        <v>2061</v>
      </c>
      <c r="B1012" s="22" t="s">
        <v>201</v>
      </c>
      <c r="C1012" s="22" t="s">
        <v>202</v>
      </c>
      <c r="D1012" s="22" t="s">
        <v>2060</v>
      </c>
      <c r="E1012" s="22" t="s">
        <v>57</v>
      </c>
      <c r="F1012" s="23">
        <v>-29200</v>
      </c>
      <c r="G1012" s="24">
        <v>44225</v>
      </c>
      <c r="H1012" s="22" t="s">
        <v>2056</v>
      </c>
      <c r="I1012" s="22" t="s">
        <v>2062</v>
      </c>
      <c r="J1012" s="22"/>
      <c r="K1012" s="22"/>
      <c r="L1012" s="22"/>
      <c r="M1012" s="22"/>
      <c r="N1012" s="22"/>
      <c r="O1012" s="22"/>
      <c r="P1012" s="22"/>
      <c r="Q1012" s="22"/>
      <c r="R1012" s="22"/>
    </row>
    <row r="1013" spans="1:18" x14ac:dyDescent="0.25">
      <c r="A1013" s="22" t="s">
        <v>2058</v>
      </c>
      <c r="B1013" s="22" t="s">
        <v>201</v>
      </c>
      <c r="C1013" s="22" t="s">
        <v>202</v>
      </c>
      <c r="D1013" s="22" t="s">
        <v>2056</v>
      </c>
      <c r="E1013" s="22" t="s">
        <v>45</v>
      </c>
      <c r="F1013" s="23">
        <v>-83018</v>
      </c>
      <c r="G1013" s="24">
        <v>44228</v>
      </c>
      <c r="H1013" s="22" t="s">
        <v>2056</v>
      </c>
      <c r="I1013" s="22"/>
      <c r="J1013" s="22"/>
      <c r="K1013" s="22"/>
      <c r="L1013" s="22"/>
      <c r="M1013" s="22"/>
      <c r="N1013" s="22"/>
      <c r="O1013" s="22"/>
      <c r="P1013" s="22"/>
      <c r="Q1013" s="22"/>
      <c r="R1013" s="22"/>
    </row>
    <row r="1014" spans="1:18" x14ac:dyDescent="0.25">
      <c r="A1014" s="22" t="s">
        <v>2058</v>
      </c>
      <c r="B1014" s="22" t="s">
        <v>201</v>
      </c>
      <c r="C1014" s="22" t="s">
        <v>202</v>
      </c>
      <c r="D1014" s="22" t="s">
        <v>2056</v>
      </c>
      <c r="E1014" s="22" t="s">
        <v>45</v>
      </c>
      <c r="F1014" s="23">
        <v>83778</v>
      </c>
      <c r="G1014" s="24">
        <v>44228</v>
      </c>
      <c r="H1014" s="22" t="s">
        <v>2056</v>
      </c>
      <c r="I1014" s="22"/>
      <c r="J1014" s="22"/>
      <c r="K1014" s="22"/>
      <c r="L1014" s="22"/>
      <c r="M1014" s="22"/>
      <c r="N1014" s="22"/>
      <c r="O1014" s="22"/>
      <c r="P1014" s="22"/>
      <c r="Q1014" s="22"/>
      <c r="R1014" s="22"/>
    </row>
    <row r="1015" spans="1:18" x14ac:dyDescent="0.25">
      <c r="A1015" s="22" t="s">
        <v>1990</v>
      </c>
      <c r="B1015" s="22" t="s">
        <v>201</v>
      </c>
      <c r="C1015" s="22" t="s">
        <v>202</v>
      </c>
      <c r="D1015" s="22" t="s">
        <v>1989</v>
      </c>
      <c r="E1015" s="22" t="s">
        <v>45</v>
      </c>
      <c r="F1015" s="23">
        <v>-27750</v>
      </c>
      <c r="G1015" s="24">
        <v>44207</v>
      </c>
      <c r="H1015" s="22" t="s">
        <v>2056</v>
      </c>
      <c r="I1015" s="22" t="s">
        <v>2063</v>
      </c>
      <c r="J1015" s="22"/>
      <c r="K1015" s="22"/>
      <c r="L1015" s="22"/>
      <c r="M1015" s="22"/>
      <c r="N1015" s="22"/>
      <c r="O1015" s="22"/>
      <c r="P1015" s="22"/>
      <c r="Q1015" s="22"/>
      <c r="R1015" s="22"/>
    </row>
    <row r="1016" spans="1:18" x14ac:dyDescent="0.25">
      <c r="A1016" s="22" t="s">
        <v>2065</v>
      </c>
      <c r="B1016" s="22" t="s">
        <v>201</v>
      </c>
      <c r="C1016" s="22" t="s">
        <v>202</v>
      </c>
      <c r="D1016" s="22" t="s">
        <v>2064</v>
      </c>
      <c r="E1016" s="22" t="s">
        <v>57</v>
      </c>
      <c r="F1016" s="23">
        <v>-329800</v>
      </c>
      <c r="G1016" s="24">
        <v>44219</v>
      </c>
      <c r="H1016" s="22" t="s">
        <v>2056</v>
      </c>
      <c r="I1016" s="22" t="s">
        <v>2066</v>
      </c>
      <c r="J1016" s="22"/>
      <c r="K1016" s="22"/>
      <c r="L1016" s="22"/>
      <c r="M1016" s="22"/>
      <c r="N1016" s="22"/>
      <c r="O1016" s="22"/>
      <c r="P1016" s="22"/>
      <c r="Q1016" s="22"/>
      <c r="R1016" s="22"/>
    </row>
    <row r="1017" spans="1:18" s="39" customFormat="1" x14ac:dyDescent="0.25">
      <c r="A1017" s="36" t="s">
        <v>2068</v>
      </c>
      <c r="B1017" s="36" t="s">
        <v>201</v>
      </c>
      <c r="C1017" s="36" t="s">
        <v>202</v>
      </c>
      <c r="D1017" s="36" t="s">
        <v>2067</v>
      </c>
      <c r="E1017" s="36" t="s">
        <v>42</v>
      </c>
      <c r="F1017" s="37">
        <v>1007721</v>
      </c>
      <c r="G1017" s="38">
        <v>44260</v>
      </c>
      <c r="H1017" s="36" t="s">
        <v>2069</v>
      </c>
      <c r="I1017" s="36" t="s">
        <v>1741</v>
      </c>
      <c r="J1017" s="36"/>
      <c r="K1017" s="36"/>
      <c r="L1017" s="36"/>
      <c r="M1017" s="36"/>
      <c r="N1017" s="36"/>
      <c r="O1017" s="36"/>
      <c r="P1017" s="36"/>
      <c r="Q1017" s="36"/>
      <c r="R1017" s="36"/>
    </row>
    <row r="1018" spans="1:18" x14ac:dyDescent="0.25">
      <c r="A1018" s="22" t="s">
        <v>2070</v>
      </c>
      <c r="B1018" s="22" t="s">
        <v>201</v>
      </c>
      <c r="C1018" s="22" t="s">
        <v>202</v>
      </c>
      <c r="D1018" s="22" t="s">
        <v>2069</v>
      </c>
      <c r="E1018" s="22" t="s">
        <v>45</v>
      </c>
      <c r="F1018" s="23">
        <v>1321634</v>
      </c>
      <c r="G1018" s="24">
        <v>44216</v>
      </c>
      <c r="H1018" s="22" t="s">
        <v>2069</v>
      </c>
      <c r="I1018" s="22"/>
      <c r="J1018" s="22"/>
      <c r="K1018" s="22"/>
      <c r="L1018" s="22"/>
      <c r="M1018" s="22"/>
      <c r="N1018" s="22"/>
      <c r="O1018" s="22"/>
      <c r="P1018" s="22"/>
      <c r="Q1018" s="22"/>
      <c r="R1018" s="22"/>
    </row>
    <row r="1019" spans="1:18" x14ac:dyDescent="0.25">
      <c r="A1019" s="22" t="s">
        <v>2070</v>
      </c>
      <c r="B1019" s="22" t="s">
        <v>201</v>
      </c>
      <c r="C1019" s="22" t="s">
        <v>202</v>
      </c>
      <c r="D1019" s="22" t="s">
        <v>2071</v>
      </c>
      <c r="E1019" s="22" t="s">
        <v>57</v>
      </c>
      <c r="F1019" s="23">
        <v>-2329355</v>
      </c>
      <c r="G1019" s="24">
        <v>44216</v>
      </c>
      <c r="H1019" s="22" t="s">
        <v>2069</v>
      </c>
      <c r="I1019" s="22" t="s">
        <v>1992</v>
      </c>
      <c r="J1019" s="22"/>
      <c r="K1019" s="22"/>
      <c r="L1019" s="22"/>
      <c r="M1019" s="22"/>
      <c r="N1019" s="22"/>
      <c r="O1019" s="22"/>
      <c r="P1019" s="22"/>
      <c r="Q1019" s="22"/>
      <c r="R1019" s="22"/>
    </row>
    <row r="1020" spans="1:18" x14ac:dyDescent="0.25">
      <c r="A1020" s="22" t="s">
        <v>2074</v>
      </c>
      <c r="B1020" s="22" t="s">
        <v>201</v>
      </c>
      <c r="C1020" s="22" t="s">
        <v>202</v>
      </c>
      <c r="D1020" s="22" t="s">
        <v>2072</v>
      </c>
      <c r="E1020" s="22" t="s">
        <v>2073</v>
      </c>
      <c r="F1020" s="23">
        <v>-27971</v>
      </c>
      <c r="G1020" s="24">
        <v>43882</v>
      </c>
      <c r="H1020" s="22" t="s">
        <v>2028</v>
      </c>
      <c r="I1020" s="22" t="s">
        <v>2075</v>
      </c>
      <c r="J1020" s="22"/>
      <c r="K1020" s="22"/>
      <c r="L1020" s="22"/>
      <c r="M1020" s="22"/>
      <c r="N1020" s="22"/>
      <c r="O1020" s="22"/>
      <c r="P1020" s="22"/>
      <c r="Q1020" s="22"/>
      <c r="R1020" s="22"/>
    </row>
    <row r="1021" spans="1:18" x14ac:dyDescent="0.25">
      <c r="A1021" s="22" t="s">
        <v>2077</v>
      </c>
      <c r="B1021" s="22" t="s">
        <v>201</v>
      </c>
      <c r="C1021" s="22" t="s">
        <v>202</v>
      </c>
      <c r="D1021" s="22" t="s">
        <v>2076</v>
      </c>
      <c r="E1021" s="22" t="s">
        <v>57</v>
      </c>
      <c r="F1021" s="23">
        <v>-615</v>
      </c>
      <c r="G1021" s="24">
        <v>44078</v>
      </c>
      <c r="H1021" s="22" t="s">
        <v>2078</v>
      </c>
      <c r="I1021" s="22" t="s">
        <v>2079</v>
      </c>
      <c r="J1021" s="22"/>
      <c r="K1021" s="22"/>
      <c r="L1021" s="22"/>
      <c r="M1021" s="22"/>
      <c r="N1021" s="22"/>
      <c r="O1021" s="22"/>
      <c r="P1021" s="22"/>
      <c r="Q1021" s="22"/>
      <c r="R1021" s="22"/>
    </row>
    <row r="1022" spans="1:18" x14ac:dyDescent="0.25">
      <c r="A1022" s="22" t="s">
        <v>2081</v>
      </c>
      <c r="B1022" s="22" t="s">
        <v>201</v>
      </c>
      <c r="C1022" s="22" t="s">
        <v>202</v>
      </c>
      <c r="D1022" s="22" t="s">
        <v>2080</v>
      </c>
      <c r="E1022" s="22" t="s">
        <v>588</v>
      </c>
      <c r="F1022" s="23">
        <v>-314045</v>
      </c>
      <c r="G1022" s="24">
        <v>44095</v>
      </c>
      <c r="H1022" s="22" t="s">
        <v>2082</v>
      </c>
      <c r="I1022" s="22" t="s">
        <v>2083</v>
      </c>
      <c r="J1022" s="22"/>
      <c r="K1022" s="22"/>
      <c r="L1022" s="22"/>
      <c r="M1022" s="22"/>
      <c r="N1022" s="22"/>
      <c r="O1022" s="22"/>
      <c r="P1022" s="22"/>
      <c r="Q1022" s="22"/>
      <c r="R1022" s="22"/>
    </row>
    <row r="1023" spans="1:18" x14ac:dyDescent="0.25">
      <c r="A1023" s="22" t="s">
        <v>2084</v>
      </c>
      <c r="B1023" s="22" t="s">
        <v>201</v>
      </c>
      <c r="C1023" s="22" t="s">
        <v>202</v>
      </c>
      <c r="D1023" s="22" t="s">
        <v>2082</v>
      </c>
      <c r="E1023" s="22" t="s">
        <v>45</v>
      </c>
      <c r="F1023" s="23">
        <v>476171</v>
      </c>
      <c r="G1023" s="24">
        <v>44232</v>
      </c>
      <c r="H1023" s="22" t="s">
        <v>2082</v>
      </c>
      <c r="I1023" s="22" t="s">
        <v>2085</v>
      </c>
      <c r="J1023" s="22"/>
      <c r="K1023" s="22"/>
      <c r="L1023" s="22"/>
      <c r="M1023" s="22"/>
      <c r="N1023" s="22"/>
      <c r="O1023" s="22"/>
      <c r="P1023" s="22"/>
      <c r="Q1023" s="22"/>
      <c r="R1023" s="22"/>
    </row>
    <row r="1024" spans="1:18" x14ac:dyDescent="0.25">
      <c r="A1024" s="22" t="s">
        <v>2084</v>
      </c>
      <c r="B1024" s="22" t="s">
        <v>201</v>
      </c>
      <c r="C1024" s="22" t="s">
        <v>202</v>
      </c>
      <c r="D1024" s="22" t="s">
        <v>2082</v>
      </c>
      <c r="E1024" s="22" t="s">
        <v>45</v>
      </c>
      <c r="F1024" s="23">
        <v>-637161</v>
      </c>
      <c r="G1024" s="24">
        <v>44232</v>
      </c>
      <c r="H1024" s="22" t="s">
        <v>2082</v>
      </c>
      <c r="I1024" s="22" t="s">
        <v>2085</v>
      </c>
      <c r="J1024" s="22"/>
      <c r="K1024" s="22"/>
      <c r="L1024" s="22"/>
      <c r="M1024" s="22"/>
      <c r="N1024" s="22"/>
      <c r="O1024" s="22"/>
      <c r="P1024" s="22"/>
      <c r="Q1024" s="22"/>
      <c r="R1024" s="22"/>
    </row>
    <row r="1025" spans="1:18" x14ac:dyDescent="0.25">
      <c r="A1025" s="22" t="s">
        <v>2084</v>
      </c>
      <c r="B1025" s="22" t="s">
        <v>201</v>
      </c>
      <c r="C1025" s="22" t="s">
        <v>202</v>
      </c>
      <c r="D1025" s="22" t="s">
        <v>2082</v>
      </c>
      <c r="E1025" s="22" t="s">
        <v>45</v>
      </c>
      <c r="F1025" s="23">
        <v>160990</v>
      </c>
      <c r="G1025" s="24">
        <v>44232</v>
      </c>
      <c r="H1025" s="22" t="s">
        <v>2082</v>
      </c>
      <c r="I1025" s="22" t="s">
        <v>2085</v>
      </c>
      <c r="J1025" s="22"/>
      <c r="K1025" s="22"/>
      <c r="L1025" s="22"/>
      <c r="M1025" s="22"/>
      <c r="N1025" s="22"/>
      <c r="O1025" s="22"/>
      <c r="P1025" s="22"/>
      <c r="Q1025" s="22"/>
      <c r="R1025" s="22"/>
    </row>
    <row r="1026" spans="1:18" s="39" customFormat="1" x14ac:dyDescent="0.25">
      <c r="A1026" s="36" t="s">
        <v>2087</v>
      </c>
      <c r="B1026" s="36" t="s">
        <v>201</v>
      </c>
      <c r="C1026" s="36" t="s">
        <v>202</v>
      </c>
      <c r="D1026" s="36" t="s">
        <v>2086</v>
      </c>
      <c r="E1026" s="36" t="s">
        <v>42</v>
      </c>
      <c r="F1026" s="37">
        <v>80495</v>
      </c>
      <c r="G1026" s="38">
        <v>44232</v>
      </c>
      <c r="H1026" s="36" t="s">
        <v>2082</v>
      </c>
      <c r="I1026" s="36" t="s">
        <v>1886</v>
      </c>
      <c r="J1026" s="36"/>
      <c r="K1026" s="36"/>
      <c r="L1026" s="36"/>
      <c r="M1026" s="36"/>
      <c r="N1026" s="36"/>
      <c r="O1026" s="36"/>
      <c r="P1026" s="36"/>
      <c r="Q1026" s="36"/>
      <c r="R1026" s="36"/>
    </row>
    <row r="1027" spans="1:18" s="39" customFormat="1" x14ac:dyDescent="0.25">
      <c r="A1027" s="36" t="s">
        <v>2089</v>
      </c>
      <c r="B1027" s="36" t="s">
        <v>201</v>
      </c>
      <c r="C1027" s="36" t="s">
        <v>202</v>
      </c>
      <c r="D1027" s="36" t="s">
        <v>2088</v>
      </c>
      <c r="E1027" s="36" t="s">
        <v>42</v>
      </c>
      <c r="F1027" s="37">
        <v>738566</v>
      </c>
      <c r="G1027" s="38">
        <v>44214</v>
      </c>
      <c r="H1027" s="36" t="s">
        <v>2082</v>
      </c>
      <c r="I1027" s="36" t="s">
        <v>1741</v>
      </c>
      <c r="J1027" s="36"/>
      <c r="K1027" s="36"/>
      <c r="L1027" s="36"/>
      <c r="M1027" s="36"/>
      <c r="N1027" s="36"/>
      <c r="O1027" s="36"/>
      <c r="P1027" s="36"/>
      <c r="Q1027" s="36"/>
      <c r="R1027" s="36"/>
    </row>
    <row r="1028" spans="1:18" x14ac:dyDescent="0.25">
      <c r="A1028" s="22" t="s">
        <v>2036</v>
      </c>
      <c r="B1028" s="22" t="s">
        <v>201</v>
      </c>
      <c r="C1028" s="22" t="s">
        <v>202</v>
      </c>
      <c r="D1028" s="22" t="s">
        <v>2035</v>
      </c>
      <c r="E1028" s="22" t="s">
        <v>57</v>
      </c>
      <c r="F1028" s="23">
        <v>-48226</v>
      </c>
      <c r="G1028" s="24">
        <v>43887</v>
      </c>
      <c r="H1028" s="22" t="s">
        <v>2082</v>
      </c>
      <c r="I1028" s="22" t="s">
        <v>2031</v>
      </c>
      <c r="J1028" s="22"/>
      <c r="K1028" s="22"/>
      <c r="L1028" s="22"/>
      <c r="M1028" s="22"/>
      <c r="N1028" s="22"/>
      <c r="O1028" s="22"/>
      <c r="P1028" s="22"/>
      <c r="Q1028" s="22"/>
      <c r="R1028" s="22"/>
    </row>
    <row r="1029" spans="1:18" x14ac:dyDescent="0.25">
      <c r="A1029" s="22" t="s">
        <v>2091</v>
      </c>
      <c r="B1029" s="22" t="s">
        <v>201</v>
      </c>
      <c r="C1029" s="22" t="s">
        <v>202</v>
      </c>
      <c r="D1029" s="22" t="s">
        <v>2090</v>
      </c>
      <c r="E1029" s="22" t="s">
        <v>57</v>
      </c>
      <c r="F1029" s="23">
        <v>-113900</v>
      </c>
      <c r="G1029" s="24">
        <v>43886</v>
      </c>
      <c r="H1029" s="22" t="s">
        <v>2082</v>
      </c>
      <c r="I1029" s="22" t="s">
        <v>2092</v>
      </c>
      <c r="J1029" s="22"/>
      <c r="K1029" s="22"/>
      <c r="L1029" s="22"/>
      <c r="M1029" s="22"/>
      <c r="N1029" s="22"/>
      <c r="O1029" s="22"/>
      <c r="P1029" s="22"/>
      <c r="Q1029" s="22"/>
      <c r="R1029" s="22"/>
    </row>
    <row r="1030" spans="1:18" x14ac:dyDescent="0.25">
      <c r="A1030" s="22" t="s">
        <v>2094</v>
      </c>
      <c r="B1030" s="22" t="s">
        <v>201</v>
      </c>
      <c r="C1030" s="22" t="s">
        <v>202</v>
      </c>
      <c r="D1030" s="22" t="s">
        <v>2093</v>
      </c>
      <c r="E1030" s="22" t="s">
        <v>57</v>
      </c>
      <c r="F1030" s="23">
        <v>-160990</v>
      </c>
      <c r="G1030" s="24">
        <v>44174</v>
      </c>
      <c r="H1030" s="22" t="s">
        <v>2082</v>
      </c>
      <c r="I1030" s="22" t="s">
        <v>2095</v>
      </c>
      <c r="J1030" s="22"/>
      <c r="K1030" s="22"/>
      <c r="L1030" s="22"/>
      <c r="M1030" s="22"/>
      <c r="N1030" s="22"/>
      <c r="O1030" s="22"/>
      <c r="P1030" s="22"/>
      <c r="Q1030" s="22"/>
      <c r="R1030" s="22"/>
    </row>
    <row r="1031" spans="1:18" x14ac:dyDescent="0.25">
      <c r="A1031" s="22" t="s">
        <v>2097</v>
      </c>
      <c r="B1031" s="22" t="s">
        <v>201</v>
      </c>
      <c r="C1031" s="22" t="s">
        <v>202</v>
      </c>
      <c r="D1031" s="22" t="s">
        <v>2096</v>
      </c>
      <c r="E1031" s="22" t="s">
        <v>57</v>
      </c>
      <c r="F1031" s="23">
        <v>-181900</v>
      </c>
      <c r="G1031" s="24">
        <v>44103</v>
      </c>
      <c r="H1031" s="22" t="s">
        <v>2082</v>
      </c>
      <c r="I1031" s="22" t="s">
        <v>2098</v>
      </c>
      <c r="J1031" s="22"/>
      <c r="K1031" s="22"/>
      <c r="L1031" s="22"/>
      <c r="M1031" s="22"/>
      <c r="N1031" s="22"/>
      <c r="O1031" s="22"/>
      <c r="P1031" s="22"/>
      <c r="Q1031" s="22"/>
      <c r="R1031" s="22"/>
    </row>
    <row r="1032" spans="1:18" s="39" customFormat="1" x14ac:dyDescent="0.25">
      <c r="A1032" s="36" t="s">
        <v>2100</v>
      </c>
      <c r="B1032" s="36" t="s">
        <v>201</v>
      </c>
      <c r="C1032" s="36" t="s">
        <v>202</v>
      </c>
      <c r="D1032" s="36" t="s">
        <v>2099</v>
      </c>
      <c r="E1032" s="36" t="s">
        <v>42</v>
      </c>
      <c r="F1032" s="37">
        <v>26429</v>
      </c>
      <c r="G1032" s="38">
        <v>44232</v>
      </c>
      <c r="H1032" s="36" t="s">
        <v>2101</v>
      </c>
      <c r="I1032" s="36" t="s">
        <v>1886</v>
      </c>
      <c r="J1032" s="36"/>
      <c r="K1032" s="36"/>
      <c r="L1032" s="36"/>
      <c r="M1032" s="36"/>
      <c r="N1032" s="36"/>
      <c r="O1032" s="36"/>
      <c r="P1032" s="36"/>
      <c r="Q1032" s="36"/>
      <c r="R1032" s="36"/>
    </row>
    <row r="1033" spans="1:18" x14ac:dyDescent="0.25">
      <c r="A1033" s="22" t="s">
        <v>2074</v>
      </c>
      <c r="B1033" s="22" t="s">
        <v>201</v>
      </c>
      <c r="C1033" s="22" t="s">
        <v>202</v>
      </c>
      <c r="D1033" s="22" t="s">
        <v>2072</v>
      </c>
      <c r="E1033" s="22" t="s">
        <v>2073</v>
      </c>
      <c r="F1033" s="23">
        <v>-26429</v>
      </c>
      <c r="G1033" s="24">
        <v>43882</v>
      </c>
      <c r="H1033" s="22" t="s">
        <v>2101</v>
      </c>
      <c r="I1033" s="22" t="s">
        <v>2102</v>
      </c>
      <c r="J1033" s="22"/>
      <c r="K1033" s="22"/>
      <c r="L1033" s="22"/>
      <c r="M1033" s="22"/>
      <c r="N1033" s="22"/>
      <c r="O1033" s="22"/>
      <c r="P1033" s="22"/>
      <c r="Q1033" s="22"/>
      <c r="R1033" s="22"/>
    </row>
    <row r="1034" spans="1:18" x14ac:dyDescent="0.25">
      <c r="A1034" s="22" t="s">
        <v>2100</v>
      </c>
      <c r="B1034" s="22" t="s">
        <v>201</v>
      </c>
      <c r="C1034" s="22" t="s">
        <v>202</v>
      </c>
      <c r="D1034" s="22" t="s">
        <v>2101</v>
      </c>
      <c r="E1034" s="22" t="s">
        <v>45</v>
      </c>
      <c r="F1034" s="23">
        <v>26429</v>
      </c>
      <c r="G1034" s="24">
        <v>44232</v>
      </c>
      <c r="H1034" s="22" t="s">
        <v>2101</v>
      </c>
      <c r="I1034" s="22" t="s">
        <v>2103</v>
      </c>
      <c r="J1034" s="22"/>
      <c r="K1034" s="22"/>
      <c r="L1034" s="22"/>
      <c r="M1034" s="22"/>
      <c r="N1034" s="22"/>
      <c r="O1034" s="22"/>
      <c r="P1034" s="22"/>
      <c r="Q1034" s="22"/>
      <c r="R1034" s="22"/>
    </row>
    <row r="1035" spans="1:18" x14ac:dyDescent="0.25">
      <c r="A1035" s="22" t="s">
        <v>2100</v>
      </c>
      <c r="B1035" s="22" t="s">
        <v>201</v>
      </c>
      <c r="C1035" s="22" t="s">
        <v>202</v>
      </c>
      <c r="D1035" s="22" t="s">
        <v>2101</v>
      </c>
      <c r="E1035" s="22" t="s">
        <v>45</v>
      </c>
      <c r="F1035" s="23">
        <v>-26429</v>
      </c>
      <c r="G1035" s="24">
        <v>44232</v>
      </c>
      <c r="H1035" s="22" t="s">
        <v>2101</v>
      </c>
      <c r="I1035" s="22" t="s">
        <v>2103</v>
      </c>
      <c r="J1035" s="22"/>
      <c r="K1035" s="22"/>
      <c r="L1035" s="22"/>
      <c r="M1035" s="22"/>
      <c r="N1035" s="22"/>
      <c r="O1035" s="22"/>
      <c r="P1035" s="22"/>
      <c r="Q1035" s="22"/>
      <c r="R1035" s="22"/>
    </row>
    <row r="1036" spans="1:18" s="39" customFormat="1" x14ac:dyDescent="0.25">
      <c r="A1036" s="36" t="s">
        <v>2105</v>
      </c>
      <c r="B1036" s="36" t="s">
        <v>201</v>
      </c>
      <c r="C1036" s="36" t="s">
        <v>202</v>
      </c>
      <c r="D1036" s="36" t="s">
        <v>2104</v>
      </c>
      <c r="E1036" s="36" t="s">
        <v>42</v>
      </c>
      <c r="F1036" s="37">
        <v>51900</v>
      </c>
      <c r="G1036" s="38">
        <v>44214</v>
      </c>
      <c r="H1036" s="36" t="s">
        <v>2106</v>
      </c>
      <c r="I1036" s="36" t="s">
        <v>1741</v>
      </c>
      <c r="J1036" s="36"/>
      <c r="K1036" s="36"/>
      <c r="L1036" s="36"/>
      <c r="M1036" s="36"/>
      <c r="N1036" s="36"/>
      <c r="O1036" s="36"/>
      <c r="P1036" s="36"/>
      <c r="Q1036" s="36"/>
      <c r="R1036" s="36"/>
    </row>
    <row r="1037" spans="1:18" x14ac:dyDescent="0.25">
      <c r="A1037" s="22" t="s">
        <v>2105</v>
      </c>
      <c r="B1037" s="22" t="s">
        <v>201</v>
      </c>
      <c r="C1037" s="22" t="s">
        <v>202</v>
      </c>
      <c r="D1037" s="22" t="s">
        <v>2106</v>
      </c>
      <c r="E1037" s="22" t="s">
        <v>45</v>
      </c>
      <c r="F1037" s="23">
        <v>-51900</v>
      </c>
      <c r="G1037" s="24">
        <v>44214</v>
      </c>
      <c r="H1037" s="22" t="s">
        <v>2106</v>
      </c>
      <c r="I1037" s="22" t="s">
        <v>2103</v>
      </c>
      <c r="J1037" s="22"/>
      <c r="K1037" s="22"/>
      <c r="L1037" s="22"/>
      <c r="M1037" s="22"/>
      <c r="N1037" s="22"/>
      <c r="O1037" s="22"/>
      <c r="P1037" s="22"/>
      <c r="Q1037" s="22"/>
      <c r="R1037" s="22"/>
    </row>
    <row r="1038" spans="1:18" x14ac:dyDescent="0.25">
      <c r="A1038" s="22" t="s">
        <v>2105</v>
      </c>
      <c r="B1038" s="22" t="s">
        <v>201</v>
      </c>
      <c r="C1038" s="22" t="s">
        <v>202</v>
      </c>
      <c r="D1038" s="22" t="s">
        <v>2106</v>
      </c>
      <c r="E1038" s="22" t="s">
        <v>45</v>
      </c>
      <c r="F1038" s="23">
        <v>51900</v>
      </c>
      <c r="G1038" s="24">
        <v>44214</v>
      </c>
      <c r="H1038" s="22" t="s">
        <v>2106</v>
      </c>
      <c r="I1038" s="22" t="s">
        <v>2103</v>
      </c>
      <c r="J1038" s="22"/>
      <c r="K1038" s="22"/>
      <c r="L1038" s="22"/>
      <c r="M1038" s="22"/>
      <c r="N1038" s="22"/>
      <c r="O1038" s="22"/>
      <c r="P1038" s="22"/>
      <c r="Q1038" s="22"/>
      <c r="R1038" s="22"/>
    </row>
    <row r="1039" spans="1:18" x14ac:dyDescent="0.25">
      <c r="A1039" s="22" t="s">
        <v>2108</v>
      </c>
      <c r="B1039" s="22" t="s">
        <v>201</v>
      </c>
      <c r="C1039" s="22" t="s">
        <v>202</v>
      </c>
      <c r="D1039" s="22" t="s">
        <v>2107</v>
      </c>
      <c r="E1039" s="22" t="s">
        <v>57</v>
      </c>
      <c r="F1039" s="23">
        <v>-51900</v>
      </c>
      <c r="G1039" s="24">
        <v>44153</v>
      </c>
      <c r="H1039" s="22" t="s">
        <v>2106</v>
      </c>
      <c r="I1039" s="22" t="s">
        <v>839</v>
      </c>
      <c r="J1039" s="22"/>
      <c r="K1039" s="22"/>
      <c r="L1039" s="22"/>
      <c r="M1039" s="22"/>
      <c r="N1039" s="22"/>
      <c r="O1039" s="22"/>
      <c r="P1039" s="22"/>
      <c r="Q1039" s="22"/>
      <c r="R1039" s="22"/>
    </row>
    <row r="1040" spans="1:18" s="39" customFormat="1" x14ac:dyDescent="0.25">
      <c r="A1040" s="36" t="s">
        <v>2110</v>
      </c>
      <c r="B1040" s="36" t="s">
        <v>201</v>
      </c>
      <c r="C1040" s="36" t="s">
        <v>202</v>
      </c>
      <c r="D1040" s="36" t="s">
        <v>2109</v>
      </c>
      <c r="E1040" s="36" t="s">
        <v>42</v>
      </c>
      <c r="F1040" s="37">
        <v>230691</v>
      </c>
      <c r="G1040" s="38">
        <v>44214</v>
      </c>
      <c r="H1040" s="36" t="s">
        <v>2111</v>
      </c>
      <c r="I1040" s="36" t="s">
        <v>1741</v>
      </c>
      <c r="J1040" s="36"/>
      <c r="K1040" s="36"/>
      <c r="L1040" s="36"/>
      <c r="M1040" s="36"/>
      <c r="N1040" s="36"/>
      <c r="O1040" s="36"/>
      <c r="P1040" s="36"/>
      <c r="Q1040" s="36"/>
      <c r="R1040" s="36"/>
    </row>
    <row r="1041" spans="1:18" x14ac:dyDescent="0.25">
      <c r="A1041" s="22" t="s">
        <v>2113</v>
      </c>
      <c r="B1041" s="22" t="s">
        <v>201</v>
      </c>
      <c r="C1041" s="22" t="s">
        <v>202</v>
      </c>
      <c r="D1041" s="22" t="s">
        <v>2112</v>
      </c>
      <c r="E1041" s="22" t="s">
        <v>57</v>
      </c>
      <c r="F1041" s="23">
        <v>-207985</v>
      </c>
      <c r="G1041" s="24">
        <v>43977</v>
      </c>
      <c r="H1041" s="22" t="s">
        <v>2111</v>
      </c>
      <c r="I1041" s="22" t="s">
        <v>2114</v>
      </c>
      <c r="J1041" s="22"/>
      <c r="K1041" s="22"/>
      <c r="L1041" s="22"/>
      <c r="M1041" s="22"/>
      <c r="N1041" s="22"/>
      <c r="O1041" s="22"/>
      <c r="P1041" s="22"/>
      <c r="Q1041" s="22"/>
      <c r="R1041" s="22"/>
    </row>
    <row r="1042" spans="1:18" x14ac:dyDescent="0.25">
      <c r="A1042" s="22" t="s">
        <v>2115</v>
      </c>
      <c r="B1042" s="22" t="s">
        <v>201</v>
      </c>
      <c r="C1042" s="22" t="s">
        <v>202</v>
      </c>
      <c r="D1042" s="22" t="s">
        <v>2111</v>
      </c>
      <c r="E1042" s="22" t="s">
        <v>45</v>
      </c>
      <c r="F1042" s="23">
        <v>22706</v>
      </c>
      <c r="G1042" s="24">
        <v>44226</v>
      </c>
      <c r="H1042" s="22" t="s">
        <v>2111</v>
      </c>
      <c r="I1042" s="22" t="s">
        <v>2116</v>
      </c>
      <c r="J1042" s="22"/>
      <c r="K1042" s="22"/>
      <c r="L1042" s="22"/>
      <c r="M1042" s="22"/>
      <c r="N1042" s="22"/>
      <c r="O1042" s="22"/>
      <c r="P1042" s="22"/>
      <c r="Q1042" s="22"/>
      <c r="R1042" s="22"/>
    </row>
    <row r="1043" spans="1:18" x14ac:dyDescent="0.25">
      <c r="A1043" s="22" t="s">
        <v>2115</v>
      </c>
      <c r="B1043" s="22" t="s">
        <v>201</v>
      </c>
      <c r="C1043" s="22" t="s">
        <v>202</v>
      </c>
      <c r="D1043" s="22" t="s">
        <v>2111</v>
      </c>
      <c r="E1043" s="22" t="s">
        <v>45</v>
      </c>
      <c r="F1043" s="23">
        <v>-22706</v>
      </c>
      <c r="G1043" s="24">
        <v>44226</v>
      </c>
      <c r="H1043" s="22" t="s">
        <v>2111</v>
      </c>
      <c r="I1043" s="22" t="s">
        <v>2116</v>
      </c>
      <c r="J1043" s="22"/>
      <c r="K1043" s="22"/>
      <c r="L1043" s="22"/>
      <c r="M1043" s="22"/>
      <c r="N1043" s="22"/>
      <c r="O1043" s="22"/>
      <c r="P1043" s="22"/>
      <c r="Q1043" s="22"/>
      <c r="R1043" s="22"/>
    </row>
    <row r="1044" spans="1:18" x14ac:dyDescent="0.25">
      <c r="A1044" s="22" t="s">
        <v>2118</v>
      </c>
      <c r="B1044" s="22" t="s">
        <v>201</v>
      </c>
      <c r="C1044" s="22" t="s">
        <v>202</v>
      </c>
      <c r="D1044" s="22" t="s">
        <v>2117</v>
      </c>
      <c r="E1044" s="22" t="s">
        <v>57</v>
      </c>
      <c r="F1044" s="23">
        <v>-22706</v>
      </c>
      <c r="G1044" s="24">
        <v>43874</v>
      </c>
      <c r="H1044" s="22" t="s">
        <v>2111</v>
      </c>
      <c r="I1044" s="22" t="s">
        <v>2119</v>
      </c>
      <c r="J1044" s="22"/>
      <c r="K1044" s="22"/>
      <c r="L1044" s="22"/>
      <c r="M1044" s="22"/>
      <c r="N1044" s="22"/>
      <c r="O1044" s="22"/>
      <c r="P1044" s="22"/>
      <c r="Q1044" s="22"/>
      <c r="R1044" s="22"/>
    </row>
    <row r="1045" spans="1:18" x14ac:dyDescent="0.25">
      <c r="A1045" s="22" t="s">
        <v>2121</v>
      </c>
      <c r="B1045" s="22" t="s">
        <v>201</v>
      </c>
      <c r="C1045" s="22" t="s">
        <v>202</v>
      </c>
      <c r="D1045" s="22" t="s">
        <v>2120</v>
      </c>
      <c r="E1045" s="22" t="s">
        <v>2073</v>
      </c>
      <c r="F1045" s="23">
        <v>-7500</v>
      </c>
      <c r="G1045" s="24">
        <v>43886</v>
      </c>
      <c r="H1045" s="22" t="s">
        <v>2028</v>
      </c>
      <c r="I1045" s="22" t="s">
        <v>2122</v>
      </c>
      <c r="J1045" s="22"/>
      <c r="K1045" s="22"/>
      <c r="L1045" s="22"/>
      <c r="M1045" s="22"/>
      <c r="N1045" s="22"/>
      <c r="O1045" s="22"/>
      <c r="P1045" s="22"/>
      <c r="Q1045" s="22"/>
      <c r="R1045" s="22"/>
    </row>
    <row r="1046" spans="1:18" x14ac:dyDescent="0.25">
      <c r="A1046" s="22" t="s">
        <v>2124</v>
      </c>
      <c r="B1046" s="22" t="s">
        <v>201</v>
      </c>
      <c r="C1046" s="22" t="s">
        <v>202</v>
      </c>
      <c r="D1046" s="22" t="s">
        <v>2123</v>
      </c>
      <c r="E1046" s="22" t="s">
        <v>2073</v>
      </c>
      <c r="F1046" s="23">
        <v>-28573</v>
      </c>
      <c r="G1046" s="24">
        <v>43878</v>
      </c>
      <c r="H1046" s="22" t="s">
        <v>2028</v>
      </c>
      <c r="I1046" s="22" t="s">
        <v>2122</v>
      </c>
      <c r="J1046" s="22"/>
      <c r="K1046" s="22"/>
      <c r="L1046" s="22"/>
      <c r="M1046" s="22"/>
      <c r="N1046" s="22"/>
      <c r="O1046" s="22"/>
      <c r="P1046" s="22"/>
      <c r="Q1046" s="22"/>
      <c r="R1046" s="22"/>
    </row>
    <row r="1047" spans="1:18" x14ac:dyDescent="0.25">
      <c r="A1047" s="22" t="s">
        <v>2126</v>
      </c>
      <c r="B1047" s="22" t="s">
        <v>201</v>
      </c>
      <c r="C1047" s="22" t="s">
        <v>202</v>
      </c>
      <c r="D1047" s="22" t="s">
        <v>2125</v>
      </c>
      <c r="E1047" s="22" t="s">
        <v>57</v>
      </c>
      <c r="F1047" s="23">
        <v>-98900</v>
      </c>
      <c r="G1047" s="24">
        <v>43893</v>
      </c>
      <c r="H1047" s="22" t="s">
        <v>2028</v>
      </c>
      <c r="I1047" s="22" t="s">
        <v>2127</v>
      </c>
      <c r="J1047" s="22"/>
      <c r="K1047" s="22"/>
      <c r="L1047" s="22"/>
      <c r="M1047" s="22"/>
      <c r="N1047" s="22"/>
      <c r="O1047" s="22"/>
      <c r="P1047" s="22"/>
      <c r="Q1047" s="22"/>
      <c r="R1047" s="22"/>
    </row>
    <row r="1048" spans="1:18" x14ac:dyDescent="0.25">
      <c r="A1048" s="22" t="s">
        <v>2027</v>
      </c>
      <c r="B1048" s="22" t="s">
        <v>201</v>
      </c>
      <c r="C1048" s="22" t="s">
        <v>202</v>
      </c>
      <c r="D1048" s="22" t="s">
        <v>2028</v>
      </c>
      <c r="E1048" s="22" t="s">
        <v>45</v>
      </c>
      <c r="F1048" s="23">
        <v>366718</v>
      </c>
      <c r="G1048" s="24">
        <v>44260</v>
      </c>
      <c r="H1048" s="22" t="s">
        <v>2028</v>
      </c>
      <c r="I1048" s="22" t="s">
        <v>2128</v>
      </c>
      <c r="J1048" s="22"/>
      <c r="K1048" s="22"/>
      <c r="L1048" s="22"/>
      <c r="M1048" s="22"/>
      <c r="N1048" s="22"/>
      <c r="O1048" s="22"/>
      <c r="P1048" s="22"/>
      <c r="Q1048" s="22"/>
      <c r="R1048" s="22"/>
    </row>
    <row r="1049" spans="1:18" x14ac:dyDescent="0.25">
      <c r="A1049" s="22" t="s">
        <v>2027</v>
      </c>
      <c r="B1049" s="22" t="s">
        <v>201</v>
      </c>
      <c r="C1049" s="22" t="s">
        <v>202</v>
      </c>
      <c r="D1049" s="22" t="s">
        <v>2028</v>
      </c>
      <c r="E1049" s="22" t="s">
        <v>45</v>
      </c>
      <c r="F1049" s="23">
        <v>-609128</v>
      </c>
      <c r="G1049" s="24">
        <v>44260</v>
      </c>
      <c r="H1049" s="22" t="s">
        <v>2028</v>
      </c>
      <c r="I1049" s="22" t="s">
        <v>2128</v>
      </c>
      <c r="J1049" s="22"/>
      <c r="K1049" s="22"/>
      <c r="L1049" s="22"/>
      <c r="M1049" s="22"/>
      <c r="N1049" s="22"/>
      <c r="O1049" s="22"/>
      <c r="P1049" s="22"/>
      <c r="Q1049" s="22"/>
      <c r="R1049" s="22"/>
    </row>
    <row r="1050" spans="1:18" x14ac:dyDescent="0.25">
      <c r="A1050" s="22" t="s">
        <v>2027</v>
      </c>
      <c r="B1050" s="22" t="s">
        <v>201</v>
      </c>
      <c r="C1050" s="22" t="s">
        <v>202</v>
      </c>
      <c r="D1050" s="22" t="s">
        <v>2028</v>
      </c>
      <c r="E1050" s="22" t="s">
        <v>45</v>
      </c>
      <c r="F1050" s="23">
        <v>53443</v>
      </c>
      <c r="G1050" s="24">
        <v>44260</v>
      </c>
      <c r="H1050" s="22" t="s">
        <v>2028</v>
      </c>
      <c r="I1050" s="22" t="s">
        <v>2128</v>
      </c>
      <c r="J1050" s="22"/>
      <c r="K1050" s="22"/>
      <c r="L1050" s="22"/>
      <c r="M1050" s="22"/>
      <c r="N1050" s="22"/>
      <c r="O1050" s="22"/>
      <c r="P1050" s="22"/>
      <c r="Q1050" s="22"/>
      <c r="R1050" s="22"/>
    </row>
    <row r="1051" spans="1:18" x14ac:dyDescent="0.25">
      <c r="A1051" s="22" t="s">
        <v>2130</v>
      </c>
      <c r="B1051" s="22" t="s">
        <v>201</v>
      </c>
      <c r="C1051" s="22" t="s">
        <v>202</v>
      </c>
      <c r="D1051" s="22" t="s">
        <v>2129</v>
      </c>
      <c r="E1051" s="22" t="s">
        <v>57</v>
      </c>
      <c r="F1051" s="23">
        <v>-100100</v>
      </c>
      <c r="G1051" s="24">
        <v>44161</v>
      </c>
      <c r="H1051" s="22" t="s">
        <v>2028</v>
      </c>
      <c r="I1051" s="22" t="s">
        <v>2131</v>
      </c>
      <c r="J1051" s="22"/>
      <c r="K1051" s="22"/>
      <c r="L1051" s="22"/>
      <c r="M1051" s="22"/>
      <c r="N1051" s="22"/>
      <c r="O1051" s="22"/>
      <c r="P1051" s="22"/>
      <c r="Q1051" s="22"/>
      <c r="R1051" s="22"/>
    </row>
    <row r="1052" spans="1:18" x14ac:dyDescent="0.25">
      <c r="A1052" s="22" t="s">
        <v>2133</v>
      </c>
      <c r="B1052" s="22" t="s">
        <v>201</v>
      </c>
      <c r="C1052" s="22" t="s">
        <v>202</v>
      </c>
      <c r="D1052" s="22" t="s">
        <v>2132</v>
      </c>
      <c r="E1052" s="22" t="s">
        <v>57</v>
      </c>
      <c r="F1052" s="23">
        <v>-52857</v>
      </c>
      <c r="G1052" s="24">
        <v>44193</v>
      </c>
      <c r="H1052" s="22" t="s">
        <v>2028</v>
      </c>
      <c r="I1052" s="22" t="s">
        <v>2031</v>
      </c>
      <c r="J1052" s="22"/>
      <c r="K1052" s="22"/>
      <c r="L1052" s="22"/>
      <c r="M1052" s="22"/>
      <c r="N1052" s="22"/>
      <c r="O1052" s="22"/>
      <c r="P1052" s="22"/>
      <c r="Q1052" s="22"/>
      <c r="R1052" s="22"/>
    </row>
    <row r="1053" spans="1:18" x14ac:dyDescent="0.25">
      <c r="A1053" s="22" t="s">
        <v>2135</v>
      </c>
      <c r="B1053" s="22" t="s">
        <v>201</v>
      </c>
      <c r="C1053" s="22" t="s">
        <v>202</v>
      </c>
      <c r="D1053" s="22" t="s">
        <v>2134</v>
      </c>
      <c r="E1053" s="22" t="s">
        <v>57</v>
      </c>
      <c r="F1053" s="23">
        <v>-53443</v>
      </c>
      <c r="G1053" s="24">
        <v>44181</v>
      </c>
      <c r="H1053" s="22" t="s">
        <v>2028</v>
      </c>
      <c r="I1053" s="22" t="s">
        <v>2136</v>
      </c>
      <c r="J1053" s="22"/>
      <c r="K1053" s="22"/>
      <c r="L1053" s="22"/>
      <c r="M1053" s="22"/>
      <c r="N1053" s="22"/>
      <c r="O1053" s="22"/>
      <c r="P1053" s="22"/>
      <c r="Q1053" s="22"/>
      <c r="R1053" s="22"/>
    </row>
    <row r="1054" spans="1:18" s="39" customFormat="1" x14ac:dyDescent="0.25">
      <c r="A1054" s="36" t="s">
        <v>2138</v>
      </c>
      <c r="B1054" s="36" t="s">
        <v>201</v>
      </c>
      <c r="C1054" s="36" t="s">
        <v>202</v>
      </c>
      <c r="D1054" s="36" t="s">
        <v>2137</v>
      </c>
      <c r="E1054" s="36" t="s">
        <v>42</v>
      </c>
      <c r="F1054" s="37">
        <v>1110399</v>
      </c>
      <c r="G1054" s="38">
        <v>44144</v>
      </c>
      <c r="H1054" s="36" t="s">
        <v>2078</v>
      </c>
      <c r="I1054" s="36" t="s">
        <v>1741</v>
      </c>
      <c r="J1054" s="36"/>
      <c r="K1054" s="36"/>
      <c r="L1054" s="36"/>
      <c r="M1054" s="36"/>
      <c r="N1054" s="36"/>
      <c r="O1054" s="36"/>
      <c r="P1054" s="36"/>
      <c r="Q1054" s="36"/>
      <c r="R1054" s="36"/>
    </row>
    <row r="1055" spans="1:18" s="39" customFormat="1" x14ac:dyDescent="0.25">
      <c r="A1055" s="36" t="s">
        <v>2140</v>
      </c>
      <c r="B1055" s="36" t="s">
        <v>201</v>
      </c>
      <c r="C1055" s="36" t="s">
        <v>202</v>
      </c>
      <c r="D1055" s="36" t="s">
        <v>2139</v>
      </c>
      <c r="E1055" s="36" t="s">
        <v>42</v>
      </c>
      <c r="F1055" s="37">
        <v>2263474</v>
      </c>
      <c r="G1055" s="38">
        <v>44111</v>
      </c>
      <c r="H1055" s="36" t="s">
        <v>2078</v>
      </c>
      <c r="I1055" s="36" t="s">
        <v>2141</v>
      </c>
      <c r="J1055" s="36"/>
      <c r="K1055" s="36"/>
      <c r="L1055" s="36"/>
      <c r="M1055" s="36"/>
      <c r="N1055" s="36"/>
      <c r="O1055" s="36"/>
      <c r="P1055" s="36"/>
      <c r="Q1055" s="36"/>
      <c r="R1055" s="36"/>
    </row>
    <row r="1056" spans="1:18" s="39" customFormat="1" x14ac:dyDescent="0.25">
      <c r="A1056" s="36" t="s">
        <v>2143</v>
      </c>
      <c r="B1056" s="36" t="s">
        <v>201</v>
      </c>
      <c r="C1056" s="36" t="s">
        <v>202</v>
      </c>
      <c r="D1056" s="36" t="s">
        <v>2142</v>
      </c>
      <c r="E1056" s="36" t="s">
        <v>42</v>
      </c>
      <c r="F1056" s="37">
        <v>4785867</v>
      </c>
      <c r="G1056" s="38">
        <v>44053</v>
      </c>
      <c r="H1056" s="36" t="s">
        <v>2078</v>
      </c>
      <c r="I1056" s="36" t="s">
        <v>292</v>
      </c>
      <c r="J1056" s="36"/>
      <c r="K1056" s="36"/>
      <c r="L1056" s="36"/>
      <c r="M1056" s="36"/>
      <c r="N1056" s="36"/>
      <c r="O1056" s="36"/>
      <c r="P1056" s="36"/>
      <c r="Q1056" s="36"/>
      <c r="R1056" s="36"/>
    </row>
    <row r="1057" spans="1:18" s="39" customFormat="1" x14ac:dyDescent="0.25">
      <c r="A1057" s="36" t="s">
        <v>2145</v>
      </c>
      <c r="B1057" s="36" t="s">
        <v>201</v>
      </c>
      <c r="C1057" s="36" t="s">
        <v>202</v>
      </c>
      <c r="D1057" s="36" t="s">
        <v>2144</v>
      </c>
      <c r="E1057" s="36" t="s">
        <v>42</v>
      </c>
      <c r="F1057" s="37">
        <v>11195668</v>
      </c>
      <c r="G1057" s="38">
        <v>44214</v>
      </c>
      <c r="H1057" s="36" t="s">
        <v>2078</v>
      </c>
      <c r="I1057" s="36" t="s">
        <v>1741</v>
      </c>
      <c r="J1057" s="36"/>
      <c r="K1057" s="36"/>
      <c r="L1057" s="36"/>
      <c r="M1057" s="36"/>
      <c r="N1057" s="36"/>
      <c r="O1057" s="36"/>
      <c r="P1057" s="36"/>
      <c r="Q1057" s="36"/>
      <c r="R1057" s="36"/>
    </row>
    <row r="1058" spans="1:18" s="39" customFormat="1" x14ac:dyDescent="0.25">
      <c r="A1058" s="36" t="s">
        <v>2147</v>
      </c>
      <c r="B1058" s="36" t="s">
        <v>201</v>
      </c>
      <c r="C1058" s="36" t="s">
        <v>202</v>
      </c>
      <c r="D1058" s="36" t="s">
        <v>2146</v>
      </c>
      <c r="E1058" s="36" t="s">
        <v>42</v>
      </c>
      <c r="F1058" s="37">
        <v>2001501</v>
      </c>
      <c r="G1058" s="38">
        <v>44214</v>
      </c>
      <c r="H1058" s="36" t="s">
        <v>2078</v>
      </c>
      <c r="I1058" s="36" t="s">
        <v>1741</v>
      </c>
      <c r="J1058" s="36"/>
      <c r="K1058" s="36"/>
      <c r="L1058" s="36"/>
      <c r="M1058" s="36"/>
      <c r="N1058" s="36"/>
      <c r="O1058" s="36"/>
      <c r="P1058" s="36"/>
      <c r="Q1058" s="36"/>
      <c r="R1058" s="36"/>
    </row>
    <row r="1059" spans="1:18" s="39" customFormat="1" x14ac:dyDescent="0.25">
      <c r="A1059" s="36" t="s">
        <v>2149</v>
      </c>
      <c r="B1059" s="36" t="s">
        <v>201</v>
      </c>
      <c r="C1059" s="36" t="s">
        <v>202</v>
      </c>
      <c r="D1059" s="36" t="s">
        <v>2148</v>
      </c>
      <c r="E1059" s="36" t="s">
        <v>42</v>
      </c>
      <c r="F1059" s="37">
        <v>1389097</v>
      </c>
      <c r="G1059" s="38">
        <v>44172</v>
      </c>
      <c r="H1059" s="36" t="s">
        <v>2078</v>
      </c>
      <c r="I1059" s="36" t="s">
        <v>1741</v>
      </c>
      <c r="J1059" s="36"/>
      <c r="K1059" s="36"/>
      <c r="L1059" s="36"/>
      <c r="M1059" s="36"/>
      <c r="N1059" s="36"/>
      <c r="O1059" s="36"/>
      <c r="P1059" s="36"/>
      <c r="Q1059" s="36"/>
      <c r="R1059" s="36"/>
    </row>
    <row r="1060" spans="1:18" x14ac:dyDescent="0.25">
      <c r="A1060" s="22" t="s">
        <v>2151</v>
      </c>
      <c r="B1060" s="22" t="s">
        <v>201</v>
      </c>
      <c r="C1060" s="22" t="s">
        <v>202</v>
      </c>
      <c r="D1060" s="22" t="s">
        <v>2150</v>
      </c>
      <c r="E1060" s="22" t="s">
        <v>57</v>
      </c>
      <c r="F1060" s="23">
        <v>-2890580</v>
      </c>
      <c r="G1060" s="24">
        <v>44063</v>
      </c>
      <c r="H1060" s="22" t="s">
        <v>2078</v>
      </c>
      <c r="I1060" s="22" t="s">
        <v>2152</v>
      </c>
      <c r="J1060" s="22"/>
      <c r="K1060" s="22"/>
      <c r="L1060" s="22"/>
      <c r="M1060" s="22"/>
      <c r="N1060" s="22"/>
      <c r="O1060" s="22"/>
      <c r="P1060" s="22"/>
      <c r="Q1060" s="22"/>
      <c r="R1060" s="22"/>
    </row>
    <row r="1061" spans="1:18" x14ac:dyDescent="0.25">
      <c r="A1061" s="22" t="s">
        <v>2154</v>
      </c>
      <c r="B1061" s="22" t="s">
        <v>201</v>
      </c>
      <c r="C1061" s="22" t="s">
        <v>202</v>
      </c>
      <c r="D1061" s="22" t="s">
        <v>2153</v>
      </c>
      <c r="E1061" s="22" t="s">
        <v>57</v>
      </c>
      <c r="F1061" s="23">
        <v>-63332</v>
      </c>
      <c r="G1061" s="24">
        <v>44067</v>
      </c>
      <c r="H1061" s="22" t="s">
        <v>2078</v>
      </c>
      <c r="I1061" s="22" t="s">
        <v>2155</v>
      </c>
      <c r="J1061" s="22"/>
      <c r="K1061" s="22"/>
      <c r="L1061" s="22"/>
      <c r="M1061" s="22"/>
      <c r="N1061" s="22"/>
      <c r="O1061" s="22"/>
      <c r="P1061" s="22"/>
      <c r="Q1061" s="22"/>
      <c r="R1061" s="22"/>
    </row>
    <row r="1062" spans="1:18" x14ac:dyDescent="0.25">
      <c r="A1062" s="22" t="s">
        <v>2157</v>
      </c>
      <c r="B1062" s="22" t="s">
        <v>201</v>
      </c>
      <c r="C1062" s="22" t="s">
        <v>202</v>
      </c>
      <c r="D1062" s="22" t="s">
        <v>2156</v>
      </c>
      <c r="E1062" s="22" t="s">
        <v>57</v>
      </c>
      <c r="F1062" s="23">
        <v>-111200</v>
      </c>
      <c r="G1062" s="24">
        <v>44007</v>
      </c>
      <c r="H1062" s="22" t="s">
        <v>2078</v>
      </c>
      <c r="I1062" s="22" t="s">
        <v>2158</v>
      </c>
      <c r="J1062" s="22"/>
      <c r="K1062" s="22"/>
      <c r="L1062" s="22"/>
      <c r="M1062" s="22"/>
      <c r="N1062" s="22"/>
      <c r="O1062" s="22"/>
      <c r="P1062" s="22"/>
      <c r="Q1062" s="22"/>
      <c r="R1062" s="22"/>
    </row>
    <row r="1063" spans="1:18" x14ac:dyDescent="0.25">
      <c r="A1063" s="22" t="s">
        <v>2145</v>
      </c>
      <c r="B1063" s="22" t="s">
        <v>201</v>
      </c>
      <c r="C1063" s="22" t="s">
        <v>202</v>
      </c>
      <c r="D1063" s="22" t="s">
        <v>2078</v>
      </c>
      <c r="E1063" s="22" t="s">
        <v>45</v>
      </c>
      <c r="F1063" s="23">
        <v>-8302453</v>
      </c>
      <c r="G1063" s="24">
        <v>44214</v>
      </c>
      <c r="H1063" s="22" t="s">
        <v>2078</v>
      </c>
      <c r="I1063" s="22" t="s">
        <v>2159</v>
      </c>
      <c r="J1063" s="22"/>
      <c r="K1063" s="22"/>
      <c r="L1063" s="22"/>
      <c r="M1063" s="22"/>
      <c r="N1063" s="22"/>
      <c r="O1063" s="22"/>
      <c r="P1063" s="22"/>
      <c r="Q1063" s="22"/>
      <c r="R1063" s="22"/>
    </row>
    <row r="1064" spans="1:18" x14ac:dyDescent="0.25">
      <c r="A1064" s="22" t="s">
        <v>2145</v>
      </c>
      <c r="B1064" s="22" t="s">
        <v>201</v>
      </c>
      <c r="C1064" s="22" t="s">
        <v>202</v>
      </c>
      <c r="D1064" s="22" t="s">
        <v>2078</v>
      </c>
      <c r="E1064" s="22" t="s">
        <v>45</v>
      </c>
      <c r="F1064" s="23">
        <v>615</v>
      </c>
      <c r="G1064" s="24">
        <v>44214</v>
      </c>
      <c r="H1064" s="22" t="s">
        <v>2078</v>
      </c>
      <c r="I1064" s="22" t="s">
        <v>2159</v>
      </c>
      <c r="J1064" s="22"/>
      <c r="K1064" s="22"/>
      <c r="L1064" s="22"/>
      <c r="M1064" s="22"/>
      <c r="N1064" s="22"/>
      <c r="O1064" s="22"/>
      <c r="P1064" s="22"/>
      <c r="Q1064" s="22"/>
      <c r="R1064" s="22"/>
    </row>
    <row r="1065" spans="1:18" x14ac:dyDescent="0.25">
      <c r="A1065" s="22" t="s">
        <v>2145</v>
      </c>
      <c r="B1065" s="22" t="s">
        <v>201</v>
      </c>
      <c r="C1065" s="22" t="s">
        <v>202</v>
      </c>
      <c r="D1065" s="22" t="s">
        <v>2078</v>
      </c>
      <c r="E1065" s="22" t="s">
        <v>45</v>
      </c>
      <c r="F1065" s="23">
        <v>63332</v>
      </c>
      <c r="G1065" s="24">
        <v>44214</v>
      </c>
      <c r="H1065" s="22" t="s">
        <v>2078</v>
      </c>
      <c r="I1065" s="22" t="s">
        <v>2159</v>
      </c>
      <c r="J1065" s="22"/>
      <c r="K1065" s="22"/>
      <c r="L1065" s="22"/>
      <c r="M1065" s="22"/>
      <c r="N1065" s="22"/>
      <c r="O1065" s="22"/>
      <c r="P1065" s="22"/>
      <c r="Q1065" s="22"/>
      <c r="R1065" s="22"/>
    </row>
    <row r="1066" spans="1:18" x14ac:dyDescent="0.25">
      <c r="A1066" s="22" t="s">
        <v>2161</v>
      </c>
      <c r="B1066" s="22" t="s">
        <v>201</v>
      </c>
      <c r="C1066" s="22" t="s">
        <v>202</v>
      </c>
      <c r="D1066" s="22" t="s">
        <v>2160</v>
      </c>
      <c r="E1066" s="22" t="s">
        <v>57</v>
      </c>
      <c r="F1066" s="23">
        <v>-188505</v>
      </c>
      <c r="G1066" s="24">
        <v>44074</v>
      </c>
      <c r="H1066" s="22" t="s">
        <v>2078</v>
      </c>
      <c r="I1066" s="22" t="s">
        <v>2114</v>
      </c>
      <c r="J1066" s="22"/>
      <c r="K1066" s="22"/>
      <c r="L1066" s="22"/>
      <c r="M1066" s="22"/>
      <c r="N1066" s="22"/>
      <c r="O1066" s="22"/>
      <c r="P1066" s="22"/>
      <c r="Q1066" s="22"/>
      <c r="R1066" s="22"/>
    </row>
    <row r="1067" spans="1:18" x14ac:dyDescent="0.25">
      <c r="A1067" s="22" t="s">
        <v>2163</v>
      </c>
      <c r="B1067" s="22" t="s">
        <v>201</v>
      </c>
      <c r="C1067" s="22" t="s">
        <v>202</v>
      </c>
      <c r="D1067" s="22" t="s">
        <v>2162</v>
      </c>
      <c r="E1067" s="22" t="s">
        <v>57</v>
      </c>
      <c r="F1067" s="23">
        <v>-11195668</v>
      </c>
      <c r="G1067" s="24">
        <v>44148</v>
      </c>
      <c r="H1067" s="22" t="s">
        <v>2078</v>
      </c>
      <c r="I1067" s="22" t="s">
        <v>2164</v>
      </c>
      <c r="J1067" s="22"/>
      <c r="K1067" s="22"/>
      <c r="L1067" s="22"/>
      <c r="M1067" s="22"/>
      <c r="N1067" s="22"/>
      <c r="O1067" s="22"/>
      <c r="P1067" s="22"/>
      <c r="Q1067" s="22"/>
      <c r="R1067" s="22"/>
    </row>
    <row r="1068" spans="1:18" x14ac:dyDescent="0.25">
      <c r="A1068" s="22" t="s">
        <v>2166</v>
      </c>
      <c r="B1068" s="22" t="s">
        <v>201</v>
      </c>
      <c r="C1068" s="22" t="s">
        <v>202</v>
      </c>
      <c r="D1068" s="22" t="s">
        <v>2165</v>
      </c>
      <c r="E1068" s="22" t="s">
        <v>57</v>
      </c>
      <c r="F1068" s="23">
        <v>-57600</v>
      </c>
      <c r="G1068" s="24">
        <v>44075</v>
      </c>
      <c r="H1068" s="22" t="s">
        <v>2078</v>
      </c>
      <c r="I1068" s="22" t="s">
        <v>2167</v>
      </c>
      <c r="J1068" s="22"/>
      <c r="K1068" s="22"/>
      <c r="L1068" s="22"/>
      <c r="M1068" s="22"/>
      <c r="N1068" s="22"/>
      <c r="O1068" s="22"/>
      <c r="P1068" s="22"/>
      <c r="Q1068" s="22"/>
      <c r="R1068" s="22"/>
    </row>
    <row r="1069" spans="1:18" x14ac:dyDescent="0.25">
      <c r="A1069" s="22" t="s">
        <v>1830</v>
      </c>
      <c r="B1069" s="22" t="s">
        <v>201</v>
      </c>
      <c r="C1069" s="22" t="s">
        <v>202</v>
      </c>
      <c r="D1069" s="22" t="s">
        <v>2168</v>
      </c>
      <c r="E1069" s="22" t="s">
        <v>57</v>
      </c>
      <c r="F1069" s="23">
        <v>-891000</v>
      </c>
      <c r="G1069" s="24">
        <v>44292</v>
      </c>
      <c r="H1069" s="22" t="s">
        <v>1829</v>
      </c>
      <c r="I1069" s="22" t="s">
        <v>280</v>
      </c>
      <c r="J1069" s="22"/>
      <c r="K1069" s="22"/>
      <c r="L1069" s="22"/>
      <c r="M1069" s="22"/>
      <c r="N1069" s="22"/>
      <c r="O1069" s="22"/>
      <c r="P1069" s="22"/>
      <c r="Q1069" s="22"/>
      <c r="R1069" s="22"/>
    </row>
    <row r="1070" spans="1:18" x14ac:dyDescent="0.25">
      <c r="A1070" s="22" t="s">
        <v>2170</v>
      </c>
      <c r="B1070" s="22" t="s">
        <v>201</v>
      </c>
      <c r="C1070" s="22" t="s">
        <v>202</v>
      </c>
      <c r="D1070" s="22" t="s">
        <v>2169</v>
      </c>
      <c r="E1070" s="22" t="s">
        <v>57</v>
      </c>
      <c r="F1070" s="23">
        <v>-6600</v>
      </c>
      <c r="G1070" s="24">
        <v>44291</v>
      </c>
      <c r="H1070" s="22" t="s">
        <v>1829</v>
      </c>
      <c r="I1070" s="22" t="s">
        <v>280</v>
      </c>
      <c r="J1070" s="22"/>
      <c r="K1070" s="22"/>
      <c r="L1070" s="22"/>
      <c r="M1070" s="22"/>
      <c r="N1070" s="22"/>
      <c r="O1070" s="22"/>
      <c r="P1070" s="22"/>
      <c r="Q1070" s="22"/>
      <c r="R1070" s="22"/>
    </row>
    <row r="1071" spans="1:18" x14ac:dyDescent="0.25">
      <c r="A1071" s="22" t="s">
        <v>2172</v>
      </c>
      <c r="B1071" s="22" t="s">
        <v>201</v>
      </c>
      <c r="C1071" s="22" t="s">
        <v>202</v>
      </c>
      <c r="D1071" s="22" t="s">
        <v>2171</v>
      </c>
      <c r="E1071" s="22" t="s">
        <v>57</v>
      </c>
      <c r="F1071" s="23">
        <v>-4192025</v>
      </c>
      <c r="G1071" s="24">
        <v>44313</v>
      </c>
      <c r="H1071" s="22" t="s">
        <v>1829</v>
      </c>
      <c r="I1071" s="22" t="s">
        <v>2173</v>
      </c>
      <c r="J1071" s="22"/>
      <c r="K1071" s="22"/>
      <c r="L1071" s="22"/>
      <c r="M1071" s="22"/>
      <c r="N1071" s="22"/>
      <c r="O1071" s="22"/>
      <c r="P1071" s="22"/>
      <c r="Q1071" s="22"/>
      <c r="R1071" s="22"/>
    </row>
    <row r="1072" spans="1:18" x14ac:dyDescent="0.25">
      <c r="A1072" s="22" t="s">
        <v>2175</v>
      </c>
      <c r="B1072" s="22" t="s">
        <v>201</v>
      </c>
      <c r="C1072" s="22" t="s">
        <v>202</v>
      </c>
      <c r="D1072" s="22" t="s">
        <v>2174</v>
      </c>
      <c r="E1072" s="22" t="s">
        <v>57</v>
      </c>
      <c r="F1072" s="23">
        <v>-53700</v>
      </c>
      <c r="G1072" s="24">
        <v>44312</v>
      </c>
      <c r="H1072" s="22" t="s">
        <v>1829</v>
      </c>
      <c r="I1072" s="22" t="s">
        <v>2176</v>
      </c>
      <c r="J1072" s="22"/>
      <c r="K1072" s="22"/>
      <c r="L1072" s="22"/>
      <c r="M1072" s="22"/>
      <c r="N1072" s="22"/>
      <c r="O1072" s="22"/>
      <c r="P1072" s="22"/>
      <c r="Q1072" s="22"/>
      <c r="R1072" s="22"/>
    </row>
    <row r="1073" spans="1:18" x14ac:dyDescent="0.25">
      <c r="A1073" s="22" t="s">
        <v>2178</v>
      </c>
      <c r="B1073" s="22" t="s">
        <v>201</v>
      </c>
      <c r="C1073" s="22" t="s">
        <v>202</v>
      </c>
      <c r="D1073" s="22" t="s">
        <v>2177</v>
      </c>
      <c r="E1073" s="22" t="s">
        <v>57</v>
      </c>
      <c r="F1073" s="23">
        <v>-65834</v>
      </c>
      <c r="G1073" s="24">
        <v>44310</v>
      </c>
      <c r="H1073" s="22" t="s">
        <v>1829</v>
      </c>
      <c r="I1073" s="22" t="s">
        <v>1805</v>
      </c>
      <c r="J1073" s="22"/>
      <c r="K1073" s="22"/>
      <c r="L1073" s="22"/>
      <c r="M1073" s="22"/>
      <c r="N1073" s="22"/>
      <c r="O1073" s="22"/>
      <c r="P1073" s="22"/>
      <c r="Q1073" s="22"/>
      <c r="R1073" s="22"/>
    </row>
    <row r="1074" spans="1:18" x14ac:dyDescent="0.25">
      <c r="A1074" s="22" t="s">
        <v>2180</v>
      </c>
      <c r="B1074" s="22" t="s">
        <v>201</v>
      </c>
      <c r="C1074" s="22" t="s">
        <v>202</v>
      </c>
      <c r="D1074" s="22" t="s">
        <v>2179</v>
      </c>
      <c r="E1074" s="22" t="s">
        <v>57</v>
      </c>
      <c r="F1074" s="23">
        <v>-40400</v>
      </c>
      <c r="G1074" s="24">
        <v>44176</v>
      </c>
      <c r="H1074" s="22" t="s">
        <v>1829</v>
      </c>
      <c r="I1074" s="22" t="s">
        <v>820</v>
      </c>
      <c r="J1074" s="22"/>
      <c r="K1074" s="22"/>
      <c r="L1074" s="22"/>
      <c r="M1074" s="22"/>
      <c r="N1074" s="22"/>
      <c r="O1074" s="22"/>
      <c r="P1074" s="22"/>
      <c r="Q1074" s="22"/>
      <c r="R1074" s="22"/>
    </row>
    <row r="1075" spans="1:18" x14ac:dyDescent="0.25">
      <c r="A1075" s="22" t="s">
        <v>2182</v>
      </c>
      <c r="B1075" s="22" t="s">
        <v>201</v>
      </c>
      <c r="C1075" s="22" t="s">
        <v>202</v>
      </c>
      <c r="D1075" s="22" t="s">
        <v>2181</v>
      </c>
      <c r="E1075" s="22" t="s">
        <v>57</v>
      </c>
      <c r="F1075" s="23">
        <v>-42200</v>
      </c>
      <c r="G1075" s="24">
        <v>44169</v>
      </c>
      <c r="H1075" s="22" t="s">
        <v>1829</v>
      </c>
      <c r="I1075" s="22" t="s">
        <v>788</v>
      </c>
      <c r="J1075" s="22"/>
      <c r="K1075" s="22"/>
      <c r="L1075" s="22"/>
      <c r="M1075" s="22"/>
      <c r="N1075" s="22"/>
      <c r="O1075" s="22"/>
      <c r="P1075" s="22"/>
      <c r="Q1075" s="22"/>
      <c r="R1075" s="22"/>
    </row>
    <row r="1076" spans="1:18" x14ac:dyDescent="0.25">
      <c r="A1076" s="22" t="s">
        <v>1830</v>
      </c>
      <c r="B1076" s="22" t="s">
        <v>201</v>
      </c>
      <c r="C1076" s="22" t="s">
        <v>202</v>
      </c>
      <c r="D1076" s="22" t="s">
        <v>1829</v>
      </c>
      <c r="E1076" s="22" t="s">
        <v>45</v>
      </c>
      <c r="F1076" s="23">
        <v>4311559</v>
      </c>
      <c r="G1076" s="24">
        <v>44292</v>
      </c>
      <c r="H1076" s="22" t="s">
        <v>1829</v>
      </c>
      <c r="I1076" s="22"/>
      <c r="J1076" s="22"/>
      <c r="K1076" s="22"/>
      <c r="L1076" s="22"/>
      <c r="M1076" s="22"/>
      <c r="N1076" s="22"/>
      <c r="O1076" s="22"/>
      <c r="P1076" s="22"/>
      <c r="Q1076" s="22"/>
      <c r="R1076" s="22"/>
    </row>
    <row r="1077" spans="1:18" x14ac:dyDescent="0.25">
      <c r="A1077" s="22" t="s">
        <v>1830</v>
      </c>
      <c r="B1077" s="22" t="s">
        <v>201</v>
      </c>
      <c r="C1077" s="22" t="s">
        <v>202</v>
      </c>
      <c r="D1077" s="22" t="s">
        <v>1829</v>
      </c>
      <c r="E1077" s="22" t="s">
        <v>45</v>
      </c>
      <c r="F1077" s="23">
        <v>-5245225</v>
      </c>
      <c r="G1077" s="24">
        <v>44292</v>
      </c>
      <c r="H1077" s="22" t="s">
        <v>1829</v>
      </c>
      <c r="I1077" s="22"/>
      <c r="J1077" s="22"/>
      <c r="K1077" s="22"/>
      <c r="L1077" s="22"/>
      <c r="M1077" s="22"/>
      <c r="N1077" s="22"/>
      <c r="O1077" s="22"/>
      <c r="P1077" s="22"/>
      <c r="Q1077" s="22"/>
      <c r="R1077" s="22"/>
    </row>
    <row r="1078" spans="1:18" x14ac:dyDescent="0.25">
      <c r="A1078" s="22" t="s">
        <v>1830</v>
      </c>
      <c r="B1078" s="22" t="s">
        <v>201</v>
      </c>
      <c r="C1078" s="22" t="s">
        <v>202</v>
      </c>
      <c r="D1078" s="22" t="s">
        <v>1829</v>
      </c>
      <c r="E1078" s="22" t="s">
        <v>45</v>
      </c>
      <c r="F1078" s="23">
        <v>980200</v>
      </c>
      <c r="G1078" s="24">
        <v>44292</v>
      </c>
      <c r="H1078" s="22" t="s">
        <v>1829</v>
      </c>
      <c r="I1078" s="22"/>
      <c r="J1078" s="22"/>
      <c r="K1078" s="22"/>
      <c r="L1078" s="22"/>
      <c r="M1078" s="22"/>
      <c r="N1078" s="22"/>
      <c r="O1078" s="22"/>
      <c r="P1078" s="22"/>
      <c r="Q1078" s="22"/>
      <c r="R1078" s="22"/>
    </row>
    <row r="1079" spans="1:18" s="39" customFormat="1" x14ac:dyDescent="0.25">
      <c r="A1079" s="36" t="s">
        <v>2184</v>
      </c>
      <c r="B1079" s="36" t="s">
        <v>201</v>
      </c>
      <c r="C1079" s="36" t="s">
        <v>202</v>
      </c>
      <c r="D1079" s="36" t="s">
        <v>2183</v>
      </c>
      <c r="E1079" s="36" t="s">
        <v>42</v>
      </c>
      <c r="F1079" s="37">
        <v>1905279</v>
      </c>
      <c r="G1079" s="38">
        <v>44355</v>
      </c>
      <c r="H1079" s="36" t="s">
        <v>1816</v>
      </c>
      <c r="I1079" s="36" t="s">
        <v>605</v>
      </c>
      <c r="J1079" s="36"/>
      <c r="K1079" s="36"/>
      <c r="L1079" s="36"/>
      <c r="M1079" s="36"/>
      <c r="N1079" s="36"/>
      <c r="O1079" s="36"/>
      <c r="P1079" s="36"/>
      <c r="Q1079" s="36"/>
      <c r="R1079" s="36"/>
    </row>
    <row r="1080" spans="1:18" x14ac:dyDescent="0.25">
      <c r="A1080" s="22" t="s">
        <v>1817</v>
      </c>
      <c r="B1080" s="22" t="s">
        <v>201</v>
      </c>
      <c r="C1080" s="22" t="s">
        <v>202</v>
      </c>
      <c r="D1080" s="22" t="s">
        <v>2185</v>
      </c>
      <c r="E1080" s="22" t="s">
        <v>57</v>
      </c>
      <c r="F1080" s="23">
        <v>-32700</v>
      </c>
      <c r="G1080" s="24">
        <v>44301</v>
      </c>
      <c r="H1080" s="22" t="s">
        <v>1816</v>
      </c>
      <c r="I1080" s="22" t="s">
        <v>1386</v>
      </c>
      <c r="J1080" s="22"/>
      <c r="K1080" s="22"/>
      <c r="L1080" s="22"/>
      <c r="M1080" s="22"/>
      <c r="N1080" s="22"/>
      <c r="O1080" s="22"/>
      <c r="P1080" s="22"/>
      <c r="Q1080" s="22"/>
      <c r="R1080" s="22"/>
    </row>
    <row r="1081" spans="1:18" x14ac:dyDescent="0.25">
      <c r="A1081" s="22" t="s">
        <v>2187</v>
      </c>
      <c r="B1081" s="22" t="s">
        <v>201</v>
      </c>
      <c r="C1081" s="22" t="s">
        <v>202</v>
      </c>
      <c r="D1081" s="22" t="s">
        <v>2186</v>
      </c>
      <c r="E1081" s="22" t="s">
        <v>57</v>
      </c>
      <c r="F1081" s="23">
        <v>-32700</v>
      </c>
      <c r="G1081" s="24">
        <v>44298</v>
      </c>
      <c r="H1081" s="22" t="s">
        <v>1816</v>
      </c>
      <c r="I1081" s="22" t="s">
        <v>1386</v>
      </c>
      <c r="J1081" s="22"/>
      <c r="K1081" s="22"/>
      <c r="L1081" s="22"/>
      <c r="M1081" s="22"/>
      <c r="N1081" s="22"/>
      <c r="O1081" s="22"/>
      <c r="P1081" s="22"/>
      <c r="Q1081" s="22"/>
      <c r="R1081" s="22"/>
    </row>
    <row r="1082" spans="1:18" x14ac:dyDescent="0.25">
      <c r="A1082" s="22" t="s">
        <v>2189</v>
      </c>
      <c r="B1082" s="22" t="s">
        <v>201</v>
      </c>
      <c r="C1082" s="22" t="s">
        <v>202</v>
      </c>
      <c r="D1082" s="22" t="s">
        <v>2188</v>
      </c>
      <c r="E1082" s="22" t="s">
        <v>57</v>
      </c>
      <c r="F1082" s="23">
        <v>-266092</v>
      </c>
      <c r="G1082" s="24">
        <v>44141</v>
      </c>
      <c r="H1082" s="22" t="s">
        <v>1816</v>
      </c>
      <c r="I1082" s="22" t="s">
        <v>2190</v>
      </c>
      <c r="J1082" s="22"/>
      <c r="K1082" s="22"/>
      <c r="L1082" s="22"/>
      <c r="M1082" s="22"/>
      <c r="N1082" s="22"/>
      <c r="O1082" s="22"/>
      <c r="P1082" s="22"/>
      <c r="Q1082" s="22"/>
      <c r="R1082" s="22"/>
    </row>
    <row r="1083" spans="1:18" x14ac:dyDescent="0.25">
      <c r="A1083" s="22" t="s">
        <v>2192</v>
      </c>
      <c r="B1083" s="22" t="s">
        <v>201</v>
      </c>
      <c r="C1083" s="22" t="s">
        <v>202</v>
      </c>
      <c r="D1083" s="22" t="s">
        <v>2191</v>
      </c>
      <c r="E1083" s="22" t="s">
        <v>57</v>
      </c>
      <c r="F1083" s="23">
        <v>-342126</v>
      </c>
      <c r="G1083" s="24">
        <v>44279</v>
      </c>
      <c r="H1083" s="22" t="s">
        <v>1816</v>
      </c>
      <c r="I1083" s="22" t="s">
        <v>2193</v>
      </c>
      <c r="J1083" s="22"/>
      <c r="K1083" s="22"/>
      <c r="L1083" s="22"/>
      <c r="M1083" s="22"/>
      <c r="N1083" s="22"/>
      <c r="O1083" s="22"/>
      <c r="P1083" s="22"/>
      <c r="Q1083" s="22"/>
      <c r="R1083" s="22"/>
    </row>
    <row r="1084" spans="1:18" x14ac:dyDescent="0.25">
      <c r="A1084" s="22" t="s">
        <v>2195</v>
      </c>
      <c r="B1084" s="22" t="s">
        <v>201</v>
      </c>
      <c r="C1084" s="22" t="s">
        <v>202</v>
      </c>
      <c r="D1084" s="22" t="s">
        <v>2194</v>
      </c>
      <c r="E1084" s="22" t="s">
        <v>57</v>
      </c>
      <c r="F1084" s="23">
        <v>-53700</v>
      </c>
      <c r="G1084" s="24">
        <v>44260</v>
      </c>
      <c r="H1084" s="22" t="s">
        <v>1816</v>
      </c>
      <c r="I1084" s="22" t="s">
        <v>2196</v>
      </c>
      <c r="J1084" s="22"/>
      <c r="K1084" s="22"/>
      <c r="L1084" s="22"/>
      <c r="M1084" s="22"/>
      <c r="N1084" s="22"/>
      <c r="O1084" s="22"/>
      <c r="P1084" s="22"/>
      <c r="Q1084" s="22"/>
      <c r="R1084" s="22"/>
    </row>
    <row r="1085" spans="1:18" x14ac:dyDescent="0.25">
      <c r="A1085" s="22" t="s">
        <v>2198</v>
      </c>
      <c r="B1085" s="22" t="s">
        <v>201</v>
      </c>
      <c r="C1085" s="22" t="s">
        <v>202</v>
      </c>
      <c r="D1085" s="22" t="s">
        <v>2197</v>
      </c>
      <c r="E1085" s="22" t="s">
        <v>57</v>
      </c>
      <c r="F1085" s="23">
        <v>-1089703</v>
      </c>
      <c r="G1085" s="24">
        <v>44285</v>
      </c>
      <c r="H1085" s="22" t="s">
        <v>1816</v>
      </c>
      <c r="I1085" s="22" t="s">
        <v>2199</v>
      </c>
      <c r="J1085" s="22"/>
      <c r="K1085" s="22"/>
      <c r="L1085" s="22"/>
      <c r="M1085" s="22"/>
      <c r="N1085" s="22"/>
      <c r="O1085" s="22"/>
      <c r="P1085" s="22"/>
      <c r="Q1085" s="22"/>
      <c r="R1085" s="22"/>
    </row>
    <row r="1086" spans="1:18" x14ac:dyDescent="0.25">
      <c r="A1086" s="22" t="s">
        <v>2201</v>
      </c>
      <c r="B1086" s="22" t="s">
        <v>201</v>
      </c>
      <c r="C1086" s="22" t="s">
        <v>202</v>
      </c>
      <c r="D1086" s="22" t="s">
        <v>2200</v>
      </c>
      <c r="E1086" s="22" t="s">
        <v>57</v>
      </c>
      <c r="F1086" s="23">
        <v>-28300</v>
      </c>
      <c r="G1086" s="24">
        <v>44105</v>
      </c>
      <c r="H1086" s="22" t="s">
        <v>1816</v>
      </c>
      <c r="I1086" s="22" t="s">
        <v>2202</v>
      </c>
      <c r="J1086" s="22"/>
      <c r="K1086" s="22"/>
      <c r="L1086" s="22"/>
      <c r="M1086" s="22"/>
      <c r="N1086" s="22"/>
      <c r="O1086" s="22"/>
      <c r="P1086" s="22"/>
      <c r="Q1086" s="22"/>
      <c r="R1086" s="22"/>
    </row>
    <row r="1087" spans="1:18" x14ac:dyDescent="0.25">
      <c r="A1087" s="22" t="s">
        <v>2204</v>
      </c>
      <c r="B1087" s="22" t="s">
        <v>201</v>
      </c>
      <c r="C1087" s="22" t="s">
        <v>202</v>
      </c>
      <c r="D1087" s="22" t="s">
        <v>2203</v>
      </c>
      <c r="E1087" s="22" t="s">
        <v>57</v>
      </c>
      <c r="F1087" s="23">
        <v>-42200</v>
      </c>
      <c r="G1087" s="24">
        <v>44105</v>
      </c>
      <c r="H1087" s="22" t="s">
        <v>1816</v>
      </c>
      <c r="I1087" s="22" t="s">
        <v>2202</v>
      </c>
      <c r="J1087" s="22"/>
      <c r="K1087" s="22"/>
      <c r="L1087" s="22"/>
      <c r="M1087" s="22"/>
      <c r="N1087" s="22"/>
      <c r="O1087" s="22"/>
      <c r="P1087" s="22"/>
      <c r="Q1087" s="22"/>
      <c r="R1087" s="22"/>
    </row>
    <row r="1088" spans="1:18" x14ac:dyDescent="0.25">
      <c r="A1088" s="22" t="s">
        <v>2206</v>
      </c>
      <c r="B1088" s="22" t="s">
        <v>201</v>
      </c>
      <c r="C1088" s="22" t="s">
        <v>202</v>
      </c>
      <c r="D1088" s="22" t="s">
        <v>2205</v>
      </c>
      <c r="E1088" s="22" t="s">
        <v>57</v>
      </c>
      <c r="F1088" s="23">
        <v>-23000</v>
      </c>
      <c r="G1088" s="24">
        <v>44105</v>
      </c>
      <c r="H1088" s="22" t="s">
        <v>1816</v>
      </c>
      <c r="I1088" s="22" t="s">
        <v>2202</v>
      </c>
      <c r="J1088" s="22"/>
      <c r="K1088" s="22"/>
      <c r="L1088" s="22"/>
      <c r="M1088" s="22"/>
      <c r="N1088" s="22"/>
      <c r="O1088" s="22"/>
      <c r="P1088" s="22"/>
      <c r="Q1088" s="22"/>
      <c r="R1088" s="22"/>
    </row>
    <row r="1089" spans="1:18" x14ac:dyDescent="0.25">
      <c r="A1089" s="22" t="s">
        <v>1817</v>
      </c>
      <c r="B1089" s="22" t="s">
        <v>201</v>
      </c>
      <c r="C1089" s="22" t="s">
        <v>202</v>
      </c>
      <c r="D1089" s="22" t="s">
        <v>1816</v>
      </c>
      <c r="E1089" s="22" t="s">
        <v>45</v>
      </c>
      <c r="F1089" s="23">
        <v>32700</v>
      </c>
      <c r="G1089" s="24">
        <v>44301</v>
      </c>
      <c r="H1089" s="22" t="s">
        <v>1816</v>
      </c>
      <c r="I1089" s="22"/>
      <c r="J1089" s="22"/>
      <c r="K1089" s="22"/>
      <c r="L1089" s="22"/>
      <c r="M1089" s="22"/>
      <c r="N1089" s="22"/>
      <c r="O1089" s="22"/>
      <c r="P1089" s="22"/>
      <c r="Q1089" s="22"/>
      <c r="R1089" s="22"/>
    </row>
    <row r="1090" spans="1:18" x14ac:dyDescent="0.25">
      <c r="A1090" s="22" t="s">
        <v>1817</v>
      </c>
      <c r="B1090" s="22" t="s">
        <v>201</v>
      </c>
      <c r="C1090" s="22" t="s">
        <v>202</v>
      </c>
      <c r="D1090" s="22" t="s">
        <v>1816</v>
      </c>
      <c r="E1090" s="22" t="s">
        <v>45</v>
      </c>
      <c r="F1090" s="23">
        <v>-729176</v>
      </c>
      <c r="G1090" s="24">
        <v>44301</v>
      </c>
      <c r="H1090" s="22" t="s">
        <v>1816</v>
      </c>
      <c r="I1090" s="22"/>
      <c r="J1090" s="22"/>
      <c r="K1090" s="22"/>
      <c r="L1090" s="22"/>
      <c r="M1090" s="22"/>
      <c r="N1090" s="22"/>
      <c r="O1090" s="22"/>
      <c r="P1090" s="22"/>
      <c r="Q1090" s="22"/>
      <c r="R1090" s="22"/>
    </row>
    <row r="1091" spans="1:18" x14ac:dyDescent="0.25">
      <c r="A1091" s="22" t="s">
        <v>1817</v>
      </c>
      <c r="B1091" s="22" t="s">
        <v>201</v>
      </c>
      <c r="C1091" s="22" t="s">
        <v>202</v>
      </c>
      <c r="D1091" s="22" t="s">
        <v>1816</v>
      </c>
      <c r="E1091" s="22" t="s">
        <v>45</v>
      </c>
      <c r="F1091" s="23">
        <v>93500</v>
      </c>
      <c r="G1091" s="24">
        <v>44301</v>
      </c>
      <c r="H1091" s="22" t="s">
        <v>1816</v>
      </c>
      <c r="I1091" s="22"/>
      <c r="J1091" s="22"/>
      <c r="K1091" s="22"/>
      <c r="L1091" s="22"/>
      <c r="M1091" s="22"/>
      <c r="N1091" s="22"/>
      <c r="O1091" s="22"/>
      <c r="P1091" s="22"/>
      <c r="Q1091" s="22"/>
      <c r="R1091" s="22"/>
    </row>
    <row r="1092" spans="1:18" x14ac:dyDescent="0.25">
      <c r="A1092" s="22" t="s">
        <v>1817</v>
      </c>
      <c r="B1092" s="22" t="s">
        <v>201</v>
      </c>
      <c r="C1092" s="22" t="s">
        <v>202</v>
      </c>
      <c r="D1092" s="22" t="s">
        <v>1816</v>
      </c>
      <c r="E1092" s="22" t="s">
        <v>45</v>
      </c>
      <c r="F1092" s="23">
        <v>608218</v>
      </c>
      <c r="G1092" s="24">
        <v>44301</v>
      </c>
      <c r="H1092" s="22" t="s">
        <v>1816</v>
      </c>
      <c r="I1092" s="22"/>
      <c r="J1092" s="22"/>
      <c r="K1092" s="22"/>
      <c r="L1092" s="22"/>
      <c r="M1092" s="22"/>
      <c r="N1092" s="22"/>
      <c r="O1092" s="22"/>
      <c r="P1092" s="22"/>
      <c r="Q1092" s="22"/>
      <c r="R1092" s="22"/>
    </row>
    <row r="1093" spans="1:18" x14ac:dyDescent="0.25">
      <c r="A1093" s="22" t="s">
        <v>2208</v>
      </c>
      <c r="B1093" s="22" t="s">
        <v>201</v>
      </c>
      <c r="C1093" s="22" t="s">
        <v>202</v>
      </c>
      <c r="D1093" s="22" t="s">
        <v>2207</v>
      </c>
      <c r="E1093" s="22" t="s">
        <v>57</v>
      </c>
      <c r="F1093" s="23">
        <v>-177544</v>
      </c>
      <c r="G1093" s="24">
        <v>44128</v>
      </c>
      <c r="H1093" s="22" t="s">
        <v>1701</v>
      </c>
      <c r="I1093" s="22" t="s">
        <v>764</v>
      </c>
      <c r="J1093" s="22"/>
      <c r="K1093" s="22"/>
      <c r="L1093" s="22"/>
      <c r="M1093" s="22"/>
      <c r="N1093" s="22"/>
      <c r="O1093" s="22"/>
      <c r="P1093" s="22"/>
      <c r="Q1093" s="22"/>
      <c r="R1093" s="22"/>
    </row>
    <row r="1094" spans="1:18" x14ac:dyDescent="0.25">
      <c r="A1094" s="22" t="s">
        <v>2210</v>
      </c>
      <c r="B1094" s="22" t="s">
        <v>201</v>
      </c>
      <c r="C1094" s="22" t="s">
        <v>202</v>
      </c>
      <c r="D1094" s="22" t="s">
        <v>2209</v>
      </c>
      <c r="E1094" s="22" t="s">
        <v>57</v>
      </c>
      <c r="F1094" s="23">
        <v>-1325376</v>
      </c>
      <c r="G1094" s="24">
        <v>44113</v>
      </c>
      <c r="H1094" s="22" t="s">
        <v>1701</v>
      </c>
      <c r="I1094" s="22" t="s">
        <v>2211</v>
      </c>
      <c r="J1094" s="22"/>
      <c r="K1094" s="22"/>
      <c r="L1094" s="22"/>
      <c r="M1094" s="22"/>
      <c r="N1094" s="22"/>
      <c r="O1094" s="22"/>
      <c r="P1094" s="22"/>
      <c r="Q1094" s="22"/>
      <c r="R1094" s="22"/>
    </row>
    <row r="1095" spans="1:18" x14ac:dyDescent="0.25">
      <c r="A1095" s="22" t="s">
        <v>2213</v>
      </c>
      <c r="B1095" s="22" t="s">
        <v>201</v>
      </c>
      <c r="C1095" s="22" t="s">
        <v>202</v>
      </c>
      <c r="D1095" s="22" t="s">
        <v>2212</v>
      </c>
      <c r="E1095" s="22" t="s">
        <v>57</v>
      </c>
      <c r="F1095" s="23">
        <v>-31700</v>
      </c>
      <c r="G1095" s="24">
        <v>44133</v>
      </c>
      <c r="H1095" s="22" t="s">
        <v>1701</v>
      </c>
      <c r="I1095" s="22" t="s">
        <v>550</v>
      </c>
      <c r="J1095" s="22"/>
      <c r="K1095" s="22"/>
      <c r="L1095" s="22"/>
      <c r="M1095" s="22"/>
      <c r="N1095" s="22"/>
      <c r="O1095" s="22"/>
      <c r="P1095" s="22"/>
      <c r="Q1095" s="22"/>
      <c r="R1095" s="22"/>
    </row>
    <row r="1096" spans="1:18" x14ac:dyDescent="0.25">
      <c r="A1096" s="22" t="s">
        <v>2215</v>
      </c>
      <c r="B1096" s="22" t="s">
        <v>201</v>
      </c>
      <c r="C1096" s="22" t="s">
        <v>202</v>
      </c>
      <c r="D1096" s="22" t="s">
        <v>2214</v>
      </c>
      <c r="E1096" s="22" t="s">
        <v>57</v>
      </c>
      <c r="F1096" s="23">
        <v>-108300</v>
      </c>
      <c r="G1096" s="24">
        <v>44130</v>
      </c>
      <c r="H1096" s="22" t="s">
        <v>1701</v>
      </c>
      <c r="I1096" s="22" t="s">
        <v>550</v>
      </c>
      <c r="J1096" s="22"/>
      <c r="K1096" s="22"/>
      <c r="L1096" s="22"/>
      <c r="M1096" s="22"/>
      <c r="N1096" s="22"/>
      <c r="O1096" s="22"/>
      <c r="P1096" s="22"/>
      <c r="Q1096" s="22"/>
      <c r="R1096" s="22"/>
    </row>
    <row r="1097" spans="1:18" x14ac:dyDescent="0.25">
      <c r="A1097" s="22" t="s">
        <v>2217</v>
      </c>
      <c r="B1097" s="22" t="s">
        <v>201</v>
      </c>
      <c r="C1097" s="22" t="s">
        <v>202</v>
      </c>
      <c r="D1097" s="22" t="s">
        <v>2216</v>
      </c>
      <c r="E1097" s="22" t="s">
        <v>57</v>
      </c>
      <c r="F1097" s="23">
        <v>-75000</v>
      </c>
      <c r="G1097" s="24">
        <v>44130</v>
      </c>
      <c r="H1097" s="22" t="s">
        <v>1701</v>
      </c>
      <c r="I1097" s="22" t="s">
        <v>304</v>
      </c>
      <c r="J1097" s="22"/>
      <c r="K1097" s="22"/>
      <c r="L1097" s="22"/>
      <c r="M1097" s="22"/>
      <c r="N1097" s="22"/>
      <c r="O1097" s="22"/>
      <c r="P1097" s="22"/>
      <c r="Q1097" s="22"/>
      <c r="R1097" s="22"/>
    </row>
    <row r="1098" spans="1:18" x14ac:dyDescent="0.25">
      <c r="A1098" s="22" t="s">
        <v>2219</v>
      </c>
      <c r="B1098" s="22" t="s">
        <v>201</v>
      </c>
      <c r="C1098" s="22" t="s">
        <v>202</v>
      </c>
      <c r="D1098" s="22" t="s">
        <v>2218</v>
      </c>
      <c r="E1098" s="22" t="s">
        <v>57</v>
      </c>
      <c r="F1098" s="23">
        <v>-31700</v>
      </c>
      <c r="G1098" s="24">
        <v>44124</v>
      </c>
      <c r="H1098" s="22" t="s">
        <v>1701</v>
      </c>
      <c r="I1098" s="22" t="s">
        <v>1348</v>
      </c>
      <c r="J1098" s="22"/>
      <c r="K1098" s="22"/>
      <c r="L1098" s="22"/>
      <c r="M1098" s="22"/>
      <c r="N1098" s="22"/>
      <c r="O1098" s="22"/>
      <c r="P1098" s="22"/>
      <c r="Q1098" s="22"/>
      <c r="R1098" s="22"/>
    </row>
    <row r="1099" spans="1:18" x14ac:dyDescent="0.25">
      <c r="A1099" s="22" t="s">
        <v>2221</v>
      </c>
      <c r="B1099" s="22" t="s">
        <v>201</v>
      </c>
      <c r="C1099" s="22" t="s">
        <v>202</v>
      </c>
      <c r="D1099" s="22" t="s">
        <v>2220</v>
      </c>
      <c r="E1099" s="22" t="s">
        <v>57</v>
      </c>
      <c r="F1099" s="23">
        <v>-35000</v>
      </c>
      <c r="G1099" s="24">
        <v>44120</v>
      </c>
      <c r="H1099" s="22" t="s">
        <v>1701</v>
      </c>
      <c r="I1099" s="22" t="s">
        <v>2222</v>
      </c>
      <c r="J1099" s="22"/>
      <c r="K1099" s="22"/>
      <c r="L1099" s="22"/>
      <c r="M1099" s="22"/>
      <c r="N1099" s="22"/>
      <c r="O1099" s="22"/>
      <c r="P1099" s="22"/>
      <c r="Q1099" s="22"/>
      <c r="R1099" s="22"/>
    </row>
    <row r="1100" spans="1:18" x14ac:dyDescent="0.25">
      <c r="A1100" s="22" t="s">
        <v>2224</v>
      </c>
      <c r="B1100" s="22" t="s">
        <v>201</v>
      </c>
      <c r="C1100" s="22" t="s">
        <v>202</v>
      </c>
      <c r="D1100" s="22" t="s">
        <v>2223</v>
      </c>
      <c r="E1100" s="22" t="s">
        <v>57</v>
      </c>
      <c r="F1100" s="23">
        <v>-31700</v>
      </c>
      <c r="G1100" s="24">
        <v>44112</v>
      </c>
      <c r="H1100" s="22" t="s">
        <v>1701</v>
      </c>
      <c r="I1100" s="22" t="s">
        <v>2222</v>
      </c>
      <c r="J1100" s="22"/>
      <c r="K1100" s="22"/>
      <c r="L1100" s="22"/>
      <c r="M1100" s="22"/>
      <c r="N1100" s="22"/>
      <c r="O1100" s="22"/>
      <c r="P1100" s="22"/>
      <c r="Q1100" s="22"/>
      <c r="R1100" s="22"/>
    </row>
    <row r="1101" spans="1:18" x14ac:dyDescent="0.25">
      <c r="A1101" s="22" t="s">
        <v>2226</v>
      </c>
      <c r="B1101" s="22" t="s">
        <v>201</v>
      </c>
      <c r="C1101" s="22" t="s">
        <v>202</v>
      </c>
      <c r="D1101" s="22" t="s">
        <v>2225</v>
      </c>
      <c r="E1101" s="22" t="s">
        <v>57</v>
      </c>
      <c r="F1101" s="23">
        <v>-31700</v>
      </c>
      <c r="G1101" s="24">
        <v>44110</v>
      </c>
      <c r="H1101" s="22" t="s">
        <v>1701</v>
      </c>
      <c r="I1101" s="22" t="s">
        <v>304</v>
      </c>
      <c r="J1101" s="22"/>
      <c r="K1101" s="22"/>
      <c r="L1101" s="22"/>
      <c r="M1101" s="22"/>
      <c r="N1101" s="22"/>
      <c r="O1101" s="22"/>
      <c r="P1101" s="22"/>
      <c r="Q1101" s="22"/>
      <c r="R1101" s="22"/>
    </row>
    <row r="1102" spans="1:18" x14ac:dyDescent="0.25">
      <c r="A1102" s="22" t="s">
        <v>2228</v>
      </c>
      <c r="B1102" s="22" t="s">
        <v>201</v>
      </c>
      <c r="C1102" s="22" t="s">
        <v>202</v>
      </c>
      <c r="D1102" s="22" t="s">
        <v>2227</v>
      </c>
      <c r="E1102" s="22" t="s">
        <v>57</v>
      </c>
      <c r="F1102" s="23">
        <v>-31700</v>
      </c>
      <c r="G1102" s="24">
        <v>44110</v>
      </c>
      <c r="H1102" s="22" t="s">
        <v>1701</v>
      </c>
      <c r="I1102" s="22" t="s">
        <v>550</v>
      </c>
      <c r="J1102" s="22"/>
      <c r="K1102" s="22"/>
      <c r="L1102" s="22"/>
      <c r="M1102" s="22"/>
      <c r="N1102" s="22"/>
      <c r="O1102" s="22"/>
      <c r="P1102" s="22"/>
      <c r="Q1102" s="22"/>
      <c r="R1102" s="22"/>
    </row>
    <row r="1103" spans="1:18" x14ac:dyDescent="0.25">
      <c r="A1103" s="22" t="s">
        <v>2230</v>
      </c>
      <c r="B1103" s="22" t="s">
        <v>201</v>
      </c>
      <c r="C1103" s="22" t="s">
        <v>202</v>
      </c>
      <c r="D1103" s="22" t="s">
        <v>2229</v>
      </c>
      <c r="E1103" s="22" t="s">
        <v>57</v>
      </c>
      <c r="F1103" s="23">
        <v>-118600</v>
      </c>
      <c r="G1103" s="24">
        <v>44140</v>
      </c>
      <c r="H1103" s="22" t="s">
        <v>1701</v>
      </c>
      <c r="I1103" s="22" t="s">
        <v>1345</v>
      </c>
      <c r="J1103" s="22"/>
      <c r="K1103" s="22"/>
      <c r="L1103" s="22"/>
      <c r="M1103" s="22"/>
      <c r="N1103" s="22"/>
      <c r="O1103" s="22"/>
      <c r="P1103" s="22"/>
      <c r="Q1103" s="22"/>
      <c r="R1103" s="22"/>
    </row>
    <row r="1104" spans="1:18" x14ac:dyDescent="0.25">
      <c r="A1104" s="22" t="s">
        <v>2232</v>
      </c>
      <c r="B1104" s="22" t="s">
        <v>201</v>
      </c>
      <c r="C1104" s="22" t="s">
        <v>202</v>
      </c>
      <c r="D1104" s="22" t="s">
        <v>2231</v>
      </c>
      <c r="E1104" s="22" t="s">
        <v>57</v>
      </c>
      <c r="F1104" s="23">
        <v>-18100</v>
      </c>
      <c r="G1104" s="24">
        <v>44133</v>
      </c>
      <c r="H1104" s="22" t="s">
        <v>1701</v>
      </c>
      <c r="I1104" s="22" t="s">
        <v>2233</v>
      </c>
      <c r="J1104" s="22"/>
      <c r="K1104" s="22"/>
      <c r="L1104" s="22"/>
      <c r="M1104" s="22"/>
      <c r="N1104" s="22"/>
      <c r="O1104" s="22"/>
      <c r="P1104" s="22"/>
      <c r="Q1104" s="22"/>
      <c r="R1104" s="22"/>
    </row>
    <row r="1105" spans="1:18" x14ac:dyDescent="0.25">
      <c r="A1105" s="22" t="s">
        <v>2235</v>
      </c>
      <c r="B1105" s="22" t="s">
        <v>201</v>
      </c>
      <c r="C1105" s="22" t="s">
        <v>202</v>
      </c>
      <c r="D1105" s="22" t="s">
        <v>2234</v>
      </c>
      <c r="E1105" s="22" t="s">
        <v>57</v>
      </c>
      <c r="F1105" s="23">
        <v>-763700</v>
      </c>
      <c r="G1105" s="24">
        <v>44133</v>
      </c>
      <c r="H1105" s="22" t="s">
        <v>1701</v>
      </c>
      <c r="I1105" s="22" t="s">
        <v>2233</v>
      </c>
      <c r="J1105" s="22"/>
      <c r="K1105" s="22"/>
      <c r="L1105" s="22"/>
      <c r="M1105" s="22"/>
      <c r="N1105" s="22"/>
      <c r="O1105" s="22"/>
      <c r="P1105" s="22"/>
      <c r="Q1105" s="22"/>
      <c r="R1105" s="22"/>
    </row>
    <row r="1106" spans="1:18" x14ac:dyDescent="0.25">
      <c r="A1106" s="22" t="s">
        <v>2237</v>
      </c>
      <c r="B1106" s="22" t="s">
        <v>201</v>
      </c>
      <c r="C1106" s="22" t="s">
        <v>202</v>
      </c>
      <c r="D1106" s="22" t="s">
        <v>2236</v>
      </c>
      <c r="E1106" s="22" t="s">
        <v>57</v>
      </c>
      <c r="F1106" s="23">
        <v>-31700</v>
      </c>
      <c r="G1106" s="24">
        <v>44132</v>
      </c>
      <c r="H1106" s="22" t="s">
        <v>1701</v>
      </c>
      <c r="I1106" s="22" t="s">
        <v>2233</v>
      </c>
      <c r="J1106" s="22"/>
      <c r="K1106" s="22"/>
      <c r="L1106" s="22"/>
      <c r="M1106" s="22"/>
      <c r="N1106" s="22"/>
      <c r="O1106" s="22"/>
      <c r="P1106" s="22"/>
      <c r="Q1106" s="22"/>
      <c r="R1106" s="22"/>
    </row>
    <row r="1107" spans="1:18" x14ac:dyDescent="0.25">
      <c r="A1107" s="22" t="s">
        <v>2239</v>
      </c>
      <c r="B1107" s="22" t="s">
        <v>201</v>
      </c>
      <c r="C1107" s="22" t="s">
        <v>202</v>
      </c>
      <c r="D1107" s="22" t="s">
        <v>2238</v>
      </c>
      <c r="E1107" s="22" t="s">
        <v>57</v>
      </c>
      <c r="F1107" s="23">
        <v>-42200</v>
      </c>
      <c r="G1107" s="24">
        <v>44119</v>
      </c>
      <c r="H1107" s="22" t="s">
        <v>1701</v>
      </c>
      <c r="I1107" s="22" t="s">
        <v>897</v>
      </c>
      <c r="J1107" s="22"/>
      <c r="K1107" s="22"/>
      <c r="L1107" s="22"/>
      <c r="M1107" s="22"/>
      <c r="N1107" s="22"/>
      <c r="O1107" s="22"/>
      <c r="P1107" s="22"/>
      <c r="Q1107" s="22"/>
      <c r="R1107" s="22"/>
    </row>
    <row r="1108" spans="1:18" x14ac:dyDescent="0.25">
      <c r="A1108" s="22" t="s">
        <v>2241</v>
      </c>
      <c r="B1108" s="22" t="s">
        <v>201</v>
      </c>
      <c r="C1108" s="22" t="s">
        <v>202</v>
      </c>
      <c r="D1108" s="22" t="s">
        <v>2240</v>
      </c>
      <c r="E1108" s="22" t="s">
        <v>57</v>
      </c>
      <c r="F1108" s="23">
        <v>-28100</v>
      </c>
      <c r="G1108" s="24">
        <v>44119</v>
      </c>
      <c r="H1108" s="22" t="s">
        <v>1701</v>
      </c>
      <c r="I1108" s="22" t="s">
        <v>820</v>
      </c>
      <c r="J1108" s="22"/>
      <c r="K1108" s="22"/>
      <c r="L1108" s="22"/>
      <c r="M1108" s="22"/>
      <c r="N1108" s="22"/>
      <c r="O1108" s="22"/>
      <c r="P1108" s="22"/>
      <c r="Q1108" s="22"/>
      <c r="R1108" s="22"/>
    </row>
    <row r="1109" spans="1:18" x14ac:dyDescent="0.25">
      <c r="A1109" s="22" t="s">
        <v>2243</v>
      </c>
      <c r="B1109" s="22" t="s">
        <v>201</v>
      </c>
      <c r="C1109" s="22" t="s">
        <v>202</v>
      </c>
      <c r="D1109" s="22" t="s">
        <v>2242</v>
      </c>
      <c r="E1109" s="22" t="s">
        <v>57</v>
      </c>
      <c r="F1109" s="23">
        <v>-35500</v>
      </c>
      <c r="G1109" s="24">
        <v>44110</v>
      </c>
      <c r="H1109" s="22" t="s">
        <v>1701</v>
      </c>
      <c r="I1109" s="22" t="s">
        <v>1802</v>
      </c>
      <c r="J1109" s="22"/>
      <c r="K1109" s="22"/>
      <c r="L1109" s="22"/>
      <c r="M1109" s="22"/>
      <c r="N1109" s="22"/>
      <c r="O1109" s="22"/>
      <c r="P1109" s="22"/>
      <c r="Q1109" s="22"/>
      <c r="R1109" s="22"/>
    </row>
    <row r="1110" spans="1:18" x14ac:dyDescent="0.25">
      <c r="A1110" s="22" t="s">
        <v>2245</v>
      </c>
      <c r="B1110" s="22" t="s">
        <v>201</v>
      </c>
      <c r="C1110" s="22" t="s">
        <v>202</v>
      </c>
      <c r="D1110" s="22" t="s">
        <v>2244</v>
      </c>
      <c r="E1110" s="22" t="s">
        <v>57</v>
      </c>
      <c r="F1110" s="23">
        <v>-42200</v>
      </c>
      <c r="G1110" s="24">
        <v>44106</v>
      </c>
      <c r="H1110" s="22" t="s">
        <v>1701</v>
      </c>
      <c r="I1110" s="22" t="s">
        <v>511</v>
      </c>
      <c r="J1110" s="22"/>
      <c r="K1110" s="22"/>
      <c r="L1110" s="22"/>
      <c r="M1110" s="22"/>
      <c r="N1110" s="22"/>
      <c r="O1110" s="22"/>
      <c r="P1110" s="22"/>
      <c r="Q1110" s="22"/>
      <c r="R1110" s="22"/>
    </row>
    <row r="1111" spans="1:18" x14ac:dyDescent="0.25">
      <c r="A1111" s="22" t="s">
        <v>728</v>
      </c>
      <c r="B1111" s="22" t="s">
        <v>201</v>
      </c>
      <c r="C1111" s="22" t="s">
        <v>202</v>
      </c>
      <c r="D1111" s="22" t="s">
        <v>2246</v>
      </c>
      <c r="E1111" s="22" t="s">
        <v>45</v>
      </c>
      <c r="F1111" s="23">
        <v>-13714</v>
      </c>
      <c r="G1111" s="24">
        <v>44255</v>
      </c>
      <c r="H1111" s="22" t="s">
        <v>1701</v>
      </c>
      <c r="I1111" s="22" t="s">
        <v>2247</v>
      </c>
      <c r="J1111" s="22"/>
      <c r="K1111" s="22"/>
      <c r="L1111" s="22"/>
      <c r="M1111" s="22"/>
      <c r="N1111" s="22"/>
      <c r="O1111" s="22"/>
      <c r="P1111" s="22"/>
      <c r="Q1111" s="22"/>
      <c r="R1111" s="22"/>
    </row>
    <row r="1112" spans="1:18" x14ac:dyDescent="0.25">
      <c r="A1112" s="22" t="s">
        <v>1702</v>
      </c>
      <c r="B1112" s="22" t="s">
        <v>201</v>
      </c>
      <c r="C1112" s="22" t="s">
        <v>202</v>
      </c>
      <c r="D1112" s="22" t="s">
        <v>1701</v>
      </c>
      <c r="E1112" s="22" t="s">
        <v>45</v>
      </c>
      <c r="F1112" s="23">
        <v>13432142</v>
      </c>
      <c r="G1112" s="24">
        <v>44304</v>
      </c>
      <c r="H1112" s="22" t="s">
        <v>1701</v>
      </c>
      <c r="I1112" s="22"/>
      <c r="J1112" s="22"/>
      <c r="K1112" s="22"/>
      <c r="L1112" s="22"/>
      <c r="M1112" s="22"/>
      <c r="N1112" s="22"/>
      <c r="O1112" s="22"/>
      <c r="P1112" s="22"/>
      <c r="Q1112" s="22"/>
      <c r="R1112" s="22"/>
    </row>
    <row r="1113" spans="1:18" x14ac:dyDescent="0.25">
      <c r="A1113" s="22" t="s">
        <v>1702</v>
      </c>
      <c r="B1113" s="22" t="s">
        <v>201</v>
      </c>
      <c r="C1113" s="22" t="s">
        <v>202</v>
      </c>
      <c r="D1113" s="22" t="s">
        <v>1701</v>
      </c>
      <c r="E1113" s="22" t="s">
        <v>45</v>
      </c>
      <c r="F1113" s="23">
        <v>-18084526</v>
      </c>
      <c r="G1113" s="24">
        <v>44304</v>
      </c>
      <c r="H1113" s="22" t="s">
        <v>1701</v>
      </c>
      <c r="I1113" s="22"/>
      <c r="J1113" s="22"/>
      <c r="K1113" s="22"/>
      <c r="L1113" s="22"/>
      <c r="M1113" s="22"/>
      <c r="N1113" s="22"/>
      <c r="O1113" s="22"/>
      <c r="P1113" s="22"/>
      <c r="Q1113" s="22"/>
      <c r="R1113" s="22"/>
    </row>
    <row r="1114" spans="1:18" x14ac:dyDescent="0.25">
      <c r="A1114" s="22" t="s">
        <v>1702</v>
      </c>
      <c r="B1114" s="22" t="s">
        <v>201</v>
      </c>
      <c r="C1114" s="22" t="s">
        <v>202</v>
      </c>
      <c r="D1114" s="22" t="s">
        <v>1701</v>
      </c>
      <c r="E1114" s="22" t="s">
        <v>45</v>
      </c>
      <c r="F1114" s="23">
        <v>4198700</v>
      </c>
      <c r="G1114" s="24">
        <v>44304</v>
      </c>
      <c r="H1114" s="22" t="s">
        <v>1701</v>
      </c>
      <c r="I1114" s="22"/>
      <c r="J1114" s="22"/>
      <c r="K1114" s="22"/>
      <c r="L1114" s="22"/>
      <c r="M1114" s="22"/>
      <c r="N1114" s="22"/>
      <c r="O1114" s="22"/>
      <c r="P1114" s="22"/>
      <c r="Q1114" s="22"/>
      <c r="R1114" s="22"/>
    </row>
    <row r="1115" spans="1:18" x14ac:dyDescent="0.25">
      <c r="A1115" s="22" t="s">
        <v>1702</v>
      </c>
      <c r="B1115" s="22" t="s">
        <v>201</v>
      </c>
      <c r="C1115" s="22" t="s">
        <v>202</v>
      </c>
      <c r="D1115" s="22" t="s">
        <v>1701</v>
      </c>
      <c r="E1115" s="22" t="s">
        <v>45</v>
      </c>
      <c r="F1115" s="23">
        <v>674374</v>
      </c>
      <c r="G1115" s="24">
        <v>44304</v>
      </c>
      <c r="H1115" s="22" t="s">
        <v>1701</v>
      </c>
      <c r="I1115" s="22"/>
      <c r="J1115" s="22"/>
      <c r="K1115" s="22"/>
      <c r="L1115" s="22"/>
      <c r="M1115" s="22"/>
      <c r="N1115" s="22"/>
      <c r="O1115" s="22"/>
      <c r="P1115" s="22"/>
      <c r="Q1115" s="22"/>
      <c r="R1115" s="22"/>
    </row>
    <row r="1116" spans="1:18" s="39" customFormat="1" x14ac:dyDescent="0.25">
      <c r="A1116" s="36" t="s">
        <v>2249</v>
      </c>
      <c r="B1116" s="36" t="s">
        <v>201</v>
      </c>
      <c r="C1116" s="36" t="s">
        <v>202</v>
      </c>
      <c r="D1116" s="36" t="s">
        <v>2248</v>
      </c>
      <c r="E1116" s="36" t="s">
        <v>42</v>
      </c>
      <c r="F1116" s="37">
        <v>5245225</v>
      </c>
      <c r="G1116" s="38">
        <v>44260</v>
      </c>
      <c r="H1116" s="36" t="s">
        <v>1829</v>
      </c>
      <c r="I1116" s="36" t="s">
        <v>1741</v>
      </c>
      <c r="J1116" s="36"/>
      <c r="K1116" s="36"/>
      <c r="L1116" s="36"/>
      <c r="M1116" s="36"/>
      <c r="N1116" s="36"/>
      <c r="O1116" s="36"/>
      <c r="P1116" s="36"/>
      <c r="Q1116" s="36"/>
      <c r="R1116" s="36"/>
    </row>
    <row r="1117" spans="1:18" x14ac:dyDescent="0.25">
      <c r="A1117" s="22" t="s">
        <v>2251</v>
      </c>
      <c r="B1117" s="22" t="s">
        <v>201</v>
      </c>
      <c r="C1117" s="22" t="s">
        <v>202</v>
      </c>
      <c r="D1117" s="22" t="s">
        <v>2250</v>
      </c>
      <c r="E1117" s="22" t="s">
        <v>45</v>
      </c>
      <c r="F1117" s="23">
        <v>141200</v>
      </c>
      <c r="G1117" s="24">
        <v>44355</v>
      </c>
      <c r="H1117" s="22" t="s">
        <v>2250</v>
      </c>
      <c r="I1117" s="22" t="s">
        <v>230</v>
      </c>
      <c r="J1117" s="22"/>
      <c r="K1117" s="22"/>
      <c r="L1117" s="22"/>
      <c r="M1117" s="22"/>
      <c r="N1117" s="22"/>
      <c r="O1117" s="22"/>
      <c r="P1117" s="22"/>
      <c r="Q1117" s="22"/>
      <c r="R1117" s="22"/>
    </row>
    <row r="1118" spans="1:18" s="39" customFormat="1" x14ac:dyDescent="0.25">
      <c r="A1118" s="36" t="s">
        <v>2253</v>
      </c>
      <c r="B1118" s="36" t="s">
        <v>201</v>
      </c>
      <c r="C1118" s="36" t="s">
        <v>202</v>
      </c>
      <c r="D1118" s="36" t="s">
        <v>2252</v>
      </c>
      <c r="E1118" s="36" t="s">
        <v>42</v>
      </c>
      <c r="F1118" s="37">
        <v>280257</v>
      </c>
      <c r="G1118" s="38">
        <v>44295</v>
      </c>
      <c r="H1118" s="36" t="s">
        <v>2254</v>
      </c>
      <c r="I1118" s="36" t="s">
        <v>1812</v>
      </c>
      <c r="J1118" s="36"/>
      <c r="K1118" s="36"/>
      <c r="L1118" s="36"/>
      <c r="M1118" s="36"/>
      <c r="N1118" s="36"/>
      <c r="O1118" s="36"/>
      <c r="P1118" s="36"/>
      <c r="Q1118" s="36"/>
      <c r="R1118" s="36"/>
    </row>
    <row r="1119" spans="1:18" x14ac:dyDescent="0.25">
      <c r="A1119" s="22" t="s">
        <v>2256</v>
      </c>
      <c r="B1119" s="22" t="s">
        <v>201</v>
      </c>
      <c r="C1119" s="22" t="s">
        <v>202</v>
      </c>
      <c r="D1119" s="22" t="s">
        <v>2255</v>
      </c>
      <c r="E1119" s="22" t="s">
        <v>57</v>
      </c>
      <c r="F1119" s="23">
        <v>-87500</v>
      </c>
      <c r="G1119" s="24">
        <v>44265</v>
      </c>
      <c r="H1119" s="22" t="s">
        <v>2254</v>
      </c>
      <c r="I1119" s="22" t="s">
        <v>637</v>
      </c>
      <c r="J1119" s="22"/>
      <c r="K1119" s="22"/>
      <c r="L1119" s="22"/>
      <c r="M1119" s="22"/>
      <c r="N1119" s="22"/>
      <c r="O1119" s="22"/>
      <c r="P1119" s="22"/>
      <c r="Q1119" s="22"/>
      <c r="R1119" s="22"/>
    </row>
    <row r="1120" spans="1:18" x14ac:dyDescent="0.25">
      <c r="A1120" s="22" t="s">
        <v>2258</v>
      </c>
      <c r="B1120" s="22" t="s">
        <v>201</v>
      </c>
      <c r="C1120" s="22" t="s">
        <v>202</v>
      </c>
      <c r="D1120" s="22" t="s">
        <v>2257</v>
      </c>
      <c r="E1120" s="22" t="s">
        <v>45</v>
      </c>
      <c r="F1120" s="23">
        <v>-29283</v>
      </c>
      <c r="G1120" s="24">
        <v>44259</v>
      </c>
      <c r="H1120" s="22" t="s">
        <v>2254</v>
      </c>
      <c r="I1120" s="22" t="s">
        <v>2259</v>
      </c>
      <c r="J1120" s="22"/>
      <c r="K1120" s="22"/>
      <c r="L1120" s="22"/>
      <c r="M1120" s="22"/>
      <c r="N1120" s="22"/>
      <c r="O1120" s="22"/>
      <c r="P1120" s="22"/>
      <c r="Q1120" s="22"/>
      <c r="R1120" s="22"/>
    </row>
    <row r="1121" spans="1:18" x14ac:dyDescent="0.25">
      <c r="A1121" s="22" t="s">
        <v>2261</v>
      </c>
      <c r="B1121" s="22" t="s">
        <v>201</v>
      </c>
      <c r="C1121" s="22" t="s">
        <v>202</v>
      </c>
      <c r="D1121" s="22" t="s">
        <v>2260</v>
      </c>
      <c r="E1121" s="22" t="s">
        <v>57</v>
      </c>
      <c r="F1121" s="23">
        <v>-174100</v>
      </c>
      <c r="G1121" s="24">
        <v>44285</v>
      </c>
      <c r="H1121" s="22" t="s">
        <v>2254</v>
      </c>
      <c r="I1121" s="22" t="s">
        <v>2262</v>
      </c>
      <c r="J1121" s="22"/>
      <c r="K1121" s="22"/>
      <c r="L1121" s="22"/>
      <c r="M1121" s="22"/>
      <c r="N1121" s="22"/>
      <c r="O1121" s="22"/>
      <c r="P1121" s="22"/>
      <c r="Q1121" s="22"/>
      <c r="R1121" s="22"/>
    </row>
    <row r="1122" spans="1:18" x14ac:dyDescent="0.25">
      <c r="A1122" s="22" t="s">
        <v>2261</v>
      </c>
      <c r="B1122" s="22" t="s">
        <v>201</v>
      </c>
      <c r="C1122" s="22" t="s">
        <v>202</v>
      </c>
      <c r="D1122" s="22" t="s">
        <v>2254</v>
      </c>
      <c r="E1122" s="22" t="s">
        <v>45</v>
      </c>
      <c r="F1122" s="23">
        <v>-18657</v>
      </c>
      <c r="G1122" s="24">
        <v>44285</v>
      </c>
      <c r="H1122" s="22" t="s">
        <v>2254</v>
      </c>
      <c r="I1122" s="22"/>
      <c r="J1122" s="22"/>
      <c r="K1122" s="22"/>
      <c r="L1122" s="22"/>
      <c r="M1122" s="22"/>
      <c r="N1122" s="22"/>
      <c r="O1122" s="22"/>
      <c r="P1122" s="22"/>
      <c r="Q1122" s="22"/>
      <c r="R1122" s="22"/>
    </row>
    <row r="1123" spans="1:18" x14ac:dyDescent="0.25">
      <c r="A1123" s="22" t="s">
        <v>2261</v>
      </c>
      <c r="B1123" s="22" t="s">
        <v>201</v>
      </c>
      <c r="C1123" s="22" t="s">
        <v>202</v>
      </c>
      <c r="D1123" s="22" t="s">
        <v>2254</v>
      </c>
      <c r="E1123" s="22" t="s">
        <v>45</v>
      </c>
      <c r="F1123" s="23">
        <v>29283</v>
      </c>
      <c r="G1123" s="24">
        <v>44285</v>
      </c>
      <c r="H1123" s="22" t="s">
        <v>2254</v>
      </c>
      <c r="I1123" s="22"/>
      <c r="J1123" s="22"/>
      <c r="K1123" s="22"/>
      <c r="L1123" s="22"/>
      <c r="M1123" s="22"/>
      <c r="N1123" s="22"/>
      <c r="O1123" s="22"/>
      <c r="P1123" s="22"/>
      <c r="Q1123" s="22"/>
      <c r="R1123" s="22"/>
    </row>
    <row r="1124" spans="1:18" s="39" customFormat="1" x14ac:dyDescent="0.25">
      <c r="A1124" s="36" t="s">
        <v>2264</v>
      </c>
      <c r="B1124" s="36" t="s">
        <v>201</v>
      </c>
      <c r="C1124" s="36" t="s">
        <v>202</v>
      </c>
      <c r="D1124" s="36" t="s">
        <v>2263</v>
      </c>
      <c r="E1124" s="36" t="s">
        <v>42</v>
      </c>
      <c r="F1124" s="37">
        <v>26850</v>
      </c>
      <c r="G1124" s="38">
        <v>44260</v>
      </c>
      <c r="H1124" s="36" t="s">
        <v>2257</v>
      </c>
      <c r="I1124" s="36" t="s">
        <v>1741</v>
      </c>
      <c r="J1124" s="36"/>
      <c r="K1124" s="36"/>
      <c r="L1124" s="36"/>
      <c r="M1124" s="36"/>
      <c r="N1124" s="36"/>
      <c r="O1124" s="36"/>
      <c r="P1124" s="36"/>
      <c r="Q1124" s="36"/>
      <c r="R1124" s="36"/>
    </row>
    <row r="1125" spans="1:18" x14ac:dyDescent="0.25">
      <c r="A1125" s="22" t="s">
        <v>2258</v>
      </c>
      <c r="B1125" s="22" t="s">
        <v>201</v>
      </c>
      <c r="C1125" s="22" t="s">
        <v>202</v>
      </c>
      <c r="D1125" s="22" t="s">
        <v>2265</v>
      </c>
      <c r="E1125" s="22" t="s">
        <v>57</v>
      </c>
      <c r="F1125" s="23">
        <v>-56133</v>
      </c>
      <c r="G1125" s="24">
        <v>44259</v>
      </c>
      <c r="H1125" s="22" t="s">
        <v>2257</v>
      </c>
      <c r="I1125" s="22" t="s">
        <v>2266</v>
      </c>
      <c r="J1125" s="22"/>
      <c r="K1125" s="22"/>
      <c r="L1125" s="22"/>
      <c r="M1125" s="22"/>
      <c r="N1125" s="22"/>
      <c r="O1125" s="22"/>
      <c r="P1125" s="22"/>
      <c r="Q1125" s="22"/>
      <c r="R1125" s="22"/>
    </row>
    <row r="1126" spans="1:18" x14ac:dyDescent="0.25">
      <c r="A1126" s="22" t="s">
        <v>2258</v>
      </c>
      <c r="B1126" s="22" t="s">
        <v>201</v>
      </c>
      <c r="C1126" s="22" t="s">
        <v>202</v>
      </c>
      <c r="D1126" s="22" t="s">
        <v>2257</v>
      </c>
      <c r="E1126" s="22" t="s">
        <v>45</v>
      </c>
      <c r="F1126" s="23">
        <v>-26850</v>
      </c>
      <c r="G1126" s="24">
        <v>44259</v>
      </c>
      <c r="H1126" s="22" t="s">
        <v>2257</v>
      </c>
      <c r="I1126" s="22"/>
      <c r="J1126" s="22"/>
      <c r="K1126" s="22"/>
      <c r="L1126" s="22"/>
      <c r="M1126" s="22"/>
      <c r="N1126" s="22"/>
      <c r="O1126" s="22"/>
      <c r="P1126" s="22"/>
      <c r="Q1126" s="22"/>
      <c r="R1126" s="22"/>
    </row>
    <row r="1127" spans="1:18" x14ac:dyDescent="0.25">
      <c r="A1127" s="22" t="s">
        <v>2258</v>
      </c>
      <c r="B1127" s="22" t="s">
        <v>201</v>
      </c>
      <c r="C1127" s="22" t="s">
        <v>202</v>
      </c>
      <c r="D1127" s="22" t="s">
        <v>2257</v>
      </c>
      <c r="E1127" s="22" t="s">
        <v>45</v>
      </c>
      <c r="F1127" s="23">
        <v>56133</v>
      </c>
      <c r="G1127" s="24">
        <v>44259</v>
      </c>
      <c r="H1127" s="22" t="s">
        <v>2257</v>
      </c>
      <c r="I1127" s="22"/>
      <c r="J1127" s="22"/>
      <c r="K1127" s="22"/>
      <c r="L1127" s="22"/>
      <c r="M1127" s="22"/>
      <c r="N1127" s="22"/>
      <c r="O1127" s="22"/>
      <c r="P1127" s="22"/>
      <c r="Q1127" s="22"/>
      <c r="R1127" s="22"/>
    </row>
    <row r="1128" spans="1:18" s="39" customFormat="1" x14ac:dyDescent="0.25">
      <c r="A1128" s="36" t="s">
        <v>2268</v>
      </c>
      <c r="B1128" s="36" t="s">
        <v>201</v>
      </c>
      <c r="C1128" s="36" t="s">
        <v>202</v>
      </c>
      <c r="D1128" s="36" t="s">
        <v>2267</v>
      </c>
      <c r="E1128" s="36" t="s">
        <v>42</v>
      </c>
      <c r="F1128" s="37">
        <v>84752</v>
      </c>
      <c r="G1128" s="38">
        <v>44260</v>
      </c>
      <c r="H1128" s="36" t="s">
        <v>2269</v>
      </c>
      <c r="I1128" s="36" t="s">
        <v>1741</v>
      </c>
      <c r="J1128" s="36"/>
      <c r="K1128" s="36"/>
      <c r="L1128" s="36"/>
      <c r="M1128" s="36"/>
      <c r="N1128" s="36"/>
      <c r="O1128" s="36"/>
      <c r="P1128" s="36"/>
      <c r="Q1128" s="36"/>
      <c r="R1128" s="36"/>
    </row>
    <row r="1129" spans="1:18" x14ac:dyDescent="0.25">
      <c r="A1129" s="22" t="s">
        <v>2271</v>
      </c>
      <c r="B1129" s="22" t="s">
        <v>201</v>
      </c>
      <c r="C1129" s="22" t="s">
        <v>202</v>
      </c>
      <c r="D1129" s="22" t="s">
        <v>2270</v>
      </c>
      <c r="E1129" s="22" t="s">
        <v>57</v>
      </c>
      <c r="F1129" s="23">
        <v>-32700</v>
      </c>
      <c r="G1129" s="24">
        <v>44280</v>
      </c>
      <c r="H1129" s="22" t="s">
        <v>2269</v>
      </c>
      <c r="I1129" s="22" t="s">
        <v>890</v>
      </c>
      <c r="J1129" s="22"/>
      <c r="K1129" s="22"/>
      <c r="L1129" s="22"/>
      <c r="M1129" s="22"/>
      <c r="N1129" s="22"/>
      <c r="O1129" s="22"/>
      <c r="P1129" s="22"/>
      <c r="Q1129" s="22"/>
      <c r="R1129" s="22"/>
    </row>
    <row r="1130" spans="1:18" x14ac:dyDescent="0.25">
      <c r="A1130" s="22" t="s">
        <v>2273</v>
      </c>
      <c r="B1130" s="22" t="s">
        <v>201</v>
      </c>
      <c r="C1130" s="22" t="s">
        <v>202</v>
      </c>
      <c r="D1130" s="22" t="s">
        <v>2272</v>
      </c>
      <c r="E1130" s="22" t="s">
        <v>57</v>
      </c>
      <c r="F1130" s="23">
        <v>-6600</v>
      </c>
      <c r="G1130" s="24">
        <v>44259</v>
      </c>
      <c r="H1130" s="22" t="s">
        <v>2269</v>
      </c>
      <c r="I1130" s="22" t="s">
        <v>2059</v>
      </c>
      <c r="J1130" s="22"/>
      <c r="K1130" s="22"/>
      <c r="L1130" s="22"/>
      <c r="M1130" s="22"/>
      <c r="N1130" s="22"/>
      <c r="O1130" s="22"/>
      <c r="P1130" s="22"/>
      <c r="Q1130" s="22"/>
      <c r="R1130" s="22"/>
    </row>
    <row r="1131" spans="1:18" x14ac:dyDescent="0.25">
      <c r="A1131" s="22" t="s">
        <v>2275</v>
      </c>
      <c r="B1131" s="22" t="s">
        <v>201</v>
      </c>
      <c r="C1131" s="22" t="s">
        <v>202</v>
      </c>
      <c r="D1131" s="22" t="s">
        <v>2274</v>
      </c>
      <c r="E1131" s="22" t="s">
        <v>45</v>
      </c>
      <c r="F1131" s="23">
        <v>-5750</v>
      </c>
      <c r="G1131" s="24">
        <v>44126</v>
      </c>
      <c r="H1131" s="22" t="s">
        <v>2269</v>
      </c>
      <c r="I1131" s="22" t="s">
        <v>2276</v>
      </c>
      <c r="J1131" s="22"/>
      <c r="K1131" s="22"/>
      <c r="L1131" s="22"/>
      <c r="M1131" s="22"/>
      <c r="N1131" s="22"/>
      <c r="O1131" s="22"/>
      <c r="P1131" s="22"/>
      <c r="Q1131" s="22"/>
      <c r="R1131" s="22"/>
    </row>
    <row r="1132" spans="1:18" x14ac:dyDescent="0.25">
      <c r="A1132" s="22" t="s">
        <v>2278</v>
      </c>
      <c r="B1132" s="22" t="s">
        <v>201</v>
      </c>
      <c r="C1132" s="22" t="s">
        <v>202</v>
      </c>
      <c r="D1132" s="22" t="s">
        <v>2277</v>
      </c>
      <c r="E1132" s="22" t="s">
        <v>57</v>
      </c>
      <c r="F1132" s="23">
        <v>-42200</v>
      </c>
      <c r="G1132" s="24">
        <v>44118</v>
      </c>
      <c r="H1132" s="22" t="s">
        <v>2269</v>
      </c>
      <c r="I1132" s="22" t="s">
        <v>2279</v>
      </c>
      <c r="J1132" s="22"/>
      <c r="K1132" s="22"/>
      <c r="L1132" s="22"/>
      <c r="M1132" s="22"/>
      <c r="N1132" s="22"/>
      <c r="O1132" s="22"/>
      <c r="P1132" s="22"/>
      <c r="Q1132" s="22"/>
      <c r="R1132" s="22"/>
    </row>
    <row r="1133" spans="1:18" x14ac:dyDescent="0.25">
      <c r="A1133" s="22" t="s">
        <v>2271</v>
      </c>
      <c r="B1133" s="22" t="s">
        <v>201</v>
      </c>
      <c r="C1133" s="22" t="s">
        <v>202</v>
      </c>
      <c r="D1133" s="22" t="s">
        <v>2269</v>
      </c>
      <c r="E1133" s="22" t="s">
        <v>45</v>
      </c>
      <c r="F1133" s="23">
        <v>38450</v>
      </c>
      <c r="G1133" s="24">
        <v>44280</v>
      </c>
      <c r="H1133" s="22" t="s">
        <v>2269</v>
      </c>
      <c r="I1133" s="22"/>
      <c r="J1133" s="22"/>
      <c r="K1133" s="22"/>
      <c r="L1133" s="22"/>
      <c r="M1133" s="22"/>
      <c r="N1133" s="22"/>
      <c r="O1133" s="22"/>
      <c r="P1133" s="22"/>
      <c r="Q1133" s="22"/>
      <c r="R1133" s="22"/>
    </row>
    <row r="1134" spans="1:18" x14ac:dyDescent="0.25">
      <c r="A1134" s="22" t="s">
        <v>2271</v>
      </c>
      <c r="B1134" s="22" t="s">
        <v>201</v>
      </c>
      <c r="C1134" s="22" t="s">
        <v>202</v>
      </c>
      <c r="D1134" s="22" t="s">
        <v>2269</v>
      </c>
      <c r="E1134" s="22" t="s">
        <v>45</v>
      </c>
      <c r="F1134" s="23">
        <v>-84752</v>
      </c>
      <c r="G1134" s="24">
        <v>44280</v>
      </c>
      <c r="H1134" s="22" t="s">
        <v>2269</v>
      </c>
      <c r="I1134" s="22"/>
      <c r="J1134" s="22"/>
      <c r="K1134" s="22"/>
      <c r="L1134" s="22"/>
      <c r="M1134" s="22"/>
      <c r="N1134" s="22"/>
      <c r="O1134" s="22"/>
      <c r="P1134" s="22"/>
      <c r="Q1134" s="22"/>
      <c r="R1134" s="22"/>
    </row>
    <row r="1135" spans="1:18" x14ac:dyDescent="0.25">
      <c r="A1135" s="22" t="s">
        <v>2271</v>
      </c>
      <c r="B1135" s="22" t="s">
        <v>201</v>
      </c>
      <c r="C1135" s="22" t="s">
        <v>202</v>
      </c>
      <c r="D1135" s="22" t="s">
        <v>2269</v>
      </c>
      <c r="E1135" s="22" t="s">
        <v>45</v>
      </c>
      <c r="F1135" s="23">
        <v>42200</v>
      </c>
      <c r="G1135" s="24">
        <v>44280</v>
      </c>
      <c r="H1135" s="22" t="s">
        <v>2269</v>
      </c>
      <c r="I1135" s="22"/>
      <c r="J1135" s="22"/>
      <c r="K1135" s="22"/>
      <c r="L1135" s="22"/>
      <c r="M1135" s="22"/>
      <c r="N1135" s="22"/>
      <c r="O1135" s="22"/>
      <c r="P1135" s="22"/>
      <c r="Q1135" s="22"/>
      <c r="R1135" s="22"/>
    </row>
    <row r="1136" spans="1:18" x14ac:dyDescent="0.25">
      <c r="A1136" s="22" t="s">
        <v>2271</v>
      </c>
      <c r="B1136" s="22" t="s">
        <v>201</v>
      </c>
      <c r="C1136" s="22" t="s">
        <v>202</v>
      </c>
      <c r="D1136" s="22" t="s">
        <v>2269</v>
      </c>
      <c r="E1136" s="22" t="s">
        <v>45</v>
      </c>
      <c r="F1136" s="23">
        <v>6600</v>
      </c>
      <c r="G1136" s="24">
        <v>44280</v>
      </c>
      <c r="H1136" s="22" t="s">
        <v>2269</v>
      </c>
      <c r="I1136" s="22"/>
      <c r="J1136" s="22"/>
      <c r="K1136" s="22"/>
      <c r="L1136" s="22"/>
      <c r="M1136" s="22"/>
      <c r="N1136" s="22"/>
      <c r="O1136" s="22"/>
      <c r="P1136" s="22"/>
      <c r="Q1136" s="22"/>
      <c r="R1136" s="22"/>
    </row>
    <row r="1137" spans="1:18" s="39" customFormat="1" x14ac:dyDescent="0.25">
      <c r="A1137" s="36" t="s">
        <v>2281</v>
      </c>
      <c r="B1137" s="36" t="s">
        <v>201</v>
      </c>
      <c r="C1137" s="36" t="s">
        <v>202</v>
      </c>
      <c r="D1137" s="36" t="s">
        <v>2280</v>
      </c>
      <c r="E1137" s="36" t="s">
        <v>42</v>
      </c>
      <c r="F1137" s="37">
        <v>25950</v>
      </c>
      <c r="G1137" s="38">
        <v>44232</v>
      </c>
      <c r="H1137" s="36" t="s">
        <v>2274</v>
      </c>
      <c r="I1137" s="36" t="s">
        <v>1886</v>
      </c>
      <c r="J1137" s="36"/>
      <c r="K1137" s="36"/>
      <c r="L1137" s="36"/>
      <c r="M1137" s="36"/>
      <c r="N1137" s="36"/>
      <c r="O1137" s="36"/>
      <c r="P1137" s="36"/>
      <c r="Q1137" s="36"/>
      <c r="R1137" s="36"/>
    </row>
    <row r="1138" spans="1:18" x14ac:dyDescent="0.25">
      <c r="A1138" s="22" t="s">
        <v>2275</v>
      </c>
      <c r="B1138" s="22" t="s">
        <v>201</v>
      </c>
      <c r="C1138" s="22" t="s">
        <v>202</v>
      </c>
      <c r="D1138" s="22" t="s">
        <v>2282</v>
      </c>
      <c r="E1138" s="22" t="s">
        <v>57</v>
      </c>
      <c r="F1138" s="23">
        <v>-31700</v>
      </c>
      <c r="G1138" s="24">
        <v>44126</v>
      </c>
      <c r="H1138" s="22" t="s">
        <v>2274</v>
      </c>
      <c r="I1138" s="22" t="s">
        <v>2283</v>
      </c>
      <c r="J1138" s="22"/>
      <c r="K1138" s="22"/>
      <c r="L1138" s="22"/>
      <c r="M1138" s="22"/>
      <c r="N1138" s="22"/>
      <c r="O1138" s="22"/>
      <c r="P1138" s="22"/>
      <c r="Q1138" s="22"/>
      <c r="R1138" s="22"/>
    </row>
    <row r="1139" spans="1:18" x14ac:dyDescent="0.25">
      <c r="A1139" s="22" t="s">
        <v>2275</v>
      </c>
      <c r="B1139" s="22" t="s">
        <v>201</v>
      </c>
      <c r="C1139" s="22" t="s">
        <v>202</v>
      </c>
      <c r="D1139" s="22" t="s">
        <v>2274</v>
      </c>
      <c r="E1139" s="22" t="s">
        <v>45</v>
      </c>
      <c r="F1139" s="23">
        <v>31700</v>
      </c>
      <c r="G1139" s="24">
        <v>44126</v>
      </c>
      <c r="H1139" s="22" t="s">
        <v>2274</v>
      </c>
      <c r="I1139" s="22"/>
      <c r="J1139" s="22"/>
      <c r="K1139" s="22"/>
      <c r="L1139" s="22"/>
      <c r="M1139" s="22"/>
      <c r="N1139" s="22"/>
      <c r="O1139" s="22"/>
      <c r="P1139" s="22"/>
      <c r="Q1139" s="22"/>
      <c r="R1139" s="22"/>
    </row>
    <row r="1140" spans="1:18" x14ac:dyDescent="0.25">
      <c r="A1140" s="22" t="s">
        <v>2275</v>
      </c>
      <c r="B1140" s="22" t="s">
        <v>201</v>
      </c>
      <c r="C1140" s="22" t="s">
        <v>202</v>
      </c>
      <c r="D1140" s="22" t="s">
        <v>2274</v>
      </c>
      <c r="E1140" s="22" t="s">
        <v>45</v>
      </c>
      <c r="F1140" s="23">
        <v>-25950</v>
      </c>
      <c r="G1140" s="24">
        <v>44126</v>
      </c>
      <c r="H1140" s="22" t="s">
        <v>2274</v>
      </c>
      <c r="I1140" s="22"/>
      <c r="J1140" s="22"/>
      <c r="K1140" s="22"/>
      <c r="L1140" s="22"/>
      <c r="M1140" s="22"/>
      <c r="N1140" s="22"/>
      <c r="O1140" s="22"/>
      <c r="P1140" s="22"/>
      <c r="Q1140" s="22"/>
      <c r="R1140" s="22"/>
    </row>
    <row r="1141" spans="1:18" s="39" customFormat="1" x14ac:dyDescent="0.25">
      <c r="A1141" s="36" t="s">
        <v>2285</v>
      </c>
      <c r="B1141" s="36" t="s">
        <v>201</v>
      </c>
      <c r="C1141" s="36" t="s">
        <v>202</v>
      </c>
      <c r="D1141" s="36" t="s">
        <v>2284</v>
      </c>
      <c r="E1141" s="36" t="s">
        <v>42</v>
      </c>
      <c r="F1141" s="37">
        <v>52778</v>
      </c>
      <c r="G1141" s="38">
        <v>44214</v>
      </c>
      <c r="H1141" s="36" t="s">
        <v>2039</v>
      </c>
      <c r="I1141" s="36" t="s">
        <v>1741</v>
      </c>
      <c r="J1141" s="36"/>
      <c r="K1141" s="36"/>
      <c r="L1141" s="36"/>
      <c r="M1141" s="36"/>
      <c r="N1141" s="36"/>
      <c r="O1141" s="36"/>
      <c r="P1141" s="36"/>
      <c r="Q1141" s="36"/>
      <c r="R1141" s="36"/>
    </row>
    <row r="1142" spans="1:18" x14ac:dyDescent="0.25">
      <c r="A1142" s="22" t="s">
        <v>2251</v>
      </c>
      <c r="B1142" s="22" t="s">
        <v>201</v>
      </c>
      <c r="C1142" s="22" t="s">
        <v>202</v>
      </c>
      <c r="D1142" s="22" t="s">
        <v>2250</v>
      </c>
      <c r="E1142" s="22" t="s">
        <v>45</v>
      </c>
      <c r="F1142" s="23">
        <v>-172800</v>
      </c>
      <c r="G1142" s="24">
        <v>44355</v>
      </c>
      <c r="H1142" s="22" t="s">
        <v>2250</v>
      </c>
      <c r="I1142" s="22" t="s">
        <v>230</v>
      </c>
      <c r="J1142" s="22"/>
      <c r="K1142" s="22"/>
      <c r="L1142" s="22"/>
      <c r="M1142" s="22"/>
      <c r="N1142" s="22"/>
      <c r="O1142" s="22"/>
      <c r="P1142" s="22"/>
      <c r="Q1142" s="22"/>
      <c r="R1142" s="22"/>
    </row>
    <row r="1143" spans="1:18" x14ac:dyDescent="0.25">
      <c r="A1143" s="22" t="s">
        <v>2251</v>
      </c>
      <c r="B1143" s="22" t="s">
        <v>201</v>
      </c>
      <c r="C1143" s="22" t="s">
        <v>202</v>
      </c>
      <c r="D1143" s="22" t="s">
        <v>2250</v>
      </c>
      <c r="E1143" s="22" t="s">
        <v>45</v>
      </c>
      <c r="F1143" s="23">
        <v>31600</v>
      </c>
      <c r="G1143" s="24">
        <v>44355</v>
      </c>
      <c r="H1143" s="22" t="s">
        <v>2250</v>
      </c>
      <c r="I1143" s="22" t="s">
        <v>230</v>
      </c>
      <c r="J1143" s="22"/>
      <c r="K1143" s="22"/>
      <c r="L1143" s="22"/>
      <c r="M1143" s="22"/>
      <c r="N1143" s="22"/>
      <c r="O1143" s="22"/>
      <c r="P1143" s="22"/>
      <c r="Q1143" s="22"/>
      <c r="R1143" s="22"/>
    </row>
    <row r="1144" spans="1:18" s="39" customFormat="1" x14ac:dyDescent="0.25">
      <c r="A1144" s="36" t="s">
        <v>2251</v>
      </c>
      <c r="B1144" s="36" t="s">
        <v>201</v>
      </c>
      <c r="C1144" s="36" t="s">
        <v>202</v>
      </c>
      <c r="D1144" s="36" t="s">
        <v>2286</v>
      </c>
      <c r="E1144" s="36" t="s">
        <v>42</v>
      </c>
      <c r="F1144" s="37">
        <v>226500</v>
      </c>
      <c r="G1144" s="38">
        <v>44355</v>
      </c>
      <c r="H1144" s="36" t="s">
        <v>2250</v>
      </c>
      <c r="I1144" s="36" t="s">
        <v>605</v>
      </c>
      <c r="J1144" s="36"/>
      <c r="K1144" s="36"/>
      <c r="L1144" s="36"/>
      <c r="M1144" s="36"/>
      <c r="N1144" s="36"/>
      <c r="O1144" s="36"/>
      <c r="P1144" s="36"/>
      <c r="Q1144" s="36"/>
      <c r="R1144" s="36"/>
    </row>
    <row r="1145" spans="1:18" x14ac:dyDescent="0.25">
      <c r="A1145" s="22" t="s">
        <v>2288</v>
      </c>
      <c r="B1145" s="22" t="s">
        <v>201</v>
      </c>
      <c r="C1145" s="22" t="s">
        <v>202</v>
      </c>
      <c r="D1145" s="22" t="s">
        <v>2287</v>
      </c>
      <c r="E1145" s="22" t="s">
        <v>57</v>
      </c>
      <c r="F1145" s="23">
        <v>-31600</v>
      </c>
      <c r="G1145" s="24">
        <v>44284</v>
      </c>
      <c r="H1145" s="22" t="s">
        <v>2250</v>
      </c>
      <c r="I1145" s="22" t="s">
        <v>764</v>
      </c>
      <c r="J1145" s="22"/>
      <c r="K1145" s="22"/>
      <c r="L1145" s="22"/>
      <c r="M1145" s="22"/>
      <c r="N1145" s="22"/>
      <c r="O1145" s="22"/>
      <c r="P1145" s="22"/>
      <c r="Q1145" s="22"/>
      <c r="R1145" s="22"/>
    </row>
    <row r="1146" spans="1:18" x14ac:dyDescent="0.25">
      <c r="A1146" s="22" t="s">
        <v>2290</v>
      </c>
      <c r="B1146" s="22" t="s">
        <v>201</v>
      </c>
      <c r="C1146" s="22" t="s">
        <v>202</v>
      </c>
      <c r="D1146" s="22" t="s">
        <v>2289</v>
      </c>
      <c r="E1146" s="22" t="s">
        <v>57</v>
      </c>
      <c r="F1146" s="23">
        <v>-32700</v>
      </c>
      <c r="G1146" s="24">
        <v>44281</v>
      </c>
      <c r="H1146" s="22" t="s">
        <v>2250</v>
      </c>
      <c r="I1146" s="22" t="s">
        <v>2291</v>
      </c>
      <c r="J1146" s="22"/>
      <c r="K1146" s="22"/>
      <c r="L1146" s="22"/>
      <c r="M1146" s="22"/>
      <c r="N1146" s="22"/>
      <c r="O1146" s="22"/>
      <c r="P1146" s="22"/>
      <c r="Q1146" s="22"/>
      <c r="R1146" s="22"/>
    </row>
    <row r="1147" spans="1:18" x14ac:dyDescent="0.25">
      <c r="A1147" s="22" t="s">
        <v>2293</v>
      </c>
      <c r="B1147" s="22" t="s">
        <v>201</v>
      </c>
      <c r="C1147" s="22" t="s">
        <v>202</v>
      </c>
      <c r="D1147" s="22" t="s">
        <v>2292</v>
      </c>
      <c r="E1147" s="22" t="s">
        <v>57</v>
      </c>
      <c r="F1147" s="23">
        <v>-44200</v>
      </c>
      <c r="G1147" s="24">
        <v>44270</v>
      </c>
      <c r="H1147" s="22" t="s">
        <v>2250</v>
      </c>
      <c r="I1147" s="22" t="s">
        <v>2291</v>
      </c>
      <c r="J1147" s="22"/>
      <c r="K1147" s="22"/>
      <c r="L1147" s="22"/>
      <c r="M1147" s="22"/>
      <c r="N1147" s="22"/>
      <c r="O1147" s="22"/>
      <c r="P1147" s="22"/>
      <c r="Q1147" s="22"/>
      <c r="R1147" s="22"/>
    </row>
    <row r="1148" spans="1:18" x14ac:dyDescent="0.25">
      <c r="A1148" s="22" t="s">
        <v>2295</v>
      </c>
      <c r="B1148" s="22" t="s">
        <v>201</v>
      </c>
      <c r="C1148" s="22" t="s">
        <v>202</v>
      </c>
      <c r="D1148" s="22" t="s">
        <v>2294</v>
      </c>
      <c r="E1148" s="22" t="s">
        <v>57</v>
      </c>
      <c r="F1148" s="23">
        <v>-32700</v>
      </c>
      <c r="G1148" s="24">
        <v>44267</v>
      </c>
      <c r="H1148" s="22" t="s">
        <v>2250</v>
      </c>
      <c r="I1148" s="22" t="s">
        <v>2291</v>
      </c>
      <c r="J1148" s="22"/>
      <c r="K1148" s="22"/>
      <c r="L1148" s="22"/>
      <c r="M1148" s="22"/>
      <c r="N1148" s="22"/>
      <c r="O1148" s="22"/>
      <c r="P1148" s="22"/>
      <c r="Q1148" s="22"/>
      <c r="R1148" s="22"/>
    </row>
    <row r="1149" spans="1:18" x14ac:dyDescent="0.25">
      <c r="A1149" s="22" t="s">
        <v>2297</v>
      </c>
      <c r="B1149" s="22" t="s">
        <v>201</v>
      </c>
      <c r="C1149" s="22" t="s">
        <v>202</v>
      </c>
      <c r="D1149" s="22" t="s">
        <v>2296</v>
      </c>
      <c r="E1149" s="22" t="s">
        <v>57</v>
      </c>
      <c r="F1149" s="23">
        <v>-53700</v>
      </c>
      <c r="G1149" s="24">
        <v>44256</v>
      </c>
      <c r="H1149" s="22" t="s">
        <v>2250</v>
      </c>
      <c r="I1149" s="22" t="s">
        <v>2291</v>
      </c>
      <c r="J1149" s="22"/>
      <c r="K1149" s="22"/>
      <c r="L1149" s="22"/>
      <c r="M1149" s="22"/>
      <c r="N1149" s="22"/>
      <c r="O1149" s="22"/>
      <c r="P1149" s="22"/>
      <c r="Q1149" s="22"/>
      <c r="R1149" s="22"/>
    </row>
    <row r="1150" spans="1:18" x14ac:dyDescent="0.25">
      <c r="A1150" s="22" t="s">
        <v>2299</v>
      </c>
      <c r="B1150" s="22" t="s">
        <v>201</v>
      </c>
      <c r="C1150" s="22" t="s">
        <v>202</v>
      </c>
      <c r="D1150" s="22" t="s">
        <v>2298</v>
      </c>
      <c r="E1150" s="22" t="s">
        <v>57</v>
      </c>
      <c r="F1150" s="23">
        <v>-31600</v>
      </c>
      <c r="G1150" s="24">
        <v>44271</v>
      </c>
      <c r="H1150" s="22" t="s">
        <v>2250</v>
      </c>
      <c r="I1150" s="22" t="s">
        <v>711</v>
      </c>
      <c r="J1150" s="22"/>
      <c r="K1150" s="22"/>
      <c r="L1150" s="22"/>
      <c r="M1150" s="22"/>
      <c r="N1150" s="22"/>
      <c r="O1150" s="22"/>
      <c r="P1150" s="22"/>
      <c r="Q1150" s="22"/>
      <c r="R1150" s="22"/>
    </row>
    <row r="1151" spans="1:18" s="39" customFormat="1" x14ac:dyDescent="0.25">
      <c r="A1151" s="36" t="s">
        <v>2301</v>
      </c>
      <c r="B1151" s="36" t="s">
        <v>201</v>
      </c>
      <c r="C1151" s="36" t="s">
        <v>202</v>
      </c>
      <c r="D1151" s="36" t="s">
        <v>2300</v>
      </c>
      <c r="E1151" s="36" t="s">
        <v>42</v>
      </c>
      <c r="F1151" s="37">
        <v>40545294</v>
      </c>
      <c r="G1151" s="38">
        <v>44214</v>
      </c>
      <c r="H1151" s="36" t="s">
        <v>2302</v>
      </c>
      <c r="I1151" s="36" t="s">
        <v>1741</v>
      </c>
      <c r="J1151" s="36"/>
      <c r="K1151" s="36"/>
      <c r="L1151" s="36"/>
      <c r="M1151" s="36"/>
      <c r="N1151" s="36"/>
      <c r="O1151" s="36"/>
      <c r="P1151" s="36"/>
      <c r="Q1151" s="36"/>
      <c r="R1151" s="36"/>
    </row>
    <row r="1152" spans="1:18" x14ac:dyDescent="0.25">
      <c r="A1152" s="22" t="s">
        <v>2304</v>
      </c>
      <c r="B1152" s="22" t="s">
        <v>201</v>
      </c>
      <c r="C1152" s="22" t="s">
        <v>202</v>
      </c>
      <c r="D1152" s="22" t="s">
        <v>2303</v>
      </c>
      <c r="E1152" s="22" t="s">
        <v>57</v>
      </c>
      <c r="F1152" s="23">
        <v>-196600</v>
      </c>
      <c r="G1152" s="24">
        <v>44314</v>
      </c>
      <c r="H1152" s="22" t="s">
        <v>2302</v>
      </c>
      <c r="I1152" s="22" t="s">
        <v>1250</v>
      </c>
      <c r="J1152" s="22"/>
      <c r="K1152" s="22"/>
      <c r="L1152" s="22"/>
      <c r="M1152" s="22"/>
      <c r="N1152" s="22"/>
      <c r="O1152" s="22"/>
      <c r="P1152" s="22"/>
      <c r="Q1152" s="22"/>
      <c r="R1152" s="22"/>
    </row>
    <row r="1153" spans="1:18" x14ac:dyDescent="0.25">
      <c r="A1153" s="22" t="s">
        <v>2306</v>
      </c>
      <c r="B1153" s="22" t="s">
        <v>201</v>
      </c>
      <c r="C1153" s="22" t="s">
        <v>202</v>
      </c>
      <c r="D1153" s="22" t="s">
        <v>2305</v>
      </c>
      <c r="E1153" s="22" t="s">
        <v>57</v>
      </c>
      <c r="F1153" s="23">
        <v>-104507</v>
      </c>
      <c r="G1153" s="24">
        <v>44282</v>
      </c>
      <c r="H1153" s="22" t="s">
        <v>2302</v>
      </c>
      <c r="I1153" s="22" t="s">
        <v>2059</v>
      </c>
      <c r="J1153" s="22"/>
      <c r="K1153" s="22"/>
      <c r="L1153" s="22"/>
      <c r="M1153" s="22"/>
      <c r="N1153" s="22"/>
      <c r="O1153" s="22"/>
      <c r="P1153" s="22"/>
      <c r="Q1153" s="22"/>
      <c r="R1153" s="22"/>
    </row>
    <row r="1154" spans="1:18" x14ac:dyDescent="0.25">
      <c r="A1154" s="22" t="s">
        <v>2308</v>
      </c>
      <c r="B1154" s="22" t="s">
        <v>201</v>
      </c>
      <c r="C1154" s="22" t="s">
        <v>202</v>
      </c>
      <c r="D1154" s="22" t="s">
        <v>2307</v>
      </c>
      <c r="E1154" s="22" t="s">
        <v>57</v>
      </c>
      <c r="F1154" s="23">
        <v>-151089</v>
      </c>
      <c r="G1154" s="24">
        <v>44267</v>
      </c>
      <c r="H1154" s="22" t="s">
        <v>2302</v>
      </c>
      <c r="I1154" s="22" t="s">
        <v>2059</v>
      </c>
      <c r="J1154" s="22"/>
      <c r="K1154" s="22"/>
      <c r="L1154" s="22"/>
      <c r="M1154" s="22"/>
      <c r="N1154" s="22"/>
      <c r="O1154" s="22"/>
      <c r="P1154" s="22"/>
      <c r="Q1154" s="22"/>
      <c r="R1154" s="22"/>
    </row>
    <row r="1155" spans="1:18" x14ac:dyDescent="0.25">
      <c r="A1155" s="22" t="s">
        <v>2310</v>
      </c>
      <c r="B1155" s="22" t="s">
        <v>201</v>
      </c>
      <c r="C1155" s="22" t="s">
        <v>202</v>
      </c>
      <c r="D1155" s="22" t="s">
        <v>2309</v>
      </c>
      <c r="E1155" s="22" t="s">
        <v>57</v>
      </c>
      <c r="F1155" s="23">
        <v>-845492</v>
      </c>
      <c r="G1155" s="24">
        <v>44291</v>
      </c>
      <c r="H1155" s="22" t="s">
        <v>2302</v>
      </c>
      <c r="I1155" s="22" t="s">
        <v>2262</v>
      </c>
      <c r="J1155" s="22"/>
      <c r="K1155" s="22"/>
      <c r="L1155" s="22"/>
      <c r="M1155" s="22"/>
      <c r="N1155" s="22"/>
      <c r="O1155" s="22"/>
      <c r="P1155" s="22"/>
      <c r="Q1155" s="22"/>
      <c r="R1155" s="22"/>
    </row>
    <row r="1156" spans="1:18" x14ac:dyDescent="0.25">
      <c r="A1156" s="22" t="s">
        <v>2312</v>
      </c>
      <c r="B1156" s="22" t="s">
        <v>201</v>
      </c>
      <c r="C1156" s="22" t="s">
        <v>202</v>
      </c>
      <c r="D1156" s="22" t="s">
        <v>2311</v>
      </c>
      <c r="E1156" s="22" t="s">
        <v>57</v>
      </c>
      <c r="F1156" s="23">
        <v>-485238</v>
      </c>
      <c r="G1156" s="24">
        <v>44285</v>
      </c>
      <c r="H1156" s="22" t="s">
        <v>2302</v>
      </c>
      <c r="I1156" s="22" t="s">
        <v>2313</v>
      </c>
      <c r="J1156" s="22"/>
      <c r="K1156" s="22"/>
      <c r="L1156" s="22"/>
      <c r="M1156" s="22"/>
      <c r="N1156" s="22"/>
      <c r="O1156" s="22"/>
      <c r="P1156" s="22"/>
      <c r="Q1156" s="22"/>
      <c r="R1156" s="22"/>
    </row>
    <row r="1157" spans="1:18" x14ac:dyDescent="0.25">
      <c r="A1157" s="22" t="s">
        <v>2315</v>
      </c>
      <c r="B1157" s="22" t="s">
        <v>201</v>
      </c>
      <c r="C1157" s="22" t="s">
        <v>202</v>
      </c>
      <c r="D1157" s="22" t="s">
        <v>2314</v>
      </c>
      <c r="E1157" s="22" t="s">
        <v>57</v>
      </c>
      <c r="F1157" s="23">
        <v>-288788</v>
      </c>
      <c r="G1157" s="24">
        <v>44282</v>
      </c>
      <c r="H1157" s="22" t="s">
        <v>2302</v>
      </c>
      <c r="I1157" s="22" t="s">
        <v>2316</v>
      </c>
      <c r="J1157" s="22"/>
      <c r="K1157" s="22"/>
      <c r="L1157" s="22"/>
      <c r="M1157" s="22"/>
      <c r="N1157" s="22"/>
      <c r="O1157" s="22"/>
      <c r="P1157" s="22"/>
      <c r="Q1157" s="22"/>
      <c r="R1157" s="22"/>
    </row>
    <row r="1158" spans="1:18" x14ac:dyDescent="0.25">
      <c r="A1158" s="22" t="s">
        <v>2318</v>
      </c>
      <c r="B1158" s="22" t="s">
        <v>201</v>
      </c>
      <c r="C1158" s="22" t="s">
        <v>202</v>
      </c>
      <c r="D1158" s="22" t="s">
        <v>2317</v>
      </c>
      <c r="E1158" s="22" t="s">
        <v>57</v>
      </c>
      <c r="F1158" s="23">
        <v>-54657</v>
      </c>
      <c r="G1158" s="24">
        <v>44281</v>
      </c>
      <c r="H1158" s="22" t="s">
        <v>2302</v>
      </c>
      <c r="I1158" s="22" t="s">
        <v>2316</v>
      </c>
      <c r="J1158" s="22"/>
      <c r="K1158" s="22"/>
      <c r="L1158" s="22"/>
      <c r="M1158" s="22"/>
      <c r="N1158" s="22"/>
      <c r="O1158" s="22"/>
      <c r="P1158" s="22"/>
      <c r="Q1158" s="22"/>
      <c r="R1158" s="22"/>
    </row>
    <row r="1159" spans="1:18" x14ac:dyDescent="0.25">
      <c r="A1159" s="22" t="s">
        <v>2320</v>
      </c>
      <c r="B1159" s="22" t="s">
        <v>201</v>
      </c>
      <c r="C1159" s="22" t="s">
        <v>202</v>
      </c>
      <c r="D1159" s="22" t="s">
        <v>2319</v>
      </c>
      <c r="E1159" s="22" t="s">
        <v>57</v>
      </c>
      <c r="F1159" s="23">
        <v>-143100</v>
      </c>
      <c r="G1159" s="24">
        <v>44257</v>
      </c>
      <c r="H1159" s="22" t="s">
        <v>2302</v>
      </c>
      <c r="I1159" s="22" t="s">
        <v>2059</v>
      </c>
      <c r="J1159" s="22"/>
      <c r="K1159" s="22"/>
      <c r="L1159" s="22"/>
      <c r="M1159" s="22"/>
      <c r="N1159" s="22"/>
      <c r="O1159" s="22"/>
      <c r="P1159" s="22"/>
      <c r="Q1159" s="22"/>
      <c r="R1159" s="22"/>
    </row>
    <row r="1160" spans="1:18" x14ac:dyDescent="0.25">
      <c r="A1160" s="22" t="s">
        <v>2322</v>
      </c>
      <c r="B1160" s="22" t="s">
        <v>201</v>
      </c>
      <c r="C1160" s="22" t="s">
        <v>202</v>
      </c>
      <c r="D1160" s="22" t="s">
        <v>2321</v>
      </c>
      <c r="E1160" s="22" t="s">
        <v>57</v>
      </c>
      <c r="F1160" s="23">
        <v>-104900</v>
      </c>
      <c r="G1160" s="24">
        <v>44105</v>
      </c>
      <c r="H1160" s="22" t="s">
        <v>2302</v>
      </c>
      <c r="I1160" s="22" t="s">
        <v>2279</v>
      </c>
      <c r="J1160" s="22"/>
      <c r="K1160" s="22"/>
      <c r="L1160" s="22"/>
      <c r="M1160" s="22"/>
      <c r="N1160" s="22"/>
      <c r="O1160" s="22"/>
      <c r="P1160" s="22"/>
      <c r="Q1160" s="22"/>
      <c r="R1160" s="22"/>
    </row>
    <row r="1161" spans="1:18" x14ac:dyDescent="0.25">
      <c r="A1161" s="22" t="s">
        <v>2324</v>
      </c>
      <c r="B1161" s="22" t="s">
        <v>201</v>
      </c>
      <c r="C1161" s="22" t="s">
        <v>202</v>
      </c>
      <c r="D1161" s="22" t="s">
        <v>2323</v>
      </c>
      <c r="E1161" s="22" t="s">
        <v>57</v>
      </c>
      <c r="F1161" s="23">
        <v>-630200</v>
      </c>
      <c r="G1161" s="24">
        <v>44105</v>
      </c>
      <c r="H1161" s="22" t="s">
        <v>2302</v>
      </c>
      <c r="I1161" s="22" t="s">
        <v>2279</v>
      </c>
      <c r="J1161" s="22"/>
      <c r="K1161" s="22"/>
      <c r="L1161" s="22"/>
      <c r="M1161" s="22"/>
      <c r="N1161" s="22"/>
      <c r="O1161" s="22"/>
      <c r="P1161" s="22"/>
      <c r="Q1161" s="22"/>
      <c r="R1161" s="22"/>
    </row>
    <row r="1162" spans="1:18" x14ac:dyDescent="0.25">
      <c r="A1162" s="22" t="s">
        <v>2326</v>
      </c>
      <c r="B1162" s="22" t="s">
        <v>201</v>
      </c>
      <c r="C1162" s="22" t="s">
        <v>202</v>
      </c>
      <c r="D1162" s="22" t="s">
        <v>2325</v>
      </c>
      <c r="E1162" s="22" t="s">
        <v>57</v>
      </c>
      <c r="F1162" s="23">
        <v>-9800</v>
      </c>
      <c r="G1162" s="24">
        <v>44105</v>
      </c>
      <c r="H1162" s="22" t="s">
        <v>2302</v>
      </c>
      <c r="I1162" s="22" t="s">
        <v>2279</v>
      </c>
      <c r="J1162" s="22"/>
      <c r="K1162" s="22"/>
      <c r="L1162" s="22"/>
      <c r="M1162" s="22"/>
      <c r="N1162" s="22"/>
      <c r="O1162" s="22"/>
      <c r="P1162" s="22"/>
      <c r="Q1162" s="22"/>
      <c r="R1162" s="22"/>
    </row>
    <row r="1163" spans="1:18" x14ac:dyDescent="0.25">
      <c r="A1163" s="22" t="s">
        <v>2301</v>
      </c>
      <c r="B1163" s="22" t="s">
        <v>201</v>
      </c>
      <c r="C1163" s="22" t="s">
        <v>202</v>
      </c>
      <c r="D1163" s="22" t="s">
        <v>2302</v>
      </c>
      <c r="E1163" s="22" t="s">
        <v>45</v>
      </c>
      <c r="F1163" s="23">
        <v>-38871119</v>
      </c>
      <c r="G1163" s="24">
        <v>44214</v>
      </c>
      <c r="H1163" s="22" t="s">
        <v>2302</v>
      </c>
      <c r="I1163" s="22"/>
      <c r="J1163" s="22"/>
      <c r="K1163" s="22"/>
      <c r="L1163" s="22"/>
      <c r="M1163" s="22"/>
      <c r="N1163" s="22"/>
      <c r="O1163" s="22"/>
      <c r="P1163" s="22"/>
      <c r="Q1163" s="22"/>
      <c r="R1163" s="22"/>
    </row>
    <row r="1164" spans="1:18" x14ac:dyDescent="0.25">
      <c r="A1164" s="22" t="s">
        <v>2301</v>
      </c>
      <c r="B1164" s="22" t="s">
        <v>201</v>
      </c>
      <c r="C1164" s="22" t="s">
        <v>202</v>
      </c>
      <c r="D1164" s="22" t="s">
        <v>2302</v>
      </c>
      <c r="E1164" s="22" t="s">
        <v>45</v>
      </c>
      <c r="F1164" s="23">
        <v>992507</v>
      </c>
      <c r="G1164" s="24">
        <v>44214</v>
      </c>
      <c r="H1164" s="22" t="s">
        <v>2302</v>
      </c>
      <c r="I1164" s="22"/>
      <c r="J1164" s="22"/>
      <c r="K1164" s="22"/>
      <c r="L1164" s="22"/>
      <c r="M1164" s="22"/>
      <c r="N1164" s="22"/>
      <c r="O1164" s="22"/>
      <c r="P1164" s="22"/>
      <c r="Q1164" s="22"/>
      <c r="R1164" s="22"/>
    </row>
    <row r="1165" spans="1:18" x14ac:dyDescent="0.25">
      <c r="A1165" s="22" t="s">
        <v>2301</v>
      </c>
      <c r="B1165" s="22" t="s">
        <v>201</v>
      </c>
      <c r="C1165" s="22" t="s">
        <v>202</v>
      </c>
      <c r="D1165" s="22" t="s">
        <v>2302</v>
      </c>
      <c r="E1165" s="22" t="s">
        <v>45</v>
      </c>
      <c r="F1165" s="23">
        <v>347689</v>
      </c>
      <c r="G1165" s="24">
        <v>44214</v>
      </c>
      <c r="H1165" s="22" t="s">
        <v>2302</v>
      </c>
      <c r="I1165" s="22"/>
      <c r="J1165" s="22"/>
      <c r="K1165" s="22"/>
      <c r="L1165" s="22"/>
      <c r="M1165" s="22"/>
      <c r="N1165" s="22"/>
      <c r="O1165" s="22"/>
      <c r="P1165" s="22"/>
      <c r="Q1165" s="22"/>
      <c r="R1165" s="22"/>
    </row>
    <row r="1166" spans="1:18" x14ac:dyDescent="0.25">
      <c r="A1166" s="22" t="s">
        <v>2328</v>
      </c>
      <c r="B1166" s="22" t="s">
        <v>201</v>
      </c>
      <c r="C1166" s="22" t="s">
        <v>202</v>
      </c>
      <c r="D1166" s="22" t="s">
        <v>2327</v>
      </c>
      <c r="E1166" s="22" t="s">
        <v>57</v>
      </c>
      <c r="F1166" s="23">
        <v>-16700</v>
      </c>
      <c r="G1166" s="24">
        <v>44441</v>
      </c>
      <c r="H1166" s="22" t="s">
        <v>744</v>
      </c>
      <c r="I1166" s="22" t="s">
        <v>2329</v>
      </c>
      <c r="J1166" s="22"/>
      <c r="K1166" s="22"/>
      <c r="L1166" s="22"/>
      <c r="M1166" s="22"/>
      <c r="N1166" s="22"/>
      <c r="O1166" s="22"/>
      <c r="P1166" s="22"/>
      <c r="Q1166" s="22"/>
      <c r="R1166" s="22"/>
    </row>
    <row r="1167" spans="1:18" x14ac:dyDescent="0.25">
      <c r="A1167" s="22" t="s">
        <v>2331</v>
      </c>
      <c r="B1167" s="22" t="s">
        <v>201</v>
      </c>
      <c r="C1167" s="22" t="s">
        <v>202</v>
      </c>
      <c r="D1167" s="22" t="s">
        <v>2330</v>
      </c>
      <c r="E1167" s="22" t="s">
        <v>57</v>
      </c>
      <c r="F1167" s="23">
        <v>-8300</v>
      </c>
      <c r="G1167" s="24">
        <v>44447</v>
      </c>
      <c r="H1167" s="22" t="s">
        <v>744</v>
      </c>
      <c r="I1167" s="22" t="s">
        <v>802</v>
      </c>
      <c r="J1167" s="22"/>
      <c r="K1167" s="22"/>
      <c r="L1167" s="22"/>
      <c r="M1167" s="22"/>
      <c r="N1167" s="22"/>
      <c r="O1167" s="22"/>
      <c r="P1167" s="22"/>
      <c r="Q1167" s="22"/>
      <c r="R1167" s="22"/>
    </row>
    <row r="1168" spans="1:18" x14ac:dyDescent="0.25">
      <c r="A1168" s="22" t="s">
        <v>2333</v>
      </c>
      <c r="B1168" s="22" t="s">
        <v>201</v>
      </c>
      <c r="C1168" s="22" t="s">
        <v>202</v>
      </c>
      <c r="D1168" s="22" t="s">
        <v>2332</v>
      </c>
      <c r="E1168" s="22" t="s">
        <v>57</v>
      </c>
      <c r="F1168" s="23">
        <v>-8300</v>
      </c>
      <c r="G1168" s="24">
        <v>44447</v>
      </c>
      <c r="H1168" s="22" t="s">
        <v>744</v>
      </c>
      <c r="I1168" s="22" t="s">
        <v>478</v>
      </c>
      <c r="J1168" s="22"/>
      <c r="K1168" s="22"/>
      <c r="L1168" s="22"/>
      <c r="M1168" s="22"/>
      <c r="N1168" s="22"/>
      <c r="O1168" s="22"/>
      <c r="P1168" s="22"/>
      <c r="Q1168" s="22"/>
      <c r="R1168" s="22"/>
    </row>
    <row r="1169" spans="1:18" s="39" customFormat="1" x14ac:dyDescent="0.25">
      <c r="A1169" s="36" t="s">
        <v>2335</v>
      </c>
      <c r="B1169" s="36" t="s">
        <v>201</v>
      </c>
      <c r="C1169" s="36" t="s">
        <v>202</v>
      </c>
      <c r="D1169" s="36" t="s">
        <v>2334</v>
      </c>
      <c r="E1169" s="36" t="s">
        <v>42</v>
      </c>
      <c r="F1169" s="37">
        <v>2320387</v>
      </c>
      <c r="G1169" s="38">
        <v>44508</v>
      </c>
      <c r="H1169" s="36" t="s">
        <v>2336</v>
      </c>
      <c r="I1169" s="36" t="s">
        <v>520</v>
      </c>
      <c r="J1169" s="36"/>
      <c r="K1169" s="36"/>
      <c r="L1169" s="36"/>
      <c r="M1169" s="36"/>
      <c r="N1169" s="36"/>
      <c r="O1169" s="36"/>
      <c r="P1169" s="36"/>
      <c r="Q1169" s="36"/>
      <c r="R1169" s="36"/>
    </row>
    <row r="1170" spans="1:18" x14ac:dyDescent="0.25">
      <c r="A1170" s="22" t="s">
        <v>2338</v>
      </c>
      <c r="B1170" s="22" t="s">
        <v>201</v>
      </c>
      <c r="C1170" s="22" t="s">
        <v>202</v>
      </c>
      <c r="D1170" s="22" t="s">
        <v>2337</v>
      </c>
      <c r="E1170" s="22" t="s">
        <v>57</v>
      </c>
      <c r="F1170" s="23">
        <v>-29200</v>
      </c>
      <c r="G1170" s="24">
        <v>44435</v>
      </c>
      <c r="H1170" s="22" t="s">
        <v>2336</v>
      </c>
      <c r="I1170" s="22" t="s">
        <v>559</v>
      </c>
      <c r="J1170" s="22"/>
      <c r="K1170" s="22"/>
      <c r="L1170" s="22"/>
      <c r="M1170" s="22"/>
      <c r="N1170" s="22"/>
      <c r="O1170" s="22"/>
      <c r="P1170" s="22"/>
      <c r="Q1170" s="22"/>
      <c r="R1170" s="22"/>
    </row>
    <row r="1171" spans="1:18" x14ac:dyDescent="0.25">
      <c r="A1171" s="22" t="s">
        <v>2340</v>
      </c>
      <c r="B1171" s="22" t="s">
        <v>201</v>
      </c>
      <c r="C1171" s="22" t="s">
        <v>202</v>
      </c>
      <c r="D1171" s="22" t="s">
        <v>2339</v>
      </c>
      <c r="E1171" s="22" t="s">
        <v>57</v>
      </c>
      <c r="F1171" s="23">
        <v>-29200</v>
      </c>
      <c r="G1171" s="24">
        <v>44431</v>
      </c>
      <c r="H1171" s="22" t="s">
        <v>2336</v>
      </c>
      <c r="I1171" s="22" t="s">
        <v>483</v>
      </c>
      <c r="J1171" s="22"/>
      <c r="K1171" s="22"/>
      <c r="L1171" s="22"/>
      <c r="M1171" s="22"/>
      <c r="N1171" s="22"/>
      <c r="O1171" s="22"/>
      <c r="P1171" s="22"/>
      <c r="Q1171" s="22"/>
      <c r="R1171" s="22"/>
    </row>
    <row r="1172" spans="1:18" x14ac:dyDescent="0.25">
      <c r="A1172" s="22" t="s">
        <v>2342</v>
      </c>
      <c r="B1172" s="22" t="s">
        <v>201</v>
      </c>
      <c r="C1172" s="22" t="s">
        <v>202</v>
      </c>
      <c r="D1172" s="22" t="s">
        <v>2341</v>
      </c>
      <c r="E1172" s="22" t="s">
        <v>57</v>
      </c>
      <c r="F1172" s="23">
        <v>-29200</v>
      </c>
      <c r="G1172" s="24">
        <v>44453</v>
      </c>
      <c r="H1172" s="22" t="s">
        <v>744</v>
      </c>
      <c r="I1172" s="22" t="s">
        <v>550</v>
      </c>
      <c r="J1172" s="22"/>
      <c r="K1172" s="22"/>
      <c r="L1172" s="22"/>
      <c r="M1172" s="22"/>
      <c r="N1172" s="22"/>
      <c r="O1172" s="22"/>
      <c r="P1172" s="22"/>
      <c r="Q1172" s="22"/>
      <c r="R1172" s="22"/>
    </row>
    <row r="1173" spans="1:18" x14ac:dyDescent="0.25">
      <c r="A1173" s="22" t="s">
        <v>2344</v>
      </c>
      <c r="B1173" s="22" t="s">
        <v>201</v>
      </c>
      <c r="C1173" s="22" t="s">
        <v>202</v>
      </c>
      <c r="D1173" s="22" t="s">
        <v>2343</v>
      </c>
      <c r="E1173" s="22" t="s">
        <v>57</v>
      </c>
      <c r="F1173" s="23">
        <v>-18700</v>
      </c>
      <c r="G1173" s="24">
        <v>44455</v>
      </c>
      <c r="H1173" s="22" t="s">
        <v>744</v>
      </c>
      <c r="I1173" s="22" t="s">
        <v>802</v>
      </c>
      <c r="J1173" s="22"/>
      <c r="K1173" s="22"/>
      <c r="L1173" s="22"/>
      <c r="M1173" s="22"/>
      <c r="N1173" s="22"/>
      <c r="O1173" s="22"/>
      <c r="P1173" s="22"/>
      <c r="Q1173" s="22"/>
      <c r="R1173" s="22"/>
    </row>
    <row r="1174" spans="1:18" x14ac:dyDescent="0.25">
      <c r="A1174" s="22" t="s">
        <v>2346</v>
      </c>
      <c r="B1174" s="22" t="s">
        <v>201</v>
      </c>
      <c r="C1174" s="22" t="s">
        <v>202</v>
      </c>
      <c r="D1174" s="22" t="s">
        <v>2345</v>
      </c>
      <c r="E1174" s="22" t="s">
        <v>57</v>
      </c>
      <c r="F1174" s="23">
        <v>-18700</v>
      </c>
      <c r="G1174" s="24">
        <v>44455</v>
      </c>
      <c r="H1174" s="22" t="s">
        <v>744</v>
      </c>
      <c r="I1174" s="22" t="s">
        <v>478</v>
      </c>
      <c r="J1174" s="22"/>
      <c r="K1174" s="22"/>
      <c r="L1174" s="22"/>
      <c r="M1174" s="22"/>
      <c r="N1174" s="22"/>
      <c r="O1174" s="22"/>
      <c r="P1174" s="22"/>
      <c r="Q1174" s="22"/>
      <c r="R1174" s="22"/>
    </row>
    <row r="1175" spans="1:18" x14ac:dyDescent="0.25">
      <c r="A1175" s="22" t="s">
        <v>2348</v>
      </c>
      <c r="B1175" s="22" t="s">
        <v>201</v>
      </c>
      <c r="C1175" s="22" t="s">
        <v>202</v>
      </c>
      <c r="D1175" s="22" t="s">
        <v>2347</v>
      </c>
      <c r="E1175" s="22" t="s">
        <v>57</v>
      </c>
      <c r="F1175" s="23">
        <v>-34900</v>
      </c>
      <c r="G1175" s="24">
        <v>44462</v>
      </c>
      <c r="H1175" s="22" t="s">
        <v>744</v>
      </c>
      <c r="I1175" s="22" t="s">
        <v>2349</v>
      </c>
      <c r="J1175" s="22"/>
      <c r="K1175" s="22"/>
      <c r="L1175" s="22"/>
      <c r="M1175" s="22"/>
      <c r="N1175" s="22"/>
      <c r="O1175" s="22"/>
      <c r="P1175" s="22"/>
      <c r="Q1175" s="22"/>
      <c r="R1175" s="22"/>
    </row>
    <row r="1176" spans="1:18" x14ac:dyDescent="0.25">
      <c r="A1176" s="22" t="s">
        <v>2351</v>
      </c>
      <c r="B1176" s="22" t="s">
        <v>201</v>
      </c>
      <c r="C1176" s="22" t="s">
        <v>202</v>
      </c>
      <c r="D1176" s="22" t="s">
        <v>2350</v>
      </c>
      <c r="E1176" s="22" t="s">
        <v>57</v>
      </c>
      <c r="F1176" s="23">
        <v>-772148</v>
      </c>
      <c r="G1176" s="24">
        <v>44461</v>
      </c>
      <c r="H1176" s="22" t="s">
        <v>744</v>
      </c>
      <c r="I1176" s="22" t="s">
        <v>2352</v>
      </c>
      <c r="J1176" s="22"/>
      <c r="K1176" s="22"/>
      <c r="L1176" s="22"/>
      <c r="M1176" s="22"/>
      <c r="N1176" s="22"/>
      <c r="O1176" s="22"/>
      <c r="P1176" s="22"/>
      <c r="Q1176" s="22"/>
      <c r="R1176" s="22"/>
    </row>
    <row r="1177" spans="1:18" x14ac:dyDescent="0.25">
      <c r="A1177" s="22" t="s">
        <v>745</v>
      </c>
      <c r="B1177" s="22" t="s">
        <v>201</v>
      </c>
      <c r="C1177" s="22" t="s">
        <v>202</v>
      </c>
      <c r="D1177" s="22" t="s">
        <v>2353</v>
      </c>
      <c r="E1177" s="22" t="s">
        <v>57</v>
      </c>
      <c r="F1177" s="23">
        <v>-3248523</v>
      </c>
      <c r="G1177" s="24">
        <v>44459</v>
      </c>
      <c r="H1177" s="22" t="s">
        <v>744</v>
      </c>
      <c r="I1177" s="22" t="s">
        <v>2354</v>
      </c>
      <c r="J1177" s="22"/>
      <c r="K1177" s="22"/>
      <c r="L1177" s="22"/>
      <c r="M1177" s="22"/>
      <c r="N1177" s="22"/>
      <c r="O1177" s="22"/>
      <c r="P1177" s="22"/>
      <c r="Q1177" s="22"/>
      <c r="R1177" s="22"/>
    </row>
    <row r="1178" spans="1:18" x14ac:dyDescent="0.25">
      <c r="A1178" s="22" t="s">
        <v>2356</v>
      </c>
      <c r="B1178" s="22" t="s">
        <v>201</v>
      </c>
      <c r="C1178" s="22" t="s">
        <v>202</v>
      </c>
      <c r="D1178" s="22" t="s">
        <v>2355</v>
      </c>
      <c r="E1178" s="22" t="s">
        <v>57</v>
      </c>
      <c r="F1178" s="23">
        <v>-29200</v>
      </c>
      <c r="G1178" s="24">
        <v>44425</v>
      </c>
      <c r="H1178" s="22" t="s">
        <v>2336</v>
      </c>
      <c r="I1178" s="22" t="s">
        <v>483</v>
      </c>
      <c r="J1178" s="22"/>
      <c r="K1178" s="22"/>
      <c r="L1178" s="22"/>
      <c r="M1178" s="22"/>
      <c r="N1178" s="22"/>
      <c r="O1178" s="22"/>
      <c r="P1178" s="22"/>
      <c r="Q1178" s="22"/>
      <c r="R1178" s="22"/>
    </row>
    <row r="1179" spans="1:18" x14ac:dyDescent="0.25">
      <c r="A1179" s="22" t="s">
        <v>2358</v>
      </c>
      <c r="B1179" s="22" t="s">
        <v>201</v>
      </c>
      <c r="C1179" s="22" t="s">
        <v>202</v>
      </c>
      <c r="D1179" s="22" t="s">
        <v>2357</v>
      </c>
      <c r="E1179" s="22" t="s">
        <v>57</v>
      </c>
      <c r="F1179" s="23">
        <v>-41200</v>
      </c>
      <c r="G1179" s="24">
        <v>44418</v>
      </c>
      <c r="H1179" s="22" t="s">
        <v>2336</v>
      </c>
      <c r="I1179" s="22" t="s">
        <v>486</v>
      </c>
      <c r="J1179" s="22"/>
      <c r="K1179" s="22"/>
      <c r="L1179" s="22"/>
      <c r="M1179" s="22"/>
      <c r="N1179" s="22"/>
      <c r="O1179" s="22"/>
      <c r="P1179" s="22"/>
      <c r="Q1179" s="22"/>
      <c r="R1179" s="22"/>
    </row>
    <row r="1180" spans="1:18" x14ac:dyDescent="0.25">
      <c r="A1180" s="22" t="s">
        <v>2360</v>
      </c>
      <c r="B1180" s="22" t="s">
        <v>201</v>
      </c>
      <c r="C1180" s="22" t="s">
        <v>202</v>
      </c>
      <c r="D1180" s="22" t="s">
        <v>2359</v>
      </c>
      <c r="E1180" s="22" t="s">
        <v>57</v>
      </c>
      <c r="F1180" s="23">
        <v>-36800</v>
      </c>
      <c r="G1180" s="24">
        <v>44418</v>
      </c>
      <c r="H1180" s="22" t="s">
        <v>2336</v>
      </c>
      <c r="I1180" s="22" t="s">
        <v>897</v>
      </c>
      <c r="J1180" s="22"/>
      <c r="K1180" s="22"/>
      <c r="L1180" s="22"/>
      <c r="M1180" s="22"/>
      <c r="N1180" s="22"/>
      <c r="O1180" s="22"/>
      <c r="P1180" s="22"/>
      <c r="Q1180" s="22"/>
      <c r="R1180" s="22"/>
    </row>
    <row r="1181" spans="1:18" x14ac:dyDescent="0.25">
      <c r="A1181" s="22" t="s">
        <v>2362</v>
      </c>
      <c r="B1181" s="22" t="s">
        <v>201</v>
      </c>
      <c r="C1181" s="22" t="s">
        <v>202</v>
      </c>
      <c r="D1181" s="22" t="s">
        <v>2361</v>
      </c>
      <c r="E1181" s="22" t="s">
        <v>57</v>
      </c>
      <c r="F1181" s="23">
        <v>-32700</v>
      </c>
      <c r="G1181" s="24">
        <v>44413</v>
      </c>
      <c r="H1181" s="22" t="s">
        <v>2336</v>
      </c>
      <c r="I1181" s="22" t="s">
        <v>989</v>
      </c>
      <c r="J1181" s="22"/>
      <c r="K1181" s="22"/>
      <c r="L1181" s="22"/>
      <c r="M1181" s="22"/>
      <c r="N1181" s="22"/>
      <c r="O1181" s="22"/>
      <c r="P1181" s="22"/>
      <c r="Q1181" s="22"/>
      <c r="R1181" s="22"/>
    </row>
    <row r="1182" spans="1:18" x14ac:dyDescent="0.25">
      <c r="A1182" s="22" t="s">
        <v>2364</v>
      </c>
      <c r="B1182" s="22" t="s">
        <v>201</v>
      </c>
      <c r="C1182" s="22" t="s">
        <v>202</v>
      </c>
      <c r="D1182" s="22" t="s">
        <v>2363</v>
      </c>
      <c r="E1182" s="22" t="s">
        <v>57</v>
      </c>
      <c r="F1182" s="23">
        <v>-53700</v>
      </c>
      <c r="G1182" s="24">
        <v>44439</v>
      </c>
      <c r="H1182" s="22" t="s">
        <v>2336</v>
      </c>
      <c r="I1182" s="22" t="s">
        <v>494</v>
      </c>
      <c r="J1182" s="22"/>
      <c r="K1182" s="22"/>
      <c r="L1182" s="22"/>
      <c r="M1182" s="22"/>
      <c r="N1182" s="22"/>
      <c r="O1182" s="22"/>
      <c r="P1182" s="22"/>
      <c r="Q1182" s="22"/>
      <c r="R1182" s="22"/>
    </row>
    <row r="1183" spans="1:18" x14ac:dyDescent="0.25">
      <c r="A1183" s="22" t="s">
        <v>2366</v>
      </c>
      <c r="B1183" s="22" t="s">
        <v>201</v>
      </c>
      <c r="C1183" s="22" t="s">
        <v>202</v>
      </c>
      <c r="D1183" s="22" t="s">
        <v>2365</v>
      </c>
      <c r="E1183" s="22" t="s">
        <v>57</v>
      </c>
      <c r="F1183" s="23">
        <v>-54511</v>
      </c>
      <c r="G1183" s="24">
        <v>44420</v>
      </c>
      <c r="H1183" s="22" t="s">
        <v>2336</v>
      </c>
      <c r="I1183" s="22" t="s">
        <v>2367</v>
      </c>
      <c r="J1183" s="22"/>
      <c r="K1183" s="22"/>
      <c r="L1183" s="22"/>
      <c r="M1183" s="22"/>
      <c r="N1183" s="22"/>
      <c r="O1183" s="22"/>
      <c r="P1183" s="22"/>
      <c r="Q1183" s="22"/>
      <c r="R1183" s="22"/>
    </row>
    <row r="1184" spans="1:18" x14ac:dyDescent="0.25">
      <c r="A1184" s="22" t="s">
        <v>2368</v>
      </c>
      <c r="B1184" s="22" t="s">
        <v>201</v>
      </c>
      <c r="C1184" s="22" t="s">
        <v>202</v>
      </c>
      <c r="D1184" s="22" t="s">
        <v>2336</v>
      </c>
      <c r="E1184" s="22" t="s">
        <v>45</v>
      </c>
      <c r="F1184" s="23">
        <v>325657</v>
      </c>
      <c r="G1184" s="24">
        <v>44451</v>
      </c>
      <c r="H1184" s="22" t="s">
        <v>2336</v>
      </c>
      <c r="I1184" s="22"/>
      <c r="J1184" s="22"/>
      <c r="K1184" s="22"/>
      <c r="L1184" s="22"/>
      <c r="M1184" s="22"/>
      <c r="N1184" s="22"/>
      <c r="O1184" s="22"/>
      <c r="P1184" s="22"/>
      <c r="Q1184" s="22"/>
      <c r="R1184" s="22"/>
    </row>
    <row r="1185" spans="1:18" x14ac:dyDescent="0.25">
      <c r="A1185" s="22" t="s">
        <v>2368</v>
      </c>
      <c r="B1185" s="22" t="s">
        <v>201</v>
      </c>
      <c r="C1185" s="22" t="s">
        <v>202</v>
      </c>
      <c r="D1185" s="22" t="s">
        <v>2336</v>
      </c>
      <c r="E1185" s="22" t="s">
        <v>45</v>
      </c>
      <c r="F1185" s="23">
        <v>2039398</v>
      </c>
      <c r="G1185" s="24">
        <v>44451</v>
      </c>
      <c r="H1185" s="22" t="s">
        <v>2336</v>
      </c>
      <c r="I1185" s="22"/>
      <c r="J1185" s="22"/>
      <c r="K1185" s="22"/>
      <c r="L1185" s="22"/>
      <c r="M1185" s="22"/>
      <c r="N1185" s="22"/>
      <c r="O1185" s="22"/>
      <c r="P1185" s="22"/>
      <c r="Q1185" s="22"/>
      <c r="R1185" s="22"/>
    </row>
    <row r="1186" spans="1:18" x14ac:dyDescent="0.25">
      <c r="A1186" s="22" t="s">
        <v>2368</v>
      </c>
      <c r="B1186" s="22" t="s">
        <v>201</v>
      </c>
      <c r="C1186" s="22" t="s">
        <v>202</v>
      </c>
      <c r="D1186" s="22" t="s">
        <v>2336</v>
      </c>
      <c r="E1186" s="22" t="s">
        <v>45</v>
      </c>
      <c r="F1186" s="23">
        <v>-2320387</v>
      </c>
      <c r="G1186" s="24">
        <v>44451</v>
      </c>
      <c r="H1186" s="22" t="s">
        <v>2336</v>
      </c>
      <c r="I1186" s="22"/>
      <c r="J1186" s="22"/>
      <c r="K1186" s="22"/>
      <c r="L1186" s="22"/>
      <c r="M1186" s="22"/>
      <c r="N1186" s="22"/>
      <c r="O1186" s="22"/>
      <c r="P1186" s="22"/>
      <c r="Q1186" s="22"/>
      <c r="R1186" s="22"/>
    </row>
    <row r="1187" spans="1:18" x14ac:dyDescent="0.25">
      <c r="A1187" s="22" t="s">
        <v>7911</v>
      </c>
      <c r="B1187" s="22" t="s">
        <v>201</v>
      </c>
      <c r="C1187" s="22" t="s">
        <v>202</v>
      </c>
      <c r="D1187" s="22" t="s">
        <v>2369</v>
      </c>
      <c r="E1187" s="22" t="s">
        <v>57</v>
      </c>
      <c r="F1187" s="23">
        <v>-32700</v>
      </c>
      <c r="G1187" s="24">
        <v>44469</v>
      </c>
      <c r="H1187" s="22" t="s">
        <v>2336</v>
      </c>
      <c r="I1187" s="22" t="s">
        <v>1360</v>
      </c>
      <c r="J1187" s="22"/>
      <c r="K1187" s="22"/>
      <c r="L1187" s="22"/>
      <c r="M1187" s="22"/>
      <c r="N1187" s="22"/>
      <c r="O1187" s="22"/>
      <c r="P1187" s="22"/>
      <c r="Q1187" s="22"/>
      <c r="R1187" s="22"/>
    </row>
    <row r="1188" spans="1:18" x14ac:dyDescent="0.25">
      <c r="A1188" s="22" t="s">
        <v>2372</v>
      </c>
      <c r="B1188" s="22" t="s">
        <v>201</v>
      </c>
      <c r="C1188" s="22" t="s">
        <v>202</v>
      </c>
      <c r="D1188" s="22" t="s">
        <v>2371</v>
      </c>
      <c r="E1188" s="22" t="s">
        <v>57</v>
      </c>
      <c r="F1188" s="23">
        <v>-47200</v>
      </c>
      <c r="G1188" s="24">
        <v>44459</v>
      </c>
      <c r="H1188" s="22" t="s">
        <v>2336</v>
      </c>
      <c r="I1188" s="22" t="s">
        <v>505</v>
      </c>
      <c r="J1188" s="22"/>
      <c r="K1188" s="22"/>
      <c r="L1188" s="22"/>
      <c r="M1188" s="22"/>
      <c r="N1188" s="22"/>
      <c r="O1188" s="22"/>
      <c r="P1188" s="22"/>
      <c r="Q1188" s="22"/>
      <c r="R1188" s="22"/>
    </row>
    <row r="1189" spans="1:18" x14ac:dyDescent="0.25">
      <c r="A1189" s="22" t="s">
        <v>2374</v>
      </c>
      <c r="B1189" s="22" t="s">
        <v>201</v>
      </c>
      <c r="C1189" s="22" t="s">
        <v>202</v>
      </c>
      <c r="D1189" s="22" t="s">
        <v>2373</v>
      </c>
      <c r="E1189" s="22" t="s">
        <v>57</v>
      </c>
      <c r="F1189" s="23">
        <v>-32700</v>
      </c>
      <c r="G1189" s="24">
        <v>44459</v>
      </c>
      <c r="H1189" s="22" t="s">
        <v>2336</v>
      </c>
      <c r="I1189" s="22" t="s">
        <v>2375</v>
      </c>
      <c r="J1189" s="22"/>
      <c r="K1189" s="22"/>
      <c r="L1189" s="22"/>
      <c r="M1189" s="22"/>
      <c r="N1189" s="22"/>
      <c r="O1189" s="22"/>
      <c r="P1189" s="22"/>
      <c r="Q1189" s="22"/>
      <c r="R1189" s="22"/>
    </row>
    <row r="1190" spans="1:18" x14ac:dyDescent="0.25">
      <c r="A1190" s="22" t="s">
        <v>2377</v>
      </c>
      <c r="B1190" s="22" t="s">
        <v>201</v>
      </c>
      <c r="C1190" s="22" t="s">
        <v>202</v>
      </c>
      <c r="D1190" s="22" t="s">
        <v>2376</v>
      </c>
      <c r="E1190" s="22" t="s">
        <v>45</v>
      </c>
      <c r="F1190" s="23">
        <v>3617847</v>
      </c>
      <c r="G1190" s="24">
        <v>44508</v>
      </c>
      <c r="H1190" s="22" t="s">
        <v>2376</v>
      </c>
      <c r="I1190" s="22"/>
      <c r="J1190" s="22"/>
      <c r="K1190" s="22"/>
      <c r="L1190" s="22"/>
      <c r="M1190" s="22"/>
      <c r="N1190" s="22"/>
      <c r="O1190" s="22"/>
      <c r="P1190" s="22"/>
      <c r="Q1190" s="22"/>
      <c r="R1190" s="22"/>
    </row>
    <row r="1191" spans="1:18" x14ac:dyDescent="0.25">
      <c r="A1191" s="22" t="s">
        <v>67</v>
      </c>
      <c r="B1191" s="22" t="s">
        <v>201</v>
      </c>
      <c r="C1191" s="22" t="s">
        <v>202</v>
      </c>
      <c r="D1191" s="22" t="s">
        <v>69</v>
      </c>
      <c r="E1191" s="22" t="s">
        <v>57</v>
      </c>
      <c r="F1191" s="23">
        <v>-487750</v>
      </c>
      <c r="G1191" s="24">
        <v>44449</v>
      </c>
      <c r="H1191" s="22" t="s">
        <v>2376</v>
      </c>
      <c r="I1191" s="22" t="s">
        <v>2378</v>
      </c>
      <c r="J1191" s="22"/>
      <c r="K1191" s="22"/>
      <c r="L1191" s="22"/>
      <c r="M1191" s="22"/>
      <c r="N1191" s="22"/>
      <c r="O1191" s="22"/>
      <c r="P1191" s="22"/>
      <c r="Q1191" s="22"/>
      <c r="R1191" s="22"/>
    </row>
    <row r="1192" spans="1:18" x14ac:dyDescent="0.25">
      <c r="A1192" s="22" t="s">
        <v>2380</v>
      </c>
      <c r="B1192" s="22" t="s">
        <v>201</v>
      </c>
      <c r="C1192" s="22" t="s">
        <v>202</v>
      </c>
      <c r="D1192" s="22" t="s">
        <v>2379</v>
      </c>
      <c r="E1192" s="22" t="s">
        <v>57</v>
      </c>
      <c r="F1192" s="23">
        <v>-197223</v>
      </c>
      <c r="G1192" s="24">
        <v>44452</v>
      </c>
      <c r="H1192" s="22" t="s">
        <v>2376</v>
      </c>
      <c r="I1192" s="22" t="s">
        <v>2381</v>
      </c>
      <c r="J1192" s="22"/>
      <c r="K1192" s="22"/>
      <c r="L1192" s="22"/>
      <c r="M1192" s="22"/>
      <c r="N1192" s="22"/>
      <c r="O1192" s="22"/>
      <c r="P1192" s="22"/>
      <c r="Q1192" s="22"/>
      <c r="R1192" s="22"/>
    </row>
    <row r="1193" spans="1:18" x14ac:dyDescent="0.25">
      <c r="A1193" s="22" t="s">
        <v>56</v>
      </c>
      <c r="B1193" s="22" t="s">
        <v>201</v>
      </c>
      <c r="C1193" s="22" t="s">
        <v>202</v>
      </c>
      <c r="D1193" s="22" t="s">
        <v>59</v>
      </c>
      <c r="E1193" s="22" t="s">
        <v>57</v>
      </c>
      <c r="F1193" s="23">
        <v>-3617847</v>
      </c>
      <c r="G1193" s="24">
        <v>44456</v>
      </c>
      <c r="H1193" s="22" t="s">
        <v>2376</v>
      </c>
      <c r="I1193" s="22" t="s">
        <v>2382</v>
      </c>
      <c r="J1193" s="22"/>
      <c r="K1193" s="22"/>
      <c r="L1193" s="22"/>
      <c r="M1193" s="22"/>
      <c r="N1193" s="22"/>
      <c r="O1193" s="22"/>
      <c r="P1193" s="22"/>
      <c r="Q1193" s="22"/>
      <c r="R1193" s="22"/>
    </row>
    <row r="1194" spans="1:18" s="39" customFormat="1" x14ac:dyDescent="0.25">
      <c r="A1194" s="36" t="s">
        <v>2384</v>
      </c>
      <c r="B1194" s="36" t="s">
        <v>201</v>
      </c>
      <c r="C1194" s="36" t="s">
        <v>202</v>
      </c>
      <c r="D1194" s="36" t="s">
        <v>2383</v>
      </c>
      <c r="E1194" s="36" t="s">
        <v>42</v>
      </c>
      <c r="F1194" s="37">
        <v>6032217</v>
      </c>
      <c r="G1194" s="38">
        <v>44508</v>
      </c>
      <c r="H1194" s="36" t="s">
        <v>744</v>
      </c>
      <c r="I1194" s="36" t="s">
        <v>49</v>
      </c>
      <c r="J1194" s="36"/>
      <c r="K1194" s="36"/>
      <c r="L1194" s="36"/>
      <c r="M1194" s="36"/>
      <c r="N1194" s="36"/>
      <c r="O1194" s="36"/>
      <c r="P1194" s="36"/>
      <c r="Q1194" s="36"/>
      <c r="R1194" s="36"/>
    </row>
    <row r="1195" spans="1:18" x14ac:dyDescent="0.25">
      <c r="A1195" s="22" t="s">
        <v>2386</v>
      </c>
      <c r="B1195" s="22" t="s">
        <v>201</v>
      </c>
      <c r="C1195" s="22" t="s">
        <v>202</v>
      </c>
      <c r="D1195" s="22" t="s">
        <v>2385</v>
      </c>
      <c r="E1195" s="22" t="s">
        <v>57</v>
      </c>
      <c r="F1195" s="23">
        <v>-10900</v>
      </c>
      <c r="G1195" s="24">
        <v>44442</v>
      </c>
      <c r="H1195" s="22" t="s">
        <v>744</v>
      </c>
      <c r="I1195" s="22" t="s">
        <v>280</v>
      </c>
      <c r="J1195" s="22"/>
      <c r="K1195" s="22"/>
      <c r="L1195" s="22"/>
      <c r="M1195" s="22"/>
      <c r="N1195" s="22"/>
      <c r="O1195" s="22"/>
      <c r="P1195" s="22"/>
      <c r="Q1195" s="22"/>
      <c r="R1195" s="22"/>
    </row>
    <row r="1196" spans="1:18" x14ac:dyDescent="0.25">
      <c r="A1196" s="22" t="s">
        <v>2388</v>
      </c>
      <c r="B1196" s="22" t="s">
        <v>201</v>
      </c>
      <c r="C1196" s="22" t="s">
        <v>202</v>
      </c>
      <c r="D1196" s="22" t="s">
        <v>2387</v>
      </c>
      <c r="E1196" s="22" t="s">
        <v>57</v>
      </c>
      <c r="F1196" s="23">
        <v>-20200</v>
      </c>
      <c r="G1196" s="24">
        <v>44442</v>
      </c>
      <c r="H1196" s="22" t="s">
        <v>744</v>
      </c>
      <c r="I1196" s="22" t="s">
        <v>280</v>
      </c>
      <c r="J1196" s="22"/>
      <c r="K1196" s="22"/>
      <c r="L1196" s="22"/>
      <c r="M1196" s="22"/>
      <c r="N1196" s="22"/>
      <c r="O1196" s="22"/>
      <c r="P1196" s="22"/>
      <c r="Q1196" s="22"/>
      <c r="R1196" s="22"/>
    </row>
    <row r="1197" spans="1:18" x14ac:dyDescent="0.25">
      <c r="A1197" s="22" t="s">
        <v>2390</v>
      </c>
      <c r="B1197" s="22" t="s">
        <v>201</v>
      </c>
      <c r="C1197" s="22" t="s">
        <v>202</v>
      </c>
      <c r="D1197" s="22" t="s">
        <v>2389</v>
      </c>
      <c r="E1197" s="22" t="s">
        <v>57</v>
      </c>
      <c r="F1197" s="23">
        <v>-9700</v>
      </c>
      <c r="G1197" s="24">
        <v>44438</v>
      </c>
      <c r="H1197" s="22" t="s">
        <v>744</v>
      </c>
      <c r="I1197" s="22" t="s">
        <v>280</v>
      </c>
      <c r="J1197" s="22"/>
      <c r="K1197" s="22"/>
      <c r="L1197" s="22"/>
      <c r="M1197" s="22"/>
      <c r="N1197" s="22"/>
      <c r="O1197" s="22"/>
      <c r="P1197" s="22"/>
      <c r="Q1197" s="22"/>
      <c r="R1197" s="22"/>
    </row>
    <row r="1198" spans="1:18" x14ac:dyDescent="0.25">
      <c r="A1198" s="22" t="s">
        <v>2392</v>
      </c>
      <c r="B1198" s="22" t="s">
        <v>201</v>
      </c>
      <c r="C1198" s="22" t="s">
        <v>202</v>
      </c>
      <c r="D1198" s="22" t="s">
        <v>2391</v>
      </c>
      <c r="E1198" s="22" t="s">
        <v>57</v>
      </c>
      <c r="F1198" s="23">
        <v>-32700</v>
      </c>
      <c r="G1198" s="24">
        <v>44433</v>
      </c>
      <c r="H1198" s="22" t="s">
        <v>744</v>
      </c>
      <c r="I1198" s="22" t="s">
        <v>280</v>
      </c>
      <c r="J1198" s="22"/>
      <c r="K1198" s="22"/>
      <c r="L1198" s="22"/>
      <c r="M1198" s="22"/>
      <c r="N1198" s="22"/>
      <c r="O1198" s="22"/>
      <c r="P1198" s="22"/>
      <c r="Q1198" s="22"/>
      <c r="R1198" s="22"/>
    </row>
    <row r="1199" spans="1:18" x14ac:dyDescent="0.25">
      <c r="A1199" s="22" t="s">
        <v>2394</v>
      </c>
      <c r="B1199" s="22" t="s">
        <v>201</v>
      </c>
      <c r="C1199" s="22" t="s">
        <v>202</v>
      </c>
      <c r="D1199" s="22" t="s">
        <v>2393</v>
      </c>
      <c r="E1199" s="22" t="s">
        <v>57</v>
      </c>
      <c r="F1199" s="23">
        <v>-43700</v>
      </c>
      <c r="G1199" s="24">
        <v>44426</v>
      </c>
      <c r="H1199" s="22" t="s">
        <v>744</v>
      </c>
      <c r="I1199" s="22" t="s">
        <v>280</v>
      </c>
      <c r="J1199" s="22"/>
      <c r="K1199" s="22"/>
      <c r="L1199" s="22"/>
      <c r="M1199" s="22"/>
      <c r="N1199" s="22"/>
      <c r="O1199" s="22"/>
      <c r="P1199" s="22"/>
      <c r="Q1199" s="22"/>
      <c r="R1199" s="22"/>
    </row>
    <row r="1200" spans="1:18" x14ac:dyDescent="0.25">
      <c r="A1200" s="22" t="s">
        <v>2396</v>
      </c>
      <c r="B1200" s="22" t="s">
        <v>201</v>
      </c>
      <c r="C1200" s="22" t="s">
        <v>202</v>
      </c>
      <c r="D1200" s="22" t="s">
        <v>2395</v>
      </c>
      <c r="E1200" s="22" t="s">
        <v>57</v>
      </c>
      <c r="F1200" s="23">
        <v>-29200</v>
      </c>
      <c r="G1200" s="24">
        <v>44419</v>
      </c>
      <c r="H1200" s="22" t="s">
        <v>744</v>
      </c>
      <c r="I1200" s="22" t="s">
        <v>2397</v>
      </c>
      <c r="J1200" s="22"/>
      <c r="K1200" s="22"/>
      <c r="L1200" s="22"/>
      <c r="M1200" s="22"/>
      <c r="N1200" s="22"/>
      <c r="O1200" s="22"/>
      <c r="P1200" s="22"/>
      <c r="Q1200" s="22"/>
      <c r="R1200" s="22"/>
    </row>
    <row r="1201" spans="1:18" x14ac:dyDescent="0.25">
      <c r="A1201" s="22" t="s">
        <v>2399</v>
      </c>
      <c r="B1201" s="22" t="s">
        <v>201</v>
      </c>
      <c r="C1201" s="22" t="s">
        <v>202</v>
      </c>
      <c r="D1201" s="22" t="s">
        <v>2398</v>
      </c>
      <c r="E1201" s="22" t="s">
        <v>57</v>
      </c>
      <c r="F1201" s="23">
        <v>-29200</v>
      </c>
      <c r="G1201" s="24">
        <v>44419</v>
      </c>
      <c r="H1201" s="22" t="s">
        <v>744</v>
      </c>
      <c r="I1201" s="22" t="s">
        <v>2400</v>
      </c>
      <c r="J1201" s="22"/>
      <c r="K1201" s="22"/>
      <c r="L1201" s="22"/>
      <c r="M1201" s="22"/>
      <c r="N1201" s="22"/>
      <c r="O1201" s="22"/>
      <c r="P1201" s="22"/>
      <c r="Q1201" s="22"/>
      <c r="R1201" s="22"/>
    </row>
    <row r="1202" spans="1:18" x14ac:dyDescent="0.25">
      <c r="A1202" s="22" t="s">
        <v>2402</v>
      </c>
      <c r="B1202" s="22" t="s">
        <v>201</v>
      </c>
      <c r="C1202" s="22" t="s">
        <v>202</v>
      </c>
      <c r="D1202" s="22" t="s">
        <v>2401</v>
      </c>
      <c r="E1202" s="22" t="s">
        <v>57</v>
      </c>
      <c r="F1202" s="23">
        <v>-29200</v>
      </c>
      <c r="G1202" s="24">
        <v>44414</v>
      </c>
      <c r="H1202" s="22" t="s">
        <v>744</v>
      </c>
      <c r="I1202" s="22" t="s">
        <v>2403</v>
      </c>
      <c r="J1202" s="22"/>
      <c r="K1202" s="22"/>
      <c r="L1202" s="22"/>
      <c r="M1202" s="22"/>
      <c r="N1202" s="22"/>
      <c r="O1202" s="22"/>
      <c r="P1202" s="22"/>
      <c r="Q1202" s="22"/>
      <c r="R1202" s="22"/>
    </row>
    <row r="1203" spans="1:18" x14ac:dyDescent="0.25">
      <c r="A1203" s="22" t="s">
        <v>2405</v>
      </c>
      <c r="B1203" s="22" t="s">
        <v>201</v>
      </c>
      <c r="C1203" s="22" t="s">
        <v>202</v>
      </c>
      <c r="D1203" s="22" t="s">
        <v>2404</v>
      </c>
      <c r="E1203" s="22" t="s">
        <v>57</v>
      </c>
      <c r="F1203" s="23">
        <v>-28900</v>
      </c>
      <c r="G1203" s="24">
        <v>44413</v>
      </c>
      <c r="H1203" s="22" t="s">
        <v>744</v>
      </c>
      <c r="I1203" s="22" t="s">
        <v>2406</v>
      </c>
      <c r="J1203" s="22"/>
      <c r="K1203" s="22"/>
      <c r="L1203" s="22"/>
      <c r="M1203" s="22"/>
      <c r="N1203" s="22"/>
      <c r="O1203" s="22"/>
      <c r="P1203" s="22"/>
      <c r="Q1203" s="22"/>
      <c r="R1203" s="22"/>
    </row>
    <row r="1204" spans="1:18" x14ac:dyDescent="0.25">
      <c r="A1204" s="22" t="s">
        <v>2408</v>
      </c>
      <c r="B1204" s="22" t="s">
        <v>201</v>
      </c>
      <c r="C1204" s="22" t="s">
        <v>202</v>
      </c>
      <c r="D1204" s="22" t="s">
        <v>2407</v>
      </c>
      <c r="E1204" s="22" t="s">
        <v>57</v>
      </c>
      <c r="F1204" s="23">
        <v>-32700</v>
      </c>
      <c r="G1204" s="24">
        <v>44431</v>
      </c>
      <c r="H1204" s="22" t="s">
        <v>744</v>
      </c>
      <c r="I1204" s="22" t="s">
        <v>919</v>
      </c>
      <c r="J1204" s="22"/>
      <c r="K1204" s="22"/>
      <c r="L1204" s="22"/>
      <c r="M1204" s="22"/>
      <c r="N1204" s="22"/>
      <c r="O1204" s="22"/>
      <c r="P1204" s="22"/>
      <c r="Q1204" s="22"/>
      <c r="R1204" s="22"/>
    </row>
    <row r="1205" spans="1:18" x14ac:dyDescent="0.25">
      <c r="A1205" s="22" t="s">
        <v>2410</v>
      </c>
      <c r="B1205" s="22" t="s">
        <v>201</v>
      </c>
      <c r="C1205" s="22" t="s">
        <v>202</v>
      </c>
      <c r="D1205" s="22" t="s">
        <v>2409</v>
      </c>
      <c r="E1205" s="22" t="s">
        <v>57</v>
      </c>
      <c r="F1205" s="23">
        <v>-119400</v>
      </c>
      <c r="G1205" s="24">
        <v>44419</v>
      </c>
      <c r="H1205" s="22" t="s">
        <v>744</v>
      </c>
      <c r="I1205" s="22" t="s">
        <v>919</v>
      </c>
      <c r="J1205" s="22"/>
      <c r="K1205" s="22"/>
      <c r="L1205" s="22"/>
      <c r="M1205" s="22"/>
      <c r="N1205" s="22"/>
      <c r="O1205" s="22"/>
      <c r="P1205" s="22"/>
      <c r="Q1205" s="22"/>
      <c r="R1205" s="22"/>
    </row>
    <row r="1206" spans="1:18" x14ac:dyDescent="0.25">
      <c r="A1206" s="22" t="s">
        <v>745</v>
      </c>
      <c r="B1206" s="22" t="s">
        <v>201</v>
      </c>
      <c r="C1206" s="22" t="s">
        <v>202</v>
      </c>
      <c r="D1206" s="22" t="s">
        <v>744</v>
      </c>
      <c r="E1206" s="22" t="s">
        <v>45</v>
      </c>
      <c r="F1206" s="23">
        <v>5679239</v>
      </c>
      <c r="G1206" s="24">
        <v>44459</v>
      </c>
      <c r="H1206" s="22" t="s">
        <v>744</v>
      </c>
      <c r="I1206" s="22"/>
      <c r="J1206" s="22"/>
      <c r="K1206" s="22"/>
      <c r="L1206" s="22"/>
      <c r="M1206" s="22"/>
      <c r="N1206" s="22"/>
      <c r="O1206" s="22"/>
      <c r="P1206" s="22"/>
      <c r="Q1206" s="22"/>
      <c r="R1206" s="22"/>
    </row>
    <row r="1207" spans="1:18" x14ac:dyDescent="0.25">
      <c r="A1207" s="22" t="s">
        <v>745</v>
      </c>
      <c r="B1207" s="22" t="s">
        <v>201</v>
      </c>
      <c r="C1207" s="22" t="s">
        <v>202</v>
      </c>
      <c r="D1207" s="22" t="s">
        <v>744</v>
      </c>
      <c r="E1207" s="22" t="s">
        <v>45</v>
      </c>
      <c r="F1207" s="23">
        <v>-6032217</v>
      </c>
      <c r="G1207" s="24">
        <v>44459</v>
      </c>
      <c r="H1207" s="22" t="s">
        <v>744</v>
      </c>
      <c r="I1207" s="22"/>
      <c r="J1207" s="22"/>
      <c r="K1207" s="22"/>
      <c r="L1207" s="22"/>
      <c r="M1207" s="22"/>
      <c r="N1207" s="22"/>
      <c r="O1207" s="22"/>
      <c r="P1207" s="22"/>
      <c r="Q1207" s="22"/>
      <c r="R1207" s="22"/>
    </row>
    <row r="1208" spans="1:18" x14ac:dyDescent="0.25">
      <c r="A1208" s="22" t="s">
        <v>745</v>
      </c>
      <c r="B1208" s="22" t="s">
        <v>201</v>
      </c>
      <c r="C1208" s="22" t="s">
        <v>202</v>
      </c>
      <c r="D1208" s="22" t="s">
        <v>744</v>
      </c>
      <c r="E1208" s="22" t="s">
        <v>45</v>
      </c>
      <c r="F1208" s="23">
        <v>368500</v>
      </c>
      <c r="G1208" s="24">
        <v>44459</v>
      </c>
      <c r="H1208" s="22" t="s">
        <v>744</v>
      </c>
      <c r="I1208" s="22"/>
      <c r="J1208" s="22"/>
      <c r="K1208" s="22"/>
      <c r="L1208" s="22"/>
      <c r="M1208" s="22"/>
      <c r="N1208" s="22"/>
      <c r="O1208" s="22"/>
      <c r="P1208" s="22"/>
      <c r="Q1208" s="22"/>
      <c r="R1208" s="22"/>
    </row>
    <row r="1209" spans="1:18" x14ac:dyDescent="0.25">
      <c r="A1209" s="22" t="s">
        <v>2412</v>
      </c>
      <c r="B1209" s="22" t="s">
        <v>201</v>
      </c>
      <c r="C1209" s="22" t="s">
        <v>202</v>
      </c>
      <c r="D1209" s="22" t="s">
        <v>2411</v>
      </c>
      <c r="E1209" s="22" t="s">
        <v>45</v>
      </c>
      <c r="F1209" s="23">
        <v>-220633</v>
      </c>
      <c r="G1209" s="24">
        <v>44452</v>
      </c>
      <c r="H1209" s="22" t="s">
        <v>744</v>
      </c>
      <c r="I1209" s="22" t="s">
        <v>1860</v>
      </c>
      <c r="J1209" s="22"/>
      <c r="K1209" s="22"/>
      <c r="L1209" s="22"/>
      <c r="M1209" s="22"/>
      <c r="N1209" s="22"/>
      <c r="O1209" s="22"/>
      <c r="P1209" s="22"/>
      <c r="Q1209" s="22"/>
      <c r="R1209" s="22"/>
    </row>
    <row r="1210" spans="1:18" x14ac:dyDescent="0.25">
      <c r="A1210" s="22" t="s">
        <v>2414</v>
      </c>
      <c r="B1210" s="22" t="s">
        <v>201</v>
      </c>
      <c r="C1210" s="22" t="s">
        <v>202</v>
      </c>
      <c r="D1210" s="22" t="s">
        <v>2413</v>
      </c>
      <c r="E1210" s="22" t="s">
        <v>57</v>
      </c>
      <c r="F1210" s="23">
        <v>-47200</v>
      </c>
      <c r="G1210" s="24">
        <v>44469</v>
      </c>
      <c r="H1210" s="22" t="s">
        <v>744</v>
      </c>
      <c r="I1210" s="22" t="s">
        <v>2415</v>
      </c>
      <c r="J1210" s="22"/>
      <c r="K1210" s="22"/>
      <c r="L1210" s="22"/>
      <c r="M1210" s="22"/>
      <c r="N1210" s="22"/>
      <c r="O1210" s="22"/>
      <c r="P1210" s="22"/>
      <c r="Q1210" s="22"/>
      <c r="R1210" s="22"/>
    </row>
    <row r="1211" spans="1:18" x14ac:dyDescent="0.25">
      <c r="A1211" s="22" t="s">
        <v>2417</v>
      </c>
      <c r="B1211" s="22" t="s">
        <v>201</v>
      </c>
      <c r="C1211" s="22" t="s">
        <v>202</v>
      </c>
      <c r="D1211" s="22" t="s">
        <v>2416</v>
      </c>
      <c r="E1211" s="22" t="s">
        <v>57</v>
      </c>
      <c r="F1211" s="23">
        <v>-22300</v>
      </c>
      <c r="G1211" s="24">
        <v>44442</v>
      </c>
      <c r="H1211" s="22" t="s">
        <v>744</v>
      </c>
      <c r="I1211" s="22" t="s">
        <v>2415</v>
      </c>
      <c r="J1211" s="22"/>
      <c r="K1211" s="22"/>
      <c r="L1211" s="22"/>
      <c r="M1211" s="22"/>
      <c r="N1211" s="22"/>
      <c r="O1211" s="22"/>
      <c r="P1211" s="22"/>
      <c r="Q1211" s="22"/>
      <c r="R1211" s="22"/>
    </row>
    <row r="1212" spans="1:18" x14ac:dyDescent="0.25">
      <c r="A1212" s="22" t="s">
        <v>2368</v>
      </c>
      <c r="B1212" s="22" t="s">
        <v>201</v>
      </c>
      <c r="C1212" s="22" t="s">
        <v>202</v>
      </c>
      <c r="D1212" s="22" t="s">
        <v>2336</v>
      </c>
      <c r="E1212" s="22" t="s">
        <v>45</v>
      </c>
      <c r="F1212" s="23">
        <v>-44668</v>
      </c>
      <c r="G1212" s="24">
        <v>44451</v>
      </c>
      <c r="H1212" s="22" t="s">
        <v>744</v>
      </c>
      <c r="I1212" s="22" t="s">
        <v>2418</v>
      </c>
      <c r="J1212" s="22"/>
      <c r="K1212" s="22"/>
      <c r="L1212" s="22"/>
      <c r="M1212" s="22"/>
      <c r="N1212" s="22"/>
      <c r="O1212" s="22"/>
      <c r="P1212" s="22"/>
      <c r="Q1212" s="22"/>
      <c r="R1212" s="22"/>
    </row>
    <row r="1213" spans="1:18" x14ac:dyDescent="0.25">
      <c r="A1213" s="22" t="s">
        <v>2420</v>
      </c>
      <c r="B1213" s="22" t="s">
        <v>201</v>
      </c>
      <c r="C1213" s="22" t="s">
        <v>202</v>
      </c>
      <c r="D1213" s="22" t="s">
        <v>2419</v>
      </c>
      <c r="E1213" s="22" t="s">
        <v>57</v>
      </c>
      <c r="F1213" s="23">
        <v>-1171667</v>
      </c>
      <c r="G1213" s="24">
        <v>44461</v>
      </c>
      <c r="H1213" s="22" t="s">
        <v>744</v>
      </c>
      <c r="I1213" s="22" t="s">
        <v>2176</v>
      </c>
      <c r="J1213" s="22"/>
      <c r="K1213" s="22"/>
      <c r="L1213" s="22"/>
      <c r="M1213" s="22"/>
      <c r="N1213" s="22"/>
      <c r="O1213" s="22"/>
      <c r="P1213" s="22"/>
      <c r="Q1213" s="22"/>
      <c r="R1213" s="22"/>
    </row>
    <row r="1214" spans="1:18" x14ac:dyDescent="0.25">
      <c r="A1214" s="22" t="s">
        <v>2422</v>
      </c>
      <c r="B1214" s="22" t="s">
        <v>201</v>
      </c>
      <c r="C1214" s="22" t="s">
        <v>202</v>
      </c>
      <c r="D1214" s="22" t="s">
        <v>2421</v>
      </c>
      <c r="E1214" s="22" t="s">
        <v>57</v>
      </c>
      <c r="F1214" s="23">
        <v>-9700</v>
      </c>
      <c r="G1214" s="24">
        <v>44459</v>
      </c>
      <c r="H1214" s="22" t="s">
        <v>2336</v>
      </c>
      <c r="I1214" s="22" t="s">
        <v>298</v>
      </c>
      <c r="J1214" s="22"/>
      <c r="K1214" s="22"/>
      <c r="L1214" s="22"/>
      <c r="M1214" s="22"/>
      <c r="N1214" s="22"/>
      <c r="O1214" s="22"/>
      <c r="P1214" s="22"/>
      <c r="Q1214" s="22"/>
      <c r="R1214" s="22"/>
    </row>
    <row r="1215" spans="1:18" s="39" customFormat="1" x14ac:dyDescent="0.25">
      <c r="A1215" s="36" t="s">
        <v>2424</v>
      </c>
      <c r="B1215" s="36" t="s">
        <v>201</v>
      </c>
      <c r="C1215" s="36" t="s">
        <v>202</v>
      </c>
      <c r="D1215" s="36" t="s">
        <v>2423</v>
      </c>
      <c r="E1215" s="36" t="s">
        <v>42</v>
      </c>
      <c r="F1215" s="37">
        <v>15282073</v>
      </c>
      <c r="G1215" s="38">
        <v>44446</v>
      </c>
      <c r="H1215" s="36" t="s">
        <v>2411</v>
      </c>
      <c r="I1215" s="36" t="s">
        <v>605</v>
      </c>
      <c r="J1215" s="36"/>
      <c r="K1215" s="36"/>
      <c r="L1215" s="36"/>
      <c r="M1215" s="36"/>
      <c r="N1215" s="36"/>
      <c r="O1215" s="36"/>
      <c r="P1215" s="36"/>
      <c r="Q1215" s="36"/>
      <c r="R1215" s="36"/>
    </row>
    <row r="1216" spans="1:18" x14ac:dyDescent="0.25">
      <c r="A1216" s="22" t="s">
        <v>2426</v>
      </c>
      <c r="B1216" s="22" t="s">
        <v>201</v>
      </c>
      <c r="C1216" s="22" t="s">
        <v>202</v>
      </c>
      <c r="D1216" s="22" t="s">
        <v>2425</v>
      </c>
      <c r="E1216" s="22" t="s">
        <v>57</v>
      </c>
      <c r="F1216" s="23">
        <v>-471300</v>
      </c>
      <c r="G1216" s="24">
        <v>44419</v>
      </c>
      <c r="H1216" s="22" t="s">
        <v>2411</v>
      </c>
      <c r="I1216" s="22" t="s">
        <v>280</v>
      </c>
      <c r="J1216" s="22"/>
      <c r="K1216" s="22"/>
      <c r="L1216" s="22"/>
      <c r="M1216" s="22"/>
      <c r="N1216" s="22"/>
      <c r="O1216" s="22"/>
      <c r="P1216" s="22"/>
      <c r="Q1216" s="22"/>
      <c r="R1216" s="22"/>
    </row>
    <row r="1217" spans="1:18" x14ac:dyDescent="0.25">
      <c r="A1217" s="22" t="s">
        <v>2428</v>
      </c>
      <c r="B1217" s="22" t="s">
        <v>201</v>
      </c>
      <c r="C1217" s="22" t="s">
        <v>202</v>
      </c>
      <c r="D1217" s="22" t="s">
        <v>2427</v>
      </c>
      <c r="E1217" s="22" t="s">
        <v>57</v>
      </c>
      <c r="F1217" s="23">
        <v>-207500</v>
      </c>
      <c r="G1217" s="24">
        <v>44412</v>
      </c>
      <c r="H1217" s="22" t="s">
        <v>2411</v>
      </c>
      <c r="I1217" s="22" t="s">
        <v>486</v>
      </c>
      <c r="J1217" s="22"/>
      <c r="K1217" s="22"/>
      <c r="L1217" s="22"/>
      <c r="M1217" s="22"/>
      <c r="N1217" s="22"/>
      <c r="O1217" s="22"/>
      <c r="P1217" s="22"/>
      <c r="Q1217" s="22"/>
      <c r="R1217" s="22"/>
    </row>
    <row r="1218" spans="1:18" x14ac:dyDescent="0.25">
      <c r="A1218" s="22" t="s">
        <v>2430</v>
      </c>
      <c r="B1218" s="22" t="s">
        <v>201</v>
      </c>
      <c r="C1218" s="22" t="s">
        <v>202</v>
      </c>
      <c r="D1218" s="22" t="s">
        <v>2429</v>
      </c>
      <c r="E1218" s="22" t="s">
        <v>57</v>
      </c>
      <c r="F1218" s="23">
        <v>-293600</v>
      </c>
      <c r="G1218" s="24">
        <v>44412</v>
      </c>
      <c r="H1218" s="22" t="s">
        <v>2411</v>
      </c>
      <c r="I1218" s="22" t="s">
        <v>282</v>
      </c>
      <c r="J1218" s="22"/>
      <c r="K1218" s="22"/>
      <c r="L1218" s="22"/>
      <c r="M1218" s="22"/>
      <c r="N1218" s="22"/>
      <c r="O1218" s="22"/>
      <c r="P1218" s="22"/>
      <c r="Q1218" s="22"/>
      <c r="R1218" s="22"/>
    </row>
    <row r="1219" spans="1:18" x14ac:dyDescent="0.25">
      <c r="A1219" s="22" t="s">
        <v>192</v>
      </c>
      <c r="B1219" s="22" t="s">
        <v>201</v>
      </c>
      <c r="C1219" s="22" t="s">
        <v>202</v>
      </c>
      <c r="D1219" s="22" t="s">
        <v>194</v>
      </c>
      <c r="E1219" s="22" t="s">
        <v>57</v>
      </c>
      <c r="F1219" s="23">
        <v>-2625484</v>
      </c>
      <c r="G1219" s="24">
        <v>44442</v>
      </c>
      <c r="H1219" s="22" t="s">
        <v>2411</v>
      </c>
      <c r="I1219" s="22" t="s">
        <v>2431</v>
      </c>
      <c r="J1219" s="22"/>
      <c r="K1219" s="22"/>
      <c r="L1219" s="22"/>
      <c r="M1219" s="22"/>
      <c r="N1219" s="22"/>
      <c r="O1219" s="22"/>
      <c r="P1219" s="22"/>
      <c r="Q1219" s="22"/>
      <c r="R1219" s="22"/>
    </row>
    <row r="1220" spans="1:18" x14ac:dyDescent="0.25">
      <c r="A1220" s="22" t="s">
        <v>2433</v>
      </c>
      <c r="B1220" s="22" t="s">
        <v>201</v>
      </c>
      <c r="C1220" s="22" t="s">
        <v>202</v>
      </c>
      <c r="D1220" s="22" t="s">
        <v>2432</v>
      </c>
      <c r="E1220" s="22" t="s">
        <v>57</v>
      </c>
      <c r="F1220" s="23">
        <v>-1402928</v>
      </c>
      <c r="G1220" s="24">
        <v>44438</v>
      </c>
      <c r="H1220" s="22" t="s">
        <v>2411</v>
      </c>
      <c r="I1220" s="22" t="s">
        <v>2434</v>
      </c>
      <c r="J1220" s="22"/>
      <c r="K1220" s="22"/>
      <c r="L1220" s="22"/>
      <c r="M1220" s="22"/>
      <c r="N1220" s="22"/>
      <c r="O1220" s="22"/>
      <c r="P1220" s="22"/>
      <c r="Q1220" s="22"/>
      <c r="R1220" s="22"/>
    </row>
    <row r="1221" spans="1:18" x14ac:dyDescent="0.25">
      <c r="A1221" s="22" t="s">
        <v>2436</v>
      </c>
      <c r="B1221" s="22" t="s">
        <v>201</v>
      </c>
      <c r="C1221" s="22" t="s">
        <v>202</v>
      </c>
      <c r="D1221" s="22" t="s">
        <v>2435</v>
      </c>
      <c r="E1221" s="22" t="s">
        <v>57</v>
      </c>
      <c r="F1221" s="23">
        <v>-2459908</v>
      </c>
      <c r="G1221" s="24">
        <v>44436</v>
      </c>
      <c r="H1221" s="22" t="s">
        <v>2411</v>
      </c>
      <c r="I1221" s="22" t="s">
        <v>2437</v>
      </c>
      <c r="J1221" s="22"/>
      <c r="K1221" s="22"/>
      <c r="L1221" s="22"/>
      <c r="M1221" s="22"/>
      <c r="N1221" s="22"/>
      <c r="O1221" s="22"/>
      <c r="P1221" s="22"/>
      <c r="Q1221" s="22"/>
      <c r="R1221" s="22"/>
    </row>
    <row r="1222" spans="1:18" x14ac:dyDescent="0.25">
      <c r="A1222" s="22" t="s">
        <v>2439</v>
      </c>
      <c r="B1222" s="22" t="s">
        <v>201</v>
      </c>
      <c r="C1222" s="22" t="s">
        <v>202</v>
      </c>
      <c r="D1222" s="22" t="s">
        <v>2438</v>
      </c>
      <c r="E1222" s="22" t="s">
        <v>57</v>
      </c>
      <c r="F1222" s="23">
        <v>-3590455</v>
      </c>
      <c r="G1222" s="24">
        <v>44435</v>
      </c>
      <c r="H1222" s="22" t="s">
        <v>2411</v>
      </c>
      <c r="I1222" s="22" t="s">
        <v>2440</v>
      </c>
      <c r="J1222" s="22"/>
      <c r="K1222" s="22"/>
      <c r="L1222" s="22"/>
      <c r="M1222" s="22"/>
      <c r="N1222" s="22"/>
      <c r="O1222" s="22"/>
      <c r="P1222" s="22"/>
      <c r="Q1222" s="22"/>
      <c r="R1222" s="22"/>
    </row>
    <row r="1223" spans="1:18" x14ac:dyDescent="0.25">
      <c r="A1223" s="22" t="s">
        <v>2442</v>
      </c>
      <c r="B1223" s="22" t="s">
        <v>201</v>
      </c>
      <c r="C1223" s="22" t="s">
        <v>202</v>
      </c>
      <c r="D1223" s="22" t="s">
        <v>2441</v>
      </c>
      <c r="E1223" s="22" t="s">
        <v>57</v>
      </c>
      <c r="F1223" s="23">
        <v>-1066565</v>
      </c>
      <c r="G1223" s="24">
        <v>44435</v>
      </c>
      <c r="H1223" s="22" t="s">
        <v>2411</v>
      </c>
      <c r="I1223" s="22" t="s">
        <v>2443</v>
      </c>
      <c r="J1223" s="22"/>
      <c r="K1223" s="22"/>
      <c r="L1223" s="22"/>
      <c r="M1223" s="22"/>
      <c r="N1223" s="22"/>
      <c r="O1223" s="22"/>
      <c r="P1223" s="22"/>
      <c r="Q1223" s="22"/>
      <c r="R1223" s="22"/>
    </row>
    <row r="1224" spans="1:18" x14ac:dyDescent="0.25">
      <c r="A1224" s="22" t="s">
        <v>2445</v>
      </c>
      <c r="B1224" s="22" t="s">
        <v>201</v>
      </c>
      <c r="C1224" s="22" t="s">
        <v>202</v>
      </c>
      <c r="D1224" s="22" t="s">
        <v>2444</v>
      </c>
      <c r="E1224" s="22" t="s">
        <v>57</v>
      </c>
      <c r="F1224" s="23">
        <v>-1226444</v>
      </c>
      <c r="G1224" s="24">
        <v>44418</v>
      </c>
      <c r="H1224" s="22" t="s">
        <v>2411</v>
      </c>
      <c r="I1224" s="22" t="s">
        <v>843</v>
      </c>
      <c r="J1224" s="22"/>
      <c r="K1224" s="22"/>
      <c r="L1224" s="22"/>
      <c r="M1224" s="22"/>
      <c r="N1224" s="22"/>
      <c r="O1224" s="22"/>
      <c r="P1224" s="22"/>
      <c r="Q1224" s="22"/>
      <c r="R1224" s="22"/>
    </row>
    <row r="1225" spans="1:18" x14ac:dyDescent="0.25">
      <c r="A1225" s="22" t="s">
        <v>188</v>
      </c>
      <c r="B1225" s="22" t="s">
        <v>201</v>
      </c>
      <c r="C1225" s="22" t="s">
        <v>202</v>
      </c>
      <c r="D1225" s="22" t="s">
        <v>2446</v>
      </c>
      <c r="E1225" s="22" t="s">
        <v>45</v>
      </c>
      <c r="F1225" s="23">
        <v>-823154</v>
      </c>
      <c r="G1225" s="24">
        <v>44442</v>
      </c>
      <c r="H1225" s="22" t="s">
        <v>2411</v>
      </c>
      <c r="I1225" s="22" t="s">
        <v>2447</v>
      </c>
      <c r="J1225" s="22"/>
      <c r="K1225" s="22"/>
      <c r="L1225" s="22"/>
      <c r="M1225" s="22"/>
      <c r="N1225" s="22"/>
      <c r="O1225" s="22"/>
      <c r="P1225" s="22"/>
      <c r="Q1225" s="22"/>
      <c r="R1225" s="22"/>
    </row>
    <row r="1226" spans="1:18" x14ac:dyDescent="0.25">
      <c r="A1226" s="22" t="s">
        <v>2449</v>
      </c>
      <c r="B1226" s="22" t="s">
        <v>201</v>
      </c>
      <c r="C1226" s="22" t="s">
        <v>202</v>
      </c>
      <c r="D1226" s="22" t="s">
        <v>2448</v>
      </c>
      <c r="E1226" s="22" t="s">
        <v>57</v>
      </c>
      <c r="F1226" s="23">
        <v>-165800</v>
      </c>
      <c r="G1226" s="24">
        <v>44438</v>
      </c>
      <c r="H1226" s="22" t="s">
        <v>2411</v>
      </c>
      <c r="I1226" s="22" t="s">
        <v>1006</v>
      </c>
      <c r="J1226" s="22"/>
      <c r="K1226" s="22"/>
      <c r="L1226" s="22"/>
      <c r="M1226" s="22"/>
      <c r="N1226" s="22"/>
      <c r="O1226" s="22"/>
      <c r="P1226" s="22"/>
      <c r="Q1226" s="22"/>
      <c r="R1226" s="22"/>
    </row>
    <row r="1227" spans="1:18" x14ac:dyDescent="0.25">
      <c r="A1227" s="22" t="s">
        <v>2451</v>
      </c>
      <c r="B1227" s="22" t="s">
        <v>201</v>
      </c>
      <c r="C1227" s="22" t="s">
        <v>202</v>
      </c>
      <c r="D1227" s="22" t="s">
        <v>2450</v>
      </c>
      <c r="E1227" s="22" t="s">
        <v>57</v>
      </c>
      <c r="F1227" s="23">
        <v>-240242</v>
      </c>
      <c r="G1227" s="24">
        <v>44433</v>
      </c>
      <c r="H1227" s="22" t="s">
        <v>2411</v>
      </c>
      <c r="I1227" s="22" t="s">
        <v>1006</v>
      </c>
      <c r="J1227" s="22"/>
      <c r="K1227" s="22"/>
      <c r="L1227" s="22"/>
      <c r="M1227" s="22"/>
      <c r="N1227" s="22"/>
      <c r="O1227" s="22"/>
      <c r="P1227" s="22"/>
      <c r="Q1227" s="22"/>
      <c r="R1227" s="22"/>
    </row>
    <row r="1228" spans="1:18" x14ac:dyDescent="0.25">
      <c r="A1228" s="22" t="s">
        <v>2453</v>
      </c>
      <c r="B1228" s="22" t="s">
        <v>201</v>
      </c>
      <c r="C1228" s="22" t="s">
        <v>202</v>
      </c>
      <c r="D1228" s="22" t="s">
        <v>2452</v>
      </c>
      <c r="E1228" s="22" t="s">
        <v>57</v>
      </c>
      <c r="F1228" s="23">
        <v>-215700</v>
      </c>
      <c r="G1228" s="24">
        <v>44431</v>
      </c>
      <c r="H1228" s="22" t="s">
        <v>2411</v>
      </c>
      <c r="I1228" s="22" t="s">
        <v>1006</v>
      </c>
      <c r="J1228" s="22"/>
      <c r="K1228" s="22"/>
      <c r="L1228" s="22"/>
      <c r="M1228" s="22"/>
      <c r="N1228" s="22"/>
      <c r="O1228" s="22"/>
      <c r="P1228" s="22"/>
      <c r="Q1228" s="22"/>
      <c r="R1228" s="22"/>
    </row>
    <row r="1229" spans="1:18" x14ac:dyDescent="0.25">
      <c r="A1229" s="22" t="s">
        <v>2455</v>
      </c>
      <c r="B1229" s="22" t="s">
        <v>201</v>
      </c>
      <c r="C1229" s="22" t="s">
        <v>202</v>
      </c>
      <c r="D1229" s="22" t="s">
        <v>2454</v>
      </c>
      <c r="E1229" s="22" t="s">
        <v>57</v>
      </c>
      <c r="F1229" s="23">
        <v>-103600</v>
      </c>
      <c r="G1229" s="24">
        <v>44418</v>
      </c>
      <c r="H1229" s="22" t="s">
        <v>2411</v>
      </c>
      <c r="I1229" s="22" t="s">
        <v>1707</v>
      </c>
      <c r="J1229" s="22"/>
      <c r="K1229" s="22"/>
      <c r="L1229" s="22"/>
      <c r="M1229" s="22"/>
      <c r="N1229" s="22"/>
      <c r="O1229" s="22"/>
      <c r="P1229" s="22"/>
      <c r="Q1229" s="22"/>
      <c r="R1229" s="22"/>
    </row>
    <row r="1230" spans="1:18" x14ac:dyDescent="0.25">
      <c r="A1230" s="22" t="s">
        <v>2457</v>
      </c>
      <c r="B1230" s="22" t="s">
        <v>201</v>
      </c>
      <c r="C1230" s="22" t="s">
        <v>202</v>
      </c>
      <c r="D1230" s="22" t="s">
        <v>2456</v>
      </c>
      <c r="E1230" s="22" t="s">
        <v>57</v>
      </c>
      <c r="F1230" s="23">
        <v>-157326</v>
      </c>
      <c r="G1230" s="24">
        <v>44410</v>
      </c>
      <c r="H1230" s="22" t="s">
        <v>2411</v>
      </c>
      <c r="I1230" s="22" t="s">
        <v>2458</v>
      </c>
      <c r="J1230" s="22"/>
      <c r="K1230" s="22"/>
      <c r="L1230" s="22"/>
      <c r="M1230" s="22"/>
      <c r="N1230" s="22"/>
      <c r="O1230" s="22"/>
      <c r="P1230" s="22"/>
      <c r="Q1230" s="22"/>
      <c r="R1230" s="22"/>
    </row>
    <row r="1231" spans="1:18" x14ac:dyDescent="0.25">
      <c r="A1231" s="22" t="s">
        <v>2412</v>
      </c>
      <c r="B1231" s="22" t="s">
        <v>201</v>
      </c>
      <c r="C1231" s="22" t="s">
        <v>202</v>
      </c>
      <c r="D1231" s="22" t="s">
        <v>2411</v>
      </c>
      <c r="E1231" s="22" t="s">
        <v>45</v>
      </c>
      <c r="F1231" s="23">
        <v>12824484</v>
      </c>
      <c r="G1231" s="24">
        <v>44452</v>
      </c>
      <c r="H1231" s="22" t="s">
        <v>2411</v>
      </c>
      <c r="I1231" s="22"/>
      <c r="J1231" s="22"/>
      <c r="K1231" s="22"/>
      <c r="L1231" s="22"/>
      <c r="M1231" s="22"/>
      <c r="N1231" s="22"/>
      <c r="O1231" s="22"/>
      <c r="P1231" s="22"/>
      <c r="Q1231" s="22"/>
      <c r="R1231" s="22"/>
    </row>
    <row r="1232" spans="1:18" x14ac:dyDescent="0.25">
      <c r="A1232" s="22" t="s">
        <v>2412</v>
      </c>
      <c r="B1232" s="22" t="s">
        <v>201</v>
      </c>
      <c r="C1232" s="22" t="s">
        <v>202</v>
      </c>
      <c r="D1232" s="22" t="s">
        <v>2411</v>
      </c>
      <c r="E1232" s="22" t="s">
        <v>45</v>
      </c>
      <c r="F1232" s="23">
        <v>-15282073</v>
      </c>
      <c r="G1232" s="24">
        <v>44452</v>
      </c>
      <c r="H1232" s="22" t="s">
        <v>2411</v>
      </c>
      <c r="I1232" s="22"/>
      <c r="J1232" s="22"/>
      <c r="K1232" s="22"/>
      <c r="L1232" s="22"/>
      <c r="M1232" s="22"/>
      <c r="N1232" s="22"/>
      <c r="O1232" s="22"/>
      <c r="P1232" s="22"/>
      <c r="Q1232" s="22"/>
      <c r="R1232" s="22"/>
    </row>
    <row r="1233" spans="1:18" x14ac:dyDescent="0.25">
      <c r="A1233" s="22" t="s">
        <v>2412</v>
      </c>
      <c r="B1233" s="22" t="s">
        <v>201</v>
      </c>
      <c r="C1233" s="22" t="s">
        <v>202</v>
      </c>
      <c r="D1233" s="22" t="s">
        <v>2411</v>
      </c>
      <c r="E1233" s="22" t="s">
        <v>45</v>
      </c>
      <c r="F1233" s="23">
        <v>2678222</v>
      </c>
      <c r="G1233" s="24">
        <v>44452</v>
      </c>
      <c r="H1233" s="22" t="s">
        <v>2411</v>
      </c>
      <c r="I1233" s="22"/>
      <c r="J1233" s="22"/>
      <c r="K1233" s="22"/>
      <c r="L1233" s="22"/>
      <c r="M1233" s="22"/>
      <c r="N1233" s="22"/>
      <c r="O1233" s="22"/>
      <c r="P1233" s="22"/>
      <c r="Q1233" s="22"/>
      <c r="R1233" s="22"/>
    </row>
    <row r="1234" spans="1:18" x14ac:dyDescent="0.25">
      <c r="A1234" s="22" t="s">
        <v>2460</v>
      </c>
      <c r="B1234" s="22" t="s">
        <v>201</v>
      </c>
      <c r="C1234" s="22" t="s">
        <v>202</v>
      </c>
      <c r="D1234" s="22" t="s">
        <v>2459</v>
      </c>
      <c r="E1234" s="22" t="s">
        <v>57</v>
      </c>
      <c r="F1234" s="23">
        <v>-32700</v>
      </c>
      <c r="G1234" s="24">
        <v>44469</v>
      </c>
      <c r="H1234" s="22" t="s">
        <v>2411</v>
      </c>
      <c r="I1234" s="22" t="s">
        <v>2461</v>
      </c>
      <c r="J1234" s="22"/>
      <c r="K1234" s="22"/>
      <c r="L1234" s="22"/>
      <c r="M1234" s="22"/>
      <c r="N1234" s="22"/>
      <c r="O1234" s="22"/>
      <c r="P1234" s="22"/>
      <c r="Q1234" s="22"/>
      <c r="R1234" s="22"/>
    </row>
    <row r="1235" spans="1:18" x14ac:dyDescent="0.25">
      <c r="A1235" s="22" t="s">
        <v>2412</v>
      </c>
      <c r="B1235" s="22" t="s">
        <v>201</v>
      </c>
      <c r="C1235" s="22" t="s">
        <v>202</v>
      </c>
      <c r="D1235" s="22" t="s">
        <v>2462</v>
      </c>
      <c r="E1235" s="22" t="s">
        <v>57</v>
      </c>
      <c r="F1235" s="23">
        <v>-420000</v>
      </c>
      <c r="G1235" s="24">
        <v>44452</v>
      </c>
      <c r="H1235" s="22" t="s">
        <v>2411</v>
      </c>
      <c r="I1235" s="22" t="s">
        <v>919</v>
      </c>
      <c r="J1235" s="22"/>
      <c r="K1235" s="22"/>
      <c r="L1235" s="22"/>
      <c r="M1235" s="22"/>
      <c r="N1235" s="22"/>
      <c r="O1235" s="22"/>
      <c r="P1235" s="22"/>
      <c r="Q1235" s="22"/>
      <c r="R1235" s="22"/>
    </row>
    <row r="1236" spans="1:18" s="39" customFormat="1" x14ac:dyDescent="0.25">
      <c r="A1236" s="36" t="s">
        <v>2464</v>
      </c>
      <c r="B1236" s="36" t="s">
        <v>201</v>
      </c>
      <c r="C1236" s="36" t="s">
        <v>202</v>
      </c>
      <c r="D1236" s="36" t="s">
        <v>2463</v>
      </c>
      <c r="E1236" s="36" t="s">
        <v>42</v>
      </c>
      <c r="F1236" s="37">
        <v>484334</v>
      </c>
      <c r="G1236" s="38">
        <v>44476</v>
      </c>
      <c r="H1236" s="36" t="s">
        <v>724</v>
      </c>
      <c r="I1236" s="36" t="s">
        <v>577</v>
      </c>
      <c r="J1236" s="36"/>
      <c r="K1236" s="36"/>
      <c r="L1236" s="36"/>
      <c r="M1236" s="36"/>
      <c r="N1236" s="36"/>
      <c r="O1236" s="36"/>
      <c r="P1236" s="36"/>
      <c r="Q1236" s="36"/>
      <c r="R1236" s="36"/>
    </row>
    <row r="1237" spans="1:18" x14ac:dyDescent="0.25">
      <c r="A1237" s="22" t="s">
        <v>2466</v>
      </c>
      <c r="B1237" s="22" t="s">
        <v>201</v>
      </c>
      <c r="C1237" s="22" t="s">
        <v>202</v>
      </c>
      <c r="D1237" s="22" t="s">
        <v>2465</v>
      </c>
      <c r="E1237" s="22" t="s">
        <v>57</v>
      </c>
      <c r="F1237" s="23">
        <v>-255461</v>
      </c>
      <c r="G1237" s="24">
        <v>44439</v>
      </c>
      <c r="H1237" s="22" t="s">
        <v>724</v>
      </c>
      <c r="I1237" s="22" t="s">
        <v>2461</v>
      </c>
      <c r="J1237" s="22"/>
      <c r="K1237" s="22"/>
      <c r="L1237" s="22"/>
      <c r="M1237" s="22"/>
      <c r="N1237" s="22"/>
      <c r="O1237" s="22"/>
      <c r="P1237" s="22"/>
      <c r="Q1237" s="22"/>
      <c r="R1237" s="22"/>
    </row>
    <row r="1238" spans="1:18" x14ac:dyDescent="0.25">
      <c r="A1238" s="22" t="s">
        <v>618</v>
      </c>
      <c r="B1238" s="22" t="s">
        <v>201</v>
      </c>
      <c r="C1238" s="22" t="s">
        <v>202</v>
      </c>
      <c r="D1238" s="22" t="s">
        <v>2467</v>
      </c>
      <c r="E1238" s="22" t="s">
        <v>57</v>
      </c>
      <c r="F1238" s="23">
        <v>-713206</v>
      </c>
      <c r="G1238" s="24">
        <v>44439</v>
      </c>
      <c r="H1238" s="22" t="s">
        <v>724</v>
      </c>
      <c r="I1238" s="22" t="s">
        <v>2468</v>
      </c>
      <c r="J1238" s="22"/>
      <c r="K1238" s="22"/>
      <c r="L1238" s="22"/>
      <c r="M1238" s="22"/>
      <c r="N1238" s="22"/>
      <c r="O1238" s="22"/>
      <c r="P1238" s="22"/>
      <c r="Q1238" s="22"/>
      <c r="R1238" s="22"/>
    </row>
    <row r="1239" spans="1:18" x14ac:dyDescent="0.25">
      <c r="A1239" s="22" t="s">
        <v>2470</v>
      </c>
      <c r="B1239" s="22" t="s">
        <v>201</v>
      </c>
      <c r="C1239" s="22" t="s">
        <v>202</v>
      </c>
      <c r="D1239" s="22" t="s">
        <v>2469</v>
      </c>
      <c r="E1239" s="22" t="s">
        <v>57</v>
      </c>
      <c r="F1239" s="23">
        <v>-47200</v>
      </c>
      <c r="G1239" s="24">
        <v>44446</v>
      </c>
      <c r="H1239" s="22" t="s">
        <v>2336</v>
      </c>
      <c r="I1239" s="22" t="s">
        <v>304</v>
      </c>
      <c r="J1239" s="22"/>
      <c r="K1239" s="22"/>
      <c r="L1239" s="22"/>
      <c r="M1239" s="22"/>
      <c r="N1239" s="22"/>
      <c r="O1239" s="22"/>
      <c r="P1239" s="22"/>
      <c r="Q1239" s="22"/>
      <c r="R1239" s="22"/>
    </row>
    <row r="1240" spans="1:18" x14ac:dyDescent="0.25">
      <c r="A1240" s="22" t="s">
        <v>2368</v>
      </c>
      <c r="B1240" s="22" t="s">
        <v>201</v>
      </c>
      <c r="C1240" s="22" t="s">
        <v>202</v>
      </c>
      <c r="D1240" s="22" t="s">
        <v>2471</v>
      </c>
      <c r="E1240" s="22" t="s">
        <v>57</v>
      </c>
      <c r="F1240" s="23">
        <v>-68733</v>
      </c>
      <c r="G1240" s="24">
        <v>44451</v>
      </c>
      <c r="H1240" s="22" t="s">
        <v>2336</v>
      </c>
      <c r="I1240" s="22" t="s">
        <v>2472</v>
      </c>
      <c r="J1240" s="22"/>
      <c r="K1240" s="22"/>
      <c r="L1240" s="22"/>
      <c r="M1240" s="22"/>
      <c r="N1240" s="22"/>
      <c r="O1240" s="22"/>
      <c r="P1240" s="22"/>
      <c r="Q1240" s="22"/>
      <c r="R1240" s="22"/>
    </row>
    <row r="1241" spans="1:18" x14ac:dyDescent="0.25">
      <c r="A1241" s="22" t="s">
        <v>2474</v>
      </c>
      <c r="B1241" s="22" t="s">
        <v>201</v>
      </c>
      <c r="C1241" s="22" t="s">
        <v>202</v>
      </c>
      <c r="D1241" s="22" t="s">
        <v>2473</v>
      </c>
      <c r="E1241" s="22" t="s">
        <v>57</v>
      </c>
      <c r="F1241" s="23">
        <v>-54724</v>
      </c>
      <c r="G1241" s="24">
        <v>44445</v>
      </c>
      <c r="H1241" s="22" t="s">
        <v>2336</v>
      </c>
      <c r="I1241" s="22" t="s">
        <v>764</v>
      </c>
      <c r="J1241" s="22"/>
      <c r="K1241" s="22"/>
      <c r="L1241" s="22"/>
      <c r="M1241" s="22"/>
      <c r="N1241" s="22"/>
      <c r="O1241" s="22"/>
      <c r="P1241" s="22"/>
      <c r="Q1241" s="22"/>
      <c r="R1241" s="22"/>
    </row>
    <row r="1242" spans="1:18" x14ac:dyDescent="0.25">
      <c r="A1242" s="22" t="s">
        <v>2476</v>
      </c>
      <c r="B1242" s="22" t="s">
        <v>201</v>
      </c>
      <c r="C1242" s="22" t="s">
        <v>202</v>
      </c>
      <c r="D1242" s="22" t="s">
        <v>2475</v>
      </c>
      <c r="E1242" s="22" t="s">
        <v>57</v>
      </c>
      <c r="F1242" s="23">
        <v>-28100</v>
      </c>
      <c r="G1242" s="24">
        <v>44469</v>
      </c>
      <c r="H1242" s="22" t="s">
        <v>2336</v>
      </c>
      <c r="I1242" s="22" t="s">
        <v>280</v>
      </c>
      <c r="J1242" s="22"/>
      <c r="K1242" s="22"/>
      <c r="L1242" s="22"/>
      <c r="M1242" s="22"/>
      <c r="N1242" s="22"/>
      <c r="O1242" s="22"/>
      <c r="P1242" s="22"/>
      <c r="Q1242" s="22"/>
      <c r="R1242" s="22"/>
    </row>
    <row r="1243" spans="1:18" x14ac:dyDescent="0.25">
      <c r="A1243" s="22" t="s">
        <v>2478</v>
      </c>
      <c r="B1243" s="22" t="s">
        <v>201</v>
      </c>
      <c r="C1243" s="22" t="s">
        <v>202</v>
      </c>
      <c r="D1243" s="22" t="s">
        <v>2477</v>
      </c>
      <c r="E1243" s="22" t="s">
        <v>57</v>
      </c>
      <c r="F1243" s="23">
        <v>-43700</v>
      </c>
      <c r="G1243" s="24">
        <v>44468</v>
      </c>
      <c r="H1243" s="22" t="s">
        <v>2336</v>
      </c>
      <c r="I1243" s="22" t="s">
        <v>919</v>
      </c>
      <c r="J1243" s="22"/>
      <c r="K1243" s="22"/>
      <c r="L1243" s="22"/>
      <c r="M1243" s="22"/>
      <c r="N1243" s="22"/>
      <c r="O1243" s="22"/>
      <c r="P1243" s="22"/>
      <c r="Q1243" s="22"/>
      <c r="R1243" s="22"/>
    </row>
    <row r="1244" spans="1:18" x14ac:dyDescent="0.25">
      <c r="A1244" s="22" t="s">
        <v>2480</v>
      </c>
      <c r="B1244" s="22" t="s">
        <v>201</v>
      </c>
      <c r="C1244" s="22" t="s">
        <v>202</v>
      </c>
      <c r="D1244" s="22" t="s">
        <v>2479</v>
      </c>
      <c r="E1244" s="22" t="s">
        <v>57</v>
      </c>
      <c r="F1244" s="23">
        <v>-43700</v>
      </c>
      <c r="G1244" s="24">
        <v>44468</v>
      </c>
      <c r="H1244" s="22" t="s">
        <v>2336</v>
      </c>
      <c r="I1244" s="22" t="s">
        <v>280</v>
      </c>
      <c r="J1244" s="22"/>
      <c r="K1244" s="22"/>
      <c r="L1244" s="22"/>
      <c r="M1244" s="22"/>
      <c r="N1244" s="22"/>
      <c r="O1244" s="22"/>
      <c r="P1244" s="22"/>
      <c r="Q1244" s="22"/>
      <c r="R1244" s="22"/>
    </row>
    <row r="1245" spans="1:18" x14ac:dyDescent="0.25">
      <c r="A1245" s="22" t="s">
        <v>2482</v>
      </c>
      <c r="B1245" s="22" t="s">
        <v>201</v>
      </c>
      <c r="C1245" s="22" t="s">
        <v>202</v>
      </c>
      <c r="D1245" s="22" t="s">
        <v>2481</v>
      </c>
      <c r="E1245" s="22" t="s">
        <v>57</v>
      </c>
      <c r="F1245" s="23">
        <v>-29200</v>
      </c>
      <c r="G1245" s="24">
        <v>44463</v>
      </c>
      <c r="H1245" s="22" t="s">
        <v>2336</v>
      </c>
      <c r="I1245" s="22" t="s">
        <v>483</v>
      </c>
      <c r="J1245" s="22"/>
      <c r="K1245" s="22"/>
      <c r="L1245" s="22"/>
      <c r="M1245" s="22"/>
      <c r="N1245" s="22"/>
      <c r="O1245" s="22"/>
      <c r="P1245" s="22"/>
      <c r="Q1245" s="22"/>
      <c r="R1245" s="22"/>
    </row>
    <row r="1246" spans="1:18" x14ac:dyDescent="0.25">
      <c r="A1246" s="22" t="s">
        <v>2484</v>
      </c>
      <c r="B1246" s="22" t="s">
        <v>201</v>
      </c>
      <c r="C1246" s="22" t="s">
        <v>202</v>
      </c>
      <c r="D1246" s="22" t="s">
        <v>2483</v>
      </c>
      <c r="E1246" s="22" t="s">
        <v>57</v>
      </c>
      <c r="F1246" s="23">
        <v>-29200</v>
      </c>
      <c r="G1246" s="24">
        <v>44462</v>
      </c>
      <c r="H1246" s="22" t="s">
        <v>2336</v>
      </c>
      <c r="I1246" s="22" t="s">
        <v>2485</v>
      </c>
      <c r="J1246" s="22"/>
      <c r="K1246" s="22"/>
      <c r="L1246" s="22"/>
      <c r="M1246" s="22"/>
      <c r="N1246" s="22"/>
      <c r="O1246" s="22"/>
      <c r="P1246" s="22"/>
      <c r="Q1246" s="22"/>
      <c r="R1246" s="22"/>
    </row>
    <row r="1247" spans="1:18" x14ac:dyDescent="0.25">
      <c r="A1247" s="22" t="s">
        <v>2487</v>
      </c>
      <c r="B1247" s="22" t="s">
        <v>201</v>
      </c>
      <c r="C1247" s="22" t="s">
        <v>202</v>
      </c>
      <c r="D1247" s="22" t="s">
        <v>2486</v>
      </c>
      <c r="E1247" s="22" t="s">
        <v>57</v>
      </c>
      <c r="F1247" s="23">
        <v>-68100</v>
      </c>
      <c r="G1247" s="24">
        <v>44461</v>
      </c>
      <c r="H1247" s="22" t="s">
        <v>2336</v>
      </c>
      <c r="I1247" s="22" t="s">
        <v>280</v>
      </c>
      <c r="J1247" s="22"/>
      <c r="K1247" s="22"/>
      <c r="L1247" s="22"/>
      <c r="M1247" s="22"/>
      <c r="N1247" s="22"/>
      <c r="O1247" s="22"/>
      <c r="P1247" s="22"/>
      <c r="Q1247" s="22"/>
      <c r="R1247" s="22"/>
    </row>
    <row r="1248" spans="1:18" x14ac:dyDescent="0.25">
      <c r="A1248" s="22" t="s">
        <v>2489</v>
      </c>
      <c r="B1248" s="22" t="s">
        <v>201</v>
      </c>
      <c r="C1248" s="22" t="s">
        <v>202</v>
      </c>
      <c r="D1248" s="22" t="s">
        <v>2488</v>
      </c>
      <c r="E1248" s="22" t="s">
        <v>57</v>
      </c>
      <c r="F1248" s="23">
        <v>-43700</v>
      </c>
      <c r="G1248" s="24">
        <v>44452</v>
      </c>
      <c r="H1248" s="22" t="s">
        <v>2336</v>
      </c>
      <c r="I1248" s="22" t="s">
        <v>550</v>
      </c>
      <c r="J1248" s="22"/>
      <c r="K1248" s="22"/>
      <c r="L1248" s="22"/>
      <c r="M1248" s="22"/>
      <c r="N1248" s="22"/>
      <c r="O1248" s="22"/>
      <c r="P1248" s="22"/>
      <c r="Q1248" s="22"/>
      <c r="R1248" s="22"/>
    </row>
    <row r="1249" spans="1:18" x14ac:dyDescent="0.25">
      <c r="A1249" s="22" t="s">
        <v>2491</v>
      </c>
      <c r="B1249" s="22" t="s">
        <v>201</v>
      </c>
      <c r="C1249" s="22" t="s">
        <v>202</v>
      </c>
      <c r="D1249" s="22" t="s">
        <v>2490</v>
      </c>
      <c r="E1249" s="22" t="s">
        <v>57</v>
      </c>
      <c r="F1249" s="23">
        <v>-29200</v>
      </c>
      <c r="G1249" s="24">
        <v>44449</v>
      </c>
      <c r="H1249" s="22" t="s">
        <v>2336</v>
      </c>
      <c r="I1249" s="22" t="s">
        <v>483</v>
      </c>
      <c r="J1249" s="22"/>
      <c r="K1249" s="22"/>
      <c r="L1249" s="22"/>
      <c r="M1249" s="22"/>
      <c r="N1249" s="22"/>
      <c r="O1249" s="22"/>
      <c r="P1249" s="22"/>
      <c r="Q1249" s="22"/>
      <c r="R1249" s="22"/>
    </row>
    <row r="1250" spans="1:18" x14ac:dyDescent="0.25">
      <c r="A1250" s="22" t="s">
        <v>2493</v>
      </c>
      <c r="B1250" s="22" t="s">
        <v>201</v>
      </c>
      <c r="C1250" s="22" t="s">
        <v>202</v>
      </c>
      <c r="D1250" s="22" t="s">
        <v>2492</v>
      </c>
      <c r="E1250" s="22" t="s">
        <v>57</v>
      </c>
      <c r="F1250" s="23">
        <v>-43700</v>
      </c>
      <c r="G1250" s="24">
        <v>44447</v>
      </c>
      <c r="H1250" s="22" t="s">
        <v>2336</v>
      </c>
      <c r="I1250" s="22" t="s">
        <v>280</v>
      </c>
      <c r="J1250" s="22"/>
      <c r="K1250" s="22"/>
      <c r="L1250" s="22"/>
      <c r="M1250" s="22"/>
      <c r="N1250" s="22"/>
      <c r="O1250" s="22"/>
      <c r="P1250" s="22"/>
      <c r="Q1250" s="22"/>
      <c r="R1250" s="22"/>
    </row>
    <row r="1251" spans="1:18" x14ac:dyDescent="0.25">
      <c r="A1251" s="22" t="s">
        <v>2495</v>
      </c>
      <c r="B1251" s="22" t="s">
        <v>201</v>
      </c>
      <c r="C1251" s="22" t="s">
        <v>202</v>
      </c>
      <c r="D1251" s="22" t="s">
        <v>2494</v>
      </c>
      <c r="E1251" s="22" t="s">
        <v>57</v>
      </c>
      <c r="F1251" s="23">
        <v>-45000</v>
      </c>
      <c r="G1251" s="24">
        <v>44447</v>
      </c>
      <c r="H1251" s="22" t="s">
        <v>2336</v>
      </c>
      <c r="I1251" s="22" t="s">
        <v>280</v>
      </c>
      <c r="J1251" s="22"/>
      <c r="K1251" s="22"/>
      <c r="L1251" s="22"/>
      <c r="M1251" s="22"/>
      <c r="N1251" s="22"/>
      <c r="O1251" s="22"/>
      <c r="P1251" s="22"/>
      <c r="Q1251" s="22"/>
      <c r="R1251" s="22"/>
    </row>
    <row r="1252" spans="1:18" x14ac:dyDescent="0.25">
      <c r="A1252" s="22" t="s">
        <v>2497</v>
      </c>
      <c r="B1252" s="22" t="s">
        <v>201</v>
      </c>
      <c r="C1252" s="22" t="s">
        <v>202</v>
      </c>
      <c r="D1252" s="22" t="s">
        <v>2496</v>
      </c>
      <c r="E1252" s="22" t="s">
        <v>57</v>
      </c>
      <c r="F1252" s="23">
        <v>-130700</v>
      </c>
      <c r="G1252" s="24">
        <v>44447</v>
      </c>
      <c r="H1252" s="22" t="s">
        <v>2336</v>
      </c>
      <c r="I1252" s="22" t="s">
        <v>280</v>
      </c>
      <c r="J1252" s="22"/>
      <c r="K1252" s="22"/>
      <c r="L1252" s="22"/>
      <c r="M1252" s="22"/>
      <c r="N1252" s="22"/>
      <c r="O1252" s="22"/>
      <c r="P1252" s="22"/>
      <c r="Q1252" s="22"/>
      <c r="R1252" s="22"/>
    </row>
    <row r="1253" spans="1:18" x14ac:dyDescent="0.25">
      <c r="A1253" s="22" t="s">
        <v>2499</v>
      </c>
      <c r="B1253" s="22" t="s">
        <v>201</v>
      </c>
      <c r="C1253" s="22" t="s">
        <v>202</v>
      </c>
      <c r="D1253" s="22" t="s">
        <v>2498</v>
      </c>
      <c r="E1253" s="22" t="s">
        <v>57</v>
      </c>
      <c r="F1253" s="23">
        <v>-29200</v>
      </c>
      <c r="G1253" s="24">
        <v>44442</v>
      </c>
      <c r="H1253" s="22" t="s">
        <v>2336</v>
      </c>
      <c r="I1253" s="22" t="s">
        <v>280</v>
      </c>
      <c r="J1253" s="22"/>
      <c r="K1253" s="22"/>
      <c r="L1253" s="22"/>
      <c r="M1253" s="22"/>
      <c r="N1253" s="22"/>
      <c r="O1253" s="22"/>
      <c r="P1253" s="22"/>
      <c r="Q1253" s="22"/>
      <c r="R1253" s="22"/>
    </row>
    <row r="1254" spans="1:18" x14ac:dyDescent="0.25">
      <c r="A1254" s="22" t="s">
        <v>2501</v>
      </c>
      <c r="B1254" s="22" t="s">
        <v>201</v>
      </c>
      <c r="C1254" s="22" t="s">
        <v>202</v>
      </c>
      <c r="D1254" s="22" t="s">
        <v>2500</v>
      </c>
      <c r="E1254" s="22" t="s">
        <v>57</v>
      </c>
      <c r="F1254" s="23">
        <v>-1148387</v>
      </c>
      <c r="G1254" s="24">
        <v>44459</v>
      </c>
      <c r="H1254" s="22" t="s">
        <v>2336</v>
      </c>
      <c r="I1254" s="22" t="s">
        <v>550</v>
      </c>
      <c r="J1254" s="22"/>
      <c r="K1254" s="22"/>
      <c r="L1254" s="22"/>
      <c r="M1254" s="22"/>
      <c r="N1254" s="22"/>
      <c r="O1254" s="22"/>
      <c r="P1254" s="22"/>
      <c r="Q1254" s="22"/>
      <c r="R1254" s="22"/>
    </row>
    <row r="1255" spans="1:18" x14ac:dyDescent="0.25">
      <c r="A1255" s="22" t="s">
        <v>2503</v>
      </c>
      <c r="B1255" s="22" t="s">
        <v>201</v>
      </c>
      <c r="C1255" s="22" t="s">
        <v>202</v>
      </c>
      <c r="D1255" s="22" t="s">
        <v>2502</v>
      </c>
      <c r="E1255" s="22" t="s">
        <v>57</v>
      </c>
      <c r="F1255" s="23">
        <v>-53700</v>
      </c>
      <c r="G1255" s="24">
        <v>44449</v>
      </c>
      <c r="H1255" s="22" t="s">
        <v>2336</v>
      </c>
      <c r="I1255" s="22" t="s">
        <v>2504</v>
      </c>
      <c r="J1255" s="22"/>
      <c r="K1255" s="22"/>
      <c r="L1255" s="22"/>
      <c r="M1255" s="22"/>
      <c r="N1255" s="22"/>
      <c r="O1255" s="22"/>
      <c r="P1255" s="22"/>
      <c r="Q1255" s="22"/>
      <c r="R1255" s="22"/>
    </row>
    <row r="1256" spans="1:18" x14ac:dyDescent="0.25">
      <c r="A1256" s="22" t="s">
        <v>2506</v>
      </c>
      <c r="B1256" s="22" t="s">
        <v>201</v>
      </c>
      <c r="C1256" s="22" t="s">
        <v>202</v>
      </c>
      <c r="D1256" s="22" t="s">
        <v>2505</v>
      </c>
      <c r="E1256" s="22" t="s">
        <v>45</v>
      </c>
      <c r="F1256" s="23">
        <v>65400</v>
      </c>
      <c r="G1256" s="24">
        <v>44508</v>
      </c>
      <c r="H1256" s="22" t="s">
        <v>2505</v>
      </c>
      <c r="I1256" s="22" t="s">
        <v>230</v>
      </c>
      <c r="J1256" s="22"/>
      <c r="K1256" s="22"/>
      <c r="L1256" s="22"/>
      <c r="M1256" s="22"/>
      <c r="N1256" s="22"/>
      <c r="O1256" s="22"/>
      <c r="P1256" s="22"/>
      <c r="Q1256" s="22"/>
      <c r="R1256" s="22"/>
    </row>
    <row r="1257" spans="1:18" x14ac:dyDescent="0.25">
      <c r="A1257" s="22" t="s">
        <v>2506</v>
      </c>
      <c r="B1257" s="22" t="s">
        <v>201</v>
      </c>
      <c r="C1257" s="22" t="s">
        <v>202</v>
      </c>
      <c r="D1257" s="22" t="s">
        <v>2505</v>
      </c>
      <c r="E1257" s="22" t="s">
        <v>45</v>
      </c>
      <c r="F1257" s="23">
        <v>-1974983</v>
      </c>
      <c r="G1257" s="24">
        <v>44508</v>
      </c>
      <c r="H1257" s="22" t="s">
        <v>2505</v>
      </c>
      <c r="I1257" s="22" t="s">
        <v>230</v>
      </c>
      <c r="J1257" s="22"/>
      <c r="K1257" s="22"/>
      <c r="L1257" s="22"/>
      <c r="M1257" s="22"/>
      <c r="N1257" s="22"/>
      <c r="O1257" s="22"/>
      <c r="P1257" s="22"/>
      <c r="Q1257" s="22"/>
      <c r="R1257" s="22"/>
    </row>
    <row r="1258" spans="1:18" x14ac:dyDescent="0.25">
      <c r="A1258" s="22" t="s">
        <v>2506</v>
      </c>
      <c r="B1258" s="22" t="s">
        <v>201</v>
      </c>
      <c r="C1258" s="22" t="s">
        <v>202</v>
      </c>
      <c r="D1258" s="22" t="s">
        <v>2505</v>
      </c>
      <c r="E1258" s="22" t="s">
        <v>45</v>
      </c>
      <c r="F1258" s="23">
        <v>1909583</v>
      </c>
      <c r="G1258" s="24">
        <v>44508</v>
      </c>
      <c r="H1258" s="22" t="s">
        <v>2505</v>
      </c>
      <c r="I1258" s="22" t="s">
        <v>230</v>
      </c>
      <c r="J1258" s="22"/>
      <c r="K1258" s="22"/>
      <c r="L1258" s="22"/>
      <c r="M1258" s="22"/>
      <c r="N1258" s="22"/>
      <c r="O1258" s="22"/>
      <c r="P1258" s="22"/>
      <c r="Q1258" s="22"/>
      <c r="R1258" s="22"/>
    </row>
    <row r="1259" spans="1:18" s="39" customFormat="1" x14ac:dyDescent="0.25">
      <c r="A1259" s="36" t="s">
        <v>2506</v>
      </c>
      <c r="B1259" s="36" t="s">
        <v>201</v>
      </c>
      <c r="C1259" s="36" t="s">
        <v>202</v>
      </c>
      <c r="D1259" s="36" t="s">
        <v>2507</v>
      </c>
      <c r="E1259" s="36" t="s">
        <v>42</v>
      </c>
      <c r="F1259" s="37">
        <v>1974983</v>
      </c>
      <c r="G1259" s="38">
        <v>44508</v>
      </c>
      <c r="H1259" s="36" t="s">
        <v>2505</v>
      </c>
      <c r="I1259" s="36" t="s">
        <v>292</v>
      </c>
      <c r="J1259" s="36"/>
      <c r="K1259" s="36"/>
      <c r="L1259" s="36"/>
      <c r="M1259" s="36"/>
      <c r="N1259" s="36"/>
      <c r="O1259" s="36"/>
      <c r="P1259" s="36"/>
      <c r="Q1259" s="36"/>
      <c r="R1259" s="36"/>
    </row>
    <row r="1260" spans="1:18" x14ac:dyDescent="0.25">
      <c r="A1260" s="22" t="s">
        <v>2509</v>
      </c>
      <c r="B1260" s="22" t="s">
        <v>201</v>
      </c>
      <c r="C1260" s="22" t="s">
        <v>202</v>
      </c>
      <c r="D1260" s="22" t="s">
        <v>2508</v>
      </c>
      <c r="E1260" s="22" t="s">
        <v>57</v>
      </c>
      <c r="F1260" s="23">
        <v>-11700</v>
      </c>
      <c r="G1260" s="24">
        <v>44466</v>
      </c>
      <c r="H1260" s="22" t="s">
        <v>2505</v>
      </c>
      <c r="I1260" s="22" t="s">
        <v>1386</v>
      </c>
      <c r="J1260" s="22"/>
      <c r="K1260" s="22"/>
      <c r="L1260" s="22"/>
      <c r="M1260" s="22"/>
      <c r="N1260" s="22"/>
      <c r="O1260" s="22"/>
      <c r="P1260" s="22"/>
      <c r="Q1260" s="22"/>
      <c r="R1260" s="22"/>
    </row>
    <row r="1261" spans="1:18" x14ac:dyDescent="0.25">
      <c r="A1261" s="22" t="s">
        <v>2511</v>
      </c>
      <c r="B1261" s="22" t="s">
        <v>201</v>
      </c>
      <c r="C1261" s="22" t="s">
        <v>202</v>
      </c>
      <c r="D1261" s="22" t="s">
        <v>2510</v>
      </c>
      <c r="E1261" s="22" t="s">
        <v>57</v>
      </c>
      <c r="F1261" s="23">
        <v>-53700</v>
      </c>
      <c r="G1261" s="24">
        <v>44454</v>
      </c>
      <c r="H1261" s="22" t="s">
        <v>2505</v>
      </c>
      <c r="I1261" s="22" t="s">
        <v>2512</v>
      </c>
      <c r="J1261" s="22"/>
      <c r="K1261" s="22"/>
      <c r="L1261" s="22"/>
      <c r="M1261" s="22"/>
      <c r="N1261" s="22"/>
      <c r="O1261" s="22"/>
      <c r="P1261" s="22"/>
      <c r="Q1261" s="22"/>
      <c r="R1261" s="22"/>
    </row>
    <row r="1262" spans="1:18" x14ac:dyDescent="0.25">
      <c r="A1262" s="22" t="s">
        <v>2514</v>
      </c>
      <c r="B1262" s="22" t="s">
        <v>201</v>
      </c>
      <c r="C1262" s="22" t="s">
        <v>202</v>
      </c>
      <c r="D1262" s="22" t="s">
        <v>2513</v>
      </c>
      <c r="E1262" s="22" t="s">
        <v>57</v>
      </c>
      <c r="F1262" s="23">
        <v>-1909583</v>
      </c>
      <c r="G1262" s="24">
        <v>44462</v>
      </c>
      <c r="H1262" s="22" t="s">
        <v>2505</v>
      </c>
      <c r="I1262" s="22" t="s">
        <v>2515</v>
      </c>
      <c r="J1262" s="22"/>
      <c r="K1262" s="22"/>
      <c r="L1262" s="22"/>
      <c r="M1262" s="22"/>
      <c r="N1262" s="22"/>
      <c r="O1262" s="22"/>
      <c r="P1262" s="22"/>
      <c r="Q1262" s="22"/>
      <c r="R1262" s="22"/>
    </row>
    <row r="1263" spans="1:18" x14ac:dyDescent="0.25">
      <c r="A1263" s="22" t="s">
        <v>2517</v>
      </c>
      <c r="B1263" s="22" t="s">
        <v>201</v>
      </c>
      <c r="C1263" s="22" t="s">
        <v>202</v>
      </c>
      <c r="D1263" s="22" t="s">
        <v>2516</v>
      </c>
      <c r="E1263" s="22" t="s">
        <v>57</v>
      </c>
      <c r="F1263" s="23">
        <v>-32700</v>
      </c>
      <c r="G1263" s="24">
        <v>44427</v>
      </c>
      <c r="H1263" s="22" t="s">
        <v>862</v>
      </c>
      <c r="I1263" s="22" t="s">
        <v>2443</v>
      </c>
      <c r="J1263" s="22"/>
      <c r="K1263" s="22"/>
      <c r="L1263" s="22"/>
      <c r="M1263" s="22"/>
      <c r="N1263" s="22"/>
      <c r="O1263" s="22"/>
      <c r="P1263" s="22"/>
      <c r="Q1263" s="22"/>
      <c r="R1263" s="22"/>
    </row>
    <row r="1264" spans="1:18" x14ac:dyDescent="0.25">
      <c r="A1264" s="22" t="s">
        <v>2519</v>
      </c>
      <c r="B1264" s="22" t="s">
        <v>201</v>
      </c>
      <c r="C1264" s="22" t="s">
        <v>202</v>
      </c>
      <c r="D1264" s="22" t="s">
        <v>2518</v>
      </c>
      <c r="E1264" s="22" t="s">
        <v>57</v>
      </c>
      <c r="F1264" s="23">
        <v>-705600</v>
      </c>
      <c r="G1264" s="24">
        <v>44403</v>
      </c>
      <c r="H1264" s="22" t="s">
        <v>862</v>
      </c>
      <c r="I1264" s="22" t="s">
        <v>2443</v>
      </c>
      <c r="J1264" s="22"/>
      <c r="K1264" s="22"/>
      <c r="L1264" s="22"/>
      <c r="M1264" s="22"/>
      <c r="N1264" s="22"/>
      <c r="O1264" s="22"/>
      <c r="P1264" s="22"/>
      <c r="Q1264" s="22"/>
      <c r="R1264" s="22"/>
    </row>
    <row r="1265" spans="1:18" x14ac:dyDescent="0.25">
      <c r="A1265" s="22" t="s">
        <v>2521</v>
      </c>
      <c r="B1265" s="22" t="s">
        <v>201</v>
      </c>
      <c r="C1265" s="22" t="s">
        <v>202</v>
      </c>
      <c r="D1265" s="22" t="s">
        <v>2520</v>
      </c>
      <c r="E1265" s="22" t="s">
        <v>57</v>
      </c>
      <c r="F1265" s="23">
        <v>-417600</v>
      </c>
      <c r="G1265" s="24">
        <v>44390</v>
      </c>
      <c r="H1265" s="22" t="s">
        <v>862</v>
      </c>
      <c r="I1265" s="22" t="s">
        <v>2443</v>
      </c>
      <c r="J1265" s="22"/>
      <c r="K1265" s="22"/>
      <c r="L1265" s="22"/>
      <c r="M1265" s="22"/>
      <c r="N1265" s="22"/>
      <c r="O1265" s="22"/>
      <c r="P1265" s="22"/>
      <c r="Q1265" s="22"/>
      <c r="R1265" s="22"/>
    </row>
    <row r="1266" spans="1:18" x14ac:dyDescent="0.25">
      <c r="A1266" s="22" t="s">
        <v>856</v>
      </c>
      <c r="B1266" s="22" t="s">
        <v>201</v>
      </c>
      <c r="C1266" s="22" t="s">
        <v>202</v>
      </c>
      <c r="D1266" s="22" t="s">
        <v>862</v>
      </c>
      <c r="E1266" s="22" t="s">
        <v>45</v>
      </c>
      <c r="F1266" s="23">
        <v>4028390</v>
      </c>
      <c r="G1266" s="24">
        <v>44470</v>
      </c>
      <c r="H1266" s="22" t="s">
        <v>862</v>
      </c>
      <c r="I1266" s="22"/>
      <c r="J1266" s="22"/>
      <c r="K1266" s="22"/>
      <c r="L1266" s="22"/>
      <c r="M1266" s="22"/>
      <c r="N1266" s="22"/>
      <c r="O1266" s="22"/>
      <c r="P1266" s="22"/>
      <c r="Q1266" s="22"/>
      <c r="R1266" s="22"/>
    </row>
    <row r="1267" spans="1:18" x14ac:dyDescent="0.25">
      <c r="A1267" s="22" t="s">
        <v>856</v>
      </c>
      <c r="B1267" s="22" t="s">
        <v>201</v>
      </c>
      <c r="C1267" s="22" t="s">
        <v>202</v>
      </c>
      <c r="D1267" s="22" t="s">
        <v>862</v>
      </c>
      <c r="E1267" s="22" t="s">
        <v>45</v>
      </c>
      <c r="F1267" s="23">
        <v>-2565975</v>
      </c>
      <c r="G1267" s="24">
        <v>44470</v>
      </c>
      <c r="H1267" s="22" t="s">
        <v>862</v>
      </c>
      <c r="I1267" s="22"/>
      <c r="J1267" s="22"/>
      <c r="K1267" s="22"/>
      <c r="L1267" s="22"/>
      <c r="M1267" s="22"/>
      <c r="N1267" s="22"/>
      <c r="O1267" s="22"/>
      <c r="P1267" s="22"/>
      <c r="Q1267" s="22"/>
      <c r="R1267" s="22"/>
    </row>
    <row r="1268" spans="1:18" x14ac:dyDescent="0.25">
      <c r="A1268" s="22" t="s">
        <v>2523</v>
      </c>
      <c r="B1268" s="22" t="s">
        <v>201</v>
      </c>
      <c r="C1268" s="22" t="s">
        <v>202</v>
      </c>
      <c r="D1268" s="22" t="s">
        <v>2522</v>
      </c>
      <c r="E1268" s="22" t="s">
        <v>57</v>
      </c>
      <c r="F1268" s="23">
        <v>-29400</v>
      </c>
      <c r="G1268" s="24">
        <v>44459</v>
      </c>
      <c r="H1268" s="22" t="s">
        <v>862</v>
      </c>
      <c r="I1268" s="22" t="s">
        <v>324</v>
      </c>
      <c r="J1268" s="22"/>
      <c r="K1268" s="22"/>
      <c r="L1268" s="22"/>
      <c r="M1268" s="22"/>
      <c r="N1268" s="22"/>
      <c r="O1268" s="22"/>
      <c r="P1268" s="22"/>
      <c r="Q1268" s="22"/>
      <c r="R1268" s="22"/>
    </row>
    <row r="1269" spans="1:18" x14ac:dyDescent="0.25">
      <c r="A1269" s="22" t="s">
        <v>2525</v>
      </c>
      <c r="B1269" s="22" t="s">
        <v>201</v>
      </c>
      <c r="C1269" s="22" t="s">
        <v>202</v>
      </c>
      <c r="D1269" s="22" t="s">
        <v>2524</v>
      </c>
      <c r="E1269" s="22" t="s">
        <v>57</v>
      </c>
      <c r="F1269" s="23">
        <v>-31600</v>
      </c>
      <c r="G1269" s="24">
        <v>44456</v>
      </c>
      <c r="H1269" s="22" t="s">
        <v>862</v>
      </c>
      <c r="I1269" s="22" t="s">
        <v>2443</v>
      </c>
      <c r="J1269" s="22"/>
      <c r="K1269" s="22"/>
      <c r="L1269" s="22"/>
      <c r="M1269" s="22"/>
      <c r="N1269" s="22"/>
      <c r="O1269" s="22"/>
      <c r="P1269" s="22"/>
      <c r="Q1269" s="22"/>
      <c r="R1269" s="22"/>
    </row>
    <row r="1270" spans="1:18" x14ac:dyDescent="0.25">
      <c r="A1270" s="22" t="s">
        <v>2527</v>
      </c>
      <c r="B1270" s="22" t="s">
        <v>201</v>
      </c>
      <c r="C1270" s="22" t="s">
        <v>202</v>
      </c>
      <c r="D1270" s="22" t="s">
        <v>2526</v>
      </c>
      <c r="E1270" s="22" t="s">
        <v>57</v>
      </c>
      <c r="F1270" s="23">
        <v>-454700</v>
      </c>
      <c r="G1270" s="24">
        <v>44445</v>
      </c>
      <c r="H1270" s="22" t="s">
        <v>862</v>
      </c>
      <c r="I1270" s="22" t="s">
        <v>2443</v>
      </c>
      <c r="J1270" s="22"/>
      <c r="K1270" s="22"/>
      <c r="L1270" s="22"/>
      <c r="M1270" s="22"/>
      <c r="N1270" s="22"/>
      <c r="O1270" s="22"/>
      <c r="P1270" s="22"/>
      <c r="Q1270" s="22"/>
      <c r="R1270" s="22"/>
    </row>
    <row r="1271" spans="1:18" x14ac:dyDescent="0.25">
      <c r="A1271" s="22" t="s">
        <v>856</v>
      </c>
      <c r="B1271" s="22" t="s">
        <v>201</v>
      </c>
      <c r="C1271" s="22" t="s">
        <v>202</v>
      </c>
      <c r="D1271" s="22" t="s">
        <v>2528</v>
      </c>
      <c r="E1271" s="22" t="s">
        <v>57</v>
      </c>
      <c r="F1271" s="23">
        <v>-2184290</v>
      </c>
      <c r="G1271" s="24">
        <v>44470</v>
      </c>
      <c r="H1271" s="22" t="s">
        <v>862</v>
      </c>
      <c r="I1271" s="22" t="s">
        <v>2443</v>
      </c>
      <c r="J1271" s="22"/>
      <c r="K1271" s="22"/>
      <c r="L1271" s="22"/>
      <c r="M1271" s="22"/>
      <c r="N1271" s="22"/>
      <c r="O1271" s="22"/>
      <c r="P1271" s="22"/>
      <c r="Q1271" s="22"/>
      <c r="R1271" s="22"/>
    </row>
    <row r="1272" spans="1:18" x14ac:dyDescent="0.25">
      <c r="A1272" s="22" t="s">
        <v>2530</v>
      </c>
      <c r="B1272" s="22" t="s">
        <v>201</v>
      </c>
      <c r="C1272" s="22" t="s">
        <v>202</v>
      </c>
      <c r="D1272" s="22" t="s">
        <v>2529</v>
      </c>
      <c r="E1272" s="22" t="s">
        <v>57</v>
      </c>
      <c r="F1272" s="23">
        <v>-53700</v>
      </c>
      <c r="G1272" s="24">
        <v>44452</v>
      </c>
      <c r="H1272" s="22" t="s">
        <v>862</v>
      </c>
      <c r="I1272" s="22" t="s">
        <v>2531</v>
      </c>
      <c r="J1272" s="22"/>
      <c r="K1272" s="22"/>
      <c r="L1272" s="22"/>
      <c r="M1272" s="22"/>
      <c r="N1272" s="22"/>
      <c r="O1272" s="22"/>
      <c r="P1272" s="22"/>
      <c r="Q1272" s="22"/>
      <c r="R1272" s="22"/>
    </row>
    <row r="1273" spans="1:18" s="39" customFormat="1" x14ac:dyDescent="0.25">
      <c r="A1273" s="36" t="s">
        <v>2533</v>
      </c>
      <c r="B1273" s="36" t="s">
        <v>201</v>
      </c>
      <c r="C1273" s="36" t="s">
        <v>202</v>
      </c>
      <c r="D1273" s="36" t="s">
        <v>2532</v>
      </c>
      <c r="E1273" s="36" t="s">
        <v>42</v>
      </c>
      <c r="F1273" s="37">
        <v>30950</v>
      </c>
      <c r="G1273" s="38">
        <v>44446</v>
      </c>
      <c r="H1273" s="36" t="s">
        <v>869</v>
      </c>
      <c r="I1273" s="36" t="s">
        <v>605</v>
      </c>
      <c r="J1273" s="36"/>
      <c r="K1273" s="36"/>
      <c r="L1273" s="36"/>
      <c r="M1273" s="36"/>
      <c r="N1273" s="36"/>
      <c r="O1273" s="36"/>
      <c r="P1273" s="36"/>
      <c r="Q1273" s="36"/>
      <c r="R1273" s="36"/>
    </row>
    <row r="1274" spans="1:18" x14ac:dyDescent="0.25">
      <c r="A1274" s="22" t="s">
        <v>870</v>
      </c>
      <c r="B1274" s="22" t="s">
        <v>201</v>
      </c>
      <c r="C1274" s="22" t="s">
        <v>202</v>
      </c>
      <c r="D1274" s="22" t="s">
        <v>2534</v>
      </c>
      <c r="E1274" s="22" t="s">
        <v>57</v>
      </c>
      <c r="F1274" s="23">
        <v>-43700</v>
      </c>
      <c r="G1274" s="24">
        <v>44446</v>
      </c>
      <c r="H1274" s="22" t="s">
        <v>869</v>
      </c>
      <c r="I1274" s="22" t="s">
        <v>2535</v>
      </c>
      <c r="J1274" s="22"/>
      <c r="K1274" s="22"/>
      <c r="L1274" s="22"/>
      <c r="M1274" s="22"/>
      <c r="N1274" s="22"/>
      <c r="O1274" s="22"/>
      <c r="P1274" s="22"/>
      <c r="Q1274" s="22"/>
      <c r="R1274" s="22"/>
    </row>
    <row r="1275" spans="1:18" x14ac:dyDescent="0.25">
      <c r="A1275" s="22" t="s">
        <v>870</v>
      </c>
      <c r="B1275" s="22" t="s">
        <v>201</v>
      </c>
      <c r="C1275" s="22" t="s">
        <v>202</v>
      </c>
      <c r="D1275" s="22" t="s">
        <v>869</v>
      </c>
      <c r="E1275" s="22" t="s">
        <v>45</v>
      </c>
      <c r="F1275" s="23">
        <v>-30950</v>
      </c>
      <c r="G1275" s="24">
        <v>44446</v>
      </c>
      <c r="H1275" s="22" t="s">
        <v>869</v>
      </c>
      <c r="I1275" s="22"/>
      <c r="J1275" s="22"/>
      <c r="K1275" s="22"/>
      <c r="L1275" s="22"/>
      <c r="M1275" s="22"/>
      <c r="N1275" s="22"/>
      <c r="O1275" s="22"/>
      <c r="P1275" s="22"/>
      <c r="Q1275" s="22"/>
      <c r="R1275" s="22"/>
    </row>
    <row r="1276" spans="1:18" x14ac:dyDescent="0.25">
      <c r="A1276" s="22" t="s">
        <v>870</v>
      </c>
      <c r="B1276" s="22" t="s">
        <v>201</v>
      </c>
      <c r="C1276" s="22" t="s">
        <v>202</v>
      </c>
      <c r="D1276" s="22" t="s">
        <v>869</v>
      </c>
      <c r="E1276" s="22" t="s">
        <v>45</v>
      </c>
      <c r="F1276" s="23">
        <v>43700</v>
      </c>
      <c r="G1276" s="24">
        <v>44446</v>
      </c>
      <c r="H1276" s="22" t="s">
        <v>869</v>
      </c>
      <c r="I1276" s="22"/>
      <c r="J1276" s="22"/>
      <c r="K1276" s="22"/>
      <c r="L1276" s="22"/>
      <c r="M1276" s="22"/>
      <c r="N1276" s="22"/>
      <c r="O1276" s="22"/>
      <c r="P1276" s="22"/>
      <c r="Q1276" s="22"/>
      <c r="R1276" s="22"/>
    </row>
    <row r="1277" spans="1:18" s="39" customFormat="1" x14ac:dyDescent="0.25">
      <c r="A1277" s="36" t="s">
        <v>2537</v>
      </c>
      <c r="B1277" s="36" t="s">
        <v>201</v>
      </c>
      <c r="C1277" s="36" t="s">
        <v>202</v>
      </c>
      <c r="D1277" s="36" t="s">
        <v>2536</v>
      </c>
      <c r="E1277" s="36" t="s">
        <v>42</v>
      </c>
      <c r="F1277" s="37">
        <v>38600</v>
      </c>
      <c r="G1277" s="38">
        <v>44476</v>
      </c>
      <c r="H1277" s="36" t="s">
        <v>872</v>
      </c>
      <c r="I1277" s="36" t="s">
        <v>577</v>
      </c>
      <c r="J1277" s="36"/>
      <c r="K1277" s="36"/>
      <c r="L1277" s="36"/>
      <c r="M1277" s="36"/>
      <c r="N1277" s="36"/>
      <c r="O1277" s="36"/>
      <c r="P1277" s="36"/>
      <c r="Q1277" s="36"/>
      <c r="R1277" s="36"/>
    </row>
    <row r="1278" spans="1:18" x14ac:dyDescent="0.25">
      <c r="A1278" s="22" t="s">
        <v>873</v>
      </c>
      <c r="B1278" s="22" t="s">
        <v>201</v>
      </c>
      <c r="C1278" s="22" t="s">
        <v>202</v>
      </c>
      <c r="D1278" s="22" t="s">
        <v>2538</v>
      </c>
      <c r="E1278" s="22" t="s">
        <v>57</v>
      </c>
      <c r="F1278" s="23">
        <v>-52400</v>
      </c>
      <c r="G1278" s="24">
        <v>44427</v>
      </c>
      <c r="H1278" s="22" t="s">
        <v>872</v>
      </c>
      <c r="I1278" s="22" t="s">
        <v>332</v>
      </c>
      <c r="J1278" s="22"/>
      <c r="K1278" s="22"/>
      <c r="L1278" s="22"/>
      <c r="M1278" s="22"/>
      <c r="N1278" s="22"/>
      <c r="O1278" s="22"/>
      <c r="P1278" s="22"/>
      <c r="Q1278" s="22"/>
      <c r="R1278" s="22"/>
    </row>
    <row r="1279" spans="1:18" x14ac:dyDescent="0.25">
      <c r="A1279" s="22" t="s">
        <v>873</v>
      </c>
      <c r="B1279" s="22" t="s">
        <v>201</v>
      </c>
      <c r="C1279" s="22" t="s">
        <v>202</v>
      </c>
      <c r="D1279" s="22" t="s">
        <v>872</v>
      </c>
      <c r="E1279" s="22" t="s">
        <v>45</v>
      </c>
      <c r="F1279" s="23">
        <v>52400</v>
      </c>
      <c r="G1279" s="24">
        <v>44427</v>
      </c>
      <c r="H1279" s="22" t="s">
        <v>872</v>
      </c>
      <c r="I1279" s="22"/>
      <c r="J1279" s="22"/>
      <c r="K1279" s="22"/>
      <c r="L1279" s="22"/>
      <c r="M1279" s="22"/>
      <c r="N1279" s="22"/>
      <c r="O1279" s="22"/>
      <c r="P1279" s="22"/>
      <c r="Q1279" s="22"/>
      <c r="R1279" s="22"/>
    </row>
    <row r="1280" spans="1:18" x14ac:dyDescent="0.25">
      <c r="A1280" s="22" t="s">
        <v>873</v>
      </c>
      <c r="B1280" s="22" t="s">
        <v>201</v>
      </c>
      <c r="C1280" s="22" t="s">
        <v>202</v>
      </c>
      <c r="D1280" s="22" t="s">
        <v>872</v>
      </c>
      <c r="E1280" s="22" t="s">
        <v>45</v>
      </c>
      <c r="F1280" s="23">
        <v>-38600</v>
      </c>
      <c r="G1280" s="24">
        <v>44427</v>
      </c>
      <c r="H1280" s="22" t="s">
        <v>872</v>
      </c>
      <c r="I1280" s="22"/>
      <c r="J1280" s="22"/>
      <c r="K1280" s="22"/>
      <c r="L1280" s="22"/>
      <c r="M1280" s="22"/>
      <c r="N1280" s="22"/>
      <c r="O1280" s="22"/>
      <c r="P1280" s="22"/>
      <c r="Q1280" s="22"/>
      <c r="R1280" s="22"/>
    </row>
    <row r="1281" spans="1:18" s="39" customFormat="1" x14ac:dyDescent="0.25">
      <c r="A1281" s="36" t="s">
        <v>2540</v>
      </c>
      <c r="B1281" s="36" t="s">
        <v>201</v>
      </c>
      <c r="C1281" s="36" t="s">
        <v>202</v>
      </c>
      <c r="D1281" s="36" t="s">
        <v>2539</v>
      </c>
      <c r="E1281" s="36" t="s">
        <v>42</v>
      </c>
      <c r="F1281" s="37">
        <v>186300</v>
      </c>
      <c r="G1281" s="38">
        <v>44414</v>
      </c>
      <c r="H1281" s="36" t="s">
        <v>875</v>
      </c>
      <c r="I1281" s="36" t="s">
        <v>1671</v>
      </c>
      <c r="J1281" s="36"/>
      <c r="K1281" s="36"/>
      <c r="L1281" s="36"/>
      <c r="M1281" s="36"/>
      <c r="N1281" s="36"/>
      <c r="O1281" s="36"/>
      <c r="P1281" s="36"/>
      <c r="Q1281" s="36"/>
      <c r="R1281" s="36"/>
    </row>
    <row r="1282" spans="1:18" x14ac:dyDescent="0.25">
      <c r="A1282" s="22" t="s">
        <v>876</v>
      </c>
      <c r="B1282" s="22" t="s">
        <v>201</v>
      </c>
      <c r="C1282" s="22" t="s">
        <v>202</v>
      </c>
      <c r="D1282" s="22" t="s">
        <v>2541</v>
      </c>
      <c r="E1282" s="22" t="s">
        <v>57</v>
      </c>
      <c r="F1282" s="23">
        <v>-44700</v>
      </c>
      <c r="G1282" s="24">
        <v>44426</v>
      </c>
      <c r="H1282" s="22" t="s">
        <v>875</v>
      </c>
      <c r="I1282" s="22" t="s">
        <v>608</v>
      </c>
      <c r="J1282" s="22"/>
      <c r="K1282" s="22"/>
      <c r="L1282" s="22"/>
      <c r="M1282" s="22"/>
      <c r="N1282" s="22"/>
      <c r="O1282" s="22"/>
      <c r="P1282" s="22"/>
      <c r="Q1282" s="22"/>
      <c r="R1282" s="22"/>
    </row>
    <row r="1283" spans="1:18" x14ac:dyDescent="0.25">
      <c r="A1283" s="22" t="s">
        <v>2543</v>
      </c>
      <c r="B1283" s="22" t="s">
        <v>201</v>
      </c>
      <c r="C1283" s="22" t="s">
        <v>202</v>
      </c>
      <c r="D1283" s="22" t="s">
        <v>2542</v>
      </c>
      <c r="E1283" s="22" t="s">
        <v>57</v>
      </c>
      <c r="F1283" s="23">
        <v>-156400</v>
      </c>
      <c r="G1283" s="24">
        <v>44399</v>
      </c>
      <c r="H1283" s="22" t="s">
        <v>875</v>
      </c>
      <c r="I1283" s="22" t="s">
        <v>1731</v>
      </c>
      <c r="J1283" s="22"/>
      <c r="K1283" s="22"/>
      <c r="L1283" s="22"/>
      <c r="M1283" s="22"/>
      <c r="N1283" s="22"/>
      <c r="O1283" s="22"/>
      <c r="P1283" s="22"/>
      <c r="Q1283" s="22"/>
      <c r="R1283" s="22"/>
    </row>
    <row r="1284" spans="1:18" x14ac:dyDescent="0.25">
      <c r="A1284" s="22" t="s">
        <v>876</v>
      </c>
      <c r="B1284" s="22" t="s">
        <v>201</v>
      </c>
      <c r="C1284" s="22" t="s">
        <v>202</v>
      </c>
      <c r="D1284" s="22" t="s">
        <v>875</v>
      </c>
      <c r="E1284" s="22" t="s">
        <v>45</v>
      </c>
      <c r="F1284" s="23">
        <v>201100</v>
      </c>
      <c r="G1284" s="24">
        <v>44426</v>
      </c>
      <c r="H1284" s="22" t="s">
        <v>875</v>
      </c>
      <c r="I1284" s="22"/>
      <c r="J1284" s="22"/>
      <c r="K1284" s="22"/>
      <c r="L1284" s="22"/>
      <c r="M1284" s="22"/>
      <c r="N1284" s="22"/>
      <c r="O1284" s="22"/>
      <c r="P1284" s="22"/>
      <c r="Q1284" s="22"/>
      <c r="R1284" s="22"/>
    </row>
    <row r="1285" spans="1:18" x14ac:dyDescent="0.25">
      <c r="A1285" s="22" t="s">
        <v>876</v>
      </c>
      <c r="B1285" s="22" t="s">
        <v>201</v>
      </c>
      <c r="C1285" s="22" t="s">
        <v>202</v>
      </c>
      <c r="D1285" s="22" t="s">
        <v>875</v>
      </c>
      <c r="E1285" s="22" t="s">
        <v>45</v>
      </c>
      <c r="F1285" s="23">
        <v>-186300</v>
      </c>
      <c r="G1285" s="24">
        <v>44426</v>
      </c>
      <c r="H1285" s="22" t="s">
        <v>875</v>
      </c>
      <c r="I1285" s="22"/>
      <c r="J1285" s="22"/>
      <c r="K1285" s="22"/>
      <c r="L1285" s="22"/>
      <c r="M1285" s="22"/>
      <c r="N1285" s="22"/>
      <c r="O1285" s="22"/>
      <c r="P1285" s="22"/>
      <c r="Q1285" s="22"/>
      <c r="R1285" s="22"/>
    </row>
    <row r="1286" spans="1:18" s="39" customFormat="1" x14ac:dyDescent="0.25">
      <c r="A1286" s="36" t="s">
        <v>2545</v>
      </c>
      <c r="B1286" s="36" t="s">
        <v>201</v>
      </c>
      <c r="C1286" s="36" t="s">
        <v>202</v>
      </c>
      <c r="D1286" s="36" t="s">
        <v>2544</v>
      </c>
      <c r="E1286" s="36" t="s">
        <v>42</v>
      </c>
      <c r="F1286" s="37">
        <v>80000</v>
      </c>
      <c r="G1286" s="38">
        <v>44476</v>
      </c>
      <c r="H1286" s="36" t="s">
        <v>877</v>
      </c>
      <c r="I1286" s="36" t="s">
        <v>577</v>
      </c>
      <c r="J1286" s="36"/>
      <c r="K1286" s="36"/>
      <c r="L1286" s="36"/>
      <c r="M1286" s="36"/>
      <c r="N1286" s="36"/>
      <c r="O1286" s="36"/>
      <c r="P1286" s="36"/>
      <c r="Q1286" s="36"/>
      <c r="R1286" s="36"/>
    </row>
    <row r="1287" spans="1:18" x14ac:dyDescent="0.25">
      <c r="A1287" s="22" t="s">
        <v>2547</v>
      </c>
      <c r="B1287" s="22" t="s">
        <v>201</v>
      </c>
      <c r="C1287" s="22" t="s">
        <v>202</v>
      </c>
      <c r="D1287" s="22" t="s">
        <v>2546</v>
      </c>
      <c r="E1287" s="22" t="s">
        <v>57</v>
      </c>
      <c r="F1287" s="23">
        <v>-41800</v>
      </c>
      <c r="G1287" s="24">
        <v>44411</v>
      </c>
      <c r="H1287" s="22" t="s">
        <v>703</v>
      </c>
      <c r="I1287" s="22" t="s">
        <v>711</v>
      </c>
      <c r="J1287" s="22"/>
      <c r="K1287" s="22"/>
      <c r="L1287" s="22"/>
      <c r="M1287" s="22"/>
      <c r="N1287" s="22"/>
      <c r="O1287" s="22"/>
      <c r="P1287" s="22"/>
      <c r="Q1287" s="22"/>
      <c r="R1287" s="22"/>
    </row>
    <row r="1288" spans="1:18" x14ac:dyDescent="0.25">
      <c r="A1288" s="22" t="s">
        <v>2549</v>
      </c>
      <c r="B1288" s="22" t="s">
        <v>201</v>
      </c>
      <c r="C1288" s="22" t="s">
        <v>202</v>
      </c>
      <c r="D1288" s="22" t="s">
        <v>2548</v>
      </c>
      <c r="E1288" s="22" t="s">
        <v>45</v>
      </c>
      <c r="F1288" s="23">
        <v>-19350</v>
      </c>
      <c r="G1288" s="24">
        <v>44417</v>
      </c>
      <c r="H1288" s="22" t="s">
        <v>703</v>
      </c>
      <c r="I1288" s="22" t="s">
        <v>874</v>
      </c>
      <c r="J1288" s="22"/>
      <c r="K1288" s="22"/>
      <c r="L1288" s="22"/>
      <c r="M1288" s="22"/>
      <c r="N1288" s="22"/>
      <c r="O1288" s="22"/>
      <c r="P1288" s="22"/>
      <c r="Q1288" s="22"/>
      <c r="R1288" s="22"/>
    </row>
    <row r="1289" spans="1:18" x14ac:dyDescent="0.25">
      <c r="A1289" s="22" t="s">
        <v>2551</v>
      </c>
      <c r="B1289" s="22" t="s">
        <v>201</v>
      </c>
      <c r="C1289" s="22" t="s">
        <v>202</v>
      </c>
      <c r="D1289" s="22" t="s">
        <v>2550</v>
      </c>
      <c r="E1289" s="22" t="s">
        <v>57</v>
      </c>
      <c r="F1289" s="23">
        <v>-37100</v>
      </c>
      <c r="G1289" s="24">
        <v>44435</v>
      </c>
      <c r="H1289" s="22" t="s">
        <v>703</v>
      </c>
      <c r="I1289" s="22" t="s">
        <v>332</v>
      </c>
      <c r="J1289" s="22"/>
      <c r="K1289" s="22"/>
      <c r="L1289" s="22"/>
      <c r="M1289" s="22"/>
      <c r="N1289" s="22"/>
      <c r="O1289" s="22"/>
      <c r="P1289" s="22"/>
      <c r="Q1289" s="22"/>
      <c r="R1289" s="22"/>
    </row>
    <row r="1290" spans="1:18" x14ac:dyDescent="0.25">
      <c r="A1290" s="22" t="s">
        <v>2553</v>
      </c>
      <c r="B1290" s="22" t="s">
        <v>201</v>
      </c>
      <c r="C1290" s="22" t="s">
        <v>202</v>
      </c>
      <c r="D1290" s="22" t="s">
        <v>2552</v>
      </c>
      <c r="E1290" s="22" t="s">
        <v>57</v>
      </c>
      <c r="F1290" s="23">
        <v>-32700</v>
      </c>
      <c r="G1290" s="24">
        <v>44428</v>
      </c>
      <c r="H1290" s="22" t="s">
        <v>703</v>
      </c>
      <c r="I1290" s="22" t="s">
        <v>319</v>
      </c>
      <c r="J1290" s="22"/>
      <c r="K1290" s="22"/>
      <c r="L1290" s="22"/>
      <c r="M1290" s="22"/>
      <c r="N1290" s="22"/>
      <c r="O1290" s="22"/>
      <c r="P1290" s="22"/>
      <c r="Q1290" s="22"/>
      <c r="R1290" s="22"/>
    </row>
    <row r="1291" spans="1:18" x14ac:dyDescent="0.25">
      <c r="A1291" s="22" t="s">
        <v>2555</v>
      </c>
      <c r="B1291" s="22" t="s">
        <v>201</v>
      </c>
      <c r="C1291" s="22" t="s">
        <v>202</v>
      </c>
      <c r="D1291" s="22" t="s">
        <v>2554</v>
      </c>
      <c r="E1291" s="22" t="s">
        <v>57</v>
      </c>
      <c r="F1291" s="23">
        <v>-32700</v>
      </c>
      <c r="G1291" s="24">
        <v>44420</v>
      </c>
      <c r="H1291" s="22" t="s">
        <v>703</v>
      </c>
      <c r="I1291" s="22" t="s">
        <v>2556</v>
      </c>
      <c r="J1291" s="22"/>
      <c r="K1291" s="22"/>
      <c r="L1291" s="22"/>
      <c r="M1291" s="22"/>
      <c r="N1291" s="22"/>
      <c r="O1291" s="22"/>
      <c r="P1291" s="22"/>
      <c r="Q1291" s="22"/>
      <c r="R1291" s="22"/>
    </row>
    <row r="1292" spans="1:18" x14ac:dyDescent="0.25">
      <c r="A1292" s="22" t="s">
        <v>2558</v>
      </c>
      <c r="B1292" s="22" t="s">
        <v>201</v>
      </c>
      <c r="C1292" s="22" t="s">
        <v>202</v>
      </c>
      <c r="D1292" s="22" t="s">
        <v>2557</v>
      </c>
      <c r="E1292" s="22" t="s">
        <v>57</v>
      </c>
      <c r="F1292" s="23">
        <v>-144021</v>
      </c>
      <c r="G1292" s="24">
        <v>44426</v>
      </c>
      <c r="H1292" s="22" t="s">
        <v>703</v>
      </c>
      <c r="I1292" s="22" t="s">
        <v>2559</v>
      </c>
      <c r="J1292" s="22"/>
      <c r="K1292" s="22"/>
      <c r="L1292" s="22"/>
      <c r="M1292" s="22"/>
      <c r="N1292" s="22"/>
      <c r="O1292" s="22"/>
      <c r="P1292" s="22"/>
      <c r="Q1292" s="22"/>
      <c r="R1292" s="22"/>
    </row>
    <row r="1293" spans="1:18" x14ac:dyDescent="0.25">
      <c r="A1293" s="22" t="s">
        <v>702</v>
      </c>
      <c r="B1293" s="22" t="s">
        <v>201</v>
      </c>
      <c r="C1293" s="22" t="s">
        <v>202</v>
      </c>
      <c r="D1293" s="22" t="s">
        <v>703</v>
      </c>
      <c r="E1293" s="22" t="s">
        <v>45</v>
      </c>
      <c r="F1293" s="23">
        <v>3180861</v>
      </c>
      <c r="G1293" s="24">
        <v>44322</v>
      </c>
      <c r="H1293" s="22" t="s">
        <v>703</v>
      </c>
      <c r="I1293" s="22"/>
      <c r="J1293" s="22"/>
      <c r="K1293" s="22"/>
      <c r="L1293" s="22"/>
      <c r="M1293" s="22"/>
      <c r="N1293" s="22"/>
      <c r="O1293" s="22"/>
      <c r="P1293" s="22"/>
      <c r="Q1293" s="22"/>
      <c r="R1293" s="22"/>
    </row>
    <row r="1294" spans="1:18" x14ac:dyDescent="0.25">
      <c r="A1294" s="22" t="s">
        <v>702</v>
      </c>
      <c r="B1294" s="22" t="s">
        <v>201</v>
      </c>
      <c r="C1294" s="22" t="s">
        <v>202</v>
      </c>
      <c r="D1294" s="22" t="s">
        <v>703</v>
      </c>
      <c r="E1294" s="22" t="s">
        <v>45</v>
      </c>
      <c r="F1294" s="23">
        <v>-1403400</v>
      </c>
      <c r="G1294" s="24">
        <v>44322</v>
      </c>
      <c r="H1294" s="22" t="s">
        <v>703</v>
      </c>
      <c r="I1294" s="22"/>
      <c r="J1294" s="22"/>
      <c r="K1294" s="22"/>
      <c r="L1294" s="22"/>
      <c r="M1294" s="22"/>
      <c r="N1294" s="22"/>
      <c r="O1294" s="22"/>
      <c r="P1294" s="22"/>
      <c r="Q1294" s="22"/>
      <c r="R1294" s="22"/>
    </row>
    <row r="1295" spans="1:18" x14ac:dyDescent="0.25">
      <c r="A1295" s="22" t="s">
        <v>702</v>
      </c>
      <c r="B1295" s="22" t="s">
        <v>201</v>
      </c>
      <c r="C1295" s="22" t="s">
        <v>202</v>
      </c>
      <c r="D1295" s="22" t="s">
        <v>703</v>
      </c>
      <c r="E1295" s="22" t="s">
        <v>45</v>
      </c>
      <c r="F1295" s="23">
        <v>48000</v>
      </c>
      <c r="G1295" s="24">
        <v>44322</v>
      </c>
      <c r="H1295" s="22" t="s">
        <v>703</v>
      </c>
      <c r="I1295" s="22"/>
      <c r="J1295" s="22"/>
      <c r="K1295" s="22"/>
      <c r="L1295" s="22"/>
      <c r="M1295" s="22"/>
      <c r="N1295" s="22"/>
      <c r="O1295" s="22"/>
      <c r="P1295" s="22"/>
      <c r="Q1295" s="22"/>
      <c r="R1295" s="22"/>
    </row>
    <row r="1296" spans="1:18" x14ac:dyDescent="0.25">
      <c r="A1296" s="22" t="s">
        <v>2561</v>
      </c>
      <c r="B1296" s="22" t="s">
        <v>201</v>
      </c>
      <c r="C1296" s="22" t="s">
        <v>202</v>
      </c>
      <c r="D1296" s="22" t="s">
        <v>2560</v>
      </c>
      <c r="E1296" s="22" t="s">
        <v>57</v>
      </c>
      <c r="F1296" s="23">
        <v>-47200</v>
      </c>
      <c r="G1296" s="24">
        <v>44469</v>
      </c>
      <c r="H1296" s="22" t="s">
        <v>703</v>
      </c>
      <c r="I1296" s="22" t="s">
        <v>319</v>
      </c>
      <c r="J1296" s="22"/>
      <c r="K1296" s="22"/>
      <c r="L1296" s="22"/>
      <c r="M1296" s="22"/>
      <c r="N1296" s="22"/>
      <c r="O1296" s="22"/>
      <c r="P1296" s="22"/>
      <c r="Q1296" s="22"/>
      <c r="R1296" s="22"/>
    </row>
    <row r="1297" spans="1:18" x14ac:dyDescent="0.25">
      <c r="A1297" s="22" t="s">
        <v>2563</v>
      </c>
      <c r="B1297" s="22" t="s">
        <v>201</v>
      </c>
      <c r="C1297" s="22" t="s">
        <v>202</v>
      </c>
      <c r="D1297" s="22" t="s">
        <v>2562</v>
      </c>
      <c r="E1297" s="22" t="s">
        <v>57</v>
      </c>
      <c r="F1297" s="23">
        <v>-32700</v>
      </c>
      <c r="G1297" s="24">
        <v>44468</v>
      </c>
      <c r="H1297" s="22" t="s">
        <v>703</v>
      </c>
      <c r="I1297" s="22" t="s">
        <v>439</v>
      </c>
      <c r="J1297" s="22"/>
      <c r="K1297" s="22"/>
      <c r="L1297" s="22"/>
      <c r="M1297" s="22"/>
      <c r="N1297" s="22"/>
      <c r="O1297" s="22"/>
      <c r="P1297" s="22"/>
      <c r="Q1297" s="22"/>
      <c r="R1297" s="22"/>
    </row>
    <row r="1298" spans="1:18" x14ac:dyDescent="0.25">
      <c r="A1298" s="22" t="s">
        <v>2565</v>
      </c>
      <c r="B1298" s="22" t="s">
        <v>201</v>
      </c>
      <c r="C1298" s="22" t="s">
        <v>202</v>
      </c>
      <c r="D1298" s="22" t="s">
        <v>2564</v>
      </c>
      <c r="E1298" s="22" t="s">
        <v>57</v>
      </c>
      <c r="F1298" s="23">
        <v>-32700</v>
      </c>
      <c r="G1298" s="24">
        <v>44461</v>
      </c>
      <c r="H1298" s="22" t="s">
        <v>703</v>
      </c>
      <c r="I1298" s="22" t="s">
        <v>332</v>
      </c>
      <c r="J1298" s="22"/>
      <c r="K1298" s="22"/>
      <c r="L1298" s="22"/>
      <c r="M1298" s="22"/>
      <c r="N1298" s="22"/>
      <c r="O1298" s="22"/>
      <c r="P1298" s="22"/>
      <c r="Q1298" s="22"/>
      <c r="R1298" s="22"/>
    </row>
    <row r="1299" spans="1:18" x14ac:dyDescent="0.25">
      <c r="A1299" s="22" t="s">
        <v>2567</v>
      </c>
      <c r="B1299" s="22" t="s">
        <v>201</v>
      </c>
      <c r="C1299" s="22" t="s">
        <v>202</v>
      </c>
      <c r="D1299" s="22" t="s">
        <v>2566</v>
      </c>
      <c r="E1299" s="22" t="s">
        <v>57</v>
      </c>
      <c r="F1299" s="23">
        <v>-32700</v>
      </c>
      <c r="G1299" s="24">
        <v>44462</v>
      </c>
      <c r="H1299" s="22" t="s">
        <v>703</v>
      </c>
      <c r="I1299" s="22" t="s">
        <v>2568</v>
      </c>
      <c r="J1299" s="22"/>
      <c r="K1299" s="22"/>
      <c r="L1299" s="22"/>
      <c r="M1299" s="22"/>
      <c r="N1299" s="22"/>
      <c r="O1299" s="22"/>
      <c r="P1299" s="22"/>
      <c r="Q1299" s="22"/>
      <c r="R1299" s="22"/>
    </row>
    <row r="1300" spans="1:18" x14ac:dyDescent="0.25">
      <c r="A1300" s="22" t="s">
        <v>2570</v>
      </c>
      <c r="B1300" s="22" t="s">
        <v>201</v>
      </c>
      <c r="C1300" s="22" t="s">
        <v>202</v>
      </c>
      <c r="D1300" s="22" t="s">
        <v>2569</v>
      </c>
      <c r="E1300" s="22" t="s">
        <v>57</v>
      </c>
      <c r="F1300" s="23">
        <v>-85600</v>
      </c>
      <c r="G1300" s="24">
        <v>44448</v>
      </c>
      <c r="H1300" s="22" t="s">
        <v>703</v>
      </c>
      <c r="I1300" s="22" t="s">
        <v>319</v>
      </c>
      <c r="J1300" s="22"/>
      <c r="K1300" s="22"/>
      <c r="L1300" s="22"/>
      <c r="M1300" s="22"/>
      <c r="N1300" s="22"/>
      <c r="O1300" s="22"/>
      <c r="P1300" s="22"/>
      <c r="Q1300" s="22"/>
      <c r="R1300" s="22"/>
    </row>
    <row r="1301" spans="1:18" x14ac:dyDescent="0.25">
      <c r="A1301" s="22" t="s">
        <v>2572</v>
      </c>
      <c r="B1301" s="22" t="s">
        <v>201</v>
      </c>
      <c r="C1301" s="22" t="s">
        <v>202</v>
      </c>
      <c r="D1301" s="22" t="s">
        <v>2571</v>
      </c>
      <c r="E1301" s="22" t="s">
        <v>57</v>
      </c>
      <c r="F1301" s="23">
        <v>-47200</v>
      </c>
      <c r="G1301" s="24">
        <v>44455</v>
      </c>
      <c r="H1301" s="22" t="s">
        <v>703</v>
      </c>
      <c r="I1301" s="22" t="s">
        <v>319</v>
      </c>
      <c r="J1301" s="22"/>
      <c r="K1301" s="22"/>
      <c r="L1301" s="22"/>
      <c r="M1301" s="22"/>
      <c r="N1301" s="22"/>
      <c r="O1301" s="22"/>
      <c r="P1301" s="22"/>
      <c r="Q1301" s="22"/>
      <c r="R1301" s="22"/>
    </row>
    <row r="1302" spans="1:18" x14ac:dyDescent="0.25">
      <c r="A1302" s="22" t="s">
        <v>2574</v>
      </c>
      <c r="B1302" s="22" t="s">
        <v>201</v>
      </c>
      <c r="C1302" s="22" t="s">
        <v>202</v>
      </c>
      <c r="D1302" s="22" t="s">
        <v>2573</v>
      </c>
      <c r="E1302" s="22" t="s">
        <v>57</v>
      </c>
      <c r="F1302" s="23">
        <v>-47200</v>
      </c>
      <c r="G1302" s="24">
        <v>44441</v>
      </c>
      <c r="H1302" s="22" t="s">
        <v>703</v>
      </c>
      <c r="I1302" s="22" t="s">
        <v>319</v>
      </c>
      <c r="J1302" s="22"/>
      <c r="K1302" s="22"/>
      <c r="L1302" s="22"/>
      <c r="M1302" s="22"/>
      <c r="N1302" s="22"/>
      <c r="O1302" s="22"/>
      <c r="P1302" s="22"/>
      <c r="Q1302" s="22"/>
      <c r="R1302" s="22"/>
    </row>
    <row r="1303" spans="1:18" x14ac:dyDescent="0.25">
      <c r="A1303" s="22" t="s">
        <v>685</v>
      </c>
      <c r="B1303" s="22" t="s">
        <v>201</v>
      </c>
      <c r="C1303" s="22" t="s">
        <v>202</v>
      </c>
      <c r="D1303" s="22" t="s">
        <v>2575</v>
      </c>
      <c r="E1303" s="22" t="s">
        <v>45</v>
      </c>
      <c r="F1303" s="23">
        <v>-6426934</v>
      </c>
      <c r="G1303" s="24">
        <v>44322</v>
      </c>
      <c r="H1303" s="22" t="s">
        <v>684</v>
      </c>
      <c r="I1303" s="22" t="s">
        <v>2576</v>
      </c>
      <c r="J1303" s="22"/>
      <c r="K1303" s="22"/>
      <c r="L1303" s="22"/>
      <c r="M1303" s="22"/>
      <c r="N1303" s="22"/>
      <c r="O1303" s="22"/>
      <c r="P1303" s="22"/>
      <c r="Q1303" s="22"/>
      <c r="R1303" s="22"/>
    </row>
    <row r="1304" spans="1:18" s="39" customFormat="1" x14ac:dyDescent="0.25">
      <c r="A1304" s="36" t="s">
        <v>2578</v>
      </c>
      <c r="B1304" s="36" t="s">
        <v>201</v>
      </c>
      <c r="C1304" s="36" t="s">
        <v>202</v>
      </c>
      <c r="D1304" s="36" t="s">
        <v>2577</v>
      </c>
      <c r="E1304" s="36" t="s">
        <v>42</v>
      </c>
      <c r="F1304" s="37">
        <v>5965448</v>
      </c>
      <c r="G1304" s="38">
        <v>44414</v>
      </c>
      <c r="H1304" s="36" t="s">
        <v>684</v>
      </c>
      <c r="I1304" s="36" t="s">
        <v>2579</v>
      </c>
      <c r="J1304" s="36"/>
      <c r="K1304" s="36"/>
      <c r="L1304" s="36"/>
      <c r="M1304" s="36"/>
      <c r="N1304" s="36"/>
      <c r="O1304" s="36"/>
      <c r="P1304" s="36"/>
      <c r="Q1304" s="36"/>
      <c r="R1304" s="36"/>
    </row>
    <row r="1305" spans="1:18" x14ac:dyDescent="0.25">
      <c r="A1305" s="22" t="s">
        <v>685</v>
      </c>
      <c r="B1305" s="22" t="s">
        <v>201</v>
      </c>
      <c r="C1305" s="22" t="s">
        <v>202</v>
      </c>
      <c r="D1305" s="22" t="s">
        <v>684</v>
      </c>
      <c r="E1305" s="22" t="s">
        <v>45</v>
      </c>
      <c r="F1305" s="23">
        <v>6426934</v>
      </c>
      <c r="G1305" s="24">
        <v>44322</v>
      </c>
      <c r="H1305" s="22" t="s">
        <v>684</v>
      </c>
      <c r="I1305" s="22"/>
      <c r="J1305" s="22"/>
      <c r="K1305" s="22"/>
      <c r="L1305" s="22"/>
      <c r="M1305" s="22"/>
      <c r="N1305" s="22"/>
      <c r="O1305" s="22"/>
      <c r="P1305" s="22"/>
      <c r="Q1305" s="22"/>
      <c r="R1305" s="22"/>
    </row>
    <row r="1306" spans="1:18" x14ac:dyDescent="0.25">
      <c r="A1306" s="22" t="s">
        <v>685</v>
      </c>
      <c r="B1306" s="22" t="s">
        <v>201</v>
      </c>
      <c r="C1306" s="22" t="s">
        <v>202</v>
      </c>
      <c r="D1306" s="22" t="s">
        <v>684</v>
      </c>
      <c r="E1306" s="22" t="s">
        <v>45</v>
      </c>
      <c r="F1306" s="23">
        <v>-5851076</v>
      </c>
      <c r="G1306" s="24">
        <v>44322</v>
      </c>
      <c r="H1306" s="22" t="s">
        <v>684</v>
      </c>
      <c r="I1306" s="22"/>
      <c r="J1306" s="22"/>
      <c r="K1306" s="22"/>
      <c r="L1306" s="22"/>
      <c r="M1306" s="22"/>
      <c r="N1306" s="22"/>
      <c r="O1306" s="22"/>
      <c r="P1306" s="22"/>
      <c r="Q1306" s="22"/>
      <c r="R1306" s="22"/>
    </row>
    <row r="1307" spans="1:18" x14ac:dyDescent="0.25">
      <c r="A1307" s="22" t="s">
        <v>2581</v>
      </c>
      <c r="B1307" s="22" t="s">
        <v>201</v>
      </c>
      <c r="C1307" s="22" t="s">
        <v>202</v>
      </c>
      <c r="D1307" s="22" t="s">
        <v>2580</v>
      </c>
      <c r="E1307" s="22" t="s">
        <v>57</v>
      </c>
      <c r="F1307" s="23">
        <v>-114372</v>
      </c>
      <c r="G1307" s="24">
        <v>44465</v>
      </c>
      <c r="H1307" s="22" t="s">
        <v>684</v>
      </c>
      <c r="I1307" s="22" t="s">
        <v>2582</v>
      </c>
      <c r="J1307" s="22"/>
      <c r="K1307" s="22"/>
      <c r="L1307" s="22"/>
      <c r="M1307" s="22"/>
      <c r="N1307" s="22"/>
      <c r="O1307" s="22"/>
      <c r="P1307" s="22"/>
      <c r="Q1307" s="22"/>
      <c r="R1307" s="22"/>
    </row>
    <row r="1308" spans="1:18" s="39" customFormat="1" x14ac:dyDescent="0.25">
      <c r="A1308" s="36" t="s">
        <v>2584</v>
      </c>
      <c r="B1308" s="36" t="s">
        <v>201</v>
      </c>
      <c r="C1308" s="36" t="s">
        <v>202</v>
      </c>
      <c r="D1308" s="36" t="s">
        <v>2583</v>
      </c>
      <c r="E1308" s="36" t="s">
        <v>42</v>
      </c>
      <c r="F1308" s="37">
        <v>2565975</v>
      </c>
      <c r="G1308" s="38">
        <v>44476</v>
      </c>
      <c r="H1308" s="36" t="s">
        <v>862</v>
      </c>
      <c r="I1308" s="36" t="s">
        <v>577</v>
      </c>
      <c r="J1308" s="36"/>
      <c r="K1308" s="36"/>
      <c r="L1308" s="36"/>
      <c r="M1308" s="36"/>
      <c r="N1308" s="36"/>
      <c r="O1308" s="36"/>
      <c r="P1308" s="36"/>
      <c r="Q1308" s="36"/>
      <c r="R1308" s="36"/>
    </row>
    <row r="1309" spans="1:18" x14ac:dyDescent="0.25">
      <c r="A1309" s="22" t="s">
        <v>2586</v>
      </c>
      <c r="B1309" s="22" t="s">
        <v>201</v>
      </c>
      <c r="C1309" s="22" t="s">
        <v>202</v>
      </c>
      <c r="D1309" s="22" t="s">
        <v>2585</v>
      </c>
      <c r="E1309" s="22" t="s">
        <v>57</v>
      </c>
      <c r="F1309" s="23">
        <v>-47200</v>
      </c>
      <c r="G1309" s="24">
        <v>44438</v>
      </c>
      <c r="H1309" s="22" t="s">
        <v>862</v>
      </c>
      <c r="I1309" s="22" t="s">
        <v>2443</v>
      </c>
      <c r="J1309" s="22"/>
      <c r="K1309" s="22"/>
      <c r="L1309" s="22"/>
      <c r="M1309" s="22"/>
      <c r="N1309" s="22"/>
      <c r="O1309" s="22"/>
      <c r="P1309" s="22"/>
      <c r="Q1309" s="22"/>
      <c r="R1309" s="22"/>
    </row>
    <row r="1310" spans="1:18" x14ac:dyDescent="0.25">
      <c r="A1310" s="22" t="s">
        <v>2588</v>
      </c>
      <c r="B1310" s="22" t="s">
        <v>201</v>
      </c>
      <c r="C1310" s="22" t="s">
        <v>202</v>
      </c>
      <c r="D1310" s="22" t="s">
        <v>2587</v>
      </c>
      <c r="E1310" s="22" t="s">
        <v>57</v>
      </c>
      <c r="F1310" s="23">
        <v>-71600</v>
      </c>
      <c r="G1310" s="24">
        <v>44433</v>
      </c>
      <c r="H1310" s="22" t="s">
        <v>862</v>
      </c>
      <c r="I1310" s="22" t="s">
        <v>2443</v>
      </c>
      <c r="J1310" s="22"/>
      <c r="K1310" s="22"/>
      <c r="L1310" s="22"/>
      <c r="M1310" s="22"/>
      <c r="N1310" s="22"/>
      <c r="O1310" s="22"/>
      <c r="P1310" s="22"/>
      <c r="Q1310" s="22"/>
      <c r="R1310" s="22"/>
    </row>
    <row r="1311" spans="1:18" x14ac:dyDescent="0.25">
      <c r="A1311" s="22" t="s">
        <v>2590</v>
      </c>
      <c r="B1311" s="22" t="s">
        <v>201</v>
      </c>
      <c r="C1311" s="22" t="s">
        <v>202</v>
      </c>
      <c r="D1311" s="22" t="s">
        <v>2589</v>
      </c>
      <c r="E1311" s="22" t="s">
        <v>45</v>
      </c>
      <c r="F1311" s="23">
        <v>-26450</v>
      </c>
      <c r="G1311" s="24">
        <v>44411</v>
      </c>
      <c r="H1311" s="22" t="s">
        <v>877</v>
      </c>
      <c r="I1311" s="22" t="s">
        <v>2591</v>
      </c>
      <c r="J1311" s="22"/>
      <c r="K1311" s="22"/>
      <c r="L1311" s="22"/>
      <c r="M1311" s="22"/>
      <c r="N1311" s="22"/>
      <c r="O1311" s="22"/>
      <c r="P1311" s="22"/>
      <c r="Q1311" s="22"/>
      <c r="R1311" s="22"/>
    </row>
    <row r="1312" spans="1:18" x14ac:dyDescent="0.25">
      <c r="A1312" s="22" t="s">
        <v>2593</v>
      </c>
      <c r="B1312" s="22" t="s">
        <v>201</v>
      </c>
      <c r="C1312" s="22" t="s">
        <v>202</v>
      </c>
      <c r="D1312" s="22" t="s">
        <v>2592</v>
      </c>
      <c r="E1312" s="22" t="s">
        <v>57</v>
      </c>
      <c r="F1312" s="23">
        <v>-53700</v>
      </c>
      <c r="G1312" s="24">
        <v>44428</v>
      </c>
      <c r="H1312" s="22" t="s">
        <v>691</v>
      </c>
      <c r="I1312" s="22" t="s">
        <v>2594</v>
      </c>
      <c r="J1312" s="22"/>
      <c r="K1312" s="22"/>
      <c r="L1312" s="22"/>
      <c r="M1312" s="22"/>
      <c r="N1312" s="22"/>
      <c r="O1312" s="22"/>
      <c r="P1312" s="22"/>
      <c r="Q1312" s="22"/>
      <c r="R1312" s="22"/>
    </row>
    <row r="1313" spans="1:18" x14ac:dyDescent="0.25">
      <c r="A1313" s="22" t="s">
        <v>647</v>
      </c>
      <c r="B1313" s="22" t="s">
        <v>201</v>
      </c>
      <c r="C1313" s="22" t="s">
        <v>202</v>
      </c>
      <c r="D1313" s="22" t="s">
        <v>691</v>
      </c>
      <c r="E1313" s="22" t="s">
        <v>45</v>
      </c>
      <c r="F1313" s="23">
        <v>197700</v>
      </c>
      <c r="G1313" s="24">
        <v>44452</v>
      </c>
      <c r="H1313" s="22" t="s">
        <v>691</v>
      </c>
      <c r="I1313" s="22"/>
      <c r="J1313" s="22"/>
      <c r="K1313" s="22"/>
      <c r="L1313" s="22"/>
      <c r="M1313" s="22"/>
      <c r="N1313" s="22"/>
      <c r="O1313" s="22"/>
      <c r="P1313" s="22"/>
      <c r="Q1313" s="22"/>
      <c r="R1313" s="22"/>
    </row>
    <row r="1314" spans="1:18" x14ac:dyDescent="0.25">
      <c r="A1314" s="22" t="s">
        <v>647</v>
      </c>
      <c r="B1314" s="22" t="s">
        <v>201</v>
      </c>
      <c r="C1314" s="22" t="s">
        <v>202</v>
      </c>
      <c r="D1314" s="22" t="s">
        <v>691</v>
      </c>
      <c r="E1314" s="22" t="s">
        <v>45</v>
      </c>
      <c r="F1314" s="23">
        <v>-2363519</v>
      </c>
      <c r="G1314" s="24">
        <v>44452</v>
      </c>
      <c r="H1314" s="22" t="s">
        <v>691</v>
      </c>
      <c r="I1314" s="22"/>
      <c r="J1314" s="22"/>
      <c r="K1314" s="22"/>
      <c r="L1314" s="22"/>
      <c r="M1314" s="22"/>
      <c r="N1314" s="22"/>
      <c r="O1314" s="22"/>
      <c r="P1314" s="22"/>
      <c r="Q1314" s="22"/>
      <c r="R1314" s="22"/>
    </row>
    <row r="1315" spans="1:18" x14ac:dyDescent="0.25">
      <c r="A1315" s="22" t="s">
        <v>647</v>
      </c>
      <c r="B1315" s="22" t="s">
        <v>201</v>
      </c>
      <c r="C1315" s="22" t="s">
        <v>202</v>
      </c>
      <c r="D1315" s="22" t="s">
        <v>691</v>
      </c>
      <c r="E1315" s="22" t="s">
        <v>45</v>
      </c>
      <c r="F1315" s="23">
        <v>2189588</v>
      </c>
      <c r="G1315" s="24">
        <v>44452</v>
      </c>
      <c r="H1315" s="22" t="s">
        <v>691</v>
      </c>
      <c r="I1315" s="22"/>
      <c r="J1315" s="22"/>
      <c r="K1315" s="22"/>
      <c r="L1315" s="22"/>
      <c r="M1315" s="22"/>
      <c r="N1315" s="22"/>
      <c r="O1315" s="22"/>
      <c r="P1315" s="22"/>
      <c r="Q1315" s="22"/>
      <c r="R1315" s="22"/>
    </row>
    <row r="1316" spans="1:18" x14ac:dyDescent="0.25">
      <c r="A1316" s="22" t="s">
        <v>647</v>
      </c>
      <c r="B1316" s="22" t="s">
        <v>201</v>
      </c>
      <c r="C1316" s="22" t="s">
        <v>202</v>
      </c>
      <c r="D1316" s="22" t="s">
        <v>2595</v>
      </c>
      <c r="E1316" s="22" t="s">
        <v>57</v>
      </c>
      <c r="F1316" s="23">
        <v>-2135888</v>
      </c>
      <c r="G1316" s="24">
        <v>44452</v>
      </c>
      <c r="H1316" s="22" t="s">
        <v>691</v>
      </c>
      <c r="I1316" s="22" t="s">
        <v>695</v>
      </c>
      <c r="J1316" s="22"/>
      <c r="K1316" s="22"/>
      <c r="L1316" s="22"/>
      <c r="M1316" s="22"/>
      <c r="N1316" s="22"/>
      <c r="O1316" s="22"/>
      <c r="P1316" s="22"/>
      <c r="Q1316" s="22"/>
      <c r="R1316" s="22"/>
    </row>
    <row r="1317" spans="1:18" x14ac:dyDescent="0.25">
      <c r="A1317" s="22" t="s">
        <v>2597</v>
      </c>
      <c r="B1317" s="22" t="s">
        <v>201</v>
      </c>
      <c r="C1317" s="22" t="s">
        <v>202</v>
      </c>
      <c r="D1317" s="22" t="s">
        <v>2596</v>
      </c>
      <c r="E1317" s="22" t="s">
        <v>57</v>
      </c>
      <c r="F1317" s="23">
        <v>-53700</v>
      </c>
      <c r="G1317" s="24">
        <v>44467</v>
      </c>
      <c r="H1317" s="22" t="s">
        <v>691</v>
      </c>
      <c r="I1317" s="22" t="s">
        <v>695</v>
      </c>
      <c r="J1317" s="22"/>
      <c r="K1317" s="22"/>
      <c r="L1317" s="22"/>
      <c r="M1317" s="22"/>
      <c r="N1317" s="22"/>
      <c r="O1317" s="22"/>
      <c r="P1317" s="22"/>
      <c r="Q1317" s="22"/>
      <c r="R1317" s="22"/>
    </row>
    <row r="1318" spans="1:18" s="39" customFormat="1" x14ac:dyDescent="0.25">
      <c r="A1318" s="36" t="s">
        <v>2599</v>
      </c>
      <c r="B1318" s="36" t="s">
        <v>201</v>
      </c>
      <c r="C1318" s="36" t="s">
        <v>202</v>
      </c>
      <c r="D1318" s="36" t="s">
        <v>2598</v>
      </c>
      <c r="E1318" s="36" t="s">
        <v>42</v>
      </c>
      <c r="F1318" s="37">
        <v>78750</v>
      </c>
      <c r="G1318" s="38">
        <v>44414</v>
      </c>
      <c r="H1318" s="36" t="s">
        <v>2548</v>
      </c>
      <c r="I1318" s="36" t="s">
        <v>1671</v>
      </c>
      <c r="J1318" s="36"/>
      <c r="K1318" s="36"/>
      <c r="L1318" s="36"/>
      <c r="M1318" s="36"/>
      <c r="N1318" s="36"/>
      <c r="O1318" s="36"/>
      <c r="P1318" s="36"/>
      <c r="Q1318" s="36"/>
      <c r="R1318" s="36"/>
    </row>
    <row r="1319" spans="1:18" x14ac:dyDescent="0.25">
      <c r="A1319" s="22" t="s">
        <v>2549</v>
      </c>
      <c r="B1319" s="22" t="s">
        <v>201</v>
      </c>
      <c r="C1319" s="22" t="s">
        <v>202</v>
      </c>
      <c r="D1319" s="22" t="s">
        <v>2600</v>
      </c>
      <c r="E1319" s="22" t="s">
        <v>57</v>
      </c>
      <c r="F1319" s="23">
        <v>-32700</v>
      </c>
      <c r="G1319" s="24">
        <v>44417</v>
      </c>
      <c r="H1319" s="22" t="s">
        <v>2548</v>
      </c>
      <c r="I1319" s="22" t="s">
        <v>332</v>
      </c>
      <c r="J1319" s="22"/>
      <c r="K1319" s="22"/>
      <c r="L1319" s="22"/>
      <c r="M1319" s="22"/>
      <c r="N1319" s="22"/>
      <c r="O1319" s="22"/>
      <c r="P1319" s="22"/>
      <c r="Q1319" s="22"/>
      <c r="R1319" s="22"/>
    </row>
    <row r="1320" spans="1:18" x14ac:dyDescent="0.25">
      <c r="A1320" s="22" t="s">
        <v>2602</v>
      </c>
      <c r="B1320" s="22" t="s">
        <v>201</v>
      </c>
      <c r="C1320" s="22" t="s">
        <v>202</v>
      </c>
      <c r="D1320" s="22" t="s">
        <v>2601</v>
      </c>
      <c r="E1320" s="22" t="s">
        <v>57</v>
      </c>
      <c r="F1320" s="23">
        <v>-32700</v>
      </c>
      <c r="G1320" s="24">
        <v>44417</v>
      </c>
      <c r="H1320" s="22" t="s">
        <v>2548</v>
      </c>
      <c r="I1320" s="22" t="s">
        <v>332</v>
      </c>
      <c r="J1320" s="22"/>
      <c r="K1320" s="22"/>
      <c r="L1320" s="22"/>
      <c r="M1320" s="22"/>
      <c r="N1320" s="22"/>
      <c r="O1320" s="22"/>
      <c r="P1320" s="22"/>
      <c r="Q1320" s="22"/>
      <c r="R1320" s="22"/>
    </row>
    <row r="1321" spans="1:18" x14ac:dyDescent="0.25">
      <c r="A1321" s="22" t="s">
        <v>2604</v>
      </c>
      <c r="B1321" s="22" t="s">
        <v>201</v>
      </c>
      <c r="C1321" s="22" t="s">
        <v>202</v>
      </c>
      <c r="D1321" s="22" t="s">
        <v>2603</v>
      </c>
      <c r="E1321" s="22" t="s">
        <v>57</v>
      </c>
      <c r="F1321" s="23">
        <v>-32700</v>
      </c>
      <c r="G1321" s="24">
        <v>44412</v>
      </c>
      <c r="H1321" s="22" t="s">
        <v>2548</v>
      </c>
      <c r="I1321" s="22" t="s">
        <v>2605</v>
      </c>
      <c r="J1321" s="22"/>
      <c r="K1321" s="22"/>
      <c r="L1321" s="22"/>
      <c r="M1321" s="22"/>
      <c r="N1321" s="22"/>
      <c r="O1321" s="22"/>
      <c r="P1321" s="22"/>
      <c r="Q1321" s="22"/>
      <c r="R1321" s="22"/>
    </row>
    <row r="1322" spans="1:18" x14ac:dyDescent="0.25">
      <c r="A1322" s="22" t="s">
        <v>2549</v>
      </c>
      <c r="B1322" s="22" t="s">
        <v>201</v>
      </c>
      <c r="C1322" s="22" t="s">
        <v>202</v>
      </c>
      <c r="D1322" s="22" t="s">
        <v>2548</v>
      </c>
      <c r="E1322" s="22" t="s">
        <v>45</v>
      </c>
      <c r="F1322" s="23">
        <v>98100</v>
      </c>
      <c r="G1322" s="24">
        <v>44417</v>
      </c>
      <c r="H1322" s="22" t="s">
        <v>2548</v>
      </c>
      <c r="I1322" s="22"/>
      <c r="J1322" s="22"/>
      <c r="K1322" s="22"/>
      <c r="L1322" s="22"/>
      <c r="M1322" s="22"/>
      <c r="N1322" s="22"/>
      <c r="O1322" s="22"/>
      <c r="P1322" s="22"/>
      <c r="Q1322" s="22"/>
      <c r="R1322" s="22"/>
    </row>
    <row r="1323" spans="1:18" x14ac:dyDescent="0.25">
      <c r="A1323" s="22" t="s">
        <v>2549</v>
      </c>
      <c r="B1323" s="22" t="s">
        <v>201</v>
      </c>
      <c r="C1323" s="22" t="s">
        <v>202</v>
      </c>
      <c r="D1323" s="22" t="s">
        <v>2548</v>
      </c>
      <c r="E1323" s="22" t="s">
        <v>45</v>
      </c>
      <c r="F1323" s="23">
        <v>-78750</v>
      </c>
      <c r="G1323" s="24">
        <v>44417</v>
      </c>
      <c r="H1323" s="22" t="s">
        <v>2548</v>
      </c>
      <c r="I1323" s="22"/>
      <c r="J1323" s="22"/>
      <c r="K1323" s="22"/>
      <c r="L1323" s="22"/>
      <c r="M1323" s="22"/>
      <c r="N1323" s="22"/>
      <c r="O1323" s="22"/>
      <c r="P1323" s="22"/>
      <c r="Q1323" s="22"/>
      <c r="R1323" s="22"/>
    </row>
    <row r="1324" spans="1:18" s="39" customFormat="1" x14ac:dyDescent="0.25">
      <c r="A1324" s="36" t="s">
        <v>2607</v>
      </c>
      <c r="B1324" s="36" t="s">
        <v>201</v>
      </c>
      <c r="C1324" s="36" t="s">
        <v>202</v>
      </c>
      <c r="D1324" s="36" t="s">
        <v>2606</v>
      </c>
      <c r="E1324" s="36" t="s">
        <v>42</v>
      </c>
      <c r="F1324" s="37">
        <v>5830185</v>
      </c>
      <c r="G1324" s="38">
        <v>44508</v>
      </c>
      <c r="H1324" s="36" t="s">
        <v>864</v>
      </c>
      <c r="I1324" s="36" t="s">
        <v>292</v>
      </c>
      <c r="J1324" s="36"/>
      <c r="K1324" s="36"/>
      <c r="L1324" s="36"/>
      <c r="M1324" s="36"/>
      <c r="N1324" s="36"/>
      <c r="O1324" s="36"/>
      <c r="P1324" s="36"/>
      <c r="Q1324" s="36"/>
      <c r="R1324" s="36"/>
    </row>
    <row r="1325" spans="1:18" x14ac:dyDescent="0.25">
      <c r="A1325" s="22" t="s">
        <v>2609</v>
      </c>
      <c r="B1325" s="22" t="s">
        <v>201</v>
      </c>
      <c r="C1325" s="22" t="s">
        <v>202</v>
      </c>
      <c r="D1325" s="22" t="s">
        <v>2608</v>
      </c>
      <c r="E1325" s="22" t="s">
        <v>57</v>
      </c>
      <c r="F1325" s="23">
        <v>-59700</v>
      </c>
      <c r="G1325" s="24">
        <v>44431</v>
      </c>
      <c r="H1325" s="22" t="s">
        <v>864</v>
      </c>
      <c r="I1325" s="22" t="s">
        <v>249</v>
      </c>
      <c r="J1325" s="22"/>
      <c r="K1325" s="22"/>
      <c r="L1325" s="22"/>
      <c r="M1325" s="22"/>
      <c r="N1325" s="22"/>
      <c r="O1325" s="22"/>
      <c r="P1325" s="22"/>
      <c r="Q1325" s="22"/>
      <c r="R1325" s="22"/>
    </row>
    <row r="1326" spans="1:18" x14ac:dyDescent="0.25">
      <c r="A1326" s="22" t="s">
        <v>2611</v>
      </c>
      <c r="B1326" s="22" t="s">
        <v>201</v>
      </c>
      <c r="C1326" s="22" t="s">
        <v>202</v>
      </c>
      <c r="D1326" s="22" t="s">
        <v>2610</v>
      </c>
      <c r="E1326" s="22" t="s">
        <v>57</v>
      </c>
      <c r="F1326" s="23">
        <v>-90700</v>
      </c>
      <c r="G1326" s="24">
        <v>44420</v>
      </c>
      <c r="H1326" s="22" t="s">
        <v>864</v>
      </c>
      <c r="I1326" s="22" t="s">
        <v>249</v>
      </c>
      <c r="J1326" s="22"/>
      <c r="K1326" s="22"/>
      <c r="L1326" s="22"/>
      <c r="M1326" s="22"/>
      <c r="N1326" s="22"/>
      <c r="O1326" s="22"/>
      <c r="P1326" s="22"/>
      <c r="Q1326" s="22"/>
      <c r="R1326" s="22"/>
    </row>
    <row r="1327" spans="1:18" x14ac:dyDescent="0.25">
      <c r="A1327" s="22" t="s">
        <v>2613</v>
      </c>
      <c r="B1327" s="22" t="s">
        <v>201</v>
      </c>
      <c r="C1327" s="22" t="s">
        <v>202</v>
      </c>
      <c r="D1327" s="22" t="s">
        <v>2612</v>
      </c>
      <c r="E1327" s="22" t="s">
        <v>57</v>
      </c>
      <c r="F1327" s="23">
        <v>-15300</v>
      </c>
      <c r="G1327" s="24">
        <v>44419</v>
      </c>
      <c r="H1327" s="22" t="s">
        <v>864</v>
      </c>
      <c r="I1327" s="22" t="s">
        <v>249</v>
      </c>
      <c r="J1327" s="22"/>
      <c r="K1327" s="22"/>
      <c r="L1327" s="22"/>
      <c r="M1327" s="22"/>
      <c r="N1327" s="22"/>
      <c r="O1327" s="22"/>
      <c r="P1327" s="22"/>
      <c r="Q1327" s="22"/>
      <c r="R1327" s="22"/>
    </row>
    <row r="1328" spans="1:18" x14ac:dyDescent="0.25">
      <c r="A1328" s="22" t="s">
        <v>2615</v>
      </c>
      <c r="B1328" s="22" t="s">
        <v>201</v>
      </c>
      <c r="C1328" s="22" t="s">
        <v>202</v>
      </c>
      <c r="D1328" s="22" t="s">
        <v>2614</v>
      </c>
      <c r="E1328" s="22" t="s">
        <v>57</v>
      </c>
      <c r="F1328" s="23">
        <v>-23700</v>
      </c>
      <c r="G1328" s="24">
        <v>44419</v>
      </c>
      <c r="H1328" s="22" t="s">
        <v>864</v>
      </c>
      <c r="I1328" s="22" t="s">
        <v>249</v>
      </c>
      <c r="J1328" s="22"/>
      <c r="K1328" s="22"/>
      <c r="L1328" s="22"/>
      <c r="M1328" s="22"/>
      <c r="N1328" s="22"/>
      <c r="O1328" s="22"/>
      <c r="P1328" s="22"/>
      <c r="Q1328" s="22"/>
      <c r="R1328" s="22"/>
    </row>
    <row r="1329" spans="1:18" x14ac:dyDescent="0.25">
      <c r="A1329" s="22" t="s">
        <v>2617</v>
      </c>
      <c r="B1329" s="22" t="s">
        <v>201</v>
      </c>
      <c r="C1329" s="22" t="s">
        <v>202</v>
      </c>
      <c r="D1329" s="22" t="s">
        <v>2616</v>
      </c>
      <c r="E1329" s="22" t="s">
        <v>57</v>
      </c>
      <c r="F1329" s="23">
        <v>-146600</v>
      </c>
      <c r="G1329" s="24">
        <v>44418</v>
      </c>
      <c r="H1329" s="22" t="s">
        <v>864</v>
      </c>
      <c r="I1329" s="22" t="s">
        <v>249</v>
      </c>
      <c r="J1329" s="22"/>
      <c r="K1329" s="22"/>
      <c r="L1329" s="22"/>
      <c r="M1329" s="22"/>
      <c r="N1329" s="22"/>
      <c r="O1329" s="22"/>
      <c r="P1329" s="22"/>
      <c r="Q1329" s="22"/>
      <c r="R1329" s="22"/>
    </row>
    <row r="1330" spans="1:18" x14ac:dyDescent="0.25">
      <c r="A1330" s="22" t="s">
        <v>865</v>
      </c>
      <c r="B1330" s="22" t="s">
        <v>201</v>
      </c>
      <c r="C1330" s="22" t="s">
        <v>202</v>
      </c>
      <c r="D1330" s="22" t="s">
        <v>864</v>
      </c>
      <c r="E1330" s="22" t="s">
        <v>45</v>
      </c>
      <c r="F1330" s="23">
        <v>5929781</v>
      </c>
      <c r="G1330" s="24">
        <v>44449</v>
      </c>
      <c r="H1330" s="22" t="s">
        <v>864</v>
      </c>
      <c r="I1330" s="22"/>
      <c r="J1330" s="22"/>
      <c r="K1330" s="22"/>
      <c r="L1330" s="22"/>
      <c r="M1330" s="22"/>
      <c r="N1330" s="22"/>
      <c r="O1330" s="22"/>
      <c r="P1330" s="22"/>
      <c r="Q1330" s="22"/>
      <c r="R1330" s="22"/>
    </row>
    <row r="1331" spans="1:18" x14ac:dyDescent="0.25">
      <c r="A1331" s="22" t="s">
        <v>865</v>
      </c>
      <c r="B1331" s="22" t="s">
        <v>201</v>
      </c>
      <c r="C1331" s="22" t="s">
        <v>202</v>
      </c>
      <c r="D1331" s="22" t="s">
        <v>864</v>
      </c>
      <c r="E1331" s="22" t="s">
        <v>45</v>
      </c>
      <c r="F1331" s="23">
        <v>-5830185</v>
      </c>
      <c r="G1331" s="24">
        <v>44449</v>
      </c>
      <c r="H1331" s="22" t="s">
        <v>864</v>
      </c>
      <c r="I1331" s="22"/>
      <c r="J1331" s="22"/>
      <c r="K1331" s="22"/>
      <c r="L1331" s="22"/>
      <c r="M1331" s="22"/>
      <c r="N1331" s="22"/>
      <c r="O1331" s="22"/>
      <c r="P1331" s="22"/>
      <c r="Q1331" s="22"/>
      <c r="R1331" s="22"/>
    </row>
    <row r="1332" spans="1:18" x14ac:dyDescent="0.25">
      <c r="A1332" s="22" t="s">
        <v>865</v>
      </c>
      <c r="B1332" s="22" t="s">
        <v>201</v>
      </c>
      <c r="C1332" s="22" t="s">
        <v>202</v>
      </c>
      <c r="D1332" s="22" t="s">
        <v>2618</v>
      </c>
      <c r="E1332" s="22" t="s">
        <v>57</v>
      </c>
      <c r="F1332" s="23">
        <v>-5593781</v>
      </c>
      <c r="G1332" s="24">
        <v>44449</v>
      </c>
      <c r="H1332" s="22" t="s">
        <v>864</v>
      </c>
      <c r="I1332" s="22" t="s">
        <v>249</v>
      </c>
      <c r="J1332" s="22"/>
      <c r="K1332" s="22"/>
      <c r="L1332" s="22"/>
      <c r="M1332" s="22"/>
      <c r="N1332" s="22"/>
      <c r="O1332" s="22"/>
      <c r="P1332" s="22"/>
      <c r="Q1332" s="22"/>
      <c r="R1332" s="22"/>
    </row>
    <row r="1333" spans="1:18" s="39" customFormat="1" x14ac:dyDescent="0.25">
      <c r="A1333" s="36" t="s">
        <v>2377</v>
      </c>
      <c r="B1333" s="36" t="s">
        <v>201</v>
      </c>
      <c r="C1333" s="36" t="s">
        <v>202</v>
      </c>
      <c r="D1333" s="36" t="s">
        <v>2619</v>
      </c>
      <c r="E1333" s="36" t="s">
        <v>42</v>
      </c>
      <c r="F1333" s="37">
        <v>11072004</v>
      </c>
      <c r="G1333" s="38">
        <v>44508</v>
      </c>
      <c r="H1333" s="36" t="s">
        <v>2376</v>
      </c>
      <c r="I1333" s="36" t="s">
        <v>292</v>
      </c>
      <c r="J1333" s="36"/>
      <c r="K1333" s="36"/>
      <c r="L1333" s="36"/>
      <c r="M1333" s="36"/>
      <c r="N1333" s="36"/>
      <c r="O1333" s="36"/>
      <c r="P1333" s="36"/>
      <c r="Q1333" s="36"/>
      <c r="R1333" s="36"/>
    </row>
    <row r="1334" spans="1:18" x14ac:dyDescent="0.25">
      <c r="A1334" s="22" t="s">
        <v>2377</v>
      </c>
      <c r="B1334" s="22" t="s">
        <v>201</v>
      </c>
      <c r="C1334" s="22" t="s">
        <v>202</v>
      </c>
      <c r="D1334" s="22" t="s">
        <v>2376</v>
      </c>
      <c r="E1334" s="22" t="s">
        <v>45</v>
      </c>
      <c r="F1334" s="23">
        <v>684973</v>
      </c>
      <c r="G1334" s="24">
        <v>44508</v>
      </c>
      <c r="H1334" s="22" t="s">
        <v>2376</v>
      </c>
      <c r="I1334" s="22"/>
      <c r="J1334" s="22"/>
      <c r="K1334" s="22"/>
      <c r="L1334" s="22"/>
      <c r="M1334" s="22"/>
      <c r="N1334" s="22"/>
      <c r="O1334" s="22"/>
      <c r="P1334" s="22"/>
      <c r="Q1334" s="22"/>
      <c r="R1334" s="22"/>
    </row>
    <row r="1335" spans="1:18" x14ac:dyDescent="0.25">
      <c r="A1335" s="22" t="s">
        <v>2377</v>
      </c>
      <c r="B1335" s="22" t="s">
        <v>201</v>
      </c>
      <c r="C1335" s="22" t="s">
        <v>202</v>
      </c>
      <c r="D1335" s="22" t="s">
        <v>2376</v>
      </c>
      <c r="E1335" s="22" t="s">
        <v>45</v>
      </c>
      <c r="F1335" s="23">
        <v>-11072004</v>
      </c>
      <c r="G1335" s="24">
        <v>44508</v>
      </c>
      <c r="H1335" s="22" t="s">
        <v>2376</v>
      </c>
      <c r="I1335" s="22"/>
      <c r="J1335" s="22"/>
      <c r="K1335" s="22"/>
      <c r="L1335" s="22"/>
      <c r="M1335" s="22"/>
      <c r="N1335" s="22"/>
      <c r="O1335" s="22"/>
      <c r="P1335" s="22"/>
      <c r="Q1335" s="22"/>
      <c r="R1335" s="22"/>
    </row>
    <row r="1336" spans="1:18" x14ac:dyDescent="0.25">
      <c r="A1336" s="22" t="s">
        <v>2621</v>
      </c>
      <c r="B1336" s="22" t="s">
        <v>201</v>
      </c>
      <c r="C1336" s="22" t="s">
        <v>202</v>
      </c>
      <c r="D1336" s="22" t="s">
        <v>2620</v>
      </c>
      <c r="E1336" s="22" t="s">
        <v>45</v>
      </c>
      <c r="F1336" s="23">
        <v>-15250</v>
      </c>
      <c r="G1336" s="24">
        <v>44412</v>
      </c>
      <c r="H1336" s="22" t="s">
        <v>877</v>
      </c>
      <c r="I1336" s="22" t="s">
        <v>2591</v>
      </c>
      <c r="J1336" s="22"/>
      <c r="K1336" s="22"/>
      <c r="L1336" s="22"/>
      <c r="M1336" s="22"/>
      <c r="N1336" s="22"/>
      <c r="O1336" s="22"/>
      <c r="P1336" s="22"/>
      <c r="Q1336" s="22"/>
      <c r="R1336" s="22"/>
    </row>
    <row r="1337" spans="1:18" x14ac:dyDescent="0.25">
      <c r="A1337" s="22" t="s">
        <v>878</v>
      </c>
      <c r="B1337" s="22" t="s">
        <v>201</v>
      </c>
      <c r="C1337" s="22" t="s">
        <v>202</v>
      </c>
      <c r="D1337" s="22" t="s">
        <v>2622</v>
      </c>
      <c r="E1337" s="22" t="s">
        <v>57</v>
      </c>
      <c r="F1337" s="23">
        <v>-60000</v>
      </c>
      <c r="G1337" s="24">
        <v>44410</v>
      </c>
      <c r="H1337" s="22" t="s">
        <v>877</v>
      </c>
      <c r="I1337" s="22" t="s">
        <v>2623</v>
      </c>
      <c r="J1337" s="22"/>
      <c r="K1337" s="22"/>
      <c r="L1337" s="22"/>
      <c r="M1337" s="22"/>
      <c r="N1337" s="22"/>
      <c r="O1337" s="22"/>
      <c r="P1337" s="22"/>
      <c r="Q1337" s="22"/>
      <c r="R1337" s="22"/>
    </row>
    <row r="1338" spans="1:18" x14ac:dyDescent="0.25">
      <c r="A1338" s="22" t="s">
        <v>878</v>
      </c>
      <c r="B1338" s="22" t="s">
        <v>201</v>
      </c>
      <c r="C1338" s="22" t="s">
        <v>202</v>
      </c>
      <c r="D1338" s="22" t="s">
        <v>877</v>
      </c>
      <c r="E1338" s="22" t="s">
        <v>45</v>
      </c>
      <c r="F1338" s="23">
        <v>101700</v>
      </c>
      <c r="G1338" s="24">
        <v>44410</v>
      </c>
      <c r="H1338" s="22" t="s">
        <v>877</v>
      </c>
      <c r="I1338" s="22"/>
      <c r="J1338" s="22"/>
      <c r="K1338" s="22"/>
      <c r="L1338" s="22"/>
      <c r="M1338" s="22"/>
      <c r="N1338" s="22"/>
      <c r="O1338" s="22"/>
      <c r="P1338" s="22"/>
      <c r="Q1338" s="22"/>
      <c r="R1338" s="22"/>
    </row>
    <row r="1339" spans="1:18" x14ac:dyDescent="0.25">
      <c r="A1339" s="22" t="s">
        <v>878</v>
      </c>
      <c r="B1339" s="22" t="s">
        <v>201</v>
      </c>
      <c r="C1339" s="22" t="s">
        <v>202</v>
      </c>
      <c r="D1339" s="22" t="s">
        <v>877</v>
      </c>
      <c r="E1339" s="22" t="s">
        <v>45</v>
      </c>
      <c r="F1339" s="23">
        <v>-80000</v>
      </c>
      <c r="G1339" s="24">
        <v>44410</v>
      </c>
      <c r="H1339" s="22" t="s">
        <v>877</v>
      </c>
      <c r="I1339" s="22"/>
      <c r="J1339" s="22"/>
      <c r="K1339" s="22"/>
      <c r="L1339" s="22"/>
      <c r="M1339" s="22"/>
      <c r="N1339" s="22"/>
      <c r="O1339" s="22"/>
      <c r="P1339" s="22"/>
      <c r="Q1339" s="22"/>
      <c r="R1339" s="22"/>
    </row>
    <row r="1340" spans="1:18" s="39" customFormat="1" x14ac:dyDescent="0.25">
      <c r="A1340" s="36" t="s">
        <v>2625</v>
      </c>
      <c r="B1340" s="36" t="s">
        <v>201</v>
      </c>
      <c r="C1340" s="36" t="s">
        <v>202</v>
      </c>
      <c r="D1340" s="36" t="s">
        <v>2624</v>
      </c>
      <c r="E1340" s="36" t="s">
        <v>42</v>
      </c>
      <c r="F1340" s="37">
        <v>11150</v>
      </c>
      <c r="G1340" s="38">
        <v>44446</v>
      </c>
      <c r="H1340" s="36" t="s">
        <v>2589</v>
      </c>
      <c r="I1340" s="36" t="s">
        <v>605</v>
      </c>
      <c r="J1340" s="36"/>
      <c r="K1340" s="36"/>
      <c r="L1340" s="36"/>
      <c r="M1340" s="36"/>
      <c r="N1340" s="36"/>
      <c r="O1340" s="36"/>
      <c r="P1340" s="36"/>
      <c r="Q1340" s="36"/>
      <c r="R1340" s="36"/>
    </row>
    <row r="1341" spans="1:18" x14ac:dyDescent="0.25">
      <c r="A1341" s="22" t="s">
        <v>2590</v>
      </c>
      <c r="B1341" s="22" t="s">
        <v>201</v>
      </c>
      <c r="C1341" s="22" t="s">
        <v>202</v>
      </c>
      <c r="D1341" s="22" t="s">
        <v>2626</v>
      </c>
      <c r="E1341" s="22" t="s">
        <v>57</v>
      </c>
      <c r="F1341" s="23">
        <v>-37600</v>
      </c>
      <c r="G1341" s="24">
        <v>44411</v>
      </c>
      <c r="H1341" s="22" t="s">
        <v>2589</v>
      </c>
      <c r="I1341" s="22" t="s">
        <v>723</v>
      </c>
      <c r="J1341" s="22"/>
      <c r="K1341" s="22"/>
      <c r="L1341" s="22"/>
      <c r="M1341" s="22"/>
      <c r="N1341" s="22"/>
      <c r="O1341" s="22"/>
      <c r="P1341" s="22"/>
      <c r="Q1341" s="22"/>
      <c r="R1341" s="22"/>
    </row>
    <row r="1342" spans="1:18" x14ac:dyDescent="0.25">
      <c r="A1342" s="22" t="s">
        <v>2590</v>
      </c>
      <c r="B1342" s="22" t="s">
        <v>201</v>
      </c>
      <c r="C1342" s="22" t="s">
        <v>202</v>
      </c>
      <c r="D1342" s="22" t="s">
        <v>2589</v>
      </c>
      <c r="E1342" s="22" t="s">
        <v>45</v>
      </c>
      <c r="F1342" s="23">
        <v>37600</v>
      </c>
      <c r="G1342" s="24">
        <v>44411</v>
      </c>
      <c r="H1342" s="22" t="s">
        <v>2589</v>
      </c>
      <c r="I1342" s="22"/>
      <c r="J1342" s="22"/>
      <c r="K1342" s="22"/>
      <c r="L1342" s="22"/>
      <c r="M1342" s="22"/>
      <c r="N1342" s="22"/>
      <c r="O1342" s="22"/>
      <c r="P1342" s="22"/>
      <c r="Q1342" s="22"/>
      <c r="R1342" s="22"/>
    </row>
    <row r="1343" spans="1:18" x14ac:dyDescent="0.25">
      <c r="A1343" s="22" t="s">
        <v>2590</v>
      </c>
      <c r="B1343" s="22" t="s">
        <v>201</v>
      </c>
      <c r="C1343" s="22" t="s">
        <v>202</v>
      </c>
      <c r="D1343" s="22" t="s">
        <v>2589</v>
      </c>
      <c r="E1343" s="22" t="s">
        <v>45</v>
      </c>
      <c r="F1343" s="23">
        <v>-11150</v>
      </c>
      <c r="G1343" s="24">
        <v>44411</v>
      </c>
      <c r="H1343" s="22" t="s">
        <v>2589</v>
      </c>
      <c r="I1343" s="22"/>
      <c r="J1343" s="22"/>
      <c r="K1343" s="22"/>
      <c r="L1343" s="22"/>
      <c r="M1343" s="22"/>
      <c r="N1343" s="22"/>
      <c r="O1343" s="22"/>
      <c r="P1343" s="22"/>
      <c r="Q1343" s="22"/>
      <c r="R1343" s="22"/>
    </row>
    <row r="1344" spans="1:18" s="39" customFormat="1" x14ac:dyDescent="0.25">
      <c r="A1344" s="36" t="s">
        <v>2628</v>
      </c>
      <c r="B1344" s="36" t="s">
        <v>201</v>
      </c>
      <c r="C1344" s="36" t="s">
        <v>202</v>
      </c>
      <c r="D1344" s="36" t="s">
        <v>2627</v>
      </c>
      <c r="E1344" s="36" t="s">
        <v>42</v>
      </c>
      <c r="F1344" s="37">
        <v>16350</v>
      </c>
      <c r="G1344" s="38">
        <v>44414</v>
      </c>
      <c r="H1344" s="36" t="s">
        <v>2620</v>
      </c>
      <c r="I1344" s="36" t="s">
        <v>1671</v>
      </c>
      <c r="J1344" s="36"/>
      <c r="K1344" s="36"/>
      <c r="L1344" s="36"/>
      <c r="M1344" s="36"/>
      <c r="N1344" s="36"/>
      <c r="O1344" s="36"/>
      <c r="P1344" s="36"/>
      <c r="Q1344" s="36"/>
      <c r="R1344" s="36"/>
    </row>
    <row r="1345" spans="1:18" x14ac:dyDescent="0.25">
      <c r="A1345" s="22" t="s">
        <v>2621</v>
      </c>
      <c r="B1345" s="22" t="s">
        <v>201</v>
      </c>
      <c r="C1345" s="22" t="s">
        <v>202</v>
      </c>
      <c r="D1345" s="22" t="s">
        <v>2629</v>
      </c>
      <c r="E1345" s="22" t="s">
        <v>57</v>
      </c>
      <c r="F1345" s="23">
        <v>-31600</v>
      </c>
      <c r="G1345" s="24">
        <v>44412</v>
      </c>
      <c r="H1345" s="22" t="s">
        <v>2620</v>
      </c>
      <c r="I1345" s="22" t="s">
        <v>723</v>
      </c>
      <c r="J1345" s="22"/>
      <c r="K1345" s="22"/>
      <c r="L1345" s="22"/>
      <c r="M1345" s="22"/>
      <c r="N1345" s="22"/>
      <c r="O1345" s="22"/>
      <c r="P1345" s="22"/>
      <c r="Q1345" s="22"/>
      <c r="R1345" s="22"/>
    </row>
    <row r="1346" spans="1:18" x14ac:dyDescent="0.25">
      <c r="A1346" s="22" t="s">
        <v>2621</v>
      </c>
      <c r="B1346" s="22" t="s">
        <v>201</v>
      </c>
      <c r="C1346" s="22" t="s">
        <v>202</v>
      </c>
      <c r="D1346" s="22" t="s">
        <v>2620</v>
      </c>
      <c r="E1346" s="22" t="s">
        <v>45</v>
      </c>
      <c r="F1346" s="23">
        <v>31600</v>
      </c>
      <c r="G1346" s="24">
        <v>44412</v>
      </c>
      <c r="H1346" s="22" t="s">
        <v>2620</v>
      </c>
      <c r="I1346" s="22"/>
      <c r="J1346" s="22"/>
      <c r="K1346" s="22"/>
      <c r="L1346" s="22"/>
      <c r="M1346" s="22"/>
      <c r="N1346" s="22"/>
      <c r="O1346" s="22"/>
      <c r="P1346" s="22"/>
      <c r="Q1346" s="22"/>
      <c r="R1346" s="22"/>
    </row>
    <row r="1347" spans="1:18" x14ac:dyDescent="0.25">
      <c r="A1347" s="22" t="s">
        <v>2621</v>
      </c>
      <c r="B1347" s="22" t="s">
        <v>201</v>
      </c>
      <c r="C1347" s="22" t="s">
        <v>202</v>
      </c>
      <c r="D1347" s="22" t="s">
        <v>2620</v>
      </c>
      <c r="E1347" s="22" t="s">
        <v>45</v>
      </c>
      <c r="F1347" s="23">
        <v>-16350</v>
      </c>
      <c r="G1347" s="24">
        <v>44412</v>
      </c>
      <c r="H1347" s="22" t="s">
        <v>2620</v>
      </c>
      <c r="I1347" s="22"/>
      <c r="J1347" s="22"/>
      <c r="K1347" s="22"/>
      <c r="L1347" s="22"/>
      <c r="M1347" s="22"/>
      <c r="N1347" s="22"/>
      <c r="O1347" s="22"/>
      <c r="P1347" s="22"/>
      <c r="Q1347" s="22"/>
      <c r="R1347" s="22"/>
    </row>
    <row r="1348" spans="1:18" s="39" customFormat="1" x14ac:dyDescent="0.25">
      <c r="A1348" s="36" t="s">
        <v>2631</v>
      </c>
      <c r="B1348" s="36" t="s">
        <v>201</v>
      </c>
      <c r="C1348" s="36" t="s">
        <v>202</v>
      </c>
      <c r="D1348" s="36" t="s">
        <v>2630</v>
      </c>
      <c r="E1348" s="36" t="s">
        <v>42</v>
      </c>
      <c r="F1348" s="37">
        <v>366277</v>
      </c>
      <c r="G1348" s="38">
        <v>44414</v>
      </c>
      <c r="H1348" s="36" t="s">
        <v>620</v>
      </c>
      <c r="I1348" s="36" t="s">
        <v>1671</v>
      </c>
      <c r="J1348" s="36"/>
      <c r="K1348" s="36"/>
      <c r="L1348" s="36"/>
      <c r="M1348" s="36"/>
      <c r="N1348" s="36"/>
      <c r="O1348" s="36"/>
      <c r="P1348" s="36"/>
      <c r="Q1348" s="36"/>
      <c r="R1348" s="36"/>
    </row>
    <row r="1349" spans="1:18" x14ac:dyDescent="0.25">
      <c r="A1349" s="22" t="s">
        <v>621</v>
      </c>
      <c r="B1349" s="22" t="s">
        <v>201</v>
      </c>
      <c r="C1349" s="22" t="s">
        <v>202</v>
      </c>
      <c r="D1349" s="22" t="s">
        <v>2632</v>
      </c>
      <c r="E1349" s="22" t="s">
        <v>45</v>
      </c>
      <c r="F1349" s="23">
        <v>-953617</v>
      </c>
      <c r="G1349" s="24">
        <v>44438</v>
      </c>
      <c r="H1349" s="22" t="s">
        <v>620</v>
      </c>
      <c r="I1349" s="22" t="s">
        <v>2633</v>
      </c>
      <c r="J1349" s="22"/>
      <c r="K1349" s="22"/>
      <c r="L1349" s="22"/>
      <c r="M1349" s="22"/>
      <c r="N1349" s="22"/>
      <c r="O1349" s="22"/>
      <c r="P1349" s="22"/>
      <c r="Q1349" s="22"/>
      <c r="R1349" s="22"/>
    </row>
    <row r="1350" spans="1:18" x14ac:dyDescent="0.25">
      <c r="A1350" s="22" t="s">
        <v>621</v>
      </c>
      <c r="B1350" s="22" t="s">
        <v>201</v>
      </c>
      <c r="C1350" s="22" t="s">
        <v>202</v>
      </c>
      <c r="D1350" s="22" t="s">
        <v>620</v>
      </c>
      <c r="E1350" s="22" t="s">
        <v>45</v>
      </c>
      <c r="F1350" s="23">
        <v>953617</v>
      </c>
      <c r="G1350" s="24">
        <v>44438</v>
      </c>
      <c r="H1350" s="22" t="s">
        <v>620</v>
      </c>
      <c r="I1350" s="22"/>
      <c r="J1350" s="22"/>
      <c r="K1350" s="22"/>
      <c r="L1350" s="22"/>
      <c r="M1350" s="22"/>
      <c r="N1350" s="22"/>
      <c r="O1350" s="22"/>
      <c r="P1350" s="22"/>
      <c r="Q1350" s="22"/>
      <c r="R1350" s="22"/>
    </row>
    <row r="1351" spans="1:18" x14ac:dyDescent="0.25">
      <c r="A1351" s="22" t="s">
        <v>621</v>
      </c>
      <c r="B1351" s="22" t="s">
        <v>201</v>
      </c>
      <c r="C1351" s="22" t="s">
        <v>202</v>
      </c>
      <c r="D1351" s="22" t="s">
        <v>620</v>
      </c>
      <c r="E1351" s="22" t="s">
        <v>45</v>
      </c>
      <c r="F1351" s="23">
        <v>-366277</v>
      </c>
      <c r="G1351" s="24">
        <v>44438</v>
      </c>
      <c r="H1351" s="22" t="s">
        <v>620</v>
      </c>
      <c r="I1351" s="22"/>
      <c r="J1351" s="22"/>
      <c r="K1351" s="22"/>
      <c r="L1351" s="22"/>
      <c r="M1351" s="22"/>
      <c r="N1351" s="22"/>
      <c r="O1351" s="22"/>
      <c r="P1351" s="22"/>
      <c r="Q1351" s="22"/>
      <c r="R1351" s="22"/>
    </row>
    <row r="1352" spans="1:18" s="39" customFormat="1" x14ac:dyDescent="0.25">
      <c r="A1352" s="36" t="s">
        <v>2635</v>
      </c>
      <c r="B1352" s="36" t="s">
        <v>201</v>
      </c>
      <c r="C1352" s="36" t="s">
        <v>202</v>
      </c>
      <c r="D1352" s="36" t="s">
        <v>2634</v>
      </c>
      <c r="E1352" s="36" t="s">
        <v>42</v>
      </c>
      <c r="F1352" s="37">
        <v>876232</v>
      </c>
      <c r="G1352" s="38">
        <v>44414</v>
      </c>
      <c r="H1352" s="36" t="s">
        <v>2632</v>
      </c>
      <c r="I1352" s="36" t="s">
        <v>1671</v>
      </c>
      <c r="J1352" s="36"/>
      <c r="K1352" s="36"/>
      <c r="L1352" s="36"/>
      <c r="M1352" s="36"/>
      <c r="N1352" s="36"/>
      <c r="O1352" s="36"/>
      <c r="P1352" s="36"/>
      <c r="Q1352" s="36"/>
      <c r="R1352" s="36"/>
    </row>
    <row r="1353" spans="1:18" x14ac:dyDescent="0.25">
      <c r="A1353" s="22" t="s">
        <v>2637</v>
      </c>
      <c r="B1353" s="22" t="s">
        <v>201</v>
      </c>
      <c r="C1353" s="22" t="s">
        <v>202</v>
      </c>
      <c r="D1353" s="22" t="s">
        <v>2636</v>
      </c>
      <c r="E1353" s="22" t="s">
        <v>57</v>
      </c>
      <c r="F1353" s="23">
        <v>-22300</v>
      </c>
      <c r="G1353" s="24">
        <v>44412</v>
      </c>
      <c r="H1353" s="22" t="s">
        <v>2632</v>
      </c>
      <c r="I1353" s="22" t="s">
        <v>740</v>
      </c>
      <c r="J1353" s="22"/>
      <c r="K1353" s="22"/>
      <c r="L1353" s="22"/>
      <c r="M1353" s="22"/>
      <c r="N1353" s="22"/>
      <c r="O1353" s="22"/>
      <c r="P1353" s="22"/>
      <c r="Q1353" s="22"/>
      <c r="R1353" s="22"/>
    </row>
    <row r="1354" spans="1:18" x14ac:dyDescent="0.25">
      <c r="A1354" s="22" t="s">
        <v>2639</v>
      </c>
      <c r="B1354" s="22" t="s">
        <v>201</v>
      </c>
      <c r="C1354" s="22" t="s">
        <v>202</v>
      </c>
      <c r="D1354" s="22" t="s">
        <v>2638</v>
      </c>
      <c r="E1354" s="22" t="s">
        <v>57</v>
      </c>
      <c r="F1354" s="23">
        <v>-268100</v>
      </c>
      <c r="G1354" s="24">
        <v>44404</v>
      </c>
      <c r="H1354" s="22" t="s">
        <v>2632</v>
      </c>
      <c r="I1354" s="22" t="s">
        <v>740</v>
      </c>
      <c r="J1354" s="22"/>
      <c r="K1354" s="22"/>
      <c r="L1354" s="22"/>
      <c r="M1354" s="22"/>
      <c r="N1354" s="22"/>
      <c r="O1354" s="22"/>
      <c r="P1354" s="22"/>
      <c r="Q1354" s="22"/>
      <c r="R1354" s="22"/>
    </row>
    <row r="1355" spans="1:18" x14ac:dyDescent="0.25">
      <c r="A1355" s="22" t="s">
        <v>621</v>
      </c>
      <c r="B1355" s="22" t="s">
        <v>201</v>
      </c>
      <c r="C1355" s="22" t="s">
        <v>202</v>
      </c>
      <c r="D1355" s="22" t="s">
        <v>2640</v>
      </c>
      <c r="E1355" s="22" t="s">
        <v>57</v>
      </c>
      <c r="F1355" s="23">
        <v>-1539449</v>
      </c>
      <c r="G1355" s="24">
        <v>44438</v>
      </c>
      <c r="H1355" s="22" t="s">
        <v>2632</v>
      </c>
      <c r="I1355" s="22" t="s">
        <v>740</v>
      </c>
      <c r="J1355" s="22"/>
      <c r="K1355" s="22"/>
      <c r="L1355" s="22"/>
      <c r="M1355" s="22"/>
      <c r="N1355" s="22"/>
      <c r="O1355" s="22"/>
      <c r="P1355" s="22"/>
      <c r="Q1355" s="22"/>
      <c r="R1355" s="22"/>
    </row>
    <row r="1356" spans="1:18" x14ac:dyDescent="0.25">
      <c r="A1356" s="22" t="s">
        <v>621</v>
      </c>
      <c r="B1356" s="22" t="s">
        <v>201</v>
      </c>
      <c r="C1356" s="22" t="s">
        <v>202</v>
      </c>
      <c r="D1356" s="22" t="s">
        <v>2632</v>
      </c>
      <c r="E1356" s="22" t="s">
        <v>45</v>
      </c>
      <c r="F1356" s="23">
        <v>1829849</v>
      </c>
      <c r="G1356" s="24">
        <v>44438</v>
      </c>
      <c r="H1356" s="22" t="s">
        <v>2632</v>
      </c>
      <c r="I1356" s="22"/>
      <c r="J1356" s="22"/>
      <c r="K1356" s="22"/>
      <c r="L1356" s="22"/>
      <c r="M1356" s="22"/>
      <c r="N1356" s="22"/>
      <c r="O1356" s="22"/>
      <c r="P1356" s="22"/>
      <c r="Q1356" s="22"/>
      <c r="R1356" s="22"/>
    </row>
    <row r="1357" spans="1:18" x14ac:dyDescent="0.25">
      <c r="A1357" s="22" t="s">
        <v>621</v>
      </c>
      <c r="B1357" s="22" t="s">
        <v>201</v>
      </c>
      <c r="C1357" s="22" t="s">
        <v>202</v>
      </c>
      <c r="D1357" s="22" t="s">
        <v>2632</v>
      </c>
      <c r="E1357" s="22" t="s">
        <v>45</v>
      </c>
      <c r="F1357" s="23">
        <v>-876232</v>
      </c>
      <c r="G1357" s="24">
        <v>44438</v>
      </c>
      <c r="H1357" s="22" t="s">
        <v>2632</v>
      </c>
      <c r="I1357" s="22"/>
      <c r="J1357" s="22"/>
      <c r="K1357" s="22"/>
      <c r="L1357" s="22"/>
      <c r="M1357" s="22"/>
      <c r="N1357" s="22"/>
      <c r="O1357" s="22"/>
      <c r="P1357" s="22"/>
      <c r="Q1357" s="22"/>
      <c r="R1357" s="22"/>
    </row>
    <row r="1358" spans="1:18" x14ac:dyDescent="0.25">
      <c r="A1358" s="22" t="s">
        <v>2642</v>
      </c>
      <c r="B1358" s="22" t="s">
        <v>201</v>
      </c>
      <c r="C1358" s="22" t="s">
        <v>202</v>
      </c>
      <c r="D1358" s="22" t="s">
        <v>2641</v>
      </c>
      <c r="E1358" s="22" t="s">
        <v>588</v>
      </c>
      <c r="F1358" s="23">
        <v>-144000</v>
      </c>
      <c r="G1358" s="24">
        <v>44322</v>
      </c>
      <c r="H1358" s="22" t="s">
        <v>691</v>
      </c>
      <c r="I1358" s="22" t="s">
        <v>2643</v>
      </c>
      <c r="J1358" s="22"/>
      <c r="K1358" s="22"/>
      <c r="L1358" s="22"/>
      <c r="M1358" s="22"/>
      <c r="N1358" s="22"/>
      <c r="O1358" s="22"/>
      <c r="P1358" s="22"/>
      <c r="Q1358" s="22"/>
      <c r="R1358" s="22"/>
    </row>
    <row r="1359" spans="1:18" s="39" customFormat="1" x14ac:dyDescent="0.25">
      <c r="A1359" s="36" t="s">
        <v>2645</v>
      </c>
      <c r="B1359" s="36" t="s">
        <v>201</v>
      </c>
      <c r="C1359" s="36" t="s">
        <v>202</v>
      </c>
      <c r="D1359" s="36" t="s">
        <v>2644</v>
      </c>
      <c r="E1359" s="36" t="s">
        <v>42</v>
      </c>
      <c r="F1359" s="37">
        <v>2363519</v>
      </c>
      <c r="G1359" s="38">
        <v>44414</v>
      </c>
      <c r="H1359" s="36" t="s">
        <v>691</v>
      </c>
      <c r="I1359" s="36" t="s">
        <v>1671</v>
      </c>
      <c r="J1359" s="36"/>
      <c r="K1359" s="36"/>
      <c r="L1359" s="36"/>
      <c r="M1359" s="36"/>
      <c r="N1359" s="36"/>
      <c r="O1359" s="36"/>
      <c r="P1359" s="36"/>
      <c r="Q1359" s="36"/>
      <c r="R1359" s="36"/>
    </row>
    <row r="1360" spans="1:18" x14ac:dyDescent="0.25">
      <c r="A1360" s="22" t="s">
        <v>2647</v>
      </c>
      <c r="B1360" s="22" t="s">
        <v>201</v>
      </c>
      <c r="C1360" s="22" t="s">
        <v>202</v>
      </c>
      <c r="D1360" s="22" t="s">
        <v>2646</v>
      </c>
      <c r="E1360" s="22" t="s">
        <v>45</v>
      </c>
      <c r="F1360" s="23">
        <v>186604</v>
      </c>
      <c r="G1360" s="24">
        <v>44384</v>
      </c>
      <c r="H1360" s="22" t="s">
        <v>2646</v>
      </c>
      <c r="I1360" s="22"/>
      <c r="J1360" s="22"/>
      <c r="K1360" s="22"/>
      <c r="L1360" s="22"/>
      <c r="M1360" s="22"/>
      <c r="N1360" s="22"/>
      <c r="O1360" s="22"/>
      <c r="P1360" s="22"/>
      <c r="Q1360" s="22"/>
      <c r="R1360" s="22"/>
    </row>
    <row r="1361" spans="1:18" x14ac:dyDescent="0.25">
      <c r="A1361" s="22" t="s">
        <v>2647</v>
      </c>
      <c r="B1361" s="22" t="s">
        <v>201</v>
      </c>
      <c r="C1361" s="22" t="s">
        <v>202</v>
      </c>
      <c r="D1361" s="22" t="s">
        <v>2646</v>
      </c>
      <c r="E1361" s="22" t="s">
        <v>45</v>
      </c>
      <c r="F1361" s="23">
        <v>-170468</v>
      </c>
      <c r="G1361" s="24">
        <v>44384</v>
      </c>
      <c r="H1361" s="22" t="s">
        <v>2646</v>
      </c>
      <c r="I1361" s="22"/>
      <c r="J1361" s="22"/>
      <c r="K1361" s="22"/>
      <c r="L1361" s="22"/>
      <c r="M1361" s="22"/>
      <c r="N1361" s="22"/>
      <c r="O1361" s="22"/>
      <c r="P1361" s="22"/>
      <c r="Q1361" s="22"/>
      <c r="R1361" s="22"/>
    </row>
    <row r="1362" spans="1:18" s="39" customFormat="1" x14ac:dyDescent="0.25">
      <c r="A1362" s="36" t="s">
        <v>2649</v>
      </c>
      <c r="B1362" s="36" t="s">
        <v>201</v>
      </c>
      <c r="C1362" s="36" t="s">
        <v>202</v>
      </c>
      <c r="D1362" s="36" t="s">
        <v>2648</v>
      </c>
      <c r="E1362" s="36" t="s">
        <v>42</v>
      </c>
      <c r="F1362" s="37">
        <v>60689</v>
      </c>
      <c r="G1362" s="38">
        <v>44295</v>
      </c>
      <c r="H1362" s="36" t="s">
        <v>2650</v>
      </c>
      <c r="I1362" s="36" t="s">
        <v>1812</v>
      </c>
      <c r="J1362" s="36"/>
      <c r="K1362" s="36"/>
      <c r="L1362" s="36"/>
      <c r="M1362" s="36"/>
      <c r="N1362" s="36"/>
      <c r="O1362" s="36"/>
      <c r="P1362" s="36"/>
      <c r="Q1362" s="36"/>
      <c r="R1362" s="36"/>
    </row>
    <row r="1363" spans="1:18" x14ac:dyDescent="0.25">
      <c r="A1363" s="22" t="s">
        <v>2652</v>
      </c>
      <c r="B1363" s="22" t="s">
        <v>201</v>
      </c>
      <c r="C1363" s="22" t="s">
        <v>202</v>
      </c>
      <c r="D1363" s="22" t="s">
        <v>2651</v>
      </c>
      <c r="E1363" s="22" t="s">
        <v>57</v>
      </c>
      <c r="F1363" s="23">
        <v>-44700</v>
      </c>
      <c r="G1363" s="24">
        <v>44384</v>
      </c>
      <c r="H1363" s="22" t="s">
        <v>2650</v>
      </c>
      <c r="I1363" s="22" t="s">
        <v>319</v>
      </c>
      <c r="J1363" s="22"/>
      <c r="K1363" s="22"/>
      <c r="L1363" s="22"/>
      <c r="M1363" s="22"/>
      <c r="N1363" s="22"/>
      <c r="O1363" s="22"/>
      <c r="P1363" s="22"/>
      <c r="Q1363" s="22"/>
      <c r="R1363" s="22"/>
    </row>
    <row r="1364" spans="1:18" x14ac:dyDescent="0.25">
      <c r="A1364" s="22" t="s">
        <v>2654</v>
      </c>
      <c r="B1364" s="22" t="s">
        <v>201</v>
      </c>
      <c r="C1364" s="22" t="s">
        <v>202</v>
      </c>
      <c r="D1364" s="22" t="s">
        <v>2653</v>
      </c>
      <c r="E1364" s="22" t="s">
        <v>45</v>
      </c>
      <c r="F1364" s="23">
        <v>-25093</v>
      </c>
      <c r="G1364" s="24">
        <v>44407</v>
      </c>
      <c r="H1364" s="22" t="s">
        <v>2650</v>
      </c>
      <c r="I1364" s="22" t="s">
        <v>874</v>
      </c>
      <c r="J1364" s="22"/>
      <c r="K1364" s="22"/>
      <c r="L1364" s="22"/>
      <c r="M1364" s="22"/>
      <c r="N1364" s="22"/>
      <c r="O1364" s="22"/>
      <c r="P1364" s="22"/>
      <c r="Q1364" s="22"/>
      <c r="R1364" s="22"/>
    </row>
    <row r="1365" spans="1:18" x14ac:dyDescent="0.25">
      <c r="A1365" s="22" t="s">
        <v>2654</v>
      </c>
      <c r="B1365" s="22" t="s">
        <v>201</v>
      </c>
      <c r="C1365" s="22" t="s">
        <v>202</v>
      </c>
      <c r="D1365" s="22" t="s">
        <v>2650</v>
      </c>
      <c r="E1365" s="22" t="s">
        <v>45</v>
      </c>
      <c r="F1365" s="23">
        <v>69793</v>
      </c>
      <c r="G1365" s="24">
        <v>44407</v>
      </c>
      <c r="H1365" s="22" t="s">
        <v>2650</v>
      </c>
      <c r="I1365" s="22"/>
      <c r="J1365" s="22"/>
      <c r="K1365" s="22"/>
      <c r="L1365" s="22"/>
      <c r="M1365" s="22"/>
      <c r="N1365" s="22"/>
      <c r="O1365" s="22"/>
      <c r="P1365" s="22"/>
      <c r="Q1365" s="22"/>
      <c r="R1365" s="22"/>
    </row>
    <row r="1366" spans="1:18" x14ac:dyDescent="0.25">
      <c r="A1366" s="22" t="s">
        <v>2654</v>
      </c>
      <c r="B1366" s="22" t="s">
        <v>201</v>
      </c>
      <c r="C1366" s="22" t="s">
        <v>202</v>
      </c>
      <c r="D1366" s="22" t="s">
        <v>2650</v>
      </c>
      <c r="E1366" s="22" t="s">
        <v>45</v>
      </c>
      <c r="F1366" s="23">
        <v>-60689</v>
      </c>
      <c r="G1366" s="24">
        <v>44407</v>
      </c>
      <c r="H1366" s="22" t="s">
        <v>2650</v>
      </c>
      <c r="I1366" s="22"/>
      <c r="J1366" s="22"/>
      <c r="K1366" s="22"/>
      <c r="L1366" s="22"/>
      <c r="M1366" s="22"/>
      <c r="N1366" s="22"/>
      <c r="O1366" s="22"/>
      <c r="P1366" s="22"/>
      <c r="Q1366" s="22"/>
      <c r="R1366" s="22"/>
    </row>
    <row r="1367" spans="1:18" s="39" customFormat="1" x14ac:dyDescent="0.25">
      <c r="A1367" s="36" t="s">
        <v>2656</v>
      </c>
      <c r="B1367" s="36" t="s">
        <v>201</v>
      </c>
      <c r="C1367" s="36" t="s">
        <v>202</v>
      </c>
      <c r="D1367" s="36" t="s">
        <v>2655</v>
      </c>
      <c r="E1367" s="36" t="s">
        <v>42</v>
      </c>
      <c r="F1367" s="37">
        <v>229050</v>
      </c>
      <c r="G1367" s="38">
        <v>44232</v>
      </c>
      <c r="H1367" s="36" t="s">
        <v>2657</v>
      </c>
      <c r="I1367" s="36" t="s">
        <v>1886</v>
      </c>
      <c r="J1367" s="36"/>
      <c r="K1367" s="36"/>
      <c r="L1367" s="36"/>
      <c r="M1367" s="36"/>
      <c r="N1367" s="36"/>
      <c r="O1367" s="36"/>
      <c r="P1367" s="36"/>
      <c r="Q1367" s="36"/>
      <c r="R1367" s="36"/>
    </row>
    <row r="1368" spans="1:18" x14ac:dyDescent="0.25">
      <c r="A1368" s="22" t="s">
        <v>169</v>
      </c>
      <c r="B1368" s="22" t="s">
        <v>201</v>
      </c>
      <c r="C1368" s="22" t="s">
        <v>202</v>
      </c>
      <c r="D1368" s="22" t="s">
        <v>1929</v>
      </c>
      <c r="E1368" s="22" t="s">
        <v>45</v>
      </c>
      <c r="F1368" s="23">
        <v>-2777904</v>
      </c>
      <c r="G1368" s="24">
        <v>44382</v>
      </c>
      <c r="H1368" s="22" t="s">
        <v>2657</v>
      </c>
      <c r="I1368" s="22" t="s">
        <v>2658</v>
      </c>
      <c r="J1368" s="22"/>
      <c r="K1368" s="22"/>
      <c r="L1368" s="22"/>
      <c r="M1368" s="22"/>
      <c r="N1368" s="22"/>
      <c r="O1368" s="22"/>
      <c r="P1368" s="22"/>
      <c r="Q1368" s="22"/>
      <c r="R1368" s="22"/>
    </row>
    <row r="1369" spans="1:18" x14ac:dyDescent="0.25">
      <c r="A1369" s="22" t="s">
        <v>169</v>
      </c>
      <c r="B1369" s="22" t="s">
        <v>201</v>
      </c>
      <c r="C1369" s="22" t="s">
        <v>202</v>
      </c>
      <c r="D1369" s="22" t="s">
        <v>2657</v>
      </c>
      <c r="E1369" s="22" t="s">
        <v>45</v>
      </c>
      <c r="F1369" s="23">
        <v>2548854</v>
      </c>
      <c r="G1369" s="24">
        <v>44382</v>
      </c>
      <c r="H1369" s="22" t="s">
        <v>2657</v>
      </c>
      <c r="I1369" s="22"/>
      <c r="J1369" s="22"/>
      <c r="K1369" s="22"/>
      <c r="L1369" s="22"/>
      <c r="M1369" s="22"/>
      <c r="N1369" s="22"/>
      <c r="O1369" s="22"/>
      <c r="P1369" s="22"/>
      <c r="Q1369" s="22"/>
      <c r="R1369" s="22"/>
    </row>
    <row r="1370" spans="1:18" s="39" customFormat="1" x14ac:dyDescent="0.25">
      <c r="A1370" s="36" t="s">
        <v>2660</v>
      </c>
      <c r="B1370" s="36" t="s">
        <v>201</v>
      </c>
      <c r="C1370" s="36" t="s">
        <v>202</v>
      </c>
      <c r="D1370" s="36" t="s">
        <v>2659</v>
      </c>
      <c r="E1370" s="36" t="s">
        <v>42</v>
      </c>
      <c r="F1370" s="37">
        <v>1195911</v>
      </c>
      <c r="G1370" s="38">
        <v>44385</v>
      </c>
      <c r="H1370" s="36" t="s">
        <v>2661</v>
      </c>
      <c r="I1370" s="36" t="s">
        <v>2579</v>
      </c>
      <c r="J1370" s="36"/>
      <c r="K1370" s="36"/>
      <c r="L1370" s="36"/>
      <c r="M1370" s="36"/>
      <c r="N1370" s="36"/>
      <c r="O1370" s="36"/>
      <c r="P1370" s="36"/>
      <c r="Q1370" s="36"/>
      <c r="R1370" s="36"/>
    </row>
    <row r="1371" spans="1:18" x14ac:dyDescent="0.25">
      <c r="A1371" s="22" t="s">
        <v>2663</v>
      </c>
      <c r="B1371" s="22" t="s">
        <v>201</v>
      </c>
      <c r="C1371" s="22" t="s">
        <v>202</v>
      </c>
      <c r="D1371" s="22" t="s">
        <v>2662</v>
      </c>
      <c r="E1371" s="22" t="s">
        <v>45</v>
      </c>
      <c r="F1371" s="23">
        <v>-876343</v>
      </c>
      <c r="G1371" s="24">
        <v>44222</v>
      </c>
      <c r="H1371" s="22" t="s">
        <v>2661</v>
      </c>
      <c r="I1371" s="22" t="s">
        <v>1919</v>
      </c>
      <c r="J1371" s="22"/>
      <c r="K1371" s="22"/>
      <c r="L1371" s="22"/>
      <c r="M1371" s="22"/>
      <c r="N1371" s="22"/>
      <c r="O1371" s="22"/>
      <c r="P1371" s="22"/>
      <c r="Q1371" s="22"/>
      <c r="R1371" s="22"/>
    </row>
    <row r="1372" spans="1:18" x14ac:dyDescent="0.25">
      <c r="A1372" s="22" t="s">
        <v>2665</v>
      </c>
      <c r="B1372" s="22" t="s">
        <v>201</v>
      </c>
      <c r="C1372" s="22" t="s">
        <v>202</v>
      </c>
      <c r="D1372" s="22" t="s">
        <v>2664</v>
      </c>
      <c r="E1372" s="22" t="s">
        <v>57</v>
      </c>
      <c r="F1372" s="23">
        <v>-1900568</v>
      </c>
      <c r="G1372" s="24">
        <v>44219</v>
      </c>
      <c r="H1372" s="22" t="s">
        <v>2661</v>
      </c>
      <c r="I1372" s="22" t="s">
        <v>2666</v>
      </c>
      <c r="J1372" s="22"/>
      <c r="K1372" s="22"/>
      <c r="L1372" s="22"/>
      <c r="M1372" s="22"/>
      <c r="N1372" s="22"/>
      <c r="O1372" s="22"/>
      <c r="P1372" s="22"/>
      <c r="Q1372" s="22"/>
      <c r="R1372" s="22"/>
    </row>
    <row r="1373" spans="1:18" x14ac:dyDescent="0.25">
      <c r="A1373" s="22" t="s">
        <v>2665</v>
      </c>
      <c r="B1373" s="22" t="s">
        <v>201</v>
      </c>
      <c r="C1373" s="22" t="s">
        <v>202</v>
      </c>
      <c r="D1373" s="22" t="s">
        <v>2661</v>
      </c>
      <c r="E1373" s="22" t="s">
        <v>45</v>
      </c>
      <c r="F1373" s="23">
        <v>876343</v>
      </c>
      <c r="G1373" s="24">
        <v>44219</v>
      </c>
      <c r="H1373" s="22" t="s">
        <v>2661</v>
      </c>
      <c r="I1373" s="22"/>
      <c r="J1373" s="22"/>
      <c r="K1373" s="22"/>
      <c r="L1373" s="22"/>
      <c r="M1373" s="22"/>
      <c r="N1373" s="22"/>
      <c r="O1373" s="22"/>
      <c r="P1373" s="22"/>
      <c r="Q1373" s="22"/>
      <c r="R1373" s="22"/>
    </row>
    <row r="1374" spans="1:18" x14ac:dyDescent="0.25">
      <c r="A1374" s="22" t="s">
        <v>2665</v>
      </c>
      <c r="B1374" s="22" t="s">
        <v>201</v>
      </c>
      <c r="C1374" s="22" t="s">
        <v>202</v>
      </c>
      <c r="D1374" s="22" t="s">
        <v>2661</v>
      </c>
      <c r="E1374" s="22" t="s">
        <v>45</v>
      </c>
      <c r="F1374" s="23">
        <v>-1195911</v>
      </c>
      <c r="G1374" s="24">
        <v>44219</v>
      </c>
      <c r="H1374" s="22" t="s">
        <v>2661</v>
      </c>
      <c r="I1374" s="22"/>
      <c r="J1374" s="22"/>
      <c r="K1374" s="22"/>
      <c r="L1374" s="22"/>
      <c r="M1374" s="22"/>
      <c r="N1374" s="22"/>
      <c r="O1374" s="22"/>
      <c r="P1374" s="22"/>
      <c r="Q1374" s="22"/>
      <c r="R1374" s="22"/>
    </row>
    <row r="1375" spans="1:18" x14ac:dyDescent="0.25">
      <c r="A1375" s="22" t="s">
        <v>2665</v>
      </c>
      <c r="B1375" s="22" t="s">
        <v>201</v>
      </c>
      <c r="C1375" s="22" t="s">
        <v>202</v>
      </c>
      <c r="D1375" s="22" t="s">
        <v>2661</v>
      </c>
      <c r="E1375" s="22" t="s">
        <v>45</v>
      </c>
      <c r="F1375" s="23">
        <v>1900568</v>
      </c>
      <c r="G1375" s="24">
        <v>44219</v>
      </c>
      <c r="H1375" s="22" t="s">
        <v>2661</v>
      </c>
      <c r="I1375" s="22"/>
      <c r="J1375" s="22"/>
      <c r="K1375" s="22"/>
      <c r="L1375" s="22"/>
      <c r="M1375" s="22"/>
      <c r="N1375" s="22"/>
      <c r="O1375" s="22"/>
      <c r="P1375" s="22"/>
      <c r="Q1375" s="22"/>
      <c r="R1375" s="22"/>
    </row>
    <row r="1376" spans="1:18" s="39" customFormat="1" x14ac:dyDescent="0.25">
      <c r="A1376" s="36" t="s">
        <v>2668</v>
      </c>
      <c r="B1376" s="36" t="s">
        <v>201</v>
      </c>
      <c r="C1376" s="36" t="s">
        <v>202</v>
      </c>
      <c r="D1376" s="36" t="s">
        <v>2667</v>
      </c>
      <c r="E1376" s="36" t="s">
        <v>42</v>
      </c>
      <c r="F1376" s="37">
        <v>3267092</v>
      </c>
      <c r="G1376" s="38">
        <v>44385</v>
      </c>
      <c r="H1376" s="36" t="s">
        <v>2662</v>
      </c>
      <c r="I1376" s="36" t="s">
        <v>1671</v>
      </c>
      <c r="J1376" s="36"/>
      <c r="K1376" s="36"/>
      <c r="L1376" s="36"/>
      <c r="M1376" s="36"/>
      <c r="N1376" s="36"/>
      <c r="O1376" s="36"/>
      <c r="P1376" s="36"/>
      <c r="Q1376" s="36"/>
      <c r="R1376" s="36"/>
    </row>
    <row r="1377" spans="1:18" x14ac:dyDescent="0.25">
      <c r="A1377" s="22" t="s">
        <v>181</v>
      </c>
      <c r="B1377" s="22" t="s">
        <v>201</v>
      </c>
      <c r="C1377" s="22" t="s">
        <v>202</v>
      </c>
      <c r="D1377" s="22" t="s">
        <v>2669</v>
      </c>
      <c r="E1377" s="22" t="s">
        <v>45</v>
      </c>
      <c r="F1377" s="23">
        <v>-1453222</v>
      </c>
      <c r="G1377" s="24">
        <v>44246</v>
      </c>
      <c r="H1377" s="22" t="s">
        <v>2662</v>
      </c>
      <c r="I1377" s="22" t="s">
        <v>2670</v>
      </c>
      <c r="J1377" s="22"/>
      <c r="K1377" s="22"/>
      <c r="L1377" s="22"/>
      <c r="M1377" s="22"/>
      <c r="N1377" s="22"/>
      <c r="O1377" s="22"/>
      <c r="P1377" s="22"/>
      <c r="Q1377" s="22"/>
      <c r="R1377" s="22"/>
    </row>
    <row r="1378" spans="1:18" x14ac:dyDescent="0.25">
      <c r="A1378" s="22" t="s">
        <v>2663</v>
      </c>
      <c r="B1378" s="22" t="s">
        <v>201</v>
      </c>
      <c r="C1378" s="22" t="s">
        <v>202</v>
      </c>
      <c r="D1378" s="22" t="s">
        <v>2671</v>
      </c>
      <c r="E1378" s="22" t="s">
        <v>57</v>
      </c>
      <c r="F1378" s="23">
        <v>-943600</v>
      </c>
      <c r="G1378" s="24">
        <v>44222</v>
      </c>
      <c r="H1378" s="22" t="s">
        <v>2662</v>
      </c>
      <c r="I1378" s="22" t="s">
        <v>1805</v>
      </c>
      <c r="J1378" s="22"/>
      <c r="K1378" s="22"/>
      <c r="L1378" s="22"/>
      <c r="M1378" s="22"/>
      <c r="N1378" s="22"/>
      <c r="O1378" s="22"/>
      <c r="P1378" s="22"/>
      <c r="Q1378" s="22"/>
      <c r="R1378" s="22"/>
    </row>
    <row r="1379" spans="1:18" x14ac:dyDescent="0.25">
      <c r="A1379" s="22" t="s">
        <v>2673</v>
      </c>
      <c r="B1379" s="22" t="s">
        <v>201</v>
      </c>
      <c r="C1379" s="22" t="s">
        <v>202</v>
      </c>
      <c r="D1379" s="22" t="s">
        <v>2672</v>
      </c>
      <c r="E1379" s="22" t="s">
        <v>57</v>
      </c>
      <c r="F1379" s="23">
        <v>-862400</v>
      </c>
      <c r="G1379" s="24">
        <v>44251</v>
      </c>
      <c r="H1379" s="22" t="s">
        <v>2662</v>
      </c>
      <c r="I1379" s="22" t="s">
        <v>836</v>
      </c>
      <c r="J1379" s="22"/>
      <c r="K1379" s="22"/>
      <c r="L1379" s="22"/>
      <c r="M1379" s="22"/>
      <c r="N1379" s="22"/>
      <c r="O1379" s="22"/>
      <c r="P1379" s="22"/>
      <c r="Q1379" s="22"/>
      <c r="R1379" s="22"/>
    </row>
    <row r="1380" spans="1:18" x14ac:dyDescent="0.25">
      <c r="A1380" s="22" t="s">
        <v>2675</v>
      </c>
      <c r="B1380" s="22" t="s">
        <v>201</v>
      </c>
      <c r="C1380" s="22" t="s">
        <v>202</v>
      </c>
      <c r="D1380" s="22" t="s">
        <v>2674</v>
      </c>
      <c r="E1380" s="22" t="s">
        <v>57</v>
      </c>
      <c r="F1380" s="23">
        <v>-884213</v>
      </c>
      <c r="G1380" s="24">
        <v>44251</v>
      </c>
      <c r="H1380" s="22" t="s">
        <v>2662</v>
      </c>
      <c r="I1380" s="22" t="s">
        <v>1916</v>
      </c>
      <c r="J1380" s="22"/>
      <c r="K1380" s="22"/>
      <c r="L1380" s="22"/>
      <c r="M1380" s="22"/>
      <c r="N1380" s="22"/>
      <c r="O1380" s="22"/>
      <c r="P1380" s="22"/>
      <c r="Q1380" s="22"/>
      <c r="R1380" s="22"/>
    </row>
    <row r="1381" spans="1:18" x14ac:dyDescent="0.25">
      <c r="A1381" s="22" t="s">
        <v>2663</v>
      </c>
      <c r="B1381" s="22" t="s">
        <v>201</v>
      </c>
      <c r="C1381" s="22" t="s">
        <v>202</v>
      </c>
      <c r="D1381" s="22" t="s">
        <v>2662</v>
      </c>
      <c r="E1381" s="22" t="s">
        <v>45</v>
      </c>
      <c r="F1381" s="23">
        <v>2396822</v>
      </c>
      <c r="G1381" s="24">
        <v>44222</v>
      </c>
      <c r="H1381" s="22" t="s">
        <v>2662</v>
      </c>
      <c r="I1381" s="22"/>
      <c r="J1381" s="22"/>
      <c r="K1381" s="22"/>
      <c r="L1381" s="22"/>
      <c r="M1381" s="22"/>
      <c r="N1381" s="22"/>
      <c r="O1381" s="22"/>
      <c r="P1381" s="22"/>
      <c r="Q1381" s="22"/>
      <c r="R1381" s="22"/>
    </row>
    <row r="1382" spans="1:18" x14ac:dyDescent="0.25">
      <c r="A1382" s="22" t="s">
        <v>2663</v>
      </c>
      <c r="B1382" s="22" t="s">
        <v>201</v>
      </c>
      <c r="C1382" s="22" t="s">
        <v>202</v>
      </c>
      <c r="D1382" s="22" t="s">
        <v>2662</v>
      </c>
      <c r="E1382" s="22" t="s">
        <v>45</v>
      </c>
      <c r="F1382" s="23">
        <v>-3267092</v>
      </c>
      <c r="G1382" s="24">
        <v>44222</v>
      </c>
      <c r="H1382" s="22" t="s">
        <v>2662</v>
      </c>
      <c r="I1382" s="22"/>
      <c r="J1382" s="22"/>
      <c r="K1382" s="22"/>
      <c r="L1382" s="22"/>
      <c r="M1382" s="22"/>
      <c r="N1382" s="22"/>
      <c r="O1382" s="22"/>
      <c r="P1382" s="22"/>
      <c r="Q1382" s="22"/>
      <c r="R1382" s="22"/>
    </row>
    <row r="1383" spans="1:18" x14ac:dyDescent="0.25">
      <c r="A1383" s="22" t="s">
        <v>2663</v>
      </c>
      <c r="B1383" s="22" t="s">
        <v>201</v>
      </c>
      <c r="C1383" s="22" t="s">
        <v>202</v>
      </c>
      <c r="D1383" s="22" t="s">
        <v>2662</v>
      </c>
      <c r="E1383" s="22" t="s">
        <v>45</v>
      </c>
      <c r="F1383" s="23">
        <v>1746613</v>
      </c>
      <c r="G1383" s="24">
        <v>44222</v>
      </c>
      <c r="H1383" s="22" t="s">
        <v>2662</v>
      </c>
      <c r="I1383" s="22"/>
      <c r="J1383" s="22"/>
      <c r="K1383" s="22"/>
      <c r="L1383" s="22"/>
      <c r="M1383" s="22"/>
      <c r="N1383" s="22"/>
      <c r="O1383" s="22"/>
      <c r="P1383" s="22"/>
      <c r="Q1383" s="22"/>
      <c r="R1383" s="22"/>
    </row>
    <row r="1384" spans="1:18" s="39" customFormat="1" x14ac:dyDescent="0.25">
      <c r="A1384" s="36" t="s">
        <v>2677</v>
      </c>
      <c r="B1384" s="36" t="s">
        <v>201</v>
      </c>
      <c r="C1384" s="36" t="s">
        <v>202</v>
      </c>
      <c r="D1384" s="36" t="s">
        <v>2676</v>
      </c>
      <c r="E1384" s="36" t="s">
        <v>42</v>
      </c>
      <c r="F1384" s="37">
        <v>27362</v>
      </c>
      <c r="G1384" s="38">
        <v>44260</v>
      </c>
      <c r="H1384" s="36" t="s">
        <v>2678</v>
      </c>
      <c r="I1384" s="36" t="s">
        <v>1741</v>
      </c>
      <c r="J1384" s="36"/>
      <c r="K1384" s="36"/>
      <c r="L1384" s="36"/>
      <c r="M1384" s="36"/>
      <c r="N1384" s="36"/>
      <c r="O1384" s="36"/>
      <c r="P1384" s="36"/>
      <c r="Q1384" s="36"/>
      <c r="R1384" s="36"/>
    </row>
    <row r="1385" spans="1:18" x14ac:dyDescent="0.25">
      <c r="A1385" s="22" t="s">
        <v>2680</v>
      </c>
      <c r="B1385" s="22" t="s">
        <v>201</v>
      </c>
      <c r="C1385" s="22" t="s">
        <v>202</v>
      </c>
      <c r="D1385" s="22" t="s">
        <v>2679</v>
      </c>
      <c r="E1385" s="22" t="s">
        <v>57</v>
      </c>
      <c r="F1385" s="23">
        <v>-119400</v>
      </c>
      <c r="G1385" s="24">
        <v>44405</v>
      </c>
      <c r="H1385" s="22" t="s">
        <v>2678</v>
      </c>
      <c r="I1385" s="22" t="s">
        <v>2681</v>
      </c>
      <c r="J1385" s="22"/>
      <c r="K1385" s="22"/>
      <c r="L1385" s="22"/>
      <c r="M1385" s="22"/>
      <c r="N1385" s="22"/>
      <c r="O1385" s="22"/>
      <c r="P1385" s="22"/>
      <c r="Q1385" s="22"/>
      <c r="R1385" s="22"/>
    </row>
    <row r="1386" spans="1:18" x14ac:dyDescent="0.25">
      <c r="A1386" s="22" t="s">
        <v>2680</v>
      </c>
      <c r="B1386" s="22" t="s">
        <v>201</v>
      </c>
      <c r="C1386" s="22" t="s">
        <v>202</v>
      </c>
      <c r="D1386" s="22" t="s">
        <v>2678</v>
      </c>
      <c r="E1386" s="22" t="s">
        <v>45</v>
      </c>
      <c r="F1386" s="23">
        <v>119400</v>
      </c>
      <c r="G1386" s="24">
        <v>44405</v>
      </c>
      <c r="H1386" s="22" t="s">
        <v>2678</v>
      </c>
      <c r="I1386" s="22"/>
      <c r="J1386" s="22"/>
      <c r="K1386" s="22"/>
      <c r="L1386" s="22"/>
      <c r="M1386" s="22"/>
      <c r="N1386" s="22"/>
      <c r="O1386" s="22"/>
      <c r="P1386" s="22"/>
      <c r="Q1386" s="22"/>
      <c r="R1386" s="22"/>
    </row>
    <row r="1387" spans="1:18" x14ac:dyDescent="0.25">
      <c r="A1387" s="22" t="s">
        <v>2680</v>
      </c>
      <c r="B1387" s="22" t="s">
        <v>201</v>
      </c>
      <c r="C1387" s="22" t="s">
        <v>202</v>
      </c>
      <c r="D1387" s="22" t="s">
        <v>2678</v>
      </c>
      <c r="E1387" s="22" t="s">
        <v>45</v>
      </c>
      <c r="F1387" s="23">
        <v>-27362</v>
      </c>
      <c r="G1387" s="24">
        <v>44405</v>
      </c>
      <c r="H1387" s="22" t="s">
        <v>2678</v>
      </c>
      <c r="I1387" s="22"/>
      <c r="J1387" s="22"/>
      <c r="K1387" s="22"/>
      <c r="L1387" s="22"/>
      <c r="M1387" s="22"/>
      <c r="N1387" s="22"/>
      <c r="O1387" s="22"/>
      <c r="P1387" s="22"/>
      <c r="Q1387" s="22"/>
      <c r="R1387" s="22"/>
    </row>
    <row r="1388" spans="1:18" s="39" customFormat="1" x14ac:dyDescent="0.25">
      <c r="A1388" s="36" t="s">
        <v>2683</v>
      </c>
      <c r="B1388" s="36" t="s">
        <v>201</v>
      </c>
      <c r="C1388" s="36" t="s">
        <v>202</v>
      </c>
      <c r="D1388" s="36" t="s">
        <v>2682</v>
      </c>
      <c r="E1388" s="36" t="s">
        <v>42</v>
      </c>
      <c r="F1388" s="37">
        <v>27500</v>
      </c>
      <c r="G1388" s="38">
        <v>44260</v>
      </c>
      <c r="H1388" s="36" t="s">
        <v>2684</v>
      </c>
      <c r="I1388" s="36" t="s">
        <v>1741</v>
      </c>
      <c r="J1388" s="36"/>
      <c r="K1388" s="36"/>
      <c r="L1388" s="36"/>
      <c r="M1388" s="36"/>
      <c r="N1388" s="36"/>
      <c r="O1388" s="36"/>
      <c r="P1388" s="36"/>
      <c r="Q1388" s="36"/>
      <c r="R1388" s="36"/>
    </row>
    <row r="1389" spans="1:18" x14ac:dyDescent="0.25">
      <c r="A1389" s="22" t="s">
        <v>2686</v>
      </c>
      <c r="B1389" s="22" t="s">
        <v>201</v>
      </c>
      <c r="C1389" s="22" t="s">
        <v>202</v>
      </c>
      <c r="D1389" s="22" t="s">
        <v>2685</v>
      </c>
      <c r="E1389" s="22" t="s">
        <v>57</v>
      </c>
      <c r="F1389" s="23">
        <v>-32700</v>
      </c>
      <c r="G1389" s="24">
        <v>44398</v>
      </c>
      <c r="H1389" s="22" t="s">
        <v>2684</v>
      </c>
      <c r="I1389" s="22" t="s">
        <v>475</v>
      </c>
      <c r="J1389" s="22"/>
      <c r="K1389" s="22"/>
      <c r="L1389" s="22"/>
      <c r="M1389" s="22"/>
      <c r="N1389" s="22"/>
      <c r="O1389" s="22"/>
      <c r="P1389" s="22"/>
      <c r="Q1389" s="22"/>
      <c r="R1389" s="22"/>
    </row>
    <row r="1390" spans="1:18" x14ac:dyDescent="0.25">
      <c r="A1390" s="22" t="s">
        <v>2686</v>
      </c>
      <c r="B1390" s="22" t="s">
        <v>201</v>
      </c>
      <c r="C1390" s="22" t="s">
        <v>202</v>
      </c>
      <c r="D1390" s="22" t="s">
        <v>2684</v>
      </c>
      <c r="E1390" s="22" t="s">
        <v>45</v>
      </c>
      <c r="F1390" s="23">
        <v>32700</v>
      </c>
      <c r="G1390" s="24">
        <v>44398</v>
      </c>
      <c r="H1390" s="22" t="s">
        <v>2684</v>
      </c>
      <c r="I1390" s="22"/>
      <c r="J1390" s="22"/>
      <c r="K1390" s="22"/>
      <c r="L1390" s="22"/>
      <c r="M1390" s="22"/>
      <c r="N1390" s="22"/>
      <c r="O1390" s="22"/>
      <c r="P1390" s="22"/>
      <c r="Q1390" s="22"/>
      <c r="R1390" s="22"/>
    </row>
    <row r="1391" spans="1:18" x14ac:dyDescent="0.25">
      <c r="A1391" s="22" t="s">
        <v>2686</v>
      </c>
      <c r="B1391" s="22" t="s">
        <v>201</v>
      </c>
      <c r="C1391" s="22" t="s">
        <v>202</v>
      </c>
      <c r="D1391" s="22" t="s">
        <v>2684</v>
      </c>
      <c r="E1391" s="22" t="s">
        <v>45</v>
      </c>
      <c r="F1391" s="23">
        <v>-27500</v>
      </c>
      <c r="G1391" s="24">
        <v>44398</v>
      </c>
      <c r="H1391" s="22" t="s">
        <v>2684</v>
      </c>
      <c r="I1391" s="22"/>
      <c r="J1391" s="22"/>
      <c r="K1391" s="22"/>
      <c r="L1391" s="22"/>
      <c r="M1391" s="22"/>
      <c r="N1391" s="22"/>
      <c r="O1391" s="22"/>
      <c r="P1391" s="22"/>
      <c r="Q1391" s="22"/>
      <c r="R1391" s="22"/>
    </row>
    <row r="1392" spans="1:18" s="39" customFormat="1" x14ac:dyDescent="0.25">
      <c r="A1392" s="36" t="s">
        <v>2688</v>
      </c>
      <c r="B1392" s="36" t="s">
        <v>201</v>
      </c>
      <c r="C1392" s="36" t="s">
        <v>202</v>
      </c>
      <c r="D1392" s="36" t="s">
        <v>2687</v>
      </c>
      <c r="E1392" s="36" t="s">
        <v>42</v>
      </c>
      <c r="F1392" s="37">
        <v>25950</v>
      </c>
      <c r="G1392" s="38">
        <v>44232</v>
      </c>
      <c r="H1392" s="36" t="s">
        <v>2689</v>
      </c>
      <c r="I1392" s="36" t="s">
        <v>1886</v>
      </c>
      <c r="J1392" s="36"/>
      <c r="K1392" s="36"/>
      <c r="L1392" s="36"/>
      <c r="M1392" s="36"/>
      <c r="N1392" s="36"/>
      <c r="O1392" s="36"/>
      <c r="P1392" s="36"/>
      <c r="Q1392" s="36"/>
      <c r="R1392" s="36"/>
    </row>
    <row r="1393" spans="1:18" x14ac:dyDescent="0.25">
      <c r="A1393" s="22" t="s">
        <v>2691</v>
      </c>
      <c r="B1393" s="22" t="s">
        <v>201</v>
      </c>
      <c r="C1393" s="22" t="s">
        <v>202</v>
      </c>
      <c r="D1393" s="22" t="s">
        <v>2690</v>
      </c>
      <c r="E1393" s="22" t="s">
        <v>57</v>
      </c>
      <c r="F1393" s="23">
        <v>-32700</v>
      </c>
      <c r="G1393" s="24">
        <v>44398</v>
      </c>
      <c r="H1393" s="22" t="s">
        <v>2689</v>
      </c>
      <c r="I1393" s="22" t="s">
        <v>2692</v>
      </c>
      <c r="J1393" s="22"/>
      <c r="K1393" s="22"/>
      <c r="L1393" s="22"/>
      <c r="M1393" s="22"/>
      <c r="N1393" s="22"/>
      <c r="O1393" s="22"/>
      <c r="P1393" s="22"/>
      <c r="Q1393" s="22"/>
      <c r="R1393" s="22"/>
    </row>
    <row r="1394" spans="1:18" x14ac:dyDescent="0.25">
      <c r="A1394" s="22" t="s">
        <v>2691</v>
      </c>
      <c r="B1394" s="22" t="s">
        <v>201</v>
      </c>
      <c r="C1394" s="22" t="s">
        <v>202</v>
      </c>
      <c r="D1394" s="22" t="s">
        <v>2689</v>
      </c>
      <c r="E1394" s="22" t="s">
        <v>45</v>
      </c>
      <c r="F1394" s="23">
        <v>32700</v>
      </c>
      <c r="G1394" s="24">
        <v>44398</v>
      </c>
      <c r="H1394" s="22" t="s">
        <v>2689</v>
      </c>
      <c r="I1394" s="22"/>
      <c r="J1394" s="22"/>
      <c r="K1394" s="22"/>
      <c r="L1394" s="22"/>
      <c r="M1394" s="22"/>
      <c r="N1394" s="22"/>
      <c r="O1394" s="22"/>
      <c r="P1394" s="22"/>
      <c r="Q1394" s="22"/>
      <c r="R1394" s="22"/>
    </row>
    <row r="1395" spans="1:18" x14ac:dyDescent="0.25">
      <c r="A1395" s="22" t="s">
        <v>2691</v>
      </c>
      <c r="B1395" s="22" t="s">
        <v>201</v>
      </c>
      <c r="C1395" s="22" t="s">
        <v>202</v>
      </c>
      <c r="D1395" s="22" t="s">
        <v>2689</v>
      </c>
      <c r="E1395" s="22" t="s">
        <v>45</v>
      </c>
      <c r="F1395" s="23">
        <v>-25950</v>
      </c>
      <c r="G1395" s="24">
        <v>44398</v>
      </c>
      <c r="H1395" s="22" t="s">
        <v>2689</v>
      </c>
      <c r="I1395" s="22"/>
      <c r="J1395" s="22"/>
      <c r="K1395" s="22"/>
      <c r="L1395" s="22"/>
      <c r="M1395" s="22"/>
      <c r="N1395" s="22"/>
      <c r="O1395" s="22"/>
      <c r="P1395" s="22"/>
      <c r="Q1395" s="22"/>
      <c r="R1395" s="22"/>
    </row>
    <row r="1396" spans="1:18" s="39" customFormat="1" x14ac:dyDescent="0.25">
      <c r="A1396" s="36" t="s">
        <v>2694</v>
      </c>
      <c r="B1396" s="36" t="s">
        <v>201</v>
      </c>
      <c r="C1396" s="36" t="s">
        <v>202</v>
      </c>
      <c r="D1396" s="36" t="s">
        <v>2693</v>
      </c>
      <c r="E1396" s="36" t="s">
        <v>42</v>
      </c>
      <c r="F1396" s="37">
        <v>31700</v>
      </c>
      <c r="G1396" s="38">
        <v>44214</v>
      </c>
      <c r="H1396" s="36" t="s">
        <v>2695</v>
      </c>
      <c r="I1396" s="36" t="s">
        <v>1741</v>
      </c>
      <c r="J1396" s="36"/>
      <c r="K1396" s="36"/>
      <c r="L1396" s="36"/>
      <c r="M1396" s="36"/>
      <c r="N1396" s="36"/>
      <c r="O1396" s="36"/>
      <c r="P1396" s="36"/>
      <c r="Q1396" s="36"/>
      <c r="R1396" s="36"/>
    </row>
    <row r="1397" spans="1:18" x14ac:dyDescent="0.25">
      <c r="A1397" s="22" t="s">
        <v>2697</v>
      </c>
      <c r="B1397" s="22" t="s">
        <v>201</v>
      </c>
      <c r="C1397" s="22" t="s">
        <v>202</v>
      </c>
      <c r="D1397" s="22" t="s">
        <v>2696</v>
      </c>
      <c r="E1397" s="22" t="s">
        <v>45</v>
      </c>
      <c r="F1397" s="23">
        <v>-49698</v>
      </c>
      <c r="G1397" s="24">
        <v>44366</v>
      </c>
      <c r="H1397" s="22" t="s">
        <v>2695</v>
      </c>
      <c r="I1397" s="22" t="s">
        <v>2698</v>
      </c>
      <c r="J1397" s="22"/>
      <c r="K1397" s="22"/>
      <c r="L1397" s="22"/>
      <c r="M1397" s="22"/>
      <c r="N1397" s="22"/>
      <c r="O1397" s="22"/>
      <c r="P1397" s="22"/>
      <c r="Q1397" s="22"/>
      <c r="R1397" s="22"/>
    </row>
    <row r="1398" spans="1:18" x14ac:dyDescent="0.25">
      <c r="A1398" s="22" t="s">
        <v>2697</v>
      </c>
      <c r="B1398" s="22" t="s">
        <v>201</v>
      </c>
      <c r="C1398" s="22" t="s">
        <v>202</v>
      </c>
      <c r="D1398" s="22" t="s">
        <v>2695</v>
      </c>
      <c r="E1398" s="22" t="s">
        <v>45</v>
      </c>
      <c r="F1398" s="23">
        <v>17998</v>
      </c>
      <c r="G1398" s="24">
        <v>44366</v>
      </c>
      <c r="H1398" s="22" t="s">
        <v>2695</v>
      </c>
      <c r="I1398" s="22"/>
      <c r="J1398" s="22"/>
      <c r="K1398" s="22"/>
      <c r="L1398" s="22"/>
      <c r="M1398" s="22"/>
      <c r="N1398" s="22"/>
      <c r="O1398" s="22"/>
      <c r="P1398" s="22"/>
      <c r="Q1398" s="22"/>
      <c r="R1398" s="22"/>
    </row>
    <row r="1399" spans="1:18" s="39" customFormat="1" x14ac:dyDescent="0.25">
      <c r="A1399" s="36" t="s">
        <v>2700</v>
      </c>
      <c r="B1399" s="36" t="s">
        <v>201</v>
      </c>
      <c r="C1399" s="36" t="s">
        <v>202</v>
      </c>
      <c r="D1399" s="36" t="s">
        <v>2699</v>
      </c>
      <c r="E1399" s="36" t="s">
        <v>42</v>
      </c>
      <c r="F1399" s="37">
        <v>32775</v>
      </c>
      <c r="G1399" s="38">
        <v>44355</v>
      </c>
      <c r="H1399" s="36" t="s">
        <v>2701</v>
      </c>
      <c r="I1399" s="36" t="s">
        <v>605</v>
      </c>
      <c r="J1399" s="36"/>
      <c r="K1399" s="36"/>
      <c r="L1399" s="36"/>
      <c r="M1399" s="36"/>
      <c r="N1399" s="36"/>
      <c r="O1399" s="36"/>
      <c r="P1399" s="36"/>
      <c r="Q1399" s="36"/>
      <c r="R1399" s="36"/>
    </row>
    <row r="1400" spans="1:18" x14ac:dyDescent="0.25">
      <c r="A1400" s="22" t="s">
        <v>2647</v>
      </c>
      <c r="B1400" s="22" t="s">
        <v>201</v>
      </c>
      <c r="C1400" s="22" t="s">
        <v>202</v>
      </c>
      <c r="D1400" s="22" t="s">
        <v>2646</v>
      </c>
      <c r="E1400" s="22" t="s">
        <v>45</v>
      </c>
      <c r="F1400" s="23">
        <v>-16136</v>
      </c>
      <c r="G1400" s="24">
        <v>44384</v>
      </c>
      <c r="H1400" s="22" t="s">
        <v>2701</v>
      </c>
      <c r="I1400" s="22" t="s">
        <v>241</v>
      </c>
      <c r="J1400" s="22"/>
      <c r="K1400" s="22"/>
      <c r="L1400" s="22"/>
      <c r="M1400" s="22"/>
      <c r="N1400" s="22"/>
      <c r="O1400" s="22"/>
      <c r="P1400" s="22"/>
      <c r="Q1400" s="22"/>
      <c r="R1400" s="22"/>
    </row>
    <row r="1401" spans="1:18" x14ac:dyDescent="0.25">
      <c r="A1401" s="22" t="s">
        <v>2703</v>
      </c>
      <c r="B1401" s="22" t="s">
        <v>201</v>
      </c>
      <c r="C1401" s="22" t="s">
        <v>202</v>
      </c>
      <c r="D1401" s="22" t="s">
        <v>2702</v>
      </c>
      <c r="E1401" s="22" t="s">
        <v>57</v>
      </c>
      <c r="F1401" s="23">
        <v>-37100</v>
      </c>
      <c r="G1401" s="24">
        <v>44393</v>
      </c>
      <c r="H1401" s="22" t="s">
        <v>2701</v>
      </c>
      <c r="I1401" s="22" t="s">
        <v>319</v>
      </c>
      <c r="J1401" s="22"/>
      <c r="K1401" s="22"/>
      <c r="L1401" s="22"/>
      <c r="M1401" s="22"/>
      <c r="N1401" s="22"/>
      <c r="O1401" s="22"/>
      <c r="P1401" s="22"/>
      <c r="Q1401" s="22"/>
      <c r="R1401" s="22"/>
    </row>
    <row r="1402" spans="1:18" x14ac:dyDescent="0.25">
      <c r="A1402" s="22" t="s">
        <v>2703</v>
      </c>
      <c r="B1402" s="22" t="s">
        <v>201</v>
      </c>
      <c r="C1402" s="22" t="s">
        <v>202</v>
      </c>
      <c r="D1402" s="22" t="s">
        <v>2701</v>
      </c>
      <c r="E1402" s="22" t="s">
        <v>45</v>
      </c>
      <c r="F1402" s="23">
        <v>53236</v>
      </c>
      <c r="G1402" s="24">
        <v>44393</v>
      </c>
      <c r="H1402" s="22" t="s">
        <v>2701</v>
      </c>
      <c r="I1402" s="22"/>
      <c r="J1402" s="22"/>
      <c r="K1402" s="22"/>
      <c r="L1402" s="22"/>
      <c r="M1402" s="22"/>
      <c r="N1402" s="22"/>
      <c r="O1402" s="22"/>
      <c r="P1402" s="22"/>
      <c r="Q1402" s="22"/>
      <c r="R1402" s="22"/>
    </row>
    <row r="1403" spans="1:18" x14ac:dyDescent="0.25">
      <c r="A1403" s="22" t="s">
        <v>2703</v>
      </c>
      <c r="B1403" s="22" t="s">
        <v>201</v>
      </c>
      <c r="C1403" s="22" t="s">
        <v>202</v>
      </c>
      <c r="D1403" s="22" t="s">
        <v>2701</v>
      </c>
      <c r="E1403" s="22" t="s">
        <v>45</v>
      </c>
      <c r="F1403" s="23">
        <v>-32775</v>
      </c>
      <c r="G1403" s="24">
        <v>44393</v>
      </c>
      <c r="H1403" s="22" t="s">
        <v>2701</v>
      </c>
      <c r="I1403" s="22"/>
      <c r="J1403" s="22"/>
      <c r="K1403" s="22"/>
      <c r="L1403" s="22"/>
      <c r="M1403" s="22"/>
      <c r="N1403" s="22"/>
      <c r="O1403" s="22"/>
      <c r="P1403" s="22"/>
      <c r="Q1403" s="22"/>
      <c r="R1403" s="22"/>
    </row>
    <row r="1404" spans="1:18" s="39" customFormat="1" x14ac:dyDescent="0.25">
      <c r="A1404" s="36" t="s">
        <v>2705</v>
      </c>
      <c r="B1404" s="36" t="s">
        <v>201</v>
      </c>
      <c r="C1404" s="36" t="s">
        <v>202</v>
      </c>
      <c r="D1404" s="36" t="s">
        <v>2704</v>
      </c>
      <c r="E1404" s="36" t="s">
        <v>42</v>
      </c>
      <c r="F1404" s="37">
        <v>170468</v>
      </c>
      <c r="G1404" s="38">
        <v>44355</v>
      </c>
      <c r="H1404" s="36" t="s">
        <v>2646</v>
      </c>
      <c r="I1404" s="36" t="s">
        <v>605</v>
      </c>
      <c r="J1404" s="36"/>
      <c r="K1404" s="36"/>
      <c r="L1404" s="36"/>
      <c r="M1404" s="36"/>
      <c r="N1404" s="36"/>
      <c r="O1404" s="36"/>
      <c r="P1404" s="36"/>
      <c r="Q1404" s="36"/>
      <c r="R1404" s="36"/>
    </row>
    <row r="1405" spans="1:18" x14ac:dyDescent="0.25">
      <c r="A1405" s="22" t="s">
        <v>2707</v>
      </c>
      <c r="B1405" s="22" t="s">
        <v>201</v>
      </c>
      <c r="C1405" s="22" t="s">
        <v>202</v>
      </c>
      <c r="D1405" s="22" t="s">
        <v>2706</v>
      </c>
      <c r="E1405" s="22" t="s">
        <v>57</v>
      </c>
      <c r="F1405" s="23">
        <v>-65400</v>
      </c>
      <c r="G1405" s="24">
        <v>44392</v>
      </c>
      <c r="H1405" s="22" t="s">
        <v>2646</v>
      </c>
      <c r="I1405" s="22" t="s">
        <v>319</v>
      </c>
      <c r="J1405" s="22"/>
      <c r="K1405" s="22"/>
      <c r="L1405" s="22"/>
      <c r="M1405" s="22"/>
      <c r="N1405" s="22"/>
      <c r="O1405" s="22"/>
      <c r="P1405" s="22"/>
      <c r="Q1405" s="22"/>
      <c r="R1405" s="22"/>
    </row>
    <row r="1406" spans="1:18" x14ac:dyDescent="0.25">
      <c r="A1406" s="22" t="s">
        <v>2647</v>
      </c>
      <c r="B1406" s="22" t="s">
        <v>201</v>
      </c>
      <c r="C1406" s="22" t="s">
        <v>202</v>
      </c>
      <c r="D1406" s="22" t="s">
        <v>2708</v>
      </c>
      <c r="E1406" s="22" t="s">
        <v>57</v>
      </c>
      <c r="F1406" s="23">
        <v>-112100</v>
      </c>
      <c r="G1406" s="24">
        <v>44384</v>
      </c>
      <c r="H1406" s="22" t="s">
        <v>2646</v>
      </c>
      <c r="I1406" s="22" t="s">
        <v>319</v>
      </c>
      <c r="J1406" s="22"/>
      <c r="K1406" s="22"/>
      <c r="L1406" s="22"/>
      <c r="M1406" s="22"/>
      <c r="N1406" s="22"/>
      <c r="O1406" s="22"/>
      <c r="P1406" s="22"/>
      <c r="Q1406" s="22"/>
      <c r="R1406" s="22"/>
    </row>
    <row r="1407" spans="1:18" x14ac:dyDescent="0.25">
      <c r="A1407" s="22" t="s">
        <v>2654</v>
      </c>
      <c r="B1407" s="22" t="s">
        <v>201</v>
      </c>
      <c r="C1407" s="22" t="s">
        <v>202</v>
      </c>
      <c r="D1407" s="22" t="s">
        <v>2650</v>
      </c>
      <c r="E1407" s="22" t="s">
        <v>45</v>
      </c>
      <c r="F1407" s="23">
        <v>-9104</v>
      </c>
      <c r="G1407" s="24">
        <v>44407</v>
      </c>
      <c r="H1407" s="22" t="s">
        <v>2646</v>
      </c>
      <c r="I1407" s="22" t="s">
        <v>2709</v>
      </c>
      <c r="J1407" s="22"/>
      <c r="K1407" s="22"/>
      <c r="L1407" s="22"/>
      <c r="M1407" s="22"/>
      <c r="N1407" s="22"/>
      <c r="O1407" s="22"/>
      <c r="P1407" s="22"/>
      <c r="Q1407" s="22"/>
      <c r="R1407" s="22"/>
    </row>
    <row r="1408" spans="1:18" x14ac:dyDescent="0.25">
      <c r="A1408" s="22" t="s">
        <v>2711</v>
      </c>
      <c r="B1408" s="22" t="s">
        <v>201</v>
      </c>
      <c r="C1408" s="22" t="s">
        <v>202</v>
      </c>
      <c r="D1408" s="22" t="s">
        <v>2710</v>
      </c>
      <c r="E1408" s="22" t="s">
        <v>588</v>
      </c>
      <c r="F1408" s="23">
        <v>-759601</v>
      </c>
      <c r="G1408" s="24">
        <v>44161</v>
      </c>
      <c r="H1408" s="22" t="s">
        <v>2669</v>
      </c>
      <c r="I1408" s="22" t="s">
        <v>2712</v>
      </c>
      <c r="J1408" s="22"/>
      <c r="K1408" s="22"/>
      <c r="L1408" s="22"/>
      <c r="M1408" s="22"/>
      <c r="N1408" s="22"/>
      <c r="O1408" s="22"/>
      <c r="P1408" s="22"/>
      <c r="Q1408" s="22"/>
      <c r="R1408" s="22"/>
    </row>
    <row r="1409" spans="1:18" x14ac:dyDescent="0.25">
      <c r="A1409" s="22" t="s">
        <v>2714</v>
      </c>
      <c r="B1409" s="22" t="s">
        <v>201</v>
      </c>
      <c r="C1409" s="22" t="s">
        <v>202</v>
      </c>
      <c r="D1409" s="22" t="s">
        <v>2713</v>
      </c>
      <c r="E1409" s="22" t="s">
        <v>57</v>
      </c>
      <c r="F1409" s="23">
        <v>-18800</v>
      </c>
      <c r="G1409" s="24">
        <v>44403</v>
      </c>
      <c r="H1409" s="22" t="s">
        <v>2715</v>
      </c>
      <c r="I1409" s="22" t="s">
        <v>2329</v>
      </c>
      <c r="J1409" s="22"/>
      <c r="K1409" s="22"/>
      <c r="L1409" s="22"/>
      <c r="M1409" s="22"/>
      <c r="N1409" s="22"/>
      <c r="O1409" s="22"/>
      <c r="P1409" s="22"/>
      <c r="Q1409" s="22"/>
      <c r="R1409" s="22"/>
    </row>
    <row r="1410" spans="1:18" x14ac:dyDescent="0.25">
      <c r="A1410" s="22" t="s">
        <v>2717</v>
      </c>
      <c r="B1410" s="22" t="s">
        <v>201</v>
      </c>
      <c r="C1410" s="22" t="s">
        <v>202</v>
      </c>
      <c r="D1410" s="22" t="s">
        <v>2716</v>
      </c>
      <c r="E1410" s="22" t="s">
        <v>57</v>
      </c>
      <c r="F1410" s="23">
        <v>-18800</v>
      </c>
      <c r="G1410" s="24">
        <v>44398</v>
      </c>
      <c r="H1410" s="22" t="s">
        <v>2715</v>
      </c>
      <c r="I1410" s="22" t="s">
        <v>280</v>
      </c>
      <c r="J1410" s="22"/>
      <c r="K1410" s="22"/>
      <c r="L1410" s="22"/>
      <c r="M1410" s="22"/>
      <c r="N1410" s="22"/>
      <c r="O1410" s="22"/>
      <c r="P1410" s="22"/>
      <c r="Q1410" s="22"/>
      <c r="R1410" s="22"/>
    </row>
    <row r="1411" spans="1:18" x14ac:dyDescent="0.25">
      <c r="A1411" s="22" t="s">
        <v>2719</v>
      </c>
      <c r="B1411" s="22" t="s">
        <v>201</v>
      </c>
      <c r="C1411" s="22" t="s">
        <v>202</v>
      </c>
      <c r="D1411" s="22" t="s">
        <v>2718</v>
      </c>
      <c r="E1411" s="22" t="s">
        <v>57</v>
      </c>
      <c r="F1411" s="23">
        <v>-344100</v>
      </c>
      <c r="G1411" s="24">
        <v>44393</v>
      </c>
      <c r="H1411" s="22" t="s">
        <v>2715</v>
      </c>
      <c r="I1411" s="22" t="s">
        <v>309</v>
      </c>
      <c r="J1411" s="22"/>
      <c r="K1411" s="22"/>
      <c r="L1411" s="22"/>
      <c r="M1411" s="22"/>
      <c r="N1411" s="22"/>
      <c r="O1411" s="22"/>
      <c r="P1411" s="22"/>
      <c r="Q1411" s="22"/>
      <c r="R1411" s="22"/>
    </row>
    <row r="1412" spans="1:18" x14ac:dyDescent="0.25">
      <c r="A1412" s="22" t="s">
        <v>2721</v>
      </c>
      <c r="B1412" s="22" t="s">
        <v>201</v>
      </c>
      <c r="C1412" s="22" t="s">
        <v>202</v>
      </c>
      <c r="D1412" s="22" t="s">
        <v>2720</v>
      </c>
      <c r="E1412" s="22" t="s">
        <v>57</v>
      </c>
      <c r="F1412" s="23">
        <v>-56200</v>
      </c>
      <c r="G1412" s="24">
        <v>44393</v>
      </c>
      <c r="H1412" s="22" t="s">
        <v>2715</v>
      </c>
      <c r="I1412" s="22" t="s">
        <v>897</v>
      </c>
      <c r="J1412" s="22"/>
      <c r="K1412" s="22"/>
      <c r="L1412" s="22"/>
      <c r="M1412" s="22"/>
      <c r="N1412" s="22"/>
      <c r="O1412" s="22"/>
      <c r="P1412" s="22"/>
      <c r="Q1412" s="22"/>
      <c r="R1412" s="22"/>
    </row>
    <row r="1413" spans="1:18" x14ac:dyDescent="0.25">
      <c r="A1413" s="22" t="s">
        <v>2723</v>
      </c>
      <c r="B1413" s="22" t="s">
        <v>201</v>
      </c>
      <c r="C1413" s="22" t="s">
        <v>202</v>
      </c>
      <c r="D1413" s="22" t="s">
        <v>2722</v>
      </c>
      <c r="E1413" s="22" t="s">
        <v>57</v>
      </c>
      <c r="F1413" s="23">
        <v>-75500</v>
      </c>
      <c r="G1413" s="24">
        <v>44389</v>
      </c>
      <c r="H1413" s="22" t="s">
        <v>2715</v>
      </c>
      <c r="I1413" s="22" t="s">
        <v>280</v>
      </c>
      <c r="J1413" s="22"/>
      <c r="K1413" s="22"/>
      <c r="L1413" s="22"/>
      <c r="M1413" s="22"/>
      <c r="N1413" s="22"/>
      <c r="O1413" s="22"/>
      <c r="P1413" s="22"/>
      <c r="Q1413" s="22"/>
      <c r="R1413" s="22"/>
    </row>
    <row r="1414" spans="1:18" x14ac:dyDescent="0.25">
      <c r="A1414" s="22" t="s">
        <v>2725</v>
      </c>
      <c r="B1414" s="22" t="s">
        <v>201</v>
      </c>
      <c r="C1414" s="22" t="s">
        <v>202</v>
      </c>
      <c r="D1414" s="22" t="s">
        <v>2724</v>
      </c>
      <c r="E1414" s="22" t="s">
        <v>57</v>
      </c>
      <c r="F1414" s="23">
        <v>-32700</v>
      </c>
      <c r="G1414" s="24">
        <v>44386</v>
      </c>
      <c r="H1414" s="22" t="s">
        <v>2715</v>
      </c>
      <c r="I1414" s="22" t="s">
        <v>2726</v>
      </c>
      <c r="J1414" s="22"/>
      <c r="K1414" s="22"/>
      <c r="L1414" s="22"/>
      <c r="M1414" s="22"/>
      <c r="N1414" s="22"/>
      <c r="O1414" s="22"/>
      <c r="P1414" s="22"/>
      <c r="Q1414" s="22"/>
      <c r="R1414" s="22"/>
    </row>
    <row r="1415" spans="1:18" x14ac:dyDescent="0.25">
      <c r="A1415" s="22" t="s">
        <v>2728</v>
      </c>
      <c r="B1415" s="22" t="s">
        <v>201</v>
      </c>
      <c r="C1415" s="22" t="s">
        <v>202</v>
      </c>
      <c r="D1415" s="22" t="s">
        <v>2727</v>
      </c>
      <c r="E1415" s="22" t="s">
        <v>57</v>
      </c>
      <c r="F1415" s="23">
        <v>-18800</v>
      </c>
      <c r="G1415" s="24">
        <v>44386</v>
      </c>
      <c r="H1415" s="22" t="s">
        <v>2715</v>
      </c>
      <c r="I1415" s="22" t="s">
        <v>2726</v>
      </c>
      <c r="J1415" s="22"/>
      <c r="K1415" s="22"/>
      <c r="L1415" s="22"/>
      <c r="M1415" s="22"/>
      <c r="N1415" s="22"/>
      <c r="O1415" s="22"/>
      <c r="P1415" s="22"/>
      <c r="Q1415" s="22"/>
      <c r="R1415" s="22"/>
    </row>
    <row r="1416" spans="1:18" x14ac:dyDescent="0.25">
      <c r="A1416" s="22" t="s">
        <v>2730</v>
      </c>
      <c r="B1416" s="22" t="s">
        <v>201</v>
      </c>
      <c r="C1416" s="22" t="s">
        <v>202</v>
      </c>
      <c r="D1416" s="22" t="s">
        <v>2729</v>
      </c>
      <c r="E1416" s="22" t="s">
        <v>57</v>
      </c>
      <c r="F1416" s="23">
        <v>-99200</v>
      </c>
      <c r="G1416" s="24">
        <v>44384</v>
      </c>
      <c r="H1416" s="22" t="s">
        <v>2715</v>
      </c>
      <c r="I1416" s="22" t="s">
        <v>823</v>
      </c>
      <c r="J1416" s="22"/>
      <c r="K1416" s="22"/>
      <c r="L1416" s="22"/>
      <c r="M1416" s="22"/>
      <c r="N1416" s="22"/>
      <c r="O1416" s="22"/>
      <c r="P1416" s="22"/>
      <c r="Q1416" s="22"/>
      <c r="R1416" s="22"/>
    </row>
    <row r="1417" spans="1:18" x14ac:dyDescent="0.25">
      <c r="A1417" s="22" t="s">
        <v>2732</v>
      </c>
      <c r="B1417" s="22" t="s">
        <v>201</v>
      </c>
      <c r="C1417" s="22" t="s">
        <v>202</v>
      </c>
      <c r="D1417" s="22" t="s">
        <v>2731</v>
      </c>
      <c r="E1417" s="22" t="s">
        <v>57</v>
      </c>
      <c r="F1417" s="23">
        <v>-43700</v>
      </c>
      <c r="G1417" s="24">
        <v>44383</v>
      </c>
      <c r="H1417" s="22" t="s">
        <v>2715</v>
      </c>
      <c r="I1417" s="22" t="s">
        <v>836</v>
      </c>
      <c r="J1417" s="22"/>
      <c r="K1417" s="22"/>
      <c r="L1417" s="22"/>
      <c r="M1417" s="22"/>
      <c r="N1417" s="22"/>
      <c r="O1417" s="22"/>
      <c r="P1417" s="22"/>
      <c r="Q1417" s="22"/>
      <c r="R1417" s="22"/>
    </row>
    <row r="1418" spans="1:18" x14ac:dyDescent="0.25">
      <c r="A1418" s="22" t="s">
        <v>2734</v>
      </c>
      <c r="B1418" s="22" t="s">
        <v>201</v>
      </c>
      <c r="C1418" s="22" t="s">
        <v>202</v>
      </c>
      <c r="D1418" s="22" t="s">
        <v>2733</v>
      </c>
      <c r="E1418" s="22" t="s">
        <v>57</v>
      </c>
      <c r="F1418" s="23">
        <v>-29200</v>
      </c>
      <c r="G1418" s="24">
        <v>44379</v>
      </c>
      <c r="H1418" s="22" t="s">
        <v>2715</v>
      </c>
      <c r="I1418" s="22" t="s">
        <v>836</v>
      </c>
      <c r="J1418" s="22"/>
      <c r="K1418" s="22"/>
      <c r="L1418" s="22"/>
      <c r="M1418" s="22"/>
      <c r="N1418" s="22"/>
      <c r="O1418" s="22"/>
      <c r="P1418" s="22"/>
      <c r="Q1418" s="22"/>
      <c r="R1418" s="22"/>
    </row>
    <row r="1419" spans="1:18" x14ac:dyDescent="0.25">
      <c r="A1419" s="22" t="s">
        <v>2736</v>
      </c>
      <c r="B1419" s="22" t="s">
        <v>201</v>
      </c>
      <c r="C1419" s="22" t="s">
        <v>202</v>
      </c>
      <c r="D1419" s="22" t="s">
        <v>2735</v>
      </c>
      <c r="E1419" s="22" t="s">
        <v>57</v>
      </c>
      <c r="F1419" s="23">
        <v>-43700</v>
      </c>
      <c r="G1419" s="24">
        <v>44379</v>
      </c>
      <c r="H1419" s="22" t="s">
        <v>2715</v>
      </c>
      <c r="I1419" s="22" t="s">
        <v>2737</v>
      </c>
      <c r="J1419" s="22"/>
      <c r="K1419" s="22"/>
      <c r="L1419" s="22"/>
      <c r="M1419" s="22"/>
      <c r="N1419" s="22"/>
      <c r="O1419" s="22"/>
      <c r="P1419" s="22"/>
      <c r="Q1419" s="22"/>
      <c r="R1419" s="22"/>
    </row>
    <row r="1420" spans="1:18" x14ac:dyDescent="0.25">
      <c r="A1420" s="22" t="s">
        <v>2739</v>
      </c>
      <c r="B1420" s="22" t="s">
        <v>201</v>
      </c>
      <c r="C1420" s="22" t="s">
        <v>202</v>
      </c>
      <c r="D1420" s="22" t="s">
        <v>2738</v>
      </c>
      <c r="E1420" s="22" t="s">
        <v>57</v>
      </c>
      <c r="F1420" s="23">
        <v>-43700</v>
      </c>
      <c r="G1420" s="24">
        <v>44379</v>
      </c>
      <c r="H1420" s="22" t="s">
        <v>2715</v>
      </c>
      <c r="I1420" s="22" t="s">
        <v>2740</v>
      </c>
      <c r="J1420" s="22"/>
      <c r="K1420" s="22"/>
      <c r="L1420" s="22"/>
      <c r="M1420" s="22"/>
      <c r="N1420" s="22"/>
      <c r="O1420" s="22"/>
      <c r="P1420" s="22"/>
      <c r="Q1420" s="22"/>
      <c r="R1420" s="22"/>
    </row>
    <row r="1421" spans="1:18" x14ac:dyDescent="0.25">
      <c r="A1421" s="22" t="s">
        <v>2742</v>
      </c>
      <c r="B1421" s="22" t="s">
        <v>201</v>
      </c>
      <c r="C1421" s="22" t="s">
        <v>202</v>
      </c>
      <c r="D1421" s="22" t="s">
        <v>2741</v>
      </c>
      <c r="E1421" s="22" t="s">
        <v>57</v>
      </c>
      <c r="F1421" s="23">
        <v>-53700</v>
      </c>
      <c r="G1421" s="24">
        <v>44408</v>
      </c>
      <c r="H1421" s="22" t="s">
        <v>2715</v>
      </c>
      <c r="I1421" s="22" t="s">
        <v>2743</v>
      </c>
      <c r="J1421" s="22"/>
      <c r="K1421" s="22"/>
      <c r="L1421" s="22"/>
      <c r="M1421" s="22"/>
      <c r="N1421" s="22"/>
      <c r="O1421" s="22"/>
      <c r="P1421" s="22"/>
      <c r="Q1421" s="22"/>
      <c r="R1421" s="22"/>
    </row>
    <row r="1422" spans="1:18" x14ac:dyDescent="0.25">
      <c r="A1422" s="22" t="s">
        <v>2745</v>
      </c>
      <c r="B1422" s="22" t="s">
        <v>201</v>
      </c>
      <c r="C1422" s="22" t="s">
        <v>202</v>
      </c>
      <c r="D1422" s="22" t="s">
        <v>2744</v>
      </c>
      <c r="E1422" s="22" t="s">
        <v>57</v>
      </c>
      <c r="F1422" s="23">
        <v>-37863741</v>
      </c>
      <c r="G1422" s="24">
        <v>44407</v>
      </c>
      <c r="H1422" s="22" t="s">
        <v>2715</v>
      </c>
      <c r="I1422" s="22" t="s">
        <v>2415</v>
      </c>
      <c r="J1422" s="22"/>
      <c r="K1422" s="22"/>
      <c r="L1422" s="22"/>
      <c r="M1422" s="22"/>
      <c r="N1422" s="22"/>
      <c r="O1422" s="22"/>
      <c r="P1422" s="22"/>
      <c r="Q1422" s="22"/>
      <c r="R1422" s="22"/>
    </row>
    <row r="1423" spans="1:18" x14ac:dyDescent="0.25">
      <c r="A1423" s="22" t="s">
        <v>2747</v>
      </c>
      <c r="B1423" s="22" t="s">
        <v>201</v>
      </c>
      <c r="C1423" s="22" t="s">
        <v>202</v>
      </c>
      <c r="D1423" s="22" t="s">
        <v>2746</v>
      </c>
      <c r="E1423" s="22" t="s">
        <v>57</v>
      </c>
      <c r="F1423" s="23">
        <v>-47200</v>
      </c>
      <c r="G1423" s="24">
        <v>44406</v>
      </c>
      <c r="H1423" s="22" t="s">
        <v>2715</v>
      </c>
      <c r="I1423" s="22" t="s">
        <v>919</v>
      </c>
      <c r="J1423" s="22"/>
      <c r="K1423" s="22"/>
      <c r="L1423" s="22"/>
      <c r="M1423" s="22"/>
      <c r="N1423" s="22"/>
      <c r="O1423" s="22"/>
      <c r="P1423" s="22"/>
      <c r="Q1423" s="22"/>
      <c r="R1423" s="22"/>
    </row>
    <row r="1424" spans="1:18" x14ac:dyDescent="0.25">
      <c r="A1424" s="22" t="s">
        <v>2749</v>
      </c>
      <c r="B1424" s="22" t="s">
        <v>201</v>
      </c>
      <c r="C1424" s="22" t="s">
        <v>202</v>
      </c>
      <c r="D1424" s="22" t="s">
        <v>2748</v>
      </c>
      <c r="E1424" s="22" t="s">
        <v>57</v>
      </c>
      <c r="F1424" s="23">
        <v>-44700</v>
      </c>
      <c r="G1424" s="24">
        <v>44405</v>
      </c>
      <c r="H1424" s="22" t="s">
        <v>2715</v>
      </c>
      <c r="I1424" s="22" t="s">
        <v>743</v>
      </c>
      <c r="J1424" s="22"/>
      <c r="K1424" s="22"/>
      <c r="L1424" s="22"/>
      <c r="M1424" s="22"/>
      <c r="N1424" s="22"/>
      <c r="O1424" s="22"/>
      <c r="P1424" s="22"/>
      <c r="Q1424" s="22"/>
      <c r="R1424" s="22"/>
    </row>
    <row r="1425" spans="1:18" x14ac:dyDescent="0.25">
      <c r="A1425" s="22" t="s">
        <v>2751</v>
      </c>
      <c r="B1425" s="22" t="s">
        <v>201</v>
      </c>
      <c r="C1425" s="22" t="s">
        <v>202</v>
      </c>
      <c r="D1425" s="22" t="s">
        <v>2750</v>
      </c>
      <c r="E1425" s="22" t="s">
        <v>57</v>
      </c>
      <c r="F1425" s="23">
        <v>-32700</v>
      </c>
      <c r="G1425" s="24">
        <v>44399</v>
      </c>
      <c r="H1425" s="22" t="s">
        <v>2715</v>
      </c>
      <c r="I1425" s="22" t="s">
        <v>532</v>
      </c>
      <c r="J1425" s="22"/>
      <c r="K1425" s="22"/>
      <c r="L1425" s="22"/>
      <c r="M1425" s="22"/>
      <c r="N1425" s="22"/>
      <c r="O1425" s="22"/>
      <c r="P1425" s="22"/>
      <c r="Q1425" s="22"/>
      <c r="R1425" s="22"/>
    </row>
    <row r="1426" spans="1:18" x14ac:dyDescent="0.25">
      <c r="A1426" s="22" t="s">
        <v>2753</v>
      </c>
      <c r="B1426" s="22" t="s">
        <v>201</v>
      </c>
      <c r="C1426" s="22" t="s">
        <v>202</v>
      </c>
      <c r="D1426" s="22" t="s">
        <v>2752</v>
      </c>
      <c r="E1426" s="22" t="s">
        <v>57</v>
      </c>
      <c r="F1426" s="23">
        <v>-32700</v>
      </c>
      <c r="G1426" s="24">
        <v>44399</v>
      </c>
      <c r="H1426" s="22" t="s">
        <v>2715</v>
      </c>
      <c r="I1426" s="22" t="s">
        <v>2754</v>
      </c>
      <c r="J1426" s="22"/>
      <c r="K1426" s="22"/>
      <c r="L1426" s="22"/>
      <c r="M1426" s="22"/>
      <c r="N1426" s="22"/>
      <c r="O1426" s="22"/>
      <c r="P1426" s="22"/>
      <c r="Q1426" s="22"/>
      <c r="R1426" s="22"/>
    </row>
    <row r="1427" spans="1:18" x14ac:dyDescent="0.25">
      <c r="A1427" s="22" t="s">
        <v>2756</v>
      </c>
      <c r="B1427" s="22" t="s">
        <v>201</v>
      </c>
      <c r="C1427" s="22" t="s">
        <v>202</v>
      </c>
      <c r="D1427" s="22" t="s">
        <v>2755</v>
      </c>
      <c r="E1427" s="22" t="s">
        <v>57</v>
      </c>
      <c r="F1427" s="23">
        <v>-32700</v>
      </c>
      <c r="G1427" s="24">
        <v>44398</v>
      </c>
      <c r="H1427" s="22" t="s">
        <v>2715</v>
      </c>
      <c r="I1427" s="22" t="s">
        <v>542</v>
      </c>
      <c r="J1427" s="22"/>
      <c r="K1427" s="22"/>
      <c r="L1427" s="22"/>
      <c r="M1427" s="22"/>
      <c r="N1427" s="22"/>
      <c r="O1427" s="22"/>
      <c r="P1427" s="22"/>
      <c r="Q1427" s="22"/>
      <c r="R1427" s="22"/>
    </row>
    <row r="1428" spans="1:18" x14ac:dyDescent="0.25">
      <c r="A1428" s="22" t="s">
        <v>2745</v>
      </c>
      <c r="B1428" s="22" t="s">
        <v>201</v>
      </c>
      <c r="C1428" s="22" t="s">
        <v>202</v>
      </c>
      <c r="D1428" s="22" t="s">
        <v>2715</v>
      </c>
      <c r="E1428" s="22" t="s">
        <v>45</v>
      </c>
      <c r="F1428" s="23">
        <v>38107441</v>
      </c>
      <c r="G1428" s="24">
        <v>44407</v>
      </c>
      <c r="H1428" s="22" t="s">
        <v>2715</v>
      </c>
      <c r="I1428" s="22"/>
      <c r="J1428" s="22"/>
      <c r="K1428" s="22"/>
      <c r="L1428" s="22"/>
      <c r="M1428" s="22"/>
      <c r="N1428" s="22"/>
      <c r="O1428" s="22"/>
      <c r="P1428" s="22"/>
      <c r="Q1428" s="22"/>
      <c r="R1428" s="22"/>
    </row>
    <row r="1429" spans="1:18" x14ac:dyDescent="0.25">
      <c r="A1429" s="22" t="s">
        <v>2745</v>
      </c>
      <c r="B1429" s="22" t="s">
        <v>201</v>
      </c>
      <c r="C1429" s="22" t="s">
        <v>202</v>
      </c>
      <c r="D1429" s="22" t="s">
        <v>2715</v>
      </c>
      <c r="E1429" s="22" t="s">
        <v>45</v>
      </c>
      <c r="F1429" s="23">
        <v>-15103283</v>
      </c>
      <c r="G1429" s="24">
        <v>44407</v>
      </c>
      <c r="H1429" s="22" t="s">
        <v>2715</v>
      </c>
      <c r="I1429" s="22"/>
      <c r="J1429" s="22"/>
      <c r="K1429" s="22"/>
      <c r="L1429" s="22"/>
      <c r="M1429" s="22"/>
      <c r="N1429" s="22"/>
      <c r="O1429" s="22"/>
      <c r="P1429" s="22"/>
      <c r="Q1429" s="22"/>
      <c r="R1429" s="22"/>
    </row>
    <row r="1430" spans="1:18" x14ac:dyDescent="0.25">
      <c r="A1430" s="22" t="s">
        <v>2745</v>
      </c>
      <c r="B1430" s="22" t="s">
        <v>201</v>
      </c>
      <c r="C1430" s="22" t="s">
        <v>202</v>
      </c>
      <c r="D1430" s="22" t="s">
        <v>2715</v>
      </c>
      <c r="E1430" s="22" t="s">
        <v>45</v>
      </c>
      <c r="F1430" s="23">
        <v>1456478</v>
      </c>
      <c r="G1430" s="24">
        <v>44407</v>
      </c>
      <c r="H1430" s="22" t="s">
        <v>2715</v>
      </c>
      <c r="I1430" s="22"/>
      <c r="J1430" s="22"/>
      <c r="K1430" s="22"/>
      <c r="L1430" s="22"/>
      <c r="M1430" s="22"/>
      <c r="N1430" s="22"/>
      <c r="O1430" s="22"/>
      <c r="P1430" s="22"/>
      <c r="Q1430" s="22"/>
      <c r="R1430" s="22"/>
    </row>
    <row r="1431" spans="1:18" s="39" customFormat="1" x14ac:dyDescent="0.25">
      <c r="A1431" s="36" t="s">
        <v>2758</v>
      </c>
      <c r="B1431" s="36" t="s">
        <v>201</v>
      </c>
      <c r="C1431" s="36" t="s">
        <v>202</v>
      </c>
      <c r="D1431" s="36" t="s">
        <v>2757</v>
      </c>
      <c r="E1431" s="36" t="s">
        <v>42</v>
      </c>
      <c r="F1431" s="37">
        <v>1217170</v>
      </c>
      <c r="G1431" s="38">
        <v>44295</v>
      </c>
      <c r="H1431" s="36" t="s">
        <v>1892</v>
      </c>
      <c r="I1431" s="36" t="s">
        <v>1812</v>
      </c>
      <c r="J1431" s="36"/>
      <c r="K1431" s="36"/>
      <c r="L1431" s="36"/>
      <c r="M1431" s="36"/>
      <c r="N1431" s="36"/>
      <c r="O1431" s="36"/>
      <c r="P1431" s="36"/>
      <c r="Q1431" s="36"/>
      <c r="R1431" s="36"/>
    </row>
    <row r="1432" spans="1:18" x14ac:dyDescent="0.25">
      <c r="A1432" s="22" t="s">
        <v>2760</v>
      </c>
      <c r="B1432" s="22" t="s">
        <v>201</v>
      </c>
      <c r="C1432" s="22" t="s">
        <v>202</v>
      </c>
      <c r="D1432" s="22" t="s">
        <v>2759</v>
      </c>
      <c r="E1432" s="22" t="s">
        <v>57</v>
      </c>
      <c r="F1432" s="23">
        <v>-462328</v>
      </c>
      <c r="G1432" s="24">
        <v>44413</v>
      </c>
      <c r="H1432" s="22" t="s">
        <v>1892</v>
      </c>
      <c r="I1432" s="22" t="s">
        <v>2761</v>
      </c>
      <c r="J1432" s="22"/>
      <c r="K1432" s="22"/>
      <c r="L1432" s="22"/>
      <c r="M1432" s="22"/>
      <c r="N1432" s="22"/>
      <c r="O1432" s="22"/>
      <c r="P1432" s="22"/>
      <c r="Q1432" s="22"/>
      <c r="R1432" s="22"/>
    </row>
    <row r="1433" spans="1:18" x14ac:dyDescent="0.25">
      <c r="A1433" s="22" t="s">
        <v>2763</v>
      </c>
      <c r="B1433" s="22" t="s">
        <v>201</v>
      </c>
      <c r="C1433" s="22" t="s">
        <v>202</v>
      </c>
      <c r="D1433" s="22" t="s">
        <v>2762</v>
      </c>
      <c r="E1433" s="22" t="s">
        <v>588</v>
      </c>
      <c r="F1433" s="23">
        <v>-142800</v>
      </c>
      <c r="G1433" s="24">
        <v>44375</v>
      </c>
      <c r="H1433" s="22" t="s">
        <v>2669</v>
      </c>
      <c r="I1433" s="22" t="s">
        <v>2764</v>
      </c>
      <c r="J1433" s="22"/>
      <c r="K1433" s="22"/>
      <c r="L1433" s="22"/>
      <c r="M1433" s="22"/>
      <c r="N1433" s="22"/>
      <c r="O1433" s="22"/>
      <c r="P1433" s="22"/>
      <c r="Q1433" s="22"/>
      <c r="R1433" s="22"/>
    </row>
    <row r="1434" spans="1:18" s="39" customFormat="1" x14ac:dyDescent="0.25">
      <c r="A1434" s="36" t="s">
        <v>2766</v>
      </c>
      <c r="B1434" s="36" t="s">
        <v>201</v>
      </c>
      <c r="C1434" s="36" t="s">
        <v>202</v>
      </c>
      <c r="D1434" s="36" t="s">
        <v>2765</v>
      </c>
      <c r="E1434" s="36" t="s">
        <v>42</v>
      </c>
      <c r="F1434" s="37">
        <v>3607356</v>
      </c>
      <c r="G1434" s="38">
        <v>44355</v>
      </c>
      <c r="H1434" s="36" t="s">
        <v>2669</v>
      </c>
      <c r="I1434" s="36" t="s">
        <v>605</v>
      </c>
      <c r="J1434" s="36"/>
      <c r="K1434" s="36"/>
      <c r="L1434" s="36"/>
      <c r="M1434" s="36"/>
      <c r="N1434" s="36"/>
      <c r="O1434" s="36"/>
      <c r="P1434" s="36"/>
      <c r="Q1434" s="36"/>
      <c r="R1434" s="36"/>
    </row>
    <row r="1435" spans="1:18" x14ac:dyDescent="0.25">
      <c r="A1435" s="22" t="s">
        <v>181</v>
      </c>
      <c r="B1435" s="22" t="s">
        <v>201</v>
      </c>
      <c r="C1435" s="22" t="s">
        <v>202</v>
      </c>
      <c r="D1435" s="22" t="s">
        <v>183</v>
      </c>
      <c r="E1435" s="22" t="s">
        <v>57</v>
      </c>
      <c r="F1435" s="23">
        <v>-3551640</v>
      </c>
      <c r="G1435" s="24">
        <v>44246</v>
      </c>
      <c r="H1435" s="22" t="s">
        <v>2669</v>
      </c>
      <c r="I1435" s="22" t="s">
        <v>2767</v>
      </c>
      <c r="J1435" s="22"/>
      <c r="K1435" s="22"/>
      <c r="L1435" s="22"/>
      <c r="M1435" s="22"/>
      <c r="N1435" s="22"/>
      <c r="O1435" s="22"/>
      <c r="P1435" s="22"/>
      <c r="Q1435" s="22"/>
      <c r="R1435" s="22"/>
    </row>
    <row r="1436" spans="1:18" x14ac:dyDescent="0.25">
      <c r="A1436" s="22" t="s">
        <v>1894</v>
      </c>
      <c r="B1436" s="22" t="s">
        <v>201</v>
      </c>
      <c r="C1436" s="22" t="s">
        <v>202</v>
      </c>
      <c r="D1436" s="22" t="s">
        <v>1892</v>
      </c>
      <c r="E1436" s="22" t="s">
        <v>45</v>
      </c>
      <c r="F1436" s="23">
        <v>-44737</v>
      </c>
      <c r="G1436" s="24">
        <v>44394</v>
      </c>
      <c r="H1436" s="22" t="s">
        <v>2669</v>
      </c>
      <c r="I1436" s="22" t="s">
        <v>2768</v>
      </c>
      <c r="J1436" s="22"/>
      <c r="K1436" s="22"/>
      <c r="L1436" s="22"/>
      <c r="M1436" s="22"/>
      <c r="N1436" s="22"/>
      <c r="O1436" s="22"/>
      <c r="P1436" s="22"/>
      <c r="Q1436" s="22"/>
      <c r="R1436" s="22"/>
    </row>
    <row r="1437" spans="1:18" x14ac:dyDescent="0.25">
      <c r="A1437" s="22" t="s">
        <v>2770</v>
      </c>
      <c r="B1437" s="22" t="s">
        <v>201</v>
      </c>
      <c r="C1437" s="22" t="s">
        <v>202</v>
      </c>
      <c r="D1437" s="22" t="s">
        <v>2769</v>
      </c>
      <c r="E1437" s="22" t="s">
        <v>57</v>
      </c>
      <c r="F1437" s="23">
        <v>-32700</v>
      </c>
      <c r="G1437" s="24">
        <v>44398</v>
      </c>
      <c r="H1437" s="22" t="s">
        <v>2669</v>
      </c>
      <c r="I1437" s="22" t="s">
        <v>919</v>
      </c>
      <c r="J1437" s="22"/>
      <c r="K1437" s="22"/>
      <c r="L1437" s="22"/>
      <c r="M1437" s="22"/>
      <c r="N1437" s="22"/>
      <c r="O1437" s="22"/>
      <c r="P1437" s="22"/>
      <c r="Q1437" s="22"/>
      <c r="R1437" s="22"/>
    </row>
    <row r="1438" spans="1:18" x14ac:dyDescent="0.25">
      <c r="A1438" s="22" t="s">
        <v>2772</v>
      </c>
      <c r="B1438" s="22" t="s">
        <v>201</v>
      </c>
      <c r="C1438" s="22" t="s">
        <v>202</v>
      </c>
      <c r="D1438" s="22" t="s">
        <v>2771</v>
      </c>
      <c r="E1438" s="22" t="s">
        <v>57</v>
      </c>
      <c r="F1438" s="23">
        <v>-60200</v>
      </c>
      <c r="G1438" s="24">
        <v>44392</v>
      </c>
      <c r="H1438" s="22" t="s">
        <v>2669</v>
      </c>
      <c r="I1438" s="22" t="s">
        <v>743</v>
      </c>
      <c r="J1438" s="22"/>
      <c r="K1438" s="22"/>
      <c r="L1438" s="22"/>
      <c r="M1438" s="22"/>
      <c r="N1438" s="22"/>
      <c r="O1438" s="22"/>
      <c r="P1438" s="22"/>
      <c r="Q1438" s="22"/>
      <c r="R1438" s="22"/>
    </row>
    <row r="1439" spans="1:18" x14ac:dyDescent="0.25">
      <c r="A1439" s="22" t="s">
        <v>2774</v>
      </c>
      <c r="B1439" s="22" t="s">
        <v>201</v>
      </c>
      <c r="C1439" s="22" t="s">
        <v>202</v>
      </c>
      <c r="D1439" s="22" t="s">
        <v>2773</v>
      </c>
      <c r="E1439" s="22" t="s">
        <v>57</v>
      </c>
      <c r="F1439" s="23">
        <v>-32700</v>
      </c>
      <c r="G1439" s="24">
        <v>44392</v>
      </c>
      <c r="H1439" s="22" t="s">
        <v>2669</v>
      </c>
      <c r="I1439" s="22" t="s">
        <v>740</v>
      </c>
      <c r="J1439" s="22"/>
      <c r="K1439" s="22"/>
      <c r="L1439" s="22"/>
      <c r="M1439" s="22"/>
      <c r="N1439" s="22"/>
      <c r="O1439" s="22"/>
      <c r="P1439" s="22"/>
      <c r="Q1439" s="22"/>
      <c r="R1439" s="22"/>
    </row>
    <row r="1440" spans="1:18" x14ac:dyDescent="0.25">
      <c r="A1440" s="22" t="s">
        <v>2776</v>
      </c>
      <c r="B1440" s="22" t="s">
        <v>201</v>
      </c>
      <c r="C1440" s="22" t="s">
        <v>202</v>
      </c>
      <c r="D1440" s="22" t="s">
        <v>2775</v>
      </c>
      <c r="E1440" s="22" t="s">
        <v>57</v>
      </c>
      <c r="F1440" s="23">
        <v>-47200</v>
      </c>
      <c r="G1440" s="24">
        <v>44389</v>
      </c>
      <c r="H1440" s="22" t="s">
        <v>2669</v>
      </c>
      <c r="I1440" s="22" t="s">
        <v>919</v>
      </c>
      <c r="J1440" s="22"/>
      <c r="K1440" s="22"/>
      <c r="L1440" s="22"/>
      <c r="M1440" s="22"/>
      <c r="N1440" s="22"/>
      <c r="O1440" s="22"/>
      <c r="P1440" s="22"/>
      <c r="Q1440" s="22"/>
      <c r="R1440" s="22"/>
    </row>
    <row r="1441" spans="1:18" x14ac:dyDescent="0.25">
      <c r="A1441" s="22" t="s">
        <v>2778</v>
      </c>
      <c r="B1441" s="22" t="s">
        <v>201</v>
      </c>
      <c r="C1441" s="22" t="s">
        <v>202</v>
      </c>
      <c r="D1441" s="22" t="s">
        <v>2777</v>
      </c>
      <c r="E1441" s="22" t="s">
        <v>57</v>
      </c>
      <c r="F1441" s="23">
        <v>-47200</v>
      </c>
      <c r="G1441" s="24">
        <v>44380</v>
      </c>
      <c r="H1441" s="22" t="s">
        <v>2669</v>
      </c>
      <c r="I1441" s="22" t="s">
        <v>743</v>
      </c>
      <c r="J1441" s="22"/>
      <c r="K1441" s="22"/>
      <c r="L1441" s="22"/>
      <c r="M1441" s="22"/>
      <c r="N1441" s="22"/>
      <c r="O1441" s="22"/>
      <c r="P1441" s="22"/>
      <c r="Q1441" s="22"/>
      <c r="R1441" s="22"/>
    </row>
    <row r="1442" spans="1:18" x14ac:dyDescent="0.25">
      <c r="A1442" s="22" t="s">
        <v>2780</v>
      </c>
      <c r="B1442" s="22" t="s">
        <v>201</v>
      </c>
      <c r="C1442" s="22" t="s">
        <v>202</v>
      </c>
      <c r="D1442" s="22" t="s">
        <v>2779</v>
      </c>
      <c r="E1442" s="22" t="s">
        <v>57</v>
      </c>
      <c r="F1442" s="23">
        <v>-50700</v>
      </c>
      <c r="G1442" s="24">
        <v>44379</v>
      </c>
      <c r="H1442" s="22" t="s">
        <v>2669</v>
      </c>
      <c r="I1442" s="22" t="s">
        <v>919</v>
      </c>
      <c r="J1442" s="22"/>
      <c r="K1442" s="22"/>
      <c r="L1442" s="22"/>
      <c r="M1442" s="22"/>
      <c r="N1442" s="22"/>
      <c r="O1442" s="22"/>
      <c r="P1442" s="22"/>
      <c r="Q1442" s="22"/>
      <c r="R1442" s="22"/>
    </row>
    <row r="1443" spans="1:18" x14ac:dyDescent="0.25">
      <c r="A1443" s="22" t="s">
        <v>2782</v>
      </c>
      <c r="B1443" s="22" t="s">
        <v>201</v>
      </c>
      <c r="C1443" s="22" t="s">
        <v>202</v>
      </c>
      <c r="D1443" s="22" t="s">
        <v>2781</v>
      </c>
      <c r="E1443" s="22" t="s">
        <v>57</v>
      </c>
      <c r="F1443" s="23">
        <v>-47200</v>
      </c>
      <c r="G1443" s="24">
        <v>44379</v>
      </c>
      <c r="H1443" s="22" t="s">
        <v>2669</v>
      </c>
      <c r="I1443" s="22" t="s">
        <v>2783</v>
      </c>
      <c r="J1443" s="22"/>
      <c r="K1443" s="22"/>
      <c r="L1443" s="22"/>
      <c r="M1443" s="22"/>
      <c r="N1443" s="22"/>
      <c r="O1443" s="22"/>
      <c r="P1443" s="22"/>
      <c r="Q1443" s="22"/>
      <c r="R1443" s="22"/>
    </row>
    <row r="1444" spans="1:18" x14ac:dyDescent="0.25">
      <c r="A1444" s="22" t="s">
        <v>2785</v>
      </c>
      <c r="B1444" s="22" t="s">
        <v>201</v>
      </c>
      <c r="C1444" s="22" t="s">
        <v>202</v>
      </c>
      <c r="D1444" s="22" t="s">
        <v>2784</v>
      </c>
      <c r="E1444" s="22" t="s">
        <v>57</v>
      </c>
      <c r="F1444" s="23">
        <v>-184200</v>
      </c>
      <c r="G1444" s="24">
        <v>44379</v>
      </c>
      <c r="H1444" s="22" t="s">
        <v>2669</v>
      </c>
      <c r="I1444" s="22" t="s">
        <v>743</v>
      </c>
      <c r="J1444" s="22"/>
      <c r="K1444" s="22"/>
      <c r="L1444" s="22"/>
      <c r="M1444" s="22"/>
      <c r="N1444" s="22"/>
      <c r="O1444" s="22"/>
      <c r="P1444" s="22"/>
      <c r="Q1444" s="22"/>
      <c r="R1444" s="22"/>
    </row>
    <row r="1445" spans="1:18" x14ac:dyDescent="0.25">
      <c r="A1445" s="22" t="s">
        <v>2787</v>
      </c>
      <c r="B1445" s="22" t="s">
        <v>201</v>
      </c>
      <c r="C1445" s="22" t="s">
        <v>202</v>
      </c>
      <c r="D1445" s="22" t="s">
        <v>2786</v>
      </c>
      <c r="E1445" s="22" t="s">
        <v>57</v>
      </c>
      <c r="F1445" s="23">
        <v>-59700</v>
      </c>
      <c r="G1445" s="24">
        <v>44378</v>
      </c>
      <c r="H1445" s="22" t="s">
        <v>2669</v>
      </c>
      <c r="I1445" s="22" t="s">
        <v>764</v>
      </c>
      <c r="J1445" s="22"/>
      <c r="K1445" s="22"/>
      <c r="L1445" s="22"/>
      <c r="M1445" s="22"/>
      <c r="N1445" s="22"/>
      <c r="O1445" s="22"/>
      <c r="P1445" s="22"/>
      <c r="Q1445" s="22"/>
      <c r="R1445" s="22"/>
    </row>
    <row r="1446" spans="1:18" x14ac:dyDescent="0.25">
      <c r="A1446" s="22" t="s">
        <v>181</v>
      </c>
      <c r="B1446" s="22" t="s">
        <v>201</v>
      </c>
      <c r="C1446" s="22" t="s">
        <v>202</v>
      </c>
      <c r="D1446" s="22" t="s">
        <v>2669</v>
      </c>
      <c r="E1446" s="22" t="s">
        <v>45</v>
      </c>
      <c r="F1446" s="23">
        <v>4113440</v>
      </c>
      <c r="G1446" s="24">
        <v>44246</v>
      </c>
      <c r="H1446" s="22" t="s">
        <v>2669</v>
      </c>
      <c r="I1446" s="22"/>
      <c r="J1446" s="22"/>
      <c r="K1446" s="22"/>
      <c r="L1446" s="22"/>
      <c r="M1446" s="22"/>
      <c r="N1446" s="22"/>
      <c r="O1446" s="22"/>
      <c r="P1446" s="22"/>
      <c r="Q1446" s="22"/>
      <c r="R1446" s="22"/>
    </row>
    <row r="1447" spans="1:18" x14ac:dyDescent="0.25">
      <c r="A1447" s="22" t="s">
        <v>181</v>
      </c>
      <c r="B1447" s="22" t="s">
        <v>201</v>
      </c>
      <c r="C1447" s="22" t="s">
        <v>202</v>
      </c>
      <c r="D1447" s="22" t="s">
        <v>2669</v>
      </c>
      <c r="E1447" s="22" t="s">
        <v>45</v>
      </c>
      <c r="F1447" s="23">
        <v>-2704955</v>
      </c>
      <c r="G1447" s="24">
        <v>44246</v>
      </c>
      <c r="H1447" s="22" t="s">
        <v>2669</v>
      </c>
      <c r="I1447" s="22"/>
      <c r="J1447" s="22"/>
      <c r="K1447" s="22"/>
      <c r="L1447" s="22"/>
      <c r="M1447" s="22"/>
      <c r="N1447" s="22"/>
      <c r="O1447" s="22"/>
      <c r="P1447" s="22"/>
      <c r="Q1447" s="22"/>
      <c r="R1447" s="22"/>
    </row>
    <row r="1448" spans="1:18" x14ac:dyDescent="0.25">
      <c r="A1448" s="22" t="s">
        <v>181</v>
      </c>
      <c r="B1448" s="22" t="s">
        <v>201</v>
      </c>
      <c r="C1448" s="22" t="s">
        <v>202</v>
      </c>
      <c r="D1448" s="22" t="s">
        <v>2669</v>
      </c>
      <c r="E1448" s="22" t="s">
        <v>45</v>
      </c>
      <c r="F1448" s="23">
        <v>44737</v>
      </c>
      <c r="G1448" s="24">
        <v>44246</v>
      </c>
      <c r="H1448" s="22" t="s">
        <v>2669</v>
      </c>
      <c r="I1448" s="22"/>
      <c r="J1448" s="22"/>
      <c r="K1448" s="22"/>
      <c r="L1448" s="22"/>
      <c r="M1448" s="22"/>
      <c r="N1448" s="22"/>
      <c r="O1448" s="22"/>
      <c r="P1448" s="22"/>
      <c r="Q1448" s="22"/>
      <c r="R1448" s="22"/>
    </row>
    <row r="1449" spans="1:18" s="39" customFormat="1" x14ac:dyDescent="0.25">
      <c r="A1449" s="36" t="s">
        <v>1885</v>
      </c>
      <c r="B1449" s="36" t="s">
        <v>201</v>
      </c>
      <c r="C1449" s="36" t="s">
        <v>202</v>
      </c>
      <c r="D1449" s="36" t="s">
        <v>2788</v>
      </c>
      <c r="E1449" s="36" t="s">
        <v>42</v>
      </c>
      <c r="F1449" s="37">
        <v>15103283</v>
      </c>
      <c r="G1449" s="38">
        <v>44355</v>
      </c>
      <c r="H1449" s="36" t="s">
        <v>2715</v>
      </c>
      <c r="I1449" s="36" t="s">
        <v>605</v>
      </c>
      <c r="J1449" s="36"/>
      <c r="K1449" s="36"/>
      <c r="L1449" s="36"/>
      <c r="M1449" s="36"/>
      <c r="N1449" s="36"/>
      <c r="O1449" s="36"/>
      <c r="P1449" s="36"/>
      <c r="Q1449" s="36"/>
      <c r="R1449" s="36"/>
    </row>
    <row r="1450" spans="1:18" x14ac:dyDescent="0.25">
      <c r="A1450" s="22" t="s">
        <v>2790</v>
      </c>
      <c r="B1450" s="22" t="s">
        <v>201</v>
      </c>
      <c r="C1450" s="22" t="s">
        <v>202</v>
      </c>
      <c r="D1450" s="22" t="s">
        <v>2789</v>
      </c>
      <c r="E1450" s="22" t="s">
        <v>57</v>
      </c>
      <c r="F1450" s="23">
        <v>-54724</v>
      </c>
      <c r="G1450" s="24">
        <v>44390</v>
      </c>
      <c r="H1450" s="22" t="s">
        <v>2715</v>
      </c>
      <c r="I1450" s="22" t="s">
        <v>2791</v>
      </c>
      <c r="J1450" s="22"/>
      <c r="K1450" s="22"/>
      <c r="L1450" s="22"/>
      <c r="M1450" s="22"/>
      <c r="N1450" s="22"/>
      <c r="O1450" s="22"/>
      <c r="P1450" s="22"/>
      <c r="Q1450" s="22"/>
      <c r="R1450" s="22"/>
    </row>
    <row r="1451" spans="1:18" x14ac:dyDescent="0.25">
      <c r="A1451" s="22" t="s">
        <v>2793</v>
      </c>
      <c r="B1451" s="22" t="s">
        <v>201</v>
      </c>
      <c r="C1451" s="22" t="s">
        <v>202</v>
      </c>
      <c r="D1451" s="22" t="s">
        <v>2792</v>
      </c>
      <c r="E1451" s="22" t="s">
        <v>57</v>
      </c>
      <c r="F1451" s="23">
        <v>-369854</v>
      </c>
      <c r="G1451" s="24">
        <v>44381</v>
      </c>
      <c r="H1451" s="22" t="s">
        <v>2715</v>
      </c>
      <c r="I1451" s="22" t="s">
        <v>2794</v>
      </c>
      <c r="J1451" s="22"/>
      <c r="K1451" s="22"/>
      <c r="L1451" s="22"/>
      <c r="M1451" s="22"/>
      <c r="N1451" s="22"/>
      <c r="O1451" s="22"/>
      <c r="P1451" s="22"/>
      <c r="Q1451" s="22"/>
      <c r="R1451" s="22"/>
    </row>
    <row r="1452" spans="1:18" x14ac:dyDescent="0.25">
      <c r="A1452" s="22" t="s">
        <v>2796</v>
      </c>
      <c r="B1452" s="22" t="s">
        <v>201</v>
      </c>
      <c r="C1452" s="22" t="s">
        <v>202</v>
      </c>
      <c r="D1452" s="22" t="s">
        <v>2795</v>
      </c>
      <c r="E1452" s="22" t="s">
        <v>57</v>
      </c>
      <c r="F1452" s="23">
        <v>-43700</v>
      </c>
      <c r="G1452" s="24">
        <v>44407</v>
      </c>
      <c r="H1452" s="22" t="s">
        <v>2715</v>
      </c>
      <c r="I1452" s="22" t="s">
        <v>550</v>
      </c>
      <c r="J1452" s="22"/>
      <c r="K1452" s="22"/>
      <c r="L1452" s="22"/>
      <c r="M1452" s="22"/>
      <c r="N1452" s="22"/>
      <c r="O1452" s="22"/>
      <c r="P1452" s="22"/>
      <c r="Q1452" s="22"/>
      <c r="R1452" s="22"/>
    </row>
    <row r="1453" spans="1:18" x14ac:dyDescent="0.25">
      <c r="A1453" s="22" t="s">
        <v>2798</v>
      </c>
      <c r="B1453" s="22" t="s">
        <v>201</v>
      </c>
      <c r="C1453" s="22" t="s">
        <v>202</v>
      </c>
      <c r="D1453" s="22" t="s">
        <v>2797</v>
      </c>
      <c r="E1453" s="22" t="s">
        <v>57</v>
      </c>
      <c r="F1453" s="23">
        <v>-43700</v>
      </c>
      <c r="G1453" s="24">
        <v>44407</v>
      </c>
      <c r="H1453" s="22" t="s">
        <v>2715</v>
      </c>
      <c r="I1453" s="22" t="s">
        <v>799</v>
      </c>
      <c r="J1453" s="22"/>
      <c r="K1453" s="22"/>
      <c r="L1453" s="22"/>
      <c r="M1453" s="22"/>
      <c r="N1453" s="22"/>
      <c r="O1453" s="22"/>
      <c r="P1453" s="22"/>
      <c r="Q1453" s="22"/>
      <c r="R1453" s="22"/>
    </row>
    <row r="1454" spans="1:18" x14ac:dyDescent="0.25">
      <c r="A1454" s="22" t="s">
        <v>2800</v>
      </c>
      <c r="B1454" s="22" t="s">
        <v>201</v>
      </c>
      <c r="C1454" s="22" t="s">
        <v>202</v>
      </c>
      <c r="D1454" s="22" t="s">
        <v>2799</v>
      </c>
      <c r="E1454" s="22" t="s">
        <v>57</v>
      </c>
      <c r="F1454" s="23">
        <v>-76700</v>
      </c>
      <c r="G1454" s="24">
        <v>44406</v>
      </c>
      <c r="H1454" s="22" t="s">
        <v>2715</v>
      </c>
      <c r="I1454" s="22" t="s">
        <v>2801</v>
      </c>
      <c r="J1454" s="22"/>
      <c r="K1454" s="22"/>
      <c r="L1454" s="22"/>
      <c r="M1454" s="22"/>
      <c r="N1454" s="22"/>
      <c r="O1454" s="22"/>
      <c r="P1454" s="22"/>
      <c r="Q1454" s="22"/>
      <c r="R1454" s="22"/>
    </row>
    <row r="1455" spans="1:18" x14ac:dyDescent="0.25">
      <c r="A1455" s="22" t="s">
        <v>2803</v>
      </c>
      <c r="B1455" s="22" t="s">
        <v>201</v>
      </c>
      <c r="C1455" s="22" t="s">
        <v>202</v>
      </c>
      <c r="D1455" s="22" t="s">
        <v>2802</v>
      </c>
      <c r="E1455" s="22" t="s">
        <v>57</v>
      </c>
      <c r="F1455" s="23">
        <v>-28100</v>
      </c>
      <c r="G1455" s="24">
        <v>44406</v>
      </c>
      <c r="H1455" s="22" t="s">
        <v>2715</v>
      </c>
      <c r="I1455" s="22" t="s">
        <v>280</v>
      </c>
      <c r="J1455" s="22"/>
      <c r="K1455" s="22"/>
      <c r="L1455" s="22"/>
      <c r="M1455" s="22"/>
      <c r="N1455" s="22"/>
      <c r="O1455" s="22"/>
      <c r="P1455" s="22"/>
      <c r="Q1455" s="22"/>
      <c r="R1455" s="22"/>
    </row>
    <row r="1456" spans="1:18" x14ac:dyDescent="0.25">
      <c r="A1456" s="22" t="s">
        <v>2805</v>
      </c>
      <c r="B1456" s="22" t="s">
        <v>201</v>
      </c>
      <c r="C1456" s="22" t="s">
        <v>202</v>
      </c>
      <c r="D1456" s="22" t="s">
        <v>2804</v>
      </c>
      <c r="E1456" s="22" t="s">
        <v>57</v>
      </c>
      <c r="F1456" s="23">
        <v>-15300</v>
      </c>
      <c r="G1456" s="24">
        <v>44403</v>
      </c>
      <c r="H1456" s="22" t="s">
        <v>2715</v>
      </c>
      <c r="I1456" s="22" t="s">
        <v>280</v>
      </c>
      <c r="J1456" s="22"/>
      <c r="K1456" s="22"/>
      <c r="L1456" s="22"/>
      <c r="M1456" s="22"/>
      <c r="N1456" s="22"/>
      <c r="O1456" s="22"/>
      <c r="P1456" s="22"/>
      <c r="Q1456" s="22"/>
      <c r="R1456" s="22"/>
    </row>
    <row r="1457" spans="1:18" x14ac:dyDescent="0.25">
      <c r="A1457" s="22" t="s">
        <v>2807</v>
      </c>
      <c r="B1457" s="22" t="s">
        <v>201</v>
      </c>
      <c r="C1457" s="22" t="s">
        <v>202</v>
      </c>
      <c r="D1457" s="22" t="s">
        <v>2806</v>
      </c>
      <c r="E1457" s="22" t="s">
        <v>45</v>
      </c>
      <c r="F1457" s="23">
        <v>-28329</v>
      </c>
      <c r="G1457" s="24">
        <v>44209</v>
      </c>
      <c r="H1457" s="22" t="s">
        <v>2808</v>
      </c>
      <c r="I1457" s="22" t="s">
        <v>2809</v>
      </c>
      <c r="J1457" s="22"/>
      <c r="K1457" s="22"/>
      <c r="L1457" s="22"/>
      <c r="M1457" s="22"/>
      <c r="N1457" s="22"/>
      <c r="O1457" s="22"/>
      <c r="P1457" s="22"/>
      <c r="Q1457" s="22"/>
      <c r="R1457" s="22"/>
    </row>
    <row r="1458" spans="1:18" x14ac:dyDescent="0.25">
      <c r="A1458" s="22" t="s">
        <v>2811</v>
      </c>
      <c r="B1458" s="22" t="s">
        <v>201</v>
      </c>
      <c r="C1458" s="22" t="s">
        <v>202</v>
      </c>
      <c r="D1458" s="22" t="s">
        <v>2810</v>
      </c>
      <c r="E1458" s="22" t="s">
        <v>45</v>
      </c>
      <c r="F1458" s="23">
        <v>-23200</v>
      </c>
      <c r="G1458" s="24">
        <v>44347</v>
      </c>
      <c r="H1458" s="22" t="s">
        <v>2808</v>
      </c>
      <c r="I1458" s="22" t="s">
        <v>2812</v>
      </c>
      <c r="J1458" s="22"/>
      <c r="K1458" s="22"/>
      <c r="L1458" s="22"/>
      <c r="M1458" s="22"/>
      <c r="N1458" s="22"/>
      <c r="O1458" s="22"/>
      <c r="P1458" s="22"/>
      <c r="Q1458" s="22"/>
      <c r="R1458" s="22"/>
    </row>
    <row r="1459" spans="1:18" x14ac:dyDescent="0.25">
      <c r="A1459" s="22" t="s">
        <v>2814</v>
      </c>
      <c r="B1459" s="22" t="s">
        <v>201</v>
      </c>
      <c r="C1459" s="22" t="s">
        <v>202</v>
      </c>
      <c r="D1459" s="22" t="s">
        <v>2813</v>
      </c>
      <c r="E1459" s="22" t="s">
        <v>57</v>
      </c>
      <c r="F1459" s="23">
        <v>-43700</v>
      </c>
      <c r="G1459" s="24">
        <v>44335</v>
      </c>
      <c r="H1459" s="22" t="s">
        <v>2808</v>
      </c>
      <c r="I1459" s="22" t="s">
        <v>897</v>
      </c>
      <c r="J1459" s="22"/>
      <c r="K1459" s="22"/>
      <c r="L1459" s="22"/>
      <c r="M1459" s="22"/>
      <c r="N1459" s="22"/>
      <c r="O1459" s="22"/>
      <c r="P1459" s="22"/>
      <c r="Q1459" s="22"/>
      <c r="R1459" s="22"/>
    </row>
    <row r="1460" spans="1:18" x14ac:dyDescent="0.25">
      <c r="A1460" s="22" t="s">
        <v>2816</v>
      </c>
      <c r="B1460" s="22" t="s">
        <v>201</v>
      </c>
      <c r="C1460" s="22" t="s">
        <v>202</v>
      </c>
      <c r="D1460" s="22" t="s">
        <v>2815</v>
      </c>
      <c r="E1460" s="22" t="s">
        <v>57</v>
      </c>
      <c r="F1460" s="23">
        <v>-77400</v>
      </c>
      <c r="G1460" s="24">
        <v>44326</v>
      </c>
      <c r="H1460" s="22" t="s">
        <v>2808</v>
      </c>
      <c r="I1460" s="22" t="s">
        <v>2737</v>
      </c>
      <c r="J1460" s="22"/>
      <c r="K1460" s="22"/>
      <c r="L1460" s="22"/>
      <c r="M1460" s="22"/>
      <c r="N1460" s="22"/>
      <c r="O1460" s="22"/>
      <c r="P1460" s="22"/>
      <c r="Q1460" s="22"/>
      <c r="R1460" s="22"/>
    </row>
    <row r="1461" spans="1:18" x14ac:dyDescent="0.25">
      <c r="A1461" s="22" t="s">
        <v>2818</v>
      </c>
      <c r="B1461" s="22" t="s">
        <v>201</v>
      </c>
      <c r="C1461" s="22" t="s">
        <v>202</v>
      </c>
      <c r="D1461" s="22" t="s">
        <v>2817</v>
      </c>
      <c r="E1461" s="22" t="s">
        <v>57</v>
      </c>
      <c r="F1461" s="23">
        <v>-77400</v>
      </c>
      <c r="G1461" s="24">
        <v>44326</v>
      </c>
      <c r="H1461" s="22" t="s">
        <v>2808</v>
      </c>
      <c r="I1461" s="22" t="s">
        <v>2740</v>
      </c>
      <c r="J1461" s="22"/>
      <c r="K1461" s="22"/>
      <c r="L1461" s="22"/>
      <c r="M1461" s="22"/>
      <c r="N1461" s="22"/>
      <c r="O1461" s="22"/>
      <c r="P1461" s="22"/>
      <c r="Q1461" s="22"/>
      <c r="R1461" s="22"/>
    </row>
    <row r="1462" spans="1:18" x14ac:dyDescent="0.25">
      <c r="A1462" s="22" t="s">
        <v>2820</v>
      </c>
      <c r="B1462" s="22" t="s">
        <v>201</v>
      </c>
      <c r="C1462" s="22" t="s">
        <v>202</v>
      </c>
      <c r="D1462" s="22" t="s">
        <v>2819</v>
      </c>
      <c r="E1462" s="22" t="s">
        <v>57</v>
      </c>
      <c r="F1462" s="23">
        <v>-43700</v>
      </c>
      <c r="G1462" s="24">
        <v>44324</v>
      </c>
      <c r="H1462" s="22" t="s">
        <v>2808</v>
      </c>
      <c r="I1462" s="22" t="s">
        <v>836</v>
      </c>
      <c r="J1462" s="22"/>
      <c r="K1462" s="22"/>
      <c r="L1462" s="22"/>
      <c r="M1462" s="22"/>
      <c r="N1462" s="22"/>
      <c r="O1462" s="22"/>
      <c r="P1462" s="22"/>
      <c r="Q1462" s="22"/>
      <c r="R1462" s="22"/>
    </row>
    <row r="1463" spans="1:18" x14ac:dyDescent="0.25">
      <c r="A1463" s="22" t="s">
        <v>2822</v>
      </c>
      <c r="B1463" s="22" t="s">
        <v>201</v>
      </c>
      <c r="C1463" s="22" t="s">
        <v>202</v>
      </c>
      <c r="D1463" s="22" t="s">
        <v>2821</v>
      </c>
      <c r="E1463" s="22" t="s">
        <v>57</v>
      </c>
      <c r="F1463" s="23">
        <v>-20200</v>
      </c>
      <c r="G1463" s="24">
        <v>44321</v>
      </c>
      <c r="H1463" s="22" t="s">
        <v>2808</v>
      </c>
      <c r="I1463" s="22" t="s">
        <v>280</v>
      </c>
      <c r="J1463" s="22"/>
      <c r="K1463" s="22"/>
      <c r="L1463" s="22"/>
      <c r="M1463" s="22"/>
      <c r="N1463" s="22"/>
      <c r="O1463" s="22"/>
      <c r="P1463" s="22"/>
      <c r="Q1463" s="22"/>
      <c r="R1463" s="22"/>
    </row>
    <row r="1464" spans="1:18" x14ac:dyDescent="0.25">
      <c r="A1464" s="22" t="s">
        <v>2824</v>
      </c>
      <c r="B1464" s="22" t="s">
        <v>201</v>
      </c>
      <c r="C1464" s="22" t="s">
        <v>202</v>
      </c>
      <c r="D1464" s="22" t="s">
        <v>2823</v>
      </c>
      <c r="E1464" s="22" t="s">
        <v>57</v>
      </c>
      <c r="F1464" s="23">
        <v>-41800</v>
      </c>
      <c r="G1464" s="24">
        <v>44320</v>
      </c>
      <c r="H1464" s="22" t="s">
        <v>2808</v>
      </c>
      <c r="I1464" s="22" t="s">
        <v>282</v>
      </c>
      <c r="J1464" s="22"/>
      <c r="K1464" s="22"/>
      <c r="L1464" s="22"/>
      <c r="M1464" s="22"/>
      <c r="N1464" s="22"/>
      <c r="O1464" s="22"/>
      <c r="P1464" s="22"/>
      <c r="Q1464" s="22"/>
      <c r="R1464" s="22"/>
    </row>
    <row r="1465" spans="1:18" x14ac:dyDescent="0.25">
      <c r="A1465" s="22" t="s">
        <v>173</v>
      </c>
      <c r="B1465" s="22" t="s">
        <v>201</v>
      </c>
      <c r="C1465" s="22" t="s">
        <v>202</v>
      </c>
      <c r="D1465" s="22" t="s">
        <v>2825</v>
      </c>
      <c r="E1465" s="22" t="s">
        <v>45</v>
      </c>
      <c r="F1465" s="23">
        <v>-138254</v>
      </c>
      <c r="G1465" s="24">
        <v>44410</v>
      </c>
      <c r="H1465" s="22" t="s">
        <v>2808</v>
      </c>
      <c r="I1465" s="22" t="s">
        <v>2826</v>
      </c>
      <c r="J1465" s="22"/>
      <c r="K1465" s="22"/>
      <c r="L1465" s="22"/>
      <c r="M1465" s="22"/>
      <c r="N1465" s="22"/>
      <c r="O1465" s="22"/>
      <c r="P1465" s="22"/>
      <c r="Q1465" s="22"/>
      <c r="R1465" s="22"/>
    </row>
    <row r="1466" spans="1:18" x14ac:dyDescent="0.25">
      <c r="A1466" s="22" t="s">
        <v>2665</v>
      </c>
      <c r="B1466" s="22" t="s">
        <v>201</v>
      </c>
      <c r="C1466" s="22" t="s">
        <v>202</v>
      </c>
      <c r="D1466" s="22" t="s">
        <v>2808</v>
      </c>
      <c r="E1466" s="22" t="s">
        <v>45</v>
      </c>
      <c r="F1466" s="23">
        <v>-613936</v>
      </c>
      <c r="G1466" s="24">
        <v>44219</v>
      </c>
      <c r="H1466" s="22" t="s">
        <v>2808</v>
      </c>
      <c r="I1466" s="22"/>
      <c r="J1466" s="22"/>
      <c r="K1466" s="22"/>
      <c r="L1466" s="22"/>
      <c r="M1466" s="22"/>
      <c r="N1466" s="22"/>
      <c r="O1466" s="22"/>
      <c r="P1466" s="22"/>
      <c r="Q1466" s="22"/>
      <c r="R1466" s="22"/>
    </row>
    <row r="1467" spans="1:18" x14ac:dyDescent="0.25">
      <c r="A1467" s="22" t="s">
        <v>2665</v>
      </c>
      <c r="B1467" s="22" t="s">
        <v>201</v>
      </c>
      <c r="C1467" s="22" t="s">
        <v>202</v>
      </c>
      <c r="D1467" s="22" t="s">
        <v>2808</v>
      </c>
      <c r="E1467" s="22" t="s">
        <v>45</v>
      </c>
      <c r="F1467" s="23">
        <v>2074983</v>
      </c>
      <c r="G1467" s="24">
        <v>44219</v>
      </c>
      <c r="H1467" s="22" t="s">
        <v>2808</v>
      </c>
      <c r="I1467" s="22"/>
      <c r="J1467" s="22"/>
      <c r="K1467" s="22"/>
      <c r="L1467" s="22"/>
      <c r="M1467" s="22"/>
      <c r="N1467" s="22"/>
      <c r="O1467" s="22"/>
      <c r="P1467" s="22"/>
      <c r="Q1467" s="22"/>
      <c r="R1467" s="22"/>
    </row>
    <row r="1468" spans="1:18" s="39" customFormat="1" x14ac:dyDescent="0.25">
      <c r="A1468" s="36" t="s">
        <v>2828</v>
      </c>
      <c r="B1468" s="36" t="s">
        <v>201</v>
      </c>
      <c r="C1468" s="36" t="s">
        <v>202</v>
      </c>
      <c r="D1468" s="36" t="s">
        <v>2827</v>
      </c>
      <c r="E1468" s="36" t="s">
        <v>42</v>
      </c>
      <c r="F1468" s="37">
        <v>504750</v>
      </c>
      <c r="G1468" s="38">
        <v>44385</v>
      </c>
      <c r="H1468" s="36" t="s">
        <v>2806</v>
      </c>
      <c r="I1468" s="36" t="s">
        <v>1671</v>
      </c>
      <c r="J1468" s="36"/>
      <c r="K1468" s="36"/>
      <c r="L1468" s="36"/>
      <c r="M1468" s="36"/>
      <c r="N1468" s="36"/>
      <c r="O1468" s="36"/>
      <c r="P1468" s="36"/>
      <c r="Q1468" s="36"/>
      <c r="R1468" s="36"/>
    </row>
    <row r="1469" spans="1:18" x14ac:dyDescent="0.25">
      <c r="A1469" s="22" t="s">
        <v>2830</v>
      </c>
      <c r="B1469" s="22" t="s">
        <v>201</v>
      </c>
      <c r="C1469" s="22" t="s">
        <v>202</v>
      </c>
      <c r="D1469" s="22" t="s">
        <v>2829</v>
      </c>
      <c r="E1469" s="22" t="s">
        <v>57</v>
      </c>
      <c r="F1469" s="23">
        <v>-97996</v>
      </c>
      <c r="G1469" s="24">
        <v>44219</v>
      </c>
      <c r="H1469" s="22" t="s">
        <v>2806</v>
      </c>
      <c r="I1469" s="22" t="s">
        <v>2062</v>
      </c>
      <c r="J1469" s="22"/>
      <c r="K1469" s="22"/>
      <c r="L1469" s="22"/>
      <c r="M1469" s="22"/>
      <c r="N1469" s="22"/>
      <c r="O1469" s="22"/>
      <c r="P1469" s="22"/>
      <c r="Q1469" s="22"/>
      <c r="R1469" s="22"/>
    </row>
    <row r="1470" spans="1:18" x14ac:dyDescent="0.25">
      <c r="A1470" s="22" t="s">
        <v>2832</v>
      </c>
      <c r="B1470" s="22" t="s">
        <v>201</v>
      </c>
      <c r="C1470" s="22" t="s">
        <v>202</v>
      </c>
      <c r="D1470" s="22" t="s">
        <v>2831</v>
      </c>
      <c r="E1470" s="22" t="s">
        <v>45</v>
      </c>
      <c r="F1470" s="23">
        <v>-347683</v>
      </c>
      <c r="G1470" s="24">
        <v>44215</v>
      </c>
      <c r="H1470" s="22" t="s">
        <v>2806</v>
      </c>
      <c r="I1470" s="22" t="s">
        <v>2809</v>
      </c>
      <c r="J1470" s="22"/>
      <c r="K1470" s="22"/>
      <c r="L1470" s="22"/>
      <c r="M1470" s="22"/>
      <c r="N1470" s="22"/>
      <c r="O1470" s="22"/>
      <c r="P1470" s="22"/>
      <c r="Q1470" s="22"/>
      <c r="R1470" s="22"/>
    </row>
    <row r="1471" spans="1:18" x14ac:dyDescent="0.25">
      <c r="A1471" s="22" t="s">
        <v>2834</v>
      </c>
      <c r="B1471" s="22" t="s">
        <v>201</v>
      </c>
      <c r="C1471" s="22" t="s">
        <v>202</v>
      </c>
      <c r="D1471" s="22" t="s">
        <v>2833</v>
      </c>
      <c r="E1471" s="22" t="s">
        <v>57</v>
      </c>
      <c r="F1471" s="23">
        <v>-43700</v>
      </c>
      <c r="G1471" s="24">
        <v>44218</v>
      </c>
      <c r="H1471" s="22" t="s">
        <v>2806</v>
      </c>
      <c r="I1471" s="22" t="s">
        <v>2062</v>
      </c>
      <c r="J1471" s="22"/>
      <c r="K1471" s="22"/>
      <c r="L1471" s="22"/>
      <c r="M1471" s="22"/>
      <c r="N1471" s="22"/>
      <c r="O1471" s="22"/>
      <c r="P1471" s="22"/>
      <c r="Q1471" s="22"/>
      <c r="R1471" s="22"/>
    </row>
    <row r="1472" spans="1:18" x14ac:dyDescent="0.25">
      <c r="A1472" s="22" t="s">
        <v>2807</v>
      </c>
      <c r="B1472" s="22" t="s">
        <v>201</v>
      </c>
      <c r="C1472" s="22" t="s">
        <v>202</v>
      </c>
      <c r="D1472" s="22" t="s">
        <v>2835</v>
      </c>
      <c r="E1472" s="22" t="s">
        <v>57</v>
      </c>
      <c r="F1472" s="23">
        <v>-43700</v>
      </c>
      <c r="G1472" s="24">
        <v>44209</v>
      </c>
      <c r="H1472" s="22" t="s">
        <v>2806</v>
      </c>
      <c r="I1472" s="22" t="s">
        <v>2062</v>
      </c>
      <c r="J1472" s="22"/>
      <c r="K1472" s="22"/>
      <c r="L1472" s="22"/>
      <c r="M1472" s="22"/>
      <c r="N1472" s="22"/>
      <c r="O1472" s="22"/>
      <c r="P1472" s="22"/>
      <c r="Q1472" s="22"/>
      <c r="R1472" s="22"/>
    </row>
    <row r="1473" spans="1:18" x14ac:dyDescent="0.25">
      <c r="A1473" s="22" t="s">
        <v>2807</v>
      </c>
      <c r="B1473" s="22" t="s">
        <v>201</v>
      </c>
      <c r="C1473" s="22" t="s">
        <v>202</v>
      </c>
      <c r="D1473" s="22" t="s">
        <v>2806</v>
      </c>
      <c r="E1473" s="22" t="s">
        <v>45</v>
      </c>
      <c r="F1473" s="23">
        <v>-504750</v>
      </c>
      <c r="G1473" s="24">
        <v>44209</v>
      </c>
      <c r="H1473" s="22" t="s">
        <v>2806</v>
      </c>
      <c r="I1473" s="22"/>
      <c r="J1473" s="22"/>
      <c r="K1473" s="22"/>
      <c r="L1473" s="22"/>
      <c r="M1473" s="22"/>
      <c r="N1473" s="22"/>
      <c r="O1473" s="22"/>
      <c r="P1473" s="22"/>
      <c r="Q1473" s="22"/>
      <c r="R1473" s="22"/>
    </row>
    <row r="1474" spans="1:18" x14ac:dyDescent="0.25">
      <c r="A1474" s="22" t="s">
        <v>2807</v>
      </c>
      <c r="B1474" s="22" t="s">
        <v>201</v>
      </c>
      <c r="C1474" s="22" t="s">
        <v>202</v>
      </c>
      <c r="D1474" s="22" t="s">
        <v>2806</v>
      </c>
      <c r="E1474" s="22" t="s">
        <v>45</v>
      </c>
      <c r="F1474" s="23">
        <v>533079</v>
      </c>
      <c r="G1474" s="24">
        <v>44209</v>
      </c>
      <c r="H1474" s="22" t="s">
        <v>2806</v>
      </c>
      <c r="I1474" s="22"/>
      <c r="J1474" s="22"/>
      <c r="K1474" s="22"/>
      <c r="L1474" s="22"/>
      <c r="M1474" s="22"/>
      <c r="N1474" s="22"/>
      <c r="O1474" s="22"/>
      <c r="P1474" s="22"/>
      <c r="Q1474" s="22"/>
      <c r="R1474" s="22"/>
    </row>
    <row r="1475" spans="1:18" s="39" customFormat="1" x14ac:dyDescent="0.25">
      <c r="A1475" s="36" t="s">
        <v>2837</v>
      </c>
      <c r="B1475" s="36" t="s">
        <v>201</v>
      </c>
      <c r="C1475" s="36" t="s">
        <v>202</v>
      </c>
      <c r="D1475" s="36" t="s">
        <v>2836</v>
      </c>
      <c r="E1475" s="36" t="s">
        <v>42</v>
      </c>
      <c r="F1475" s="37">
        <v>531021</v>
      </c>
      <c r="G1475" s="38">
        <v>44385</v>
      </c>
      <c r="H1475" s="36" t="s">
        <v>2831</v>
      </c>
      <c r="I1475" s="36" t="s">
        <v>1671</v>
      </c>
      <c r="J1475" s="36"/>
      <c r="K1475" s="36"/>
      <c r="L1475" s="36"/>
      <c r="M1475" s="36"/>
      <c r="N1475" s="36"/>
      <c r="O1475" s="36"/>
      <c r="P1475" s="36"/>
      <c r="Q1475" s="36"/>
      <c r="R1475" s="36"/>
    </row>
    <row r="1476" spans="1:18" x14ac:dyDescent="0.25">
      <c r="A1476" s="22" t="s">
        <v>2832</v>
      </c>
      <c r="B1476" s="22" t="s">
        <v>201</v>
      </c>
      <c r="C1476" s="22" t="s">
        <v>202</v>
      </c>
      <c r="D1476" s="22" t="s">
        <v>2838</v>
      </c>
      <c r="E1476" s="22" t="s">
        <v>57</v>
      </c>
      <c r="F1476" s="23">
        <v>-849200</v>
      </c>
      <c r="G1476" s="24">
        <v>44215</v>
      </c>
      <c r="H1476" s="22" t="s">
        <v>2831</v>
      </c>
      <c r="I1476" s="22" t="s">
        <v>2062</v>
      </c>
      <c r="J1476" s="22"/>
      <c r="K1476" s="22"/>
      <c r="L1476" s="22"/>
      <c r="M1476" s="22"/>
      <c r="N1476" s="22"/>
      <c r="O1476" s="22"/>
      <c r="P1476" s="22"/>
      <c r="Q1476" s="22"/>
      <c r="R1476" s="22"/>
    </row>
    <row r="1477" spans="1:18" x14ac:dyDescent="0.25">
      <c r="A1477" s="22" t="s">
        <v>2840</v>
      </c>
      <c r="B1477" s="22" t="s">
        <v>201</v>
      </c>
      <c r="C1477" s="22" t="s">
        <v>202</v>
      </c>
      <c r="D1477" s="22" t="s">
        <v>2839</v>
      </c>
      <c r="E1477" s="22" t="s">
        <v>45</v>
      </c>
      <c r="F1477" s="23">
        <v>-29504</v>
      </c>
      <c r="G1477" s="24">
        <v>44385</v>
      </c>
      <c r="H1477" s="22" t="s">
        <v>2831</v>
      </c>
      <c r="I1477" s="22" t="s">
        <v>2841</v>
      </c>
      <c r="J1477" s="22"/>
      <c r="K1477" s="22"/>
      <c r="L1477" s="22"/>
      <c r="M1477" s="22"/>
      <c r="N1477" s="22"/>
      <c r="O1477" s="22"/>
      <c r="P1477" s="22"/>
      <c r="Q1477" s="22"/>
      <c r="R1477" s="22"/>
    </row>
    <row r="1478" spans="1:18" x14ac:dyDescent="0.25">
      <c r="A1478" s="22" t="s">
        <v>2832</v>
      </c>
      <c r="B1478" s="22" t="s">
        <v>201</v>
      </c>
      <c r="C1478" s="22" t="s">
        <v>202</v>
      </c>
      <c r="D1478" s="22" t="s">
        <v>2831</v>
      </c>
      <c r="E1478" s="22" t="s">
        <v>45</v>
      </c>
      <c r="F1478" s="23">
        <v>29504</v>
      </c>
      <c r="G1478" s="24">
        <v>44215</v>
      </c>
      <c r="H1478" s="22" t="s">
        <v>2831</v>
      </c>
      <c r="I1478" s="22"/>
      <c r="J1478" s="22"/>
      <c r="K1478" s="22"/>
      <c r="L1478" s="22"/>
      <c r="M1478" s="22"/>
      <c r="N1478" s="22"/>
      <c r="O1478" s="22"/>
      <c r="P1478" s="22"/>
      <c r="Q1478" s="22"/>
      <c r="R1478" s="22"/>
    </row>
    <row r="1479" spans="1:18" x14ac:dyDescent="0.25">
      <c r="A1479" s="22" t="s">
        <v>2832</v>
      </c>
      <c r="B1479" s="22" t="s">
        <v>201</v>
      </c>
      <c r="C1479" s="22" t="s">
        <v>202</v>
      </c>
      <c r="D1479" s="22" t="s">
        <v>2831</v>
      </c>
      <c r="E1479" s="22" t="s">
        <v>45</v>
      </c>
      <c r="F1479" s="23">
        <v>-531021</v>
      </c>
      <c r="G1479" s="24">
        <v>44215</v>
      </c>
      <c r="H1479" s="22" t="s">
        <v>2831</v>
      </c>
      <c r="I1479" s="22"/>
      <c r="J1479" s="22"/>
      <c r="K1479" s="22"/>
      <c r="L1479" s="22"/>
      <c r="M1479" s="22"/>
      <c r="N1479" s="22"/>
      <c r="O1479" s="22"/>
      <c r="P1479" s="22"/>
      <c r="Q1479" s="22"/>
      <c r="R1479" s="22"/>
    </row>
    <row r="1480" spans="1:18" x14ac:dyDescent="0.25">
      <c r="A1480" s="22" t="s">
        <v>2832</v>
      </c>
      <c r="B1480" s="22" t="s">
        <v>201</v>
      </c>
      <c r="C1480" s="22" t="s">
        <v>202</v>
      </c>
      <c r="D1480" s="22" t="s">
        <v>2831</v>
      </c>
      <c r="E1480" s="22" t="s">
        <v>45</v>
      </c>
      <c r="F1480" s="23">
        <v>849200</v>
      </c>
      <c r="G1480" s="24">
        <v>44215</v>
      </c>
      <c r="H1480" s="22" t="s">
        <v>2831</v>
      </c>
      <c r="I1480" s="22"/>
      <c r="J1480" s="22"/>
      <c r="K1480" s="22"/>
      <c r="L1480" s="22"/>
      <c r="M1480" s="22"/>
      <c r="N1480" s="22"/>
      <c r="O1480" s="22"/>
      <c r="P1480" s="22"/>
      <c r="Q1480" s="22"/>
      <c r="R1480" s="22"/>
    </row>
    <row r="1481" spans="1:18" x14ac:dyDescent="0.25">
      <c r="A1481" s="22" t="s">
        <v>618</v>
      </c>
      <c r="B1481" s="22" t="s">
        <v>201</v>
      </c>
      <c r="C1481" s="22" t="s">
        <v>202</v>
      </c>
      <c r="D1481" s="22" t="s">
        <v>724</v>
      </c>
      <c r="E1481" s="22" t="s">
        <v>45</v>
      </c>
      <c r="F1481" s="23">
        <v>968667</v>
      </c>
      <c r="G1481" s="24">
        <v>44439</v>
      </c>
      <c r="H1481" s="22" t="s">
        <v>724</v>
      </c>
      <c r="I1481" s="22"/>
      <c r="J1481" s="22"/>
      <c r="K1481" s="22"/>
      <c r="L1481" s="22"/>
      <c r="M1481" s="22"/>
      <c r="N1481" s="22"/>
      <c r="O1481" s="22"/>
      <c r="P1481" s="22"/>
      <c r="Q1481" s="22"/>
      <c r="R1481" s="22"/>
    </row>
    <row r="1482" spans="1:18" x14ac:dyDescent="0.25">
      <c r="A1482" s="22" t="s">
        <v>618</v>
      </c>
      <c r="B1482" s="22" t="s">
        <v>201</v>
      </c>
      <c r="C1482" s="22" t="s">
        <v>202</v>
      </c>
      <c r="D1482" s="22" t="s">
        <v>724</v>
      </c>
      <c r="E1482" s="22" t="s">
        <v>45</v>
      </c>
      <c r="F1482" s="23">
        <v>-484334</v>
      </c>
      <c r="G1482" s="24">
        <v>44439</v>
      </c>
      <c r="H1482" s="22" t="s">
        <v>724</v>
      </c>
      <c r="I1482" s="22"/>
      <c r="J1482" s="22"/>
      <c r="K1482" s="22"/>
      <c r="L1482" s="22"/>
      <c r="M1482" s="22"/>
      <c r="N1482" s="22"/>
      <c r="O1482" s="22"/>
      <c r="P1482" s="22"/>
      <c r="Q1482" s="22"/>
      <c r="R1482" s="22"/>
    </row>
    <row r="1483" spans="1:18" s="39" customFormat="1" x14ac:dyDescent="0.25">
      <c r="A1483" s="36" t="s">
        <v>2843</v>
      </c>
      <c r="B1483" s="36" t="s">
        <v>201</v>
      </c>
      <c r="C1483" s="36" t="s">
        <v>202</v>
      </c>
      <c r="D1483" s="36" t="s">
        <v>2842</v>
      </c>
      <c r="E1483" s="36" t="s">
        <v>42</v>
      </c>
      <c r="F1483" s="37">
        <v>1794838</v>
      </c>
      <c r="G1483" s="38">
        <v>44476</v>
      </c>
      <c r="H1483" s="36" t="s">
        <v>612</v>
      </c>
      <c r="I1483" s="36" t="s">
        <v>577</v>
      </c>
      <c r="J1483" s="36"/>
      <c r="K1483" s="36"/>
      <c r="L1483" s="36"/>
      <c r="M1483" s="36"/>
      <c r="N1483" s="36"/>
      <c r="O1483" s="36"/>
      <c r="P1483" s="36"/>
      <c r="Q1483" s="36"/>
      <c r="R1483" s="36"/>
    </row>
    <row r="1484" spans="1:18" x14ac:dyDescent="0.25">
      <c r="A1484" s="22" t="s">
        <v>613</v>
      </c>
      <c r="B1484" s="22" t="s">
        <v>201</v>
      </c>
      <c r="C1484" s="22" t="s">
        <v>202</v>
      </c>
      <c r="D1484" s="22" t="s">
        <v>2844</v>
      </c>
      <c r="E1484" s="22" t="s">
        <v>57</v>
      </c>
      <c r="F1484" s="23">
        <v>-2305214</v>
      </c>
      <c r="G1484" s="24">
        <v>44433</v>
      </c>
      <c r="H1484" s="22" t="s">
        <v>612</v>
      </c>
      <c r="I1484" s="22" t="s">
        <v>573</v>
      </c>
      <c r="J1484" s="22"/>
      <c r="K1484" s="22"/>
      <c r="L1484" s="22"/>
      <c r="M1484" s="22"/>
      <c r="N1484" s="22"/>
      <c r="O1484" s="22"/>
      <c r="P1484" s="22"/>
      <c r="Q1484" s="22"/>
      <c r="R1484" s="22"/>
    </row>
    <row r="1485" spans="1:18" x14ac:dyDescent="0.25">
      <c r="A1485" s="22" t="s">
        <v>613</v>
      </c>
      <c r="B1485" s="22" t="s">
        <v>201</v>
      </c>
      <c r="C1485" s="22" t="s">
        <v>202</v>
      </c>
      <c r="D1485" s="22" t="s">
        <v>612</v>
      </c>
      <c r="E1485" s="22" t="s">
        <v>45</v>
      </c>
      <c r="F1485" s="23">
        <v>2305214</v>
      </c>
      <c r="G1485" s="24">
        <v>44433</v>
      </c>
      <c r="H1485" s="22" t="s">
        <v>612</v>
      </c>
      <c r="I1485" s="22"/>
      <c r="J1485" s="22"/>
      <c r="K1485" s="22"/>
      <c r="L1485" s="22"/>
      <c r="M1485" s="22"/>
      <c r="N1485" s="22"/>
      <c r="O1485" s="22"/>
      <c r="P1485" s="22"/>
      <c r="Q1485" s="22"/>
      <c r="R1485" s="22"/>
    </row>
    <row r="1486" spans="1:18" x14ac:dyDescent="0.25">
      <c r="A1486" s="22" t="s">
        <v>613</v>
      </c>
      <c r="B1486" s="22" t="s">
        <v>201</v>
      </c>
      <c r="C1486" s="22" t="s">
        <v>202</v>
      </c>
      <c r="D1486" s="22" t="s">
        <v>612</v>
      </c>
      <c r="E1486" s="22" t="s">
        <v>45</v>
      </c>
      <c r="F1486" s="23">
        <v>-1794838</v>
      </c>
      <c r="G1486" s="24">
        <v>44433</v>
      </c>
      <c r="H1486" s="22" t="s">
        <v>612</v>
      </c>
      <c r="I1486" s="22"/>
      <c r="J1486" s="22"/>
      <c r="K1486" s="22"/>
      <c r="L1486" s="22"/>
      <c r="M1486" s="22"/>
      <c r="N1486" s="22"/>
      <c r="O1486" s="22"/>
      <c r="P1486" s="22"/>
      <c r="Q1486" s="22"/>
      <c r="R1486" s="22"/>
    </row>
    <row r="1487" spans="1:18" s="39" customFormat="1" x14ac:dyDescent="0.25">
      <c r="A1487" s="36" t="s">
        <v>2846</v>
      </c>
      <c r="B1487" s="36" t="s">
        <v>201</v>
      </c>
      <c r="C1487" s="36" t="s">
        <v>202</v>
      </c>
      <c r="D1487" s="36" t="s">
        <v>2845</v>
      </c>
      <c r="E1487" s="36" t="s">
        <v>42</v>
      </c>
      <c r="F1487" s="37">
        <v>8990550</v>
      </c>
      <c r="G1487" s="38">
        <v>44476</v>
      </c>
      <c r="H1487" s="36" t="s">
        <v>2446</v>
      </c>
      <c r="I1487" s="36" t="s">
        <v>577</v>
      </c>
      <c r="J1487" s="36"/>
      <c r="K1487" s="36"/>
      <c r="L1487" s="36"/>
      <c r="M1487" s="36"/>
      <c r="N1487" s="36"/>
      <c r="O1487" s="36"/>
      <c r="P1487" s="36"/>
      <c r="Q1487" s="36"/>
      <c r="R1487" s="36"/>
    </row>
    <row r="1488" spans="1:18" x14ac:dyDescent="0.25">
      <c r="A1488" s="22" t="s">
        <v>188</v>
      </c>
      <c r="B1488" s="22" t="s">
        <v>201</v>
      </c>
      <c r="C1488" s="22" t="s">
        <v>202</v>
      </c>
      <c r="D1488" s="22" t="s">
        <v>190</v>
      </c>
      <c r="E1488" s="22" t="s">
        <v>57</v>
      </c>
      <c r="F1488" s="23">
        <v>-8288731</v>
      </c>
      <c r="G1488" s="24">
        <v>44442</v>
      </c>
      <c r="H1488" s="22" t="s">
        <v>2446</v>
      </c>
      <c r="I1488" s="22" t="s">
        <v>2515</v>
      </c>
      <c r="J1488" s="22"/>
      <c r="K1488" s="22"/>
      <c r="L1488" s="22"/>
      <c r="M1488" s="22"/>
      <c r="N1488" s="22"/>
      <c r="O1488" s="22"/>
      <c r="P1488" s="22"/>
      <c r="Q1488" s="22"/>
      <c r="R1488" s="22"/>
    </row>
    <row r="1489" spans="1:18" x14ac:dyDescent="0.25">
      <c r="A1489" s="22" t="s">
        <v>2848</v>
      </c>
      <c r="B1489" s="22" t="s">
        <v>201</v>
      </c>
      <c r="C1489" s="22" t="s">
        <v>202</v>
      </c>
      <c r="D1489" s="22" t="s">
        <v>2847</v>
      </c>
      <c r="E1489" s="22" t="s">
        <v>57</v>
      </c>
      <c r="F1489" s="23">
        <v>-80864</v>
      </c>
      <c r="G1489" s="24">
        <v>44420</v>
      </c>
      <c r="H1489" s="22" t="s">
        <v>2446</v>
      </c>
      <c r="I1489" s="22" t="s">
        <v>2849</v>
      </c>
      <c r="J1489" s="22"/>
      <c r="K1489" s="22"/>
      <c r="L1489" s="22"/>
      <c r="M1489" s="22"/>
      <c r="N1489" s="22"/>
      <c r="O1489" s="22"/>
      <c r="P1489" s="22"/>
      <c r="Q1489" s="22"/>
      <c r="R1489" s="22"/>
    </row>
    <row r="1490" spans="1:18" x14ac:dyDescent="0.25">
      <c r="A1490" s="22" t="s">
        <v>2851</v>
      </c>
      <c r="B1490" s="22" t="s">
        <v>201</v>
      </c>
      <c r="C1490" s="22" t="s">
        <v>202</v>
      </c>
      <c r="D1490" s="22" t="s">
        <v>2850</v>
      </c>
      <c r="E1490" s="22" t="s">
        <v>57</v>
      </c>
      <c r="F1490" s="23">
        <v>-1444109</v>
      </c>
      <c r="G1490" s="24">
        <v>44413</v>
      </c>
      <c r="H1490" s="22" t="s">
        <v>2446</v>
      </c>
      <c r="I1490" s="22" t="s">
        <v>2852</v>
      </c>
      <c r="J1490" s="22"/>
      <c r="K1490" s="22"/>
      <c r="L1490" s="22"/>
      <c r="M1490" s="22"/>
      <c r="N1490" s="22"/>
      <c r="O1490" s="22"/>
      <c r="P1490" s="22"/>
      <c r="Q1490" s="22"/>
      <c r="R1490" s="22"/>
    </row>
    <row r="1491" spans="1:18" x14ac:dyDescent="0.25">
      <c r="A1491" s="22" t="s">
        <v>188</v>
      </c>
      <c r="B1491" s="22" t="s">
        <v>201</v>
      </c>
      <c r="C1491" s="22" t="s">
        <v>202</v>
      </c>
      <c r="D1491" s="22" t="s">
        <v>2446</v>
      </c>
      <c r="E1491" s="22" t="s">
        <v>45</v>
      </c>
      <c r="F1491" s="23">
        <v>-8990550</v>
      </c>
      <c r="G1491" s="24">
        <v>44442</v>
      </c>
      <c r="H1491" s="22" t="s">
        <v>2446</v>
      </c>
      <c r="I1491" s="22"/>
      <c r="J1491" s="22"/>
      <c r="K1491" s="22"/>
      <c r="L1491" s="22"/>
      <c r="M1491" s="22"/>
      <c r="N1491" s="22"/>
      <c r="O1491" s="22"/>
      <c r="P1491" s="22"/>
      <c r="Q1491" s="22"/>
      <c r="R1491" s="22"/>
    </row>
    <row r="1492" spans="1:18" x14ac:dyDescent="0.25">
      <c r="A1492" s="22" t="s">
        <v>188</v>
      </c>
      <c r="B1492" s="22" t="s">
        <v>201</v>
      </c>
      <c r="C1492" s="22" t="s">
        <v>202</v>
      </c>
      <c r="D1492" s="22" t="s">
        <v>2446</v>
      </c>
      <c r="E1492" s="22" t="s">
        <v>45</v>
      </c>
      <c r="F1492" s="23">
        <v>9813704</v>
      </c>
      <c r="G1492" s="24">
        <v>44442</v>
      </c>
      <c r="H1492" s="22" t="s">
        <v>2446</v>
      </c>
      <c r="I1492" s="22"/>
      <c r="J1492" s="22"/>
      <c r="K1492" s="22"/>
      <c r="L1492" s="22"/>
      <c r="M1492" s="22"/>
      <c r="N1492" s="22"/>
      <c r="O1492" s="22"/>
      <c r="P1492" s="22"/>
      <c r="Q1492" s="22"/>
      <c r="R1492" s="22"/>
    </row>
    <row r="1493" spans="1:18" s="39" customFormat="1" x14ac:dyDescent="0.25">
      <c r="A1493" s="36" t="s">
        <v>2854</v>
      </c>
      <c r="B1493" s="36" t="s">
        <v>201</v>
      </c>
      <c r="C1493" s="36" t="s">
        <v>202</v>
      </c>
      <c r="D1493" s="36" t="s">
        <v>2853</v>
      </c>
      <c r="E1493" s="36" t="s">
        <v>42</v>
      </c>
      <c r="F1493" s="37">
        <v>168000</v>
      </c>
      <c r="G1493" s="38">
        <v>44476</v>
      </c>
      <c r="H1493" s="36" t="s">
        <v>2575</v>
      </c>
      <c r="I1493" s="36" t="s">
        <v>577</v>
      </c>
      <c r="J1493" s="36"/>
      <c r="K1493" s="36"/>
      <c r="L1493" s="36"/>
      <c r="M1493" s="36"/>
      <c r="N1493" s="36"/>
      <c r="O1493" s="36"/>
      <c r="P1493" s="36"/>
      <c r="Q1493" s="36"/>
      <c r="R1493" s="36"/>
    </row>
    <row r="1494" spans="1:18" x14ac:dyDescent="0.25">
      <c r="A1494" s="22" t="s">
        <v>685</v>
      </c>
      <c r="B1494" s="22" t="s">
        <v>201</v>
      </c>
      <c r="C1494" s="22" t="s">
        <v>202</v>
      </c>
      <c r="D1494" s="22" t="s">
        <v>2855</v>
      </c>
      <c r="E1494" s="22" t="s">
        <v>588</v>
      </c>
      <c r="F1494" s="23">
        <v>-6594934</v>
      </c>
      <c r="G1494" s="24">
        <v>44322</v>
      </c>
      <c r="H1494" s="22" t="s">
        <v>2575</v>
      </c>
      <c r="I1494" s="22" t="s">
        <v>2856</v>
      </c>
      <c r="J1494" s="22"/>
      <c r="K1494" s="22"/>
      <c r="L1494" s="22"/>
      <c r="M1494" s="22"/>
      <c r="N1494" s="22"/>
      <c r="O1494" s="22"/>
      <c r="P1494" s="22"/>
      <c r="Q1494" s="22"/>
      <c r="R1494" s="22"/>
    </row>
    <row r="1495" spans="1:18" x14ac:dyDescent="0.25">
      <c r="A1495" s="22" t="s">
        <v>685</v>
      </c>
      <c r="B1495" s="22" t="s">
        <v>201</v>
      </c>
      <c r="C1495" s="22" t="s">
        <v>202</v>
      </c>
      <c r="D1495" s="22" t="s">
        <v>2575</v>
      </c>
      <c r="E1495" s="22" t="s">
        <v>45</v>
      </c>
      <c r="F1495" s="23">
        <v>6594934</v>
      </c>
      <c r="G1495" s="24">
        <v>44322</v>
      </c>
      <c r="H1495" s="22" t="s">
        <v>2575</v>
      </c>
      <c r="I1495" s="22"/>
      <c r="J1495" s="22"/>
      <c r="K1495" s="22"/>
      <c r="L1495" s="22"/>
      <c r="M1495" s="22"/>
      <c r="N1495" s="22"/>
      <c r="O1495" s="22"/>
      <c r="P1495" s="22"/>
      <c r="Q1495" s="22"/>
      <c r="R1495" s="22"/>
    </row>
    <row r="1496" spans="1:18" x14ac:dyDescent="0.25">
      <c r="A1496" s="22" t="s">
        <v>685</v>
      </c>
      <c r="B1496" s="22" t="s">
        <v>201</v>
      </c>
      <c r="C1496" s="22" t="s">
        <v>202</v>
      </c>
      <c r="D1496" s="22" t="s">
        <v>2575</v>
      </c>
      <c r="E1496" s="22" t="s">
        <v>45</v>
      </c>
      <c r="F1496" s="23">
        <v>-168000</v>
      </c>
      <c r="G1496" s="24">
        <v>44322</v>
      </c>
      <c r="H1496" s="22" t="s">
        <v>2575</v>
      </c>
      <c r="I1496" s="22"/>
      <c r="J1496" s="22"/>
      <c r="K1496" s="22"/>
      <c r="L1496" s="22"/>
      <c r="M1496" s="22"/>
      <c r="N1496" s="22"/>
      <c r="O1496" s="22"/>
      <c r="P1496" s="22"/>
      <c r="Q1496" s="22"/>
      <c r="R1496" s="22"/>
    </row>
    <row r="1497" spans="1:18" s="39" customFormat="1" x14ac:dyDescent="0.25">
      <c r="A1497" s="36" t="s">
        <v>2858</v>
      </c>
      <c r="B1497" s="36" t="s">
        <v>201</v>
      </c>
      <c r="C1497" s="36" t="s">
        <v>202</v>
      </c>
      <c r="D1497" s="36" t="s">
        <v>2857</v>
      </c>
      <c r="E1497" s="36" t="s">
        <v>42</v>
      </c>
      <c r="F1497" s="37">
        <v>1890542</v>
      </c>
      <c r="G1497" s="38">
        <v>44355</v>
      </c>
      <c r="H1497" s="36" t="s">
        <v>2859</v>
      </c>
      <c r="I1497" s="36" t="s">
        <v>605</v>
      </c>
      <c r="J1497" s="36"/>
      <c r="K1497" s="36"/>
      <c r="L1497" s="36"/>
      <c r="M1497" s="36"/>
      <c r="N1497" s="36"/>
      <c r="O1497" s="36"/>
      <c r="P1497" s="36"/>
      <c r="Q1497" s="36"/>
      <c r="R1497" s="36"/>
    </row>
    <row r="1498" spans="1:18" x14ac:dyDescent="0.25">
      <c r="A1498" s="22" t="s">
        <v>184</v>
      </c>
      <c r="B1498" s="22" t="s">
        <v>201</v>
      </c>
      <c r="C1498" s="22" t="s">
        <v>202</v>
      </c>
      <c r="D1498" s="22" t="s">
        <v>186</v>
      </c>
      <c r="E1498" s="22" t="s">
        <v>57</v>
      </c>
      <c r="F1498" s="23">
        <v>-3563696</v>
      </c>
      <c r="G1498" s="24">
        <v>44253</v>
      </c>
      <c r="H1498" s="22" t="s">
        <v>2859</v>
      </c>
      <c r="I1498" s="22" t="s">
        <v>2860</v>
      </c>
      <c r="J1498" s="22"/>
      <c r="K1498" s="22"/>
      <c r="L1498" s="22"/>
      <c r="M1498" s="22"/>
      <c r="N1498" s="22"/>
      <c r="O1498" s="22"/>
      <c r="P1498" s="22"/>
      <c r="Q1498" s="22"/>
      <c r="R1498" s="22"/>
    </row>
    <row r="1499" spans="1:18" x14ac:dyDescent="0.25">
      <c r="A1499" s="22" t="s">
        <v>2665</v>
      </c>
      <c r="B1499" s="22" t="s">
        <v>201</v>
      </c>
      <c r="C1499" s="22" t="s">
        <v>202</v>
      </c>
      <c r="D1499" s="22" t="s">
        <v>2861</v>
      </c>
      <c r="E1499" s="22" t="s">
        <v>45</v>
      </c>
      <c r="F1499" s="23">
        <v>-411817</v>
      </c>
      <c r="G1499" s="24">
        <v>44219</v>
      </c>
      <c r="H1499" s="22" t="s">
        <v>2859</v>
      </c>
      <c r="I1499" s="22" t="s">
        <v>2862</v>
      </c>
      <c r="J1499" s="22"/>
      <c r="K1499" s="22"/>
      <c r="L1499" s="22"/>
      <c r="M1499" s="22"/>
      <c r="N1499" s="22"/>
      <c r="O1499" s="22"/>
      <c r="P1499" s="22"/>
      <c r="Q1499" s="22"/>
      <c r="R1499" s="22"/>
    </row>
    <row r="1500" spans="1:18" x14ac:dyDescent="0.25">
      <c r="A1500" s="22" t="s">
        <v>184</v>
      </c>
      <c r="B1500" s="22" t="s">
        <v>201</v>
      </c>
      <c r="C1500" s="22" t="s">
        <v>202</v>
      </c>
      <c r="D1500" s="22" t="s">
        <v>2859</v>
      </c>
      <c r="E1500" s="22" t="s">
        <v>45</v>
      </c>
      <c r="F1500" s="23">
        <v>3563696</v>
      </c>
      <c r="G1500" s="24">
        <v>44253</v>
      </c>
      <c r="H1500" s="22" t="s">
        <v>2859</v>
      </c>
      <c r="I1500" s="22"/>
      <c r="J1500" s="22"/>
      <c r="K1500" s="22"/>
      <c r="L1500" s="22"/>
      <c r="M1500" s="22"/>
      <c r="N1500" s="22"/>
      <c r="O1500" s="22"/>
      <c r="P1500" s="22"/>
      <c r="Q1500" s="22"/>
      <c r="R1500" s="22"/>
    </row>
    <row r="1501" spans="1:18" x14ac:dyDescent="0.25">
      <c r="A1501" s="22" t="s">
        <v>184</v>
      </c>
      <c r="B1501" s="22" t="s">
        <v>201</v>
      </c>
      <c r="C1501" s="22" t="s">
        <v>202</v>
      </c>
      <c r="D1501" s="22" t="s">
        <v>2859</v>
      </c>
      <c r="E1501" s="22" t="s">
        <v>45</v>
      </c>
      <c r="F1501" s="23">
        <v>-1890542</v>
      </c>
      <c r="G1501" s="24">
        <v>44253</v>
      </c>
      <c r="H1501" s="22" t="s">
        <v>2859</v>
      </c>
      <c r="I1501" s="22"/>
      <c r="J1501" s="22"/>
      <c r="K1501" s="22"/>
      <c r="L1501" s="22"/>
      <c r="M1501" s="22"/>
      <c r="N1501" s="22"/>
      <c r="O1501" s="22"/>
      <c r="P1501" s="22"/>
      <c r="Q1501" s="22"/>
      <c r="R1501" s="22"/>
    </row>
    <row r="1502" spans="1:18" x14ac:dyDescent="0.25">
      <c r="A1502" s="22" t="s">
        <v>184</v>
      </c>
      <c r="B1502" s="22" t="s">
        <v>201</v>
      </c>
      <c r="C1502" s="22" t="s">
        <v>202</v>
      </c>
      <c r="D1502" s="22" t="s">
        <v>2859</v>
      </c>
      <c r="E1502" s="22" t="s">
        <v>45</v>
      </c>
      <c r="F1502" s="23">
        <v>411817</v>
      </c>
      <c r="G1502" s="24">
        <v>44253</v>
      </c>
      <c r="H1502" s="22" t="s">
        <v>2859</v>
      </c>
      <c r="I1502" s="22"/>
      <c r="J1502" s="22"/>
      <c r="K1502" s="22"/>
      <c r="L1502" s="22"/>
      <c r="M1502" s="22"/>
      <c r="N1502" s="22"/>
      <c r="O1502" s="22"/>
      <c r="P1502" s="22"/>
      <c r="Q1502" s="22"/>
      <c r="R1502" s="22"/>
    </row>
    <row r="1503" spans="1:18" s="39" customFormat="1" x14ac:dyDescent="0.25">
      <c r="A1503" s="36" t="s">
        <v>2864</v>
      </c>
      <c r="B1503" s="36" t="s">
        <v>201</v>
      </c>
      <c r="C1503" s="36" t="s">
        <v>202</v>
      </c>
      <c r="D1503" s="36" t="s">
        <v>2863</v>
      </c>
      <c r="E1503" s="36" t="s">
        <v>42</v>
      </c>
      <c r="F1503" s="37">
        <v>613936</v>
      </c>
      <c r="G1503" s="38">
        <v>44260</v>
      </c>
      <c r="H1503" s="36" t="s">
        <v>2808</v>
      </c>
      <c r="I1503" s="36" t="s">
        <v>1741</v>
      </c>
      <c r="J1503" s="36"/>
      <c r="K1503" s="36"/>
      <c r="L1503" s="36"/>
      <c r="M1503" s="36"/>
      <c r="N1503" s="36"/>
      <c r="O1503" s="36"/>
      <c r="P1503" s="36"/>
      <c r="Q1503" s="36"/>
      <c r="R1503" s="36"/>
    </row>
    <row r="1504" spans="1:18" x14ac:dyDescent="0.25">
      <c r="A1504" s="22" t="s">
        <v>2665</v>
      </c>
      <c r="B1504" s="22" t="s">
        <v>201</v>
      </c>
      <c r="C1504" s="22" t="s">
        <v>202</v>
      </c>
      <c r="D1504" s="22" t="s">
        <v>2661</v>
      </c>
      <c r="E1504" s="22" t="s">
        <v>45</v>
      </c>
      <c r="F1504" s="23">
        <v>-1581000</v>
      </c>
      <c r="G1504" s="24">
        <v>44219</v>
      </c>
      <c r="H1504" s="22" t="s">
        <v>2808</v>
      </c>
      <c r="I1504" s="22" t="s">
        <v>2865</v>
      </c>
      <c r="J1504" s="22"/>
      <c r="K1504" s="22"/>
      <c r="L1504" s="22"/>
      <c r="M1504" s="22"/>
      <c r="N1504" s="22"/>
      <c r="O1504" s="22"/>
      <c r="P1504" s="22"/>
      <c r="Q1504" s="22"/>
      <c r="R1504" s="22"/>
    </row>
    <row r="1505" spans="1:18" s="39" customFormat="1" x14ac:dyDescent="0.25">
      <c r="A1505" s="36" t="s">
        <v>2867</v>
      </c>
      <c r="B1505" s="36" t="s">
        <v>201</v>
      </c>
      <c r="C1505" s="36" t="s">
        <v>202</v>
      </c>
      <c r="D1505" s="36" t="s">
        <v>2866</v>
      </c>
      <c r="E1505" s="36" t="s">
        <v>42</v>
      </c>
      <c r="F1505" s="37">
        <v>93400</v>
      </c>
      <c r="G1505" s="38">
        <v>44385</v>
      </c>
      <c r="H1505" s="36" t="s">
        <v>2810</v>
      </c>
      <c r="I1505" s="36" t="s">
        <v>1671</v>
      </c>
      <c r="J1505" s="36"/>
      <c r="K1505" s="36"/>
      <c r="L1505" s="36"/>
      <c r="M1505" s="36"/>
      <c r="N1505" s="36"/>
      <c r="O1505" s="36"/>
      <c r="P1505" s="36"/>
      <c r="Q1505" s="36"/>
      <c r="R1505" s="36"/>
    </row>
    <row r="1506" spans="1:18" x14ac:dyDescent="0.25">
      <c r="A1506" s="22" t="s">
        <v>2869</v>
      </c>
      <c r="B1506" s="22" t="s">
        <v>201</v>
      </c>
      <c r="C1506" s="22" t="s">
        <v>202</v>
      </c>
      <c r="D1506" s="22" t="s">
        <v>2868</v>
      </c>
      <c r="E1506" s="22" t="s">
        <v>45</v>
      </c>
      <c r="F1506" s="23">
        <v>-9447</v>
      </c>
      <c r="G1506" s="24">
        <v>44334</v>
      </c>
      <c r="H1506" s="22" t="s">
        <v>2861</v>
      </c>
      <c r="I1506" s="22" t="s">
        <v>2870</v>
      </c>
      <c r="J1506" s="22"/>
      <c r="K1506" s="22"/>
      <c r="L1506" s="22"/>
      <c r="M1506" s="22"/>
      <c r="N1506" s="22"/>
      <c r="O1506" s="22"/>
      <c r="P1506" s="22"/>
      <c r="Q1506" s="22"/>
      <c r="R1506" s="22"/>
    </row>
    <row r="1507" spans="1:18" x14ac:dyDescent="0.25">
      <c r="A1507" s="22" t="s">
        <v>2665</v>
      </c>
      <c r="B1507" s="22" t="s">
        <v>201</v>
      </c>
      <c r="C1507" s="22" t="s">
        <v>202</v>
      </c>
      <c r="D1507" s="22" t="s">
        <v>2808</v>
      </c>
      <c r="E1507" s="22" t="s">
        <v>45</v>
      </c>
      <c r="F1507" s="23">
        <v>-1461047</v>
      </c>
      <c r="G1507" s="24">
        <v>44219</v>
      </c>
      <c r="H1507" s="22" t="s">
        <v>2861</v>
      </c>
      <c r="I1507" s="22" t="s">
        <v>2871</v>
      </c>
      <c r="J1507" s="22"/>
      <c r="K1507" s="22"/>
      <c r="L1507" s="22"/>
      <c r="M1507" s="22"/>
      <c r="N1507" s="22"/>
      <c r="O1507" s="22"/>
      <c r="P1507" s="22"/>
      <c r="Q1507" s="22"/>
      <c r="R1507" s="22"/>
    </row>
    <row r="1508" spans="1:18" x14ac:dyDescent="0.25">
      <c r="A1508" s="22" t="s">
        <v>2665</v>
      </c>
      <c r="B1508" s="22" t="s">
        <v>201</v>
      </c>
      <c r="C1508" s="22" t="s">
        <v>202</v>
      </c>
      <c r="D1508" s="22" t="s">
        <v>2861</v>
      </c>
      <c r="E1508" s="22" t="s">
        <v>45</v>
      </c>
      <c r="F1508" s="23">
        <v>9447</v>
      </c>
      <c r="G1508" s="24">
        <v>44219</v>
      </c>
      <c r="H1508" s="22" t="s">
        <v>2861</v>
      </c>
      <c r="I1508" s="22"/>
      <c r="J1508" s="22"/>
      <c r="K1508" s="22"/>
      <c r="L1508" s="22"/>
      <c r="M1508" s="22"/>
      <c r="N1508" s="22"/>
      <c r="O1508" s="22"/>
      <c r="P1508" s="22"/>
      <c r="Q1508" s="22"/>
      <c r="R1508" s="22"/>
    </row>
    <row r="1509" spans="1:18" x14ac:dyDescent="0.25">
      <c r="A1509" s="22" t="s">
        <v>2665</v>
      </c>
      <c r="B1509" s="22" t="s">
        <v>201</v>
      </c>
      <c r="C1509" s="22" t="s">
        <v>202</v>
      </c>
      <c r="D1509" s="22" t="s">
        <v>2861</v>
      </c>
      <c r="E1509" s="22" t="s">
        <v>45</v>
      </c>
      <c r="F1509" s="23">
        <v>-1058677</v>
      </c>
      <c r="G1509" s="24">
        <v>44219</v>
      </c>
      <c r="H1509" s="22" t="s">
        <v>2861</v>
      </c>
      <c r="I1509" s="22"/>
      <c r="J1509" s="22"/>
      <c r="K1509" s="22"/>
      <c r="L1509" s="22"/>
      <c r="M1509" s="22"/>
      <c r="N1509" s="22"/>
      <c r="O1509" s="22"/>
      <c r="P1509" s="22"/>
      <c r="Q1509" s="22"/>
      <c r="R1509" s="22"/>
    </row>
    <row r="1510" spans="1:18" x14ac:dyDescent="0.25">
      <c r="A1510" s="22" t="s">
        <v>2665</v>
      </c>
      <c r="B1510" s="22" t="s">
        <v>201</v>
      </c>
      <c r="C1510" s="22" t="s">
        <v>202</v>
      </c>
      <c r="D1510" s="22" t="s">
        <v>2861</v>
      </c>
      <c r="E1510" s="22" t="s">
        <v>45</v>
      </c>
      <c r="F1510" s="23">
        <v>1461047</v>
      </c>
      <c r="G1510" s="24">
        <v>44219</v>
      </c>
      <c r="H1510" s="22" t="s">
        <v>2861</v>
      </c>
      <c r="I1510" s="22"/>
      <c r="J1510" s="22"/>
      <c r="K1510" s="22"/>
      <c r="L1510" s="22"/>
      <c r="M1510" s="22"/>
      <c r="N1510" s="22"/>
      <c r="O1510" s="22"/>
      <c r="P1510" s="22"/>
      <c r="Q1510" s="22"/>
      <c r="R1510" s="22"/>
    </row>
    <row r="1511" spans="1:18" s="39" customFormat="1" x14ac:dyDescent="0.25">
      <c r="A1511" s="36" t="s">
        <v>2873</v>
      </c>
      <c r="B1511" s="36" t="s">
        <v>201</v>
      </c>
      <c r="C1511" s="36" t="s">
        <v>202</v>
      </c>
      <c r="D1511" s="36" t="s">
        <v>2872</v>
      </c>
      <c r="E1511" s="36" t="s">
        <v>42</v>
      </c>
      <c r="F1511" s="37">
        <v>725846</v>
      </c>
      <c r="G1511" s="38">
        <v>44385</v>
      </c>
      <c r="H1511" s="36" t="s">
        <v>2825</v>
      </c>
      <c r="I1511" s="36" t="s">
        <v>1671</v>
      </c>
      <c r="J1511" s="36"/>
      <c r="K1511" s="36"/>
      <c r="L1511" s="36"/>
      <c r="M1511" s="36"/>
      <c r="N1511" s="36"/>
      <c r="O1511" s="36"/>
      <c r="P1511" s="36"/>
      <c r="Q1511" s="36"/>
      <c r="R1511" s="36"/>
    </row>
    <row r="1512" spans="1:18" x14ac:dyDescent="0.25">
      <c r="A1512" s="22" t="s">
        <v>173</v>
      </c>
      <c r="B1512" s="22" t="s">
        <v>201</v>
      </c>
      <c r="C1512" s="22" t="s">
        <v>202</v>
      </c>
      <c r="D1512" s="22" t="s">
        <v>2874</v>
      </c>
      <c r="E1512" s="22" t="s">
        <v>45</v>
      </c>
      <c r="F1512" s="23">
        <v>-864100</v>
      </c>
      <c r="G1512" s="24">
        <v>44410</v>
      </c>
      <c r="H1512" s="22" t="s">
        <v>2825</v>
      </c>
      <c r="I1512" s="22" t="s">
        <v>2875</v>
      </c>
      <c r="J1512" s="22"/>
      <c r="K1512" s="22"/>
      <c r="L1512" s="22"/>
      <c r="M1512" s="22"/>
      <c r="N1512" s="22"/>
      <c r="O1512" s="22"/>
      <c r="P1512" s="22"/>
      <c r="Q1512" s="22"/>
      <c r="R1512" s="22"/>
    </row>
    <row r="1513" spans="1:18" x14ac:dyDescent="0.25">
      <c r="A1513" s="22" t="s">
        <v>173</v>
      </c>
      <c r="B1513" s="22" t="s">
        <v>201</v>
      </c>
      <c r="C1513" s="22" t="s">
        <v>202</v>
      </c>
      <c r="D1513" s="22" t="s">
        <v>2825</v>
      </c>
      <c r="E1513" s="22" t="s">
        <v>45</v>
      </c>
      <c r="F1513" s="23">
        <v>-725846</v>
      </c>
      <c r="G1513" s="24">
        <v>44410</v>
      </c>
      <c r="H1513" s="22" t="s">
        <v>2825</v>
      </c>
      <c r="I1513" s="22"/>
      <c r="J1513" s="22"/>
      <c r="K1513" s="22"/>
      <c r="L1513" s="22"/>
      <c r="M1513" s="22"/>
      <c r="N1513" s="22"/>
      <c r="O1513" s="22"/>
      <c r="P1513" s="22"/>
      <c r="Q1513" s="22"/>
      <c r="R1513" s="22"/>
    </row>
    <row r="1514" spans="1:18" x14ac:dyDescent="0.25">
      <c r="A1514" s="22" t="s">
        <v>173</v>
      </c>
      <c r="B1514" s="22" t="s">
        <v>201</v>
      </c>
      <c r="C1514" s="22" t="s">
        <v>202</v>
      </c>
      <c r="D1514" s="22" t="s">
        <v>2825</v>
      </c>
      <c r="E1514" s="22" t="s">
        <v>45</v>
      </c>
      <c r="F1514" s="23">
        <v>864100</v>
      </c>
      <c r="G1514" s="24">
        <v>44410</v>
      </c>
      <c r="H1514" s="22" t="s">
        <v>2825</v>
      </c>
      <c r="I1514" s="22"/>
      <c r="J1514" s="22"/>
      <c r="K1514" s="22"/>
      <c r="L1514" s="22"/>
      <c r="M1514" s="22"/>
      <c r="N1514" s="22"/>
      <c r="O1514" s="22"/>
      <c r="P1514" s="22"/>
      <c r="Q1514" s="22"/>
      <c r="R1514" s="22"/>
    </row>
    <row r="1515" spans="1:18" s="39" customFormat="1" x14ac:dyDescent="0.25">
      <c r="A1515" s="36" t="s">
        <v>2877</v>
      </c>
      <c r="B1515" s="36" t="s">
        <v>201</v>
      </c>
      <c r="C1515" s="36" t="s">
        <v>202</v>
      </c>
      <c r="D1515" s="36" t="s">
        <v>2876</v>
      </c>
      <c r="E1515" s="36" t="s">
        <v>42</v>
      </c>
      <c r="F1515" s="37">
        <v>63100</v>
      </c>
      <c r="G1515" s="38">
        <v>44385</v>
      </c>
      <c r="H1515" s="36" t="s">
        <v>2839</v>
      </c>
      <c r="I1515" s="36" t="s">
        <v>1671</v>
      </c>
      <c r="J1515" s="36"/>
      <c r="K1515" s="36"/>
      <c r="L1515" s="36"/>
      <c r="M1515" s="36"/>
      <c r="N1515" s="36"/>
      <c r="O1515" s="36"/>
      <c r="P1515" s="36"/>
      <c r="Q1515" s="36"/>
      <c r="R1515" s="36"/>
    </row>
    <row r="1516" spans="1:18" x14ac:dyDescent="0.25">
      <c r="A1516" s="22" t="s">
        <v>2840</v>
      </c>
      <c r="B1516" s="22" t="s">
        <v>201</v>
      </c>
      <c r="C1516" s="22" t="s">
        <v>202</v>
      </c>
      <c r="D1516" s="22" t="s">
        <v>2878</v>
      </c>
      <c r="E1516" s="22" t="s">
        <v>57</v>
      </c>
      <c r="F1516" s="23">
        <v>-32700</v>
      </c>
      <c r="G1516" s="24">
        <v>44385</v>
      </c>
      <c r="H1516" s="22" t="s">
        <v>2839</v>
      </c>
      <c r="I1516" s="22" t="s">
        <v>2681</v>
      </c>
      <c r="J1516" s="22"/>
      <c r="K1516" s="22"/>
      <c r="L1516" s="22"/>
      <c r="M1516" s="22"/>
      <c r="N1516" s="22"/>
      <c r="O1516" s="22"/>
      <c r="P1516" s="22"/>
      <c r="Q1516" s="22"/>
      <c r="R1516" s="22"/>
    </row>
    <row r="1517" spans="1:18" x14ac:dyDescent="0.25">
      <c r="A1517" s="22" t="s">
        <v>2880</v>
      </c>
      <c r="B1517" s="22" t="s">
        <v>201</v>
      </c>
      <c r="C1517" s="22" t="s">
        <v>202</v>
      </c>
      <c r="D1517" s="22" t="s">
        <v>2879</v>
      </c>
      <c r="E1517" s="22" t="s">
        <v>57</v>
      </c>
      <c r="F1517" s="23">
        <v>-22300</v>
      </c>
      <c r="G1517" s="24">
        <v>44378</v>
      </c>
      <c r="H1517" s="22" t="s">
        <v>2839</v>
      </c>
      <c r="I1517" s="22" t="s">
        <v>723</v>
      </c>
      <c r="J1517" s="22"/>
      <c r="K1517" s="22"/>
      <c r="L1517" s="22"/>
      <c r="M1517" s="22"/>
      <c r="N1517" s="22"/>
      <c r="O1517" s="22"/>
      <c r="P1517" s="22"/>
      <c r="Q1517" s="22"/>
      <c r="R1517" s="22"/>
    </row>
    <row r="1518" spans="1:18" x14ac:dyDescent="0.25">
      <c r="A1518" s="22" t="s">
        <v>2882</v>
      </c>
      <c r="B1518" s="22" t="s">
        <v>201</v>
      </c>
      <c r="C1518" s="22" t="s">
        <v>202</v>
      </c>
      <c r="D1518" s="22" t="s">
        <v>2881</v>
      </c>
      <c r="E1518" s="22" t="s">
        <v>57</v>
      </c>
      <c r="F1518" s="23">
        <v>-10100</v>
      </c>
      <c r="G1518" s="24">
        <v>44399</v>
      </c>
      <c r="H1518" s="22" t="s">
        <v>2839</v>
      </c>
      <c r="I1518" s="22" t="s">
        <v>1731</v>
      </c>
      <c r="J1518" s="22"/>
      <c r="K1518" s="22"/>
      <c r="L1518" s="22"/>
      <c r="M1518" s="22"/>
      <c r="N1518" s="22"/>
      <c r="O1518" s="22"/>
      <c r="P1518" s="22"/>
      <c r="Q1518" s="22"/>
      <c r="R1518" s="22"/>
    </row>
    <row r="1519" spans="1:18" x14ac:dyDescent="0.25">
      <c r="A1519" s="22" t="s">
        <v>2884</v>
      </c>
      <c r="B1519" s="22" t="s">
        <v>201</v>
      </c>
      <c r="C1519" s="22" t="s">
        <v>202</v>
      </c>
      <c r="D1519" s="22" t="s">
        <v>2883</v>
      </c>
      <c r="E1519" s="22" t="s">
        <v>45</v>
      </c>
      <c r="F1519" s="23">
        <v>-27504</v>
      </c>
      <c r="G1519" s="24">
        <v>44400</v>
      </c>
      <c r="H1519" s="22" t="s">
        <v>2839</v>
      </c>
      <c r="I1519" s="22" t="s">
        <v>866</v>
      </c>
      <c r="J1519" s="22"/>
      <c r="K1519" s="22"/>
      <c r="L1519" s="22"/>
      <c r="M1519" s="22"/>
      <c r="N1519" s="22"/>
      <c r="O1519" s="22"/>
      <c r="P1519" s="22"/>
      <c r="Q1519" s="22"/>
      <c r="R1519" s="22"/>
    </row>
    <row r="1520" spans="1:18" x14ac:dyDescent="0.25">
      <c r="A1520" s="22" t="s">
        <v>2840</v>
      </c>
      <c r="B1520" s="22" t="s">
        <v>201</v>
      </c>
      <c r="C1520" s="22" t="s">
        <v>202</v>
      </c>
      <c r="D1520" s="22" t="s">
        <v>2839</v>
      </c>
      <c r="E1520" s="22" t="s">
        <v>45</v>
      </c>
      <c r="F1520" s="23">
        <v>65100</v>
      </c>
      <c r="G1520" s="24">
        <v>44385</v>
      </c>
      <c r="H1520" s="22" t="s">
        <v>2839</v>
      </c>
      <c r="I1520" s="22"/>
      <c r="J1520" s="22"/>
      <c r="K1520" s="22"/>
      <c r="L1520" s="22"/>
      <c r="M1520" s="22"/>
      <c r="N1520" s="22"/>
      <c r="O1520" s="22"/>
      <c r="P1520" s="22"/>
      <c r="Q1520" s="22"/>
      <c r="R1520" s="22"/>
    </row>
    <row r="1521" spans="1:18" x14ac:dyDescent="0.25">
      <c r="A1521" s="22" t="s">
        <v>2840</v>
      </c>
      <c r="B1521" s="22" t="s">
        <v>201</v>
      </c>
      <c r="C1521" s="22" t="s">
        <v>202</v>
      </c>
      <c r="D1521" s="22" t="s">
        <v>2839</v>
      </c>
      <c r="E1521" s="22" t="s">
        <v>45</v>
      </c>
      <c r="F1521" s="23">
        <v>-35596</v>
      </c>
      <c r="G1521" s="24">
        <v>44385</v>
      </c>
      <c r="H1521" s="22" t="s">
        <v>2839</v>
      </c>
      <c r="I1521" s="22"/>
      <c r="J1521" s="22"/>
      <c r="K1521" s="22"/>
      <c r="L1521" s="22"/>
      <c r="M1521" s="22"/>
      <c r="N1521" s="22"/>
      <c r="O1521" s="22"/>
      <c r="P1521" s="22"/>
      <c r="Q1521" s="22"/>
      <c r="R1521" s="22"/>
    </row>
    <row r="1522" spans="1:18" s="39" customFormat="1" x14ac:dyDescent="0.25">
      <c r="A1522" s="36" t="s">
        <v>2886</v>
      </c>
      <c r="B1522" s="36" t="s">
        <v>201</v>
      </c>
      <c r="C1522" s="36" t="s">
        <v>202</v>
      </c>
      <c r="D1522" s="36" t="s">
        <v>2885</v>
      </c>
      <c r="E1522" s="36" t="s">
        <v>42</v>
      </c>
      <c r="F1522" s="37">
        <v>132884</v>
      </c>
      <c r="G1522" s="38">
        <v>44355</v>
      </c>
      <c r="H1522" s="36" t="s">
        <v>2883</v>
      </c>
      <c r="I1522" s="36" t="s">
        <v>605</v>
      </c>
      <c r="J1522" s="36"/>
      <c r="K1522" s="36"/>
      <c r="L1522" s="36"/>
      <c r="M1522" s="36"/>
      <c r="N1522" s="36"/>
      <c r="O1522" s="36"/>
      <c r="P1522" s="36"/>
      <c r="Q1522" s="36"/>
      <c r="R1522" s="36"/>
    </row>
    <row r="1523" spans="1:18" x14ac:dyDescent="0.25">
      <c r="A1523" s="22" t="s">
        <v>2884</v>
      </c>
      <c r="B1523" s="22" t="s">
        <v>201</v>
      </c>
      <c r="C1523" s="22" t="s">
        <v>202</v>
      </c>
      <c r="D1523" s="22" t="s">
        <v>2887</v>
      </c>
      <c r="E1523" s="22" t="s">
        <v>57</v>
      </c>
      <c r="F1523" s="23">
        <v>-32700</v>
      </c>
      <c r="G1523" s="24">
        <v>44400</v>
      </c>
      <c r="H1523" s="22" t="s">
        <v>2883</v>
      </c>
      <c r="I1523" s="22" t="s">
        <v>249</v>
      </c>
      <c r="J1523" s="22"/>
      <c r="K1523" s="22"/>
      <c r="L1523" s="22"/>
      <c r="M1523" s="22"/>
      <c r="N1523" s="22"/>
      <c r="O1523" s="22"/>
      <c r="P1523" s="22"/>
      <c r="Q1523" s="22"/>
      <c r="R1523" s="22"/>
    </row>
    <row r="1524" spans="1:18" x14ac:dyDescent="0.25">
      <c r="A1524" s="22" t="s">
        <v>2889</v>
      </c>
      <c r="B1524" s="22" t="s">
        <v>201</v>
      </c>
      <c r="C1524" s="22" t="s">
        <v>202</v>
      </c>
      <c r="D1524" s="22" t="s">
        <v>2888</v>
      </c>
      <c r="E1524" s="22" t="s">
        <v>57</v>
      </c>
      <c r="F1524" s="23">
        <v>-23700</v>
      </c>
      <c r="G1524" s="24">
        <v>44392</v>
      </c>
      <c r="H1524" s="22" t="s">
        <v>2883</v>
      </c>
      <c r="I1524" s="22" t="s">
        <v>249</v>
      </c>
      <c r="J1524" s="22"/>
      <c r="K1524" s="22"/>
      <c r="L1524" s="22"/>
      <c r="M1524" s="22"/>
      <c r="N1524" s="22"/>
      <c r="O1524" s="22"/>
      <c r="P1524" s="22"/>
      <c r="Q1524" s="22"/>
      <c r="R1524" s="22"/>
    </row>
    <row r="1525" spans="1:18" x14ac:dyDescent="0.25">
      <c r="A1525" s="22" t="s">
        <v>2680</v>
      </c>
      <c r="B1525" s="22" t="s">
        <v>201</v>
      </c>
      <c r="C1525" s="22" t="s">
        <v>202</v>
      </c>
      <c r="D1525" s="22" t="s">
        <v>2678</v>
      </c>
      <c r="E1525" s="22" t="s">
        <v>45</v>
      </c>
      <c r="F1525" s="23">
        <v>-92038</v>
      </c>
      <c r="G1525" s="24">
        <v>44405</v>
      </c>
      <c r="H1525" s="22" t="s">
        <v>2883</v>
      </c>
      <c r="I1525" s="22" t="s">
        <v>2841</v>
      </c>
      <c r="J1525" s="22"/>
      <c r="K1525" s="22"/>
      <c r="L1525" s="22"/>
      <c r="M1525" s="22"/>
      <c r="N1525" s="22"/>
      <c r="O1525" s="22"/>
      <c r="P1525" s="22"/>
      <c r="Q1525" s="22"/>
      <c r="R1525" s="22"/>
    </row>
    <row r="1526" spans="1:18" x14ac:dyDescent="0.25">
      <c r="A1526" s="22" t="s">
        <v>2686</v>
      </c>
      <c r="B1526" s="22" t="s">
        <v>201</v>
      </c>
      <c r="C1526" s="22" t="s">
        <v>202</v>
      </c>
      <c r="D1526" s="22" t="s">
        <v>2684</v>
      </c>
      <c r="E1526" s="22" t="s">
        <v>45</v>
      </c>
      <c r="F1526" s="23">
        <v>-5200</v>
      </c>
      <c r="G1526" s="24">
        <v>44398</v>
      </c>
      <c r="H1526" s="22" t="s">
        <v>2883</v>
      </c>
      <c r="I1526" s="22" t="s">
        <v>2890</v>
      </c>
      <c r="J1526" s="22"/>
      <c r="K1526" s="22"/>
      <c r="L1526" s="22"/>
      <c r="M1526" s="22"/>
      <c r="N1526" s="22"/>
      <c r="O1526" s="22"/>
      <c r="P1526" s="22"/>
      <c r="Q1526" s="22"/>
      <c r="R1526" s="22"/>
    </row>
    <row r="1527" spans="1:18" x14ac:dyDescent="0.25">
      <c r="A1527" s="22" t="s">
        <v>2691</v>
      </c>
      <c r="B1527" s="22" t="s">
        <v>201</v>
      </c>
      <c r="C1527" s="22" t="s">
        <v>202</v>
      </c>
      <c r="D1527" s="22" t="s">
        <v>2689</v>
      </c>
      <c r="E1527" s="22" t="s">
        <v>45</v>
      </c>
      <c r="F1527" s="23">
        <v>-6750</v>
      </c>
      <c r="G1527" s="24">
        <v>44398</v>
      </c>
      <c r="H1527" s="22" t="s">
        <v>2883</v>
      </c>
      <c r="I1527" s="22" t="s">
        <v>2891</v>
      </c>
      <c r="J1527" s="22"/>
      <c r="K1527" s="22"/>
      <c r="L1527" s="22"/>
      <c r="M1527" s="22"/>
      <c r="N1527" s="22"/>
      <c r="O1527" s="22"/>
      <c r="P1527" s="22"/>
      <c r="Q1527" s="22"/>
      <c r="R1527" s="22"/>
    </row>
    <row r="1528" spans="1:18" x14ac:dyDescent="0.25">
      <c r="A1528" s="22" t="s">
        <v>2884</v>
      </c>
      <c r="B1528" s="22" t="s">
        <v>201</v>
      </c>
      <c r="C1528" s="22" t="s">
        <v>202</v>
      </c>
      <c r="D1528" s="22" t="s">
        <v>2883</v>
      </c>
      <c r="E1528" s="22" t="s">
        <v>45</v>
      </c>
      <c r="F1528" s="23">
        <v>103988</v>
      </c>
      <c r="G1528" s="24">
        <v>44400</v>
      </c>
      <c r="H1528" s="22" t="s">
        <v>2883</v>
      </c>
      <c r="I1528" s="22"/>
      <c r="J1528" s="22"/>
      <c r="K1528" s="22"/>
      <c r="L1528" s="22"/>
      <c r="M1528" s="22"/>
      <c r="N1528" s="22"/>
      <c r="O1528" s="22"/>
      <c r="P1528" s="22"/>
      <c r="Q1528" s="22"/>
      <c r="R1528" s="22"/>
    </row>
    <row r="1529" spans="1:18" x14ac:dyDescent="0.25">
      <c r="A1529" s="22" t="s">
        <v>2884</v>
      </c>
      <c r="B1529" s="22" t="s">
        <v>201</v>
      </c>
      <c r="C1529" s="22" t="s">
        <v>202</v>
      </c>
      <c r="D1529" s="22" t="s">
        <v>2883</v>
      </c>
      <c r="E1529" s="22" t="s">
        <v>45</v>
      </c>
      <c r="F1529" s="23">
        <v>-76484</v>
      </c>
      <c r="G1529" s="24">
        <v>44400</v>
      </c>
      <c r="H1529" s="22" t="s">
        <v>2883</v>
      </c>
      <c r="I1529" s="22"/>
      <c r="J1529" s="22"/>
      <c r="K1529" s="22"/>
      <c r="L1529" s="22"/>
      <c r="M1529" s="22"/>
      <c r="N1529" s="22"/>
      <c r="O1529" s="22"/>
      <c r="P1529" s="22"/>
      <c r="Q1529" s="22"/>
      <c r="R1529" s="22"/>
    </row>
    <row r="1530" spans="1:18" x14ac:dyDescent="0.25">
      <c r="A1530" s="22" t="s">
        <v>2811</v>
      </c>
      <c r="B1530" s="22" t="s">
        <v>201</v>
      </c>
      <c r="C1530" s="22" t="s">
        <v>202</v>
      </c>
      <c r="D1530" s="22" t="s">
        <v>2892</v>
      </c>
      <c r="E1530" s="22" t="s">
        <v>57</v>
      </c>
      <c r="F1530" s="23">
        <v>-43700</v>
      </c>
      <c r="G1530" s="24">
        <v>44347</v>
      </c>
      <c r="H1530" s="22" t="s">
        <v>2810</v>
      </c>
      <c r="I1530" s="22" t="s">
        <v>309</v>
      </c>
      <c r="J1530" s="22"/>
      <c r="K1530" s="22"/>
      <c r="L1530" s="22"/>
      <c r="M1530" s="22"/>
      <c r="N1530" s="22"/>
      <c r="O1530" s="22"/>
      <c r="P1530" s="22"/>
      <c r="Q1530" s="22"/>
      <c r="R1530" s="22"/>
    </row>
    <row r="1531" spans="1:18" x14ac:dyDescent="0.25">
      <c r="A1531" s="22" t="s">
        <v>2894</v>
      </c>
      <c r="B1531" s="22" t="s">
        <v>201</v>
      </c>
      <c r="C1531" s="22" t="s">
        <v>202</v>
      </c>
      <c r="D1531" s="22" t="s">
        <v>2893</v>
      </c>
      <c r="E1531" s="22" t="s">
        <v>57</v>
      </c>
      <c r="F1531" s="23">
        <v>-43700</v>
      </c>
      <c r="G1531" s="24">
        <v>44342</v>
      </c>
      <c r="H1531" s="22" t="s">
        <v>2810</v>
      </c>
      <c r="I1531" s="22" t="s">
        <v>823</v>
      </c>
      <c r="J1531" s="22"/>
      <c r="K1531" s="22"/>
      <c r="L1531" s="22"/>
      <c r="M1531" s="22"/>
      <c r="N1531" s="22"/>
      <c r="O1531" s="22"/>
      <c r="P1531" s="22"/>
      <c r="Q1531" s="22"/>
      <c r="R1531" s="22"/>
    </row>
    <row r="1532" spans="1:18" x14ac:dyDescent="0.25">
      <c r="A1532" s="22" t="s">
        <v>2896</v>
      </c>
      <c r="B1532" s="22" t="s">
        <v>201</v>
      </c>
      <c r="C1532" s="22" t="s">
        <v>202</v>
      </c>
      <c r="D1532" s="22" t="s">
        <v>2895</v>
      </c>
      <c r="E1532" s="22" t="s">
        <v>57</v>
      </c>
      <c r="F1532" s="23">
        <v>-29200</v>
      </c>
      <c r="G1532" s="24">
        <v>44341</v>
      </c>
      <c r="H1532" s="22" t="s">
        <v>2810</v>
      </c>
      <c r="I1532" s="22" t="s">
        <v>559</v>
      </c>
      <c r="J1532" s="22"/>
      <c r="K1532" s="22"/>
      <c r="L1532" s="22"/>
      <c r="M1532" s="22"/>
      <c r="N1532" s="22"/>
      <c r="O1532" s="22"/>
      <c r="P1532" s="22"/>
      <c r="Q1532" s="22"/>
      <c r="R1532" s="22"/>
    </row>
    <row r="1533" spans="1:18" x14ac:dyDescent="0.25">
      <c r="A1533" s="22" t="s">
        <v>2811</v>
      </c>
      <c r="B1533" s="22" t="s">
        <v>201</v>
      </c>
      <c r="C1533" s="22" t="s">
        <v>202</v>
      </c>
      <c r="D1533" s="22" t="s">
        <v>2810</v>
      </c>
      <c r="E1533" s="22" t="s">
        <v>45</v>
      </c>
      <c r="F1533" s="23">
        <v>-93400</v>
      </c>
      <c r="G1533" s="24">
        <v>44347</v>
      </c>
      <c r="H1533" s="22" t="s">
        <v>2810</v>
      </c>
      <c r="I1533" s="22"/>
      <c r="J1533" s="22"/>
      <c r="K1533" s="22"/>
      <c r="L1533" s="22"/>
      <c r="M1533" s="22"/>
      <c r="N1533" s="22"/>
      <c r="O1533" s="22"/>
      <c r="P1533" s="22"/>
      <c r="Q1533" s="22"/>
      <c r="R1533" s="22"/>
    </row>
    <row r="1534" spans="1:18" x14ac:dyDescent="0.25">
      <c r="A1534" s="22" t="s">
        <v>2811</v>
      </c>
      <c r="B1534" s="22" t="s">
        <v>201</v>
      </c>
      <c r="C1534" s="22" t="s">
        <v>202</v>
      </c>
      <c r="D1534" s="22" t="s">
        <v>2810</v>
      </c>
      <c r="E1534" s="22" t="s">
        <v>45</v>
      </c>
      <c r="F1534" s="23">
        <v>116600</v>
      </c>
      <c r="G1534" s="24">
        <v>44347</v>
      </c>
      <c r="H1534" s="22" t="s">
        <v>2810</v>
      </c>
      <c r="I1534" s="22"/>
      <c r="J1534" s="22"/>
      <c r="K1534" s="22"/>
      <c r="L1534" s="22"/>
      <c r="M1534" s="22"/>
      <c r="N1534" s="22"/>
      <c r="O1534" s="22"/>
      <c r="P1534" s="22"/>
      <c r="Q1534" s="22"/>
      <c r="R1534" s="22"/>
    </row>
    <row r="1535" spans="1:18" s="39" customFormat="1" x14ac:dyDescent="0.25">
      <c r="A1535" s="36" t="s">
        <v>2898</v>
      </c>
      <c r="B1535" s="36" t="s">
        <v>201</v>
      </c>
      <c r="C1535" s="36" t="s">
        <v>202</v>
      </c>
      <c r="D1535" s="36" t="s">
        <v>2897</v>
      </c>
      <c r="E1535" s="36" t="s">
        <v>42</v>
      </c>
      <c r="F1535" s="37">
        <v>750253</v>
      </c>
      <c r="G1535" s="38">
        <v>44232</v>
      </c>
      <c r="H1535" s="36" t="s">
        <v>2868</v>
      </c>
      <c r="I1535" s="36" t="s">
        <v>1886</v>
      </c>
      <c r="J1535" s="36"/>
      <c r="K1535" s="36"/>
      <c r="L1535" s="36"/>
      <c r="M1535" s="36"/>
      <c r="N1535" s="36"/>
      <c r="O1535" s="36"/>
      <c r="P1535" s="36"/>
      <c r="Q1535" s="36"/>
      <c r="R1535" s="36"/>
    </row>
    <row r="1536" spans="1:18" x14ac:dyDescent="0.25">
      <c r="A1536" s="22" t="s">
        <v>2869</v>
      </c>
      <c r="B1536" s="22" t="s">
        <v>201</v>
      </c>
      <c r="C1536" s="22" t="s">
        <v>202</v>
      </c>
      <c r="D1536" s="22" t="s">
        <v>2899</v>
      </c>
      <c r="E1536" s="22" t="s">
        <v>57</v>
      </c>
      <c r="F1536" s="23">
        <v>-363600</v>
      </c>
      <c r="G1536" s="24">
        <v>44334</v>
      </c>
      <c r="H1536" s="22" t="s">
        <v>2868</v>
      </c>
      <c r="I1536" s="22" t="s">
        <v>611</v>
      </c>
      <c r="J1536" s="22"/>
      <c r="K1536" s="22"/>
      <c r="L1536" s="22"/>
      <c r="M1536" s="22"/>
      <c r="N1536" s="22"/>
      <c r="O1536" s="22"/>
      <c r="P1536" s="22"/>
      <c r="Q1536" s="22"/>
      <c r="R1536" s="22"/>
    </row>
    <row r="1537" spans="1:18" x14ac:dyDescent="0.25">
      <c r="A1537" s="22" t="s">
        <v>2901</v>
      </c>
      <c r="B1537" s="22" t="s">
        <v>201</v>
      </c>
      <c r="C1537" s="22" t="s">
        <v>202</v>
      </c>
      <c r="D1537" s="22" t="s">
        <v>2900</v>
      </c>
      <c r="E1537" s="22" t="s">
        <v>57</v>
      </c>
      <c r="F1537" s="23">
        <v>-47200</v>
      </c>
      <c r="G1537" s="24">
        <v>44384</v>
      </c>
      <c r="H1537" s="22" t="s">
        <v>2868</v>
      </c>
      <c r="I1537" s="22" t="s">
        <v>608</v>
      </c>
      <c r="J1537" s="22"/>
      <c r="K1537" s="22"/>
      <c r="L1537" s="22"/>
      <c r="M1537" s="22"/>
      <c r="N1537" s="22"/>
      <c r="O1537" s="22"/>
      <c r="P1537" s="22"/>
      <c r="Q1537" s="22"/>
      <c r="R1537" s="22"/>
    </row>
    <row r="1538" spans="1:18" x14ac:dyDescent="0.25">
      <c r="A1538" s="22" t="s">
        <v>2903</v>
      </c>
      <c r="B1538" s="22" t="s">
        <v>201</v>
      </c>
      <c r="C1538" s="22" t="s">
        <v>202</v>
      </c>
      <c r="D1538" s="22" t="s">
        <v>2902</v>
      </c>
      <c r="E1538" s="22" t="s">
        <v>57</v>
      </c>
      <c r="F1538" s="23">
        <v>-197700</v>
      </c>
      <c r="G1538" s="24">
        <v>44384</v>
      </c>
      <c r="H1538" s="22" t="s">
        <v>2868</v>
      </c>
      <c r="I1538" s="22" t="s">
        <v>611</v>
      </c>
      <c r="J1538" s="22"/>
      <c r="K1538" s="22"/>
      <c r="L1538" s="22"/>
      <c r="M1538" s="22"/>
      <c r="N1538" s="22"/>
      <c r="O1538" s="22"/>
      <c r="P1538" s="22"/>
      <c r="Q1538" s="22"/>
      <c r="R1538" s="22"/>
    </row>
    <row r="1539" spans="1:18" x14ac:dyDescent="0.25">
      <c r="A1539" s="22" t="s">
        <v>2905</v>
      </c>
      <c r="B1539" s="22" t="s">
        <v>201</v>
      </c>
      <c r="C1539" s="22" t="s">
        <v>202</v>
      </c>
      <c r="D1539" s="22" t="s">
        <v>2904</v>
      </c>
      <c r="E1539" s="22" t="s">
        <v>57</v>
      </c>
      <c r="F1539" s="23">
        <v>-47200</v>
      </c>
      <c r="G1539" s="24">
        <v>44393</v>
      </c>
      <c r="H1539" s="22" t="s">
        <v>2868</v>
      </c>
      <c r="I1539" s="22" t="s">
        <v>249</v>
      </c>
      <c r="J1539" s="22"/>
      <c r="K1539" s="22"/>
      <c r="L1539" s="22"/>
      <c r="M1539" s="22"/>
      <c r="N1539" s="22"/>
      <c r="O1539" s="22"/>
      <c r="P1539" s="22"/>
      <c r="Q1539" s="22"/>
      <c r="R1539" s="22"/>
    </row>
    <row r="1540" spans="1:18" x14ac:dyDescent="0.25">
      <c r="A1540" s="22" t="s">
        <v>2907</v>
      </c>
      <c r="B1540" s="22" t="s">
        <v>201</v>
      </c>
      <c r="C1540" s="22" t="s">
        <v>202</v>
      </c>
      <c r="D1540" s="22" t="s">
        <v>2906</v>
      </c>
      <c r="E1540" s="22" t="s">
        <v>57</v>
      </c>
      <c r="F1540" s="23">
        <v>-71600</v>
      </c>
      <c r="G1540" s="24">
        <v>44389</v>
      </c>
      <c r="H1540" s="22" t="s">
        <v>2868</v>
      </c>
      <c r="I1540" s="22" t="s">
        <v>249</v>
      </c>
      <c r="J1540" s="22"/>
      <c r="K1540" s="22"/>
      <c r="L1540" s="22"/>
      <c r="M1540" s="22"/>
      <c r="N1540" s="22"/>
      <c r="O1540" s="22"/>
      <c r="P1540" s="22"/>
      <c r="Q1540" s="22"/>
      <c r="R1540" s="22"/>
    </row>
    <row r="1541" spans="1:18" x14ac:dyDescent="0.25">
      <c r="A1541" s="22" t="s">
        <v>2909</v>
      </c>
      <c r="B1541" s="22" t="s">
        <v>201</v>
      </c>
      <c r="C1541" s="22" t="s">
        <v>202</v>
      </c>
      <c r="D1541" s="22" t="s">
        <v>2908</v>
      </c>
      <c r="E1541" s="22" t="s">
        <v>57</v>
      </c>
      <c r="F1541" s="23">
        <v>-22300</v>
      </c>
      <c r="G1541" s="24">
        <v>44383</v>
      </c>
      <c r="H1541" s="22" t="s">
        <v>2868</v>
      </c>
      <c r="I1541" s="22" t="s">
        <v>249</v>
      </c>
      <c r="J1541" s="22"/>
      <c r="K1541" s="22"/>
      <c r="L1541" s="22"/>
      <c r="M1541" s="22"/>
      <c r="N1541" s="22"/>
      <c r="O1541" s="22"/>
      <c r="P1541" s="22"/>
      <c r="Q1541" s="22"/>
      <c r="R1541" s="22"/>
    </row>
    <row r="1542" spans="1:18" x14ac:dyDescent="0.25">
      <c r="A1542" s="22" t="s">
        <v>2911</v>
      </c>
      <c r="B1542" s="22" t="s">
        <v>201</v>
      </c>
      <c r="C1542" s="22" t="s">
        <v>202</v>
      </c>
      <c r="D1542" s="22" t="s">
        <v>2910</v>
      </c>
      <c r="E1542" s="22" t="s">
        <v>57</v>
      </c>
      <c r="F1542" s="23">
        <v>-10100</v>
      </c>
      <c r="G1542" s="24">
        <v>44379</v>
      </c>
      <c r="H1542" s="22" t="s">
        <v>2868</v>
      </c>
      <c r="I1542" s="22" t="s">
        <v>249</v>
      </c>
      <c r="J1542" s="22"/>
      <c r="K1542" s="22"/>
      <c r="L1542" s="22"/>
      <c r="M1542" s="22"/>
      <c r="N1542" s="22"/>
      <c r="O1542" s="22"/>
      <c r="P1542" s="22"/>
      <c r="Q1542" s="22"/>
      <c r="R1542" s="22"/>
    </row>
    <row r="1543" spans="1:18" x14ac:dyDescent="0.25">
      <c r="A1543" s="22" t="s">
        <v>2869</v>
      </c>
      <c r="B1543" s="22" t="s">
        <v>201</v>
      </c>
      <c r="C1543" s="22" t="s">
        <v>202</v>
      </c>
      <c r="D1543" s="22" t="s">
        <v>2868</v>
      </c>
      <c r="E1543" s="22" t="s">
        <v>45</v>
      </c>
      <c r="F1543" s="23">
        <v>608500</v>
      </c>
      <c r="G1543" s="24">
        <v>44334</v>
      </c>
      <c r="H1543" s="22" t="s">
        <v>2868</v>
      </c>
      <c r="I1543" s="22"/>
      <c r="J1543" s="22"/>
      <c r="K1543" s="22"/>
      <c r="L1543" s="22"/>
      <c r="M1543" s="22"/>
      <c r="N1543" s="22"/>
      <c r="O1543" s="22"/>
      <c r="P1543" s="22"/>
      <c r="Q1543" s="22"/>
      <c r="R1543" s="22"/>
    </row>
    <row r="1544" spans="1:18" x14ac:dyDescent="0.25">
      <c r="A1544" s="22" t="s">
        <v>2869</v>
      </c>
      <c r="B1544" s="22" t="s">
        <v>201</v>
      </c>
      <c r="C1544" s="22" t="s">
        <v>202</v>
      </c>
      <c r="D1544" s="22" t="s">
        <v>2868</v>
      </c>
      <c r="E1544" s="22" t="s">
        <v>45</v>
      </c>
      <c r="F1544" s="23">
        <v>-599053</v>
      </c>
      <c r="G1544" s="24">
        <v>44334</v>
      </c>
      <c r="H1544" s="22" t="s">
        <v>2868</v>
      </c>
      <c r="I1544" s="22"/>
      <c r="J1544" s="22"/>
      <c r="K1544" s="22"/>
      <c r="L1544" s="22"/>
      <c r="M1544" s="22"/>
      <c r="N1544" s="22"/>
      <c r="O1544" s="22"/>
      <c r="P1544" s="22"/>
      <c r="Q1544" s="22"/>
      <c r="R1544" s="22"/>
    </row>
    <row r="1545" spans="1:18" s="39" customFormat="1" x14ac:dyDescent="0.25">
      <c r="A1545" s="36" t="s">
        <v>2913</v>
      </c>
      <c r="B1545" s="36" t="s">
        <v>201</v>
      </c>
      <c r="C1545" s="36" t="s">
        <v>202</v>
      </c>
      <c r="D1545" s="36" t="s">
        <v>2912</v>
      </c>
      <c r="E1545" s="36" t="s">
        <v>42</v>
      </c>
      <c r="F1545" s="37">
        <v>350900</v>
      </c>
      <c r="G1545" s="38">
        <v>44385</v>
      </c>
      <c r="H1545" s="36" t="s">
        <v>2914</v>
      </c>
      <c r="I1545" s="36" t="s">
        <v>1671</v>
      </c>
      <c r="J1545" s="36"/>
      <c r="K1545" s="36"/>
      <c r="L1545" s="36"/>
      <c r="M1545" s="36"/>
      <c r="N1545" s="36"/>
      <c r="O1545" s="36"/>
      <c r="P1545" s="36"/>
      <c r="Q1545" s="36"/>
      <c r="R1545" s="36"/>
    </row>
    <row r="1546" spans="1:18" x14ac:dyDescent="0.25">
      <c r="A1546" s="22" t="s">
        <v>184</v>
      </c>
      <c r="B1546" s="22" t="s">
        <v>201</v>
      </c>
      <c r="C1546" s="22" t="s">
        <v>202</v>
      </c>
      <c r="D1546" s="22" t="s">
        <v>2915</v>
      </c>
      <c r="E1546" s="22" t="s">
        <v>45</v>
      </c>
      <c r="F1546" s="23">
        <v>-329357</v>
      </c>
      <c r="G1546" s="24">
        <v>44253</v>
      </c>
      <c r="H1546" s="22" t="s">
        <v>2914</v>
      </c>
      <c r="I1546" s="22" t="s">
        <v>2916</v>
      </c>
      <c r="J1546" s="22"/>
      <c r="K1546" s="22"/>
      <c r="L1546" s="22"/>
      <c r="M1546" s="22"/>
      <c r="N1546" s="22"/>
      <c r="O1546" s="22"/>
      <c r="P1546" s="22"/>
      <c r="Q1546" s="22"/>
      <c r="R1546" s="22"/>
    </row>
    <row r="1547" spans="1:18" x14ac:dyDescent="0.25">
      <c r="A1547" s="22" t="s">
        <v>2913</v>
      </c>
      <c r="B1547" s="22" t="s">
        <v>201</v>
      </c>
      <c r="C1547" s="22" t="s">
        <v>202</v>
      </c>
      <c r="D1547" s="22" t="s">
        <v>2914</v>
      </c>
      <c r="E1547" s="22" t="s">
        <v>45</v>
      </c>
      <c r="F1547" s="23">
        <v>329357</v>
      </c>
      <c r="G1547" s="24">
        <v>44385</v>
      </c>
      <c r="H1547" s="22" t="s">
        <v>2914</v>
      </c>
      <c r="I1547" s="22"/>
      <c r="J1547" s="22"/>
      <c r="K1547" s="22"/>
      <c r="L1547" s="22"/>
      <c r="M1547" s="22"/>
      <c r="N1547" s="22"/>
      <c r="O1547" s="22"/>
      <c r="P1547" s="22"/>
      <c r="Q1547" s="22"/>
      <c r="R1547" s="22"/>
    </row>
    <row r="1548" spans="1:18" x14ac:dyDescent="0.25">
      <c r="A1548" s="22" t="s">
        <v>2913</v>
      </c>
      <c r="B1548" s="22" t="s">
        <v>201</v>
      </c>
      <c r="C1548" s="22" t="s">
        <v>202</v>
      </c>
      <c r="D1548" s="22" t="s">
        <v>2914</v>
      </c>
      <c r="E1548" s="22" t="s">
        <v>45</v>
      </c>
      <c r="F1548" s="23">
        <v>-350900</v>
      </c>
      <c r="G1548" s="24">
        <v>44385</v>
      </c>
      <c r="H1548" s="22" t="s">
        <v>2914</v>
      </c>
      <c r="I1548" s="22"/>
      <c r="J1548" s="22"/>
      <c r="K1548" s="22"/>
      <c r="L1548" s="22"/>
      <c r="M1548" s="22"/>
      <c r="N1548" s="22"/>
      <c r="O1548" s="22"/>
      <c r="P1548" s="22"/>
      <c r="Q1548" s="22"/>
      <c r="R1548" s="22"/>
    </row>
    <row r="1549" spans="1:18" s="39" customFormat="1" x14ac:dyDescent="0.25">
      <c r="A1549" s="36" t="s">
        <v>2918</v>
      </c>
      <c r="B1549" s="36" t="s">
        <v>201</v>
      </c>
      <c r="C1549" s="36" t="s">
        <v>202</v>
      </c>
      <c r="D1549" s="36" t="s">
        <v>2917</v>
      </c>
      <c r="E1549" s="36" t="s">
        <v>42</v>
      </c>
      <c r="F1549" s="37">
        <v>1755614</v>
      </c>
      <c r="G1549" s="38">
        <v>44355</v>
      </c>
      <c r="H1549" s="36" t="s">
        <v>2915</v>
      </c>
      <c r="I1549" s="36" t="s">
        <v>605</v>
      </c>
      <c r="J1549" s="36"/>
      <c r="K1549" s="36"/>
      <c r="L1549" s="36"/>
      <c r="M1549" s="36"/>
      <c r="N1549" s="36"/>
      <c r="O1549" s="36"/>
      <c r="P1549" s="36"/>
      <c r="Q1549" s="36"/>
      <c r="R1549" s="36"/>
    </row>
    <row r="1550" spans="1:18" x14ac:dyDescent="0.25">
      <c r="A1550" s="22" t="s">
        <v>184</v>
      </c>
      <c r="B1550" s="22" t="s">
        <v>201</v>
      </c>
      <c r="C1550" s="22" t="s">
        <v>202</v>
      </c>
      <c r="D1550" s="22" t="s">
        <v>2859</v>
      </c>
      <c r="E1550" s="22" t="s">
        <v>45</v>
      </c>
      <c r="F1550" s="23">
        <v>-2084971</v>
      </c>
      <c r="G1550" s="24">
        <v>44253</v>
      </c>
      <c r="H1550" s="22" t="s">
        <v>2915</v>
      </c>
      <c r="I1550" s="22" t="s">
        <v>2919</v>
      </c>
      <c r="J1550" s="22"/>
      <c r="K1550" s="22"/>
      <c r="L1550" s="22"/>
      <c r="M1550" s="22"/>
      <c r="N1550" s="22"/>
      <c r="O1550" s="22"/>
      <c r="P1550" s="22"/>
      <c r="Q1550" s="22"/>
      <c r="R1550" s="22"/>
    </row>
    <row r="1551" spans="1:18" x14ac:dyDescent="0.25">
      <c r="A1551" s="22" t="s">
        <v>184</v>
      </c>
      <c r="B1551" s="22" t="s">
        <v>201</v>
      </c>
      <c r="C1551" s="22" t="s">
        <v>202</v>
      </c>
      <c r="D1551" s="22" t="s">
        <v>2915</v>
      </c>
      <c r="E1551" s="22" t="s">
        <v>45</v>
      </c>
      <c r="F1551" s="23">
        <v>2084971</v>
      </c>
      <c r="G1551" s="24">
        <v>44253</v>
      </c>
      <c r="H1551" s="22" t="s">
        <v>2915</v>
      </c>
      <c r="I1551" s="22"/>
      <c r="J1551" s="22"/>
      <c r="K1551" s="22"/>
      <c r="L1551" s="22"/>
      <c r="M1551" s="22"/>
      <c r="N1551" s="22"/>
      <c r="O1551" s="22"/>
      <c r="P1551" s="22"/>
      <c r="Q1551" s="22"/>
      <c r="R1551" s="22"/>
    </row>
    <row r="1552" spans="1:18" x14ac:dyDescent="0.25">
      <c r="A1552" s="22" t="s">
        <v>184</v>
      </c>
      <c r="B1552" s="22" t="s">
        <v>201</v>
      </c>
      <c r="C1552" s="22" t="s">
        <v>202</v>
      </c>
      <c r="D1552" s="22" t="s">
        <v>2915</v>
      </c>
      <c r="E1552" s="22" t="s">
        <v>45</v>
      </c>
      <c r="F1552" s="23">
        <v>-1755614</v>
      </c>
      <c r="G1552" s="24">
        <v>44253</v>
      </c>
      <c r="H1552" s="22" t="s">
        <v>2915</v>
      </c>
      <c r="I1552" s="22"/>
      <c r="J1552" s="22"/>
      <c r="K1552" s="22"/>
      <c r="L1552" s="22"/>
      <c r="M1552" s="22"/>
      <c r="N1552" s="22"/>
      <c r="O1552" s="22"/>
      <c r="P1552" s="22"/>
      <c r="Q1552" s="22"/>
      <c r="R1552" s="22"/>
    </row>
    <row r="1553" spans="1:18" s="39" customFormat="1" x14ac:dyDescent="0.25">
      <c r="A1553" s="36" t="s">
        <v>2921</v>
      </c>
      <c r="B1553" s="36" t="s">
        <v>201</v>
      </c>
      <c r="C1553" s="36" t="s">
        <v>202</v>
      </c>
      <c r="D1553" s="36" t="s">
        <v>2920</v>
      </c>
      <c r="E1553" s="36" t="s">
        <v>42</v>
      </c>
      <c r="F1553" s="37">
        <v>1058677</v>
      </c>
      <c r="G1553" s="38">
        <v>44295</v>
      </c>
      <c r="H1553" s="36" t="s">
        <v>2861</v>
      </c>
      <c r="I1553" s="36" t="s">
        <v>1812</v>
      </c>
      <c r="J1553" s="36"/>
      <c r="K1553" s="36"/>
      <c r="L1553" s="36"/>
      <c r="M1553" s="36"/>
      <c r="N1553" s="36"/>
      <c r="O1553" s="36"/>
      <c r="P1553" s="36"/>
      <c r="Q1553" s="36"/>
      <c r="R1553" s="3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workbookViewId="0">
      <selection activeCell="F17" sqref="F16:F17"/>
    </sheetView>
  </sheetViews>
  <sheetFormatPr baseColWidth="10" defaultRowHeight="15" x14ac:dyDescent="0.25"/>
  <cols>
    <col min="1" max="1" width="19.5703125" customWidth="1"/>
  </cols>
  <sheetData>
    <row r="1" spans="1:14" x14ac:dyDescent="0.25">
      <c r="A1" s="21" t="s">
        <v>33</v>
      </c>
      <c r="B1" s="21" t="s">
        <v>32</v>
      </c>
      <c r="C1" s="21" t="s">
        <v>34</v>
      </c>
      <c r="D1" s="21" t="s">
        <v>35</v>
      </c>
      <c r="E1" s="21" t="s">
        <v>36</v>
      </c>
      <c r="F1" s="21" t="s">
        <v>37</v>
      </c>
      <c r="G1" s="21" t="s">
        <v>38</v>
      </c>
      <c r="H1" s="21" t="s">
        <v>52</v>
      </c>
      <c r="I1" s="21" t="s">
        <v>53</v>
      </c>
      <c r="J1" s="21" t="s">
        <v>54</v>
      </c>
      <c r="K1" s="22"/>
      <c r="L1" s="22"/>
      <c r="M1" s="22"/>
      <c r="N1" s="22"/>
    </row>
    <row r="2" spans="1:14" x14ac:dyDescent="0.25">
      <c r="A2" s="22" t="s">
        <v>56</v>
      </c>
      <c r="B2" s="22" t="s">
        <v>55</v>
      </c>
      <c r="C2" s="23">
        <v>5840396</v>
      </c>
      <c r="D2" s="22" t="s">
        <v>57</v>
      </c>
      <c r="E2" s="24">
        <v>44456</v>
      </c>
      <c r="F2" s="22"/>
      <c r="G2" s="22" t="s">
        <v>58</v>
      </c>
      <c r="H2" s="22" t="s">
        <v>59</v>
      </c>
      <c r="I2" s="22" t="s">
        <v>60</v>
      </c>
      <c r="J2" s="22" t="s">
        <v>61</v>
      </c>
      <c r="K2" s="22"/>
      <c r="L2" s="22"/>
      <c r="M2" s="22"/>
      <c r="N2" s="22"/>
    </row>
    <row r="3" spans="1:14" x14ac:dyDescent="0.25">
      <c r="A3" s="22" t="s">
        <v>63</v>
      </c>
      <c r="B3" s="22" t="s">
        <v>62</v>
      </c>
      <c r="C3" s="23">
        <v>22254313</v>
      </c>
      <c r="D3" s="22" t="s">
        <v>57</v>
      </c>
      <c r="E3" s="24">
        <v>44474</v>
      </c>
      <c r="F3" s="22"/>
      <c r="G3" s="22" t="s">
        <v>64</v>
      </c>
      <c r="H3" s="22" t="s">
        <v>65</v>
      </c>
      <c r="I3" s="22" t="s">
        <v>60</v>
      </c>
      <c r="J3" s="22" t="s">
        <v>66</v>
      </c>
      <c r="K3" s="22"/>
      <c r="L3" s="22"/>
      <c r="M3" s="22"/>
      <c r="N3" s="22"/>
    </row>
    <row r="4" spans="1:14" x14ac:dyDescent="0.25">
      <c r="A4" s="22" t="s">
        <v>67</v>
      </c>
      <c r="B4" s="22" t="s">
        <v>62</v>
      </c>
      <c r="C4" s="23">
        <v>743688</v>
      </c>
      <c r="D4" s="22" t="s">
        <v>57</v>
      </c>
      <c r="E4" s="24">
        <v>44449</v>
      </c>
      <c r="F4" s="22"/>
      <c r="G4" s="22" t="s">
        <v>68</v>
      </c>
      <c r="H4" s="22" t="s">
        <v>69</v>
      </c>
      <c r="I4" s="22" t="s">
        <v>60</v>
      </c>
      <c r="J4" s="22" t="s">
        <v>66</v>
      </c>
      <c r="K4" s="22"/>
      <c r="L4" s="22"/>
      <c r="M4" s="22"/>
      <c r="N4" s="22"/>
    </row>
    <row r="5" spans="1:14" x14ac:dyDescent="0.25">
      <c r="A5" s="22" t="s">
        <v>3207</v>
      </c>
      <c r="B5" s="22" t="s">
        <v>70</v>
      </c>
      <c r="C5" s="23">
        <v>615600</v>
      </c>
      <c r="D5" s="22" t="s">
        <v>57</v>
      </c>
      <c r="E5" s="24">
        <v>43365</v>
      </c>
      <c r="F5" s="22"/>
      <c r="G5" s="22" t="s">
        <v>71</v>
      </c>
      <c r="H5" s="22" t="s">
        <v>72</v>
      </c>
      <c r="I5" s="22" t="s">
        <v>73</v>
      </c>
      <c r="J5" s="22" t="s">
        <v>29</v>
      </c>
      <c r="K5" s="22"/>
      <c r="L5" s="22"/>
      <c r="M5" s="22"/>
      <c r="N5" s="22"/>
    </row>
    <row r="6" spans="1:14" x14ac:dyDescent="0.25">
      <c r="A6" s="22" t="s">
        <v>75</v>
      </c>
      <c r="B6" s="22" t="s">
        <v>74</v>
      </c>
      <c r="C6" s="23">
        <v>370000</v>
      </c>
      <c r="D6" s="22" t="s">
        <v>57</v>
      </c>
      <c r="E6" s="24">
        <v>44088</v>
      </c>
      <c r="F6" s="22"/>
      <c r="G6" s="22" t="s">
        <v>76</v>
      </c>
      <c r="H6" s="22" t="s">
        <v>77</v>
      </c>
      <c r="I6" s="22" t="s">
        <v>60</v>
      </c>
      <c r="J6" s="22" t="s">
        <v>78</v>
      </c>
      <c r="K6" s="22"/>
      <c r="L6" s="22"/>
      <c r="M6" s="22"/>
      <c r="N6" s="22"/>
    </row>
    <row r="7" spans="1:14" x14ac:dyDescent="0.25">
      <c r="A7" s="22" t="s">
        <v>80</v>
      </c>
      <c r="B7" s="22" t="s">
        <v>79</v>
      </c>
      <c r="C7" s="23">
        <v>6381000</v>
      </c>
      <c r="D7" s="22" t="s">
        <v>57</v>
      </c>
      <c r="E7" s="24">
        <v>44107</v>
      </c>
      <c r="F7" s="22"/>
      <c r="G7" s="22" t="s">
        <v>81</v>
      </c>
      <c r="H7" s="22" t="s">
        <v>82</v>
      </c>
      <c r="I7" s="22" t="s">
        <v>73</v>
      </c>
      <c r="J7" s="22" t="s">
        <v>83</v>
      </c>
      <c r="K7" s="22"/>
      <c r="L7" s="22"/>
      <c r="M7" s="22"/>
      <c r="N7" s="22"/>
    </row>
    <row r="8" spans="1:14" x14ac:dyDescent="0.25">
      <c r="A8" s="22" t="s">
        <v>85</v>
      </c>
      <c r="B8" s="22" t="s">
        <v>84</v>
      </c>
      <c r="C8" s="23">
        <v>73900</v>
      </c>
      <c r="D8" s="22" t="s">
        <v>57</v>
      </c>
      <c r="E8" s="24">
        <v>44088</v>
      </c>
      <c r="F8" s="22"/>
      <c r="G8" s="22" t="s">
        <v>86</v>
      </c>
      <c r="H8" s="22" t="s">
        <v>87</v>
      </c>
      <c r="I8" s="22" t="s">
        <v>60</v>
      </c>
      <c r="J8" s="22" t="s">
        <v>78</v>
      </c>
      <c r="K8" s="22"/>
      <c r="L8" s="22"/>
      <c r="M8" s="22"/>
      <c r="N8" s="22"/>
    </row>
    <row r="9" spans="1:14" x14ac:dyDescent="0.25">
      <c r="A9" s="22" t="s">
        <v>89</v>
      </c>
      <c r="B9" s="22" t="s">
        <v>88</v>
      </c>
      <c r="C9" s="23">
        <v>458000</v>
      </c>
      <c r="D9" s="22" t="s">
        <v>57</v>
      </c>
      <c r="E9" s="24">
        <v>44488</v>
      </c>
      <c r="F9" s="22"/>
      <c r="G9" s="22" t="s">
        <v>90</v>
      </c>
      <c r="H9" s="22" t="s">
        <v>91</v>
      </c>
      <c r="I9" s="22" t="s">
        <v>60</v>
      </c>
      <c r="J9" s="22" t="s">
        <v>61</v>
      </c>
      <c r="K9" s="22"/>
      <c r="L9" s="22"/>
      <c r="M9" s="22"/>
      <c r="N9" s="22"/>
    </row>
    <row r="10" spans="1:14" x14ac:dyDescent="0.25">
      <c r="A10" s="22" t="s">
        <v>93</v>
      </c>
      <c r="B10" s="22" t="s">
        <v>92</v>
      </c>
      <c r="C10" s="23">
        <v>143100</v>
      </c>
      <c r="D10" s="22" t="s">
        <v>57</v>
      </c>
      <c r="E10" s="24">
        <v>44530</v>
      </c>
      <c r="F10" s="22"/>
      <c r="G10" s="22" t="s">
        <v>94</v>
      </c>
      <c r="H10" s="22" t="s">
        <v>95</v>
      </c>
      <c r="I10" s="22" t="s">
        <v>60</v>
      </c>
      <c r="J10" s="22" t="s">
        <v>61</v>
      </c>
      <c r="K10" s="22"/>
      <c r="L10" s="22"/>
      <c r="M10" s="22"/>
      <c r="N10" s="22"/>
    </row>
    <row r="11" spans="1:14" x14ac:dyDescent="0.25">
      <c r="A11" s="22" t="s">
        <v>97</v>
      </c>
      <c r="B11" s="22" t="s">
        <v>96</v>
      </c>
      <c r="C11" s="23">
        <v>3655498</v>
      </c>
      <c r="D11" s="22" t="s">
        <v>57</v>
      </c>
      <c r="E11" s="24">
        <v>44512</v>
      </c>
      <c r="F11" s="22"/>
      <c r="G11" s="22" t="s">
        <v>98</v>
      </c>
      <c r="H11" s="22" t="s">
        <v>99</v>
      </c>
      <c r="I11" s="22" t="s">
        <v>60</v>
      </c>
      <c r="J11" s="22" t="s">
        <v>66</v>
      </c>
      <c r="K11" s="22"/>
      <c r="L11" s="22"/>
      <c r="M11" s="22"/>
      <c r="N11" s="22"/>
    </row>
    <row r="12" spans="1:14" x14ac:dyDescent="0.25">
      <c r="A12" s="22" t="s">
        <v>3209</v>
      </c>
      <c r="B12" s="22" t="s">
        <v>100</v>
      </c>
      <c r="C12" s="23">
        <v>579900</v>
      </c>
      <c r="D12" s="22" t="s">
        <v>57</v>
      </c>
      <c r="E12" s="24">
        <v>43414</v>
      </c>
      <c r="F12" s="22"/>
      <c r="G12" s="22" t="s">
        <v>101</v>
      </c>
      <c r="H12" s="22" t="s">
        <v>102</v>
      </c>
      <c r="I12" s="22" t="s">
        <v>73</v>
      </c>
      <c r="J12" s="22" t="s">
        <v>103</v>
      </c>
      <c r="K12" s="22"/>
      <c r="L12" s="22"/>
      <c r="M12" s="22"/>
      <c r="N12" s="22"/>
    </row>
    <row r="13" spans="1:14" x14ac:dyDescent="0.25">
      <c r="A13" s="22" t="s">
        <v>3210</v>
      </c>
      <c r="B13" s="22" t="s">
        <v>100</v>
      </c>
      <c r="C13" s="23">
        <v>761775</v>
      </c>
      <c r="D13" s="22" t="s">
        <v>57</v>
      </c>
      <c r="E13" s="24">
        <v>43418</v>
      </c>
      <c r="F13" s="22"/>
      <c r="G13" s="22" t="s">
        <v>104</v>
      </c>
      <c r="H13" s="22" t="s">
        <v>105</v>
      </c>
      <c r="I13" s="22" t="s">
        <v>73</v>
      </c>
      <c r="J13" s="22" t="s">
        <v>103</v>
      </c>
      <c r="K13" s="22"/>
      <c r="L13" s="22"/>
      <c r="M13" s="22"/>
      <c r="N13" s="22"/>
    </row>
    <row r="14" spans="1:14" x14ac:dyDescent="0.25">
      <c r="A14" s="22" t="s">
        <v>3208</v>
      </c>
      <c r="B14" s="22" t="s">
        <v>106</v>
      </c>
      <c r="C14" s="23">
        <v>27875</v>
      </c>
      <c r="D14" s="22" t="s">
        <v>57</v>
      </c>
      <c r="E14" s="24">
        <v>43378</v>
      </c>
      <c r="F14" s="22"/>
      <c r="G14" s="22" t="s">
        <v>107</v>
      </c>
      <c r="H14" s="22" t="s">
        <v>108</v>
      </c>
      <c r="I14" s="22" t="s">
        <v>73</v>
      </c>
      <c r="J14" s="22" t="s">
        <v>103</v>
      </c>
      <c r="K14" s="22"/>
      <c r="L14" s="22"/>
      <c r="M14" s="22"/>
      <c r="N14" s="22"/>
    </row>
    <row r="15" spans="1:14" x14ac:dyDescent="0.25">
      <c r="A15" s="22" t="s">
        <v>3204</v>
      </c>
      <c r="B15" s="22" t="s">
        <v>109</v>
      </c>
      <c r="C15" s="23">
        <v>79118</v>
      </c>
      <c r="D15" s="22" t="s">
        <v>57</v>
      </c>
      <c r="E15" s="24">
        <v>43131</v>
      </c>
      <c r="F15" s="22"/>
      <c r="G15" s="22" t="s">
        <v>110</v>
      </c>
      <c r="H15" s="22" t="s">
        <v>111</v>
      </c>
      <c r="I15" s="22" t="s">
        <v>73</v>
      </c>
      <c r="J15" s="22" t="s">
        <v>112</v>
      </c>
      <c r="K15" s="22"/>
      <c r="L15" s="22"/>
      <c r="M15" s="22"/>
      <c r="N15" s="22"/>
    </row>
    <row r="16" spans="1:14" x14ac:dyDescent="0.25">
      <c r="A16" s="22" t="s">
        <v>114</v>
      </c>
      <c r="B16" s="22" t="s">
        <v>113</v>
      </c>
      <c r="C16" s="23">
        <v>962439</v>
      </c>
      <c r="D16" s="22" t="s">
        <v>57</v>
      </c>
      <c r="E16" s="24">
        <v>44621</v>
      </c>
      <c r="F16" s="22"/>
      <c r="G16" s="22" t="s">
        <v>115</v>
      </c>
      <c r="H16" s="22" t="s">
        <v>116</v>
      </c>
      <c r="I16" s="22" t="s">
        <v>73</v>
      </c>
      <c r="J16" s="22" t="s">
        <v>66</v>
      </c>
      <c r="K16" s="22"/>
      <c r="L16" s="22"/>
      <c r="M16" s="22"/>
      <c r="N16" s="22"/>
    </row>
    <row r="17" spans="1:14" x14ac:dyDescent="0.25">
      <c r="A17" s="22" t="s">
        <v>117</v>
      </c>
      <c r="B17" s="22" t="s">
        <v>113</v>
      </c>
      <c r="C17" s="23">
        <v>1494000</v>
      </c>
      <c r="D17" s="22" t="s">
        <v>57</v>
      </c>
      <c r="E17" s="24">
        <v>44618</v>
      </c>
      <c r="F17" s="22"/>
      <c r="G17" s="22" t="s">
        <v>118</v>
      </c>
      <c r="H17" s="22" t="s">
        <v>119</v>
      </c>
      <c r="I17" s="22" t="s">
        <v>73</v>
      </c>
      <c r="J17" s="22" t="s">
        <v>66</v>
      </c>
      <c r="K17" s="22"/>
      <c r="L17" s="22"/>
      <c r="M17" s="22"/>
      <c r="N17" s="22"/>
    </row>
    <row r="18" spans="1:14" x14ac:dyDescent="0.25">
      <c r="A18" s="22" t="s">
        <v>121</v>
      </c>
      <c r="B18" s="22" t="s">
        <v>120</v>
      </c>
      <c r="C18" s="23">
        <v>846800</v>
      </c>
      <c r="D18" s="22" t="s">
        <v>57</v>
      </c>
      <c r="E18" s="24">
        <v>44590</v>
      </c>
      <c r="F18" s="22"/>
      <c r="G18" s="22" t="s">
        <v>122</v>
      </c>
      <c r="H18" s="22" t="s">
        <v>123</v>
      </c>
      <c r="I18" s="22" t="s">
        <v>73</v>
      </c>
      <c r="J18" s="22" t="s">
        <v>66</v>
      </c>
      <c r="K18" s="22"/>
      <c r="L18" s="22"/>
      <c r="M18" s="22"/>
      <c r="N18" s="22"/>
    </row>
    <row r="19" spans="1:14" x14ac:dyDescent="0.25">
      <c r="A19" s="22" t="s">
        <v>125</v>
      </c>
      <c r="B19" s="22" t="s">
        <v>124</v>
      </c>
      <c r="C19" s="23">
        <v>2823431</v>
      </c>
      <c r="D19" s="22" t="s">
        <v>57</v>
      </c>
      <c r="E19" s="24">
        <v>44152</v>
      </c>
      <c r="F19" s="22"/>
      <c r="G19" s="22" t="s">
        <v>126</v>
      </c>
      <c r="H19" s="22" t="s">
        <v>127</v>
      </c>
      <c r="I19" s="22" t="s">
        <v>60</v>
      </c>
      <c r="J19" s="22" t="s">
        <v>128</v>
      </c>
      <c r="K19" s="22"/>
      <c r="L19" s="22"/>
      <c r="M19" s="22"/>
      <c r="N19" s="22"/>
    </row>
    <row r="20" spans="1:14" x14ac:dyDescent="0.25">
      <c r="A20" s="22" t="s">
        <v>130</v>
      </c>
      <c r="B20" s="22" t="s">
        <v>129</v>
      </c>
      <c r="C20" s="23">
        <v>49245</v>
      </c>
      <c r="D20" s="22" t="s">
        <v>57</v>
      </c>
      <c r="E20" s="24">
        <v>44314</v>
      </c>
      <c r="F20" s="22"/>
      <c r="G20" s="22" t="s">
        <v>131</v>
      </c>
      <c r="H20" s="22" t="s">
        <v>132</v>
      </c>
      <c r="I20" s="22" t="s">
        <v>60</v>
      </c>
      <c r="J20" s="22" t="s">
        <v>128</v>
      </c>
      <c r="K20" s="22"/>
      <c r="L20" s="22"/>
      <c r="M20" s="22"/>
      <c r="N20" s="22"/>
    </row>
    <row r="21" spans="1:14" x14ac:dyDescent="0.25">
      <c r="A21" s="22" t="s">
        <v>134</v>
      </c>
      <c r="B21" s="22" t="s">
        <v>133</v>
      </c>
      <c r="C21" s="23">
        <v>474800</v>
      </c>
      <c r="D21" s="22" t="s">
        <v>57</v>
      </c>
      <c r="E21" s="24">
        <v>44314</v>
      </c>
      <c r="F21" s="22"/>
      <c r="G21" s="22" t="s">
        <v>135</v>
      </c>
      <c r="H21" s="22" t="s">
        <v>136</v>
      </c>
      <c r="I21" s="22" t="s">
        <v>60</v>
      </c>
      <c r="J21" s="22" t="s">
        <v>128</v>
      </c>
      <c r="K21" s="22"/>
      <c r="L21" s="22"/>
      <c r="M21" s="22"/>
      <c r="N21" s="22"/>
    </row>
    <row r="22" spans="1:14" x14ac:dyDescent="0.25">
      <c r="A22" s="22" t="s">
        <v>138</v>
      </c>
      <c r="B22" s="22" t="s">
        <v>137</v>
      </c>
      <c r="C22" s="23">
        <v>152300</v>
      </c>
      <c r="D22" s="22" t="s">
        <v>57</v>
      </c>
      <c r="E22" s="24">
        <v>44344</v>
      </c>
      <c r="F22" s="22"/>
      <c r="G22" s="22" t="s">
        <v>139</v>
      </c>
      <c r="H22" s="22" t="s">
        <v>140</v>
      </c>
      <c r="I22" s="22" t="s">
        <v>60</v>
      </c>
      <c r="J22" s="22" t="s">
        <v>128</v>
      </c>
      <c r="K22" s="22"/>
      <c r="L22" s="22"/>
      <c r="M22" s="22"/>
      <c r="N22" s="22"/>
    </row>
    <row r="23" spans="1:14" x14ac:dyDescent="0.25">
      <c r="A23" s="22" t="s">
        <v>142</v>
      </c>
      <c r="B23" s="22" t="s">
        <v>141</v>
      </c>
      <c r="C23" s="23">
        <v>252805</v>
      </c>
      <c r="D23" s="22" t="s">
        <v>57</v>
      </c>
      <c r="E23" s="24">
        <v>44319</v>
      </c>
      <c r="F23" s="22"/>
      <c r="G23" s="22" t="s">
        <v>143</v>
      </c>
      <c r="H23" s="22" t="s">
        <v>144</v>
      </c>
      <c r="I23" s="22" t="s">
        <v>73</v>
      </c>
      <c r="J23" s="22" t="s">
        <v>128</v>
      </c>
      <c r="K23" s="22"/>
      <c r="L23" s="22"/>
      <c r="M23" s="22"/>
      <c r="N23" s="22"/>
    </row>
    <row r="24" spans="1:14" x14ac:dyDescent="0.25">
      <c r="A24" s="22" t="s">
        <v>146</v>
      </c>
      <c r="B24" s="22" t="s">
        <v>145</v>
      </c>
      <c r="C24" s="23">
        <v>2143674</v>
      </c>
      <c r="D24" s="22" t="s">
        <v>57</v>
      </c>
      <c r="E24" s="24">
        <v>44326</v>
      </c>
      <c r="F24" s="22"/>
      <c r="G24" s="22" t="s">
        <v>147</v>
      </c>
      <c r="H24" s="22" t="s">
        <v>148</v>
      </c>
      <c r="I24" s="22" t="s">
        <v>60</v>
      </c>
      <c r="J24" s="22" t="s">
        <v>128</v>
      </c>
      <c r="K24" s="22"/>
      <c r="L24" s="22"/>
      <c r="M24" s="22"/>
      <c r="N24" s="22"/>
    </row>
    <row r="25" spans="1:14" x14ac:dyDescent="0.25">
      <c r="A25" s="22" t="s">
        <v>150</v>
      </c>
      <c r="B25" s="22" t="s">
        <v>149</v>
      </c>
      <c r="C25" s="23">
        <v>168785</v>
      </c>
      <c r="D25" s="22" t="s">
        <v>57</v>
      </c>
      <c r="E25" s="24">
        <v>44358</v>
      </c>
      <c r="F25" s="22"/>
      <c r="G25" s="22" t="s">
        <v>151</v>
      </c>
      <c r="H25" s="22" t="s">
        <v>152</v>
      </c>
      <c r="I25" s="22" t="s">
        <v>60</v>
      </c>
      <c r="J25" s="22" t="s">
        <v>128</v>
      </c>
      <c r="K25" s="22"/>
      <c r="L25" s="22"/>
      <c r="M25" s="22"/>
      <c r="N25" s="22"/>
    </row>
    <row r="26" spans="1:14" x14ac:dyDescent="0.25">
      <c r="A26" s="22" t="s">
        <v>153</v>
      </c>
      <c r="B26" s="22" t="s">
        <v>149</v>
      </c>
      <c r="C26" s="23">
        <v>68029</v>
      </c>
      <c r="D26" s="22" t="s">
        <v>57</v>
      </c>
      <c r="E26" s="24">
        <v>44372</v>
      </c>
      <c r="F26" s="22"/>
      <c r="G26" s="22" t="s">
        <v>154</v>
      </c>
      <c r="H26" s="22" t="s">
        <v>155</v>
      </c>
      <c r="I26" s="22" t="s">
        <v>60</v>
      </c>
      <c r="J26" s="22" t="s">
        <v>128</v>
      </c>
      <c r="K26" s="22"/>
      <c r="L26" s="22"/>
      <c r="M26" s="22"/>
      <c r="N26" s="22"/>
    </row>
    <row r="27" spans="1:14" x14ac:dyDescent="0.25">
      <c r="A27" s="22" t="s">
        <v>157</v>
      </c>
      <c r="B27" s="22" t="s">
        <v>156</v>
      </c>
      <c r="C27" s="23">
        <v>265074</v>
      </c>
      <c r="D27" s="22" t="s">
        <v>57</v>
      </c>
      <c r="E27" s="24">
        <v>44382</v>
      </c>
      <c r="F27" s="22"/>
      <c r="G27" s="22" t="s">
        <v>158</v>
      </c>
      <c r="H27" s="22" t="s">
        <v>159</v>
      </c>
      <c r="I27" s="22" t="s">
        <v>73</v>
      </c>
      <c r="J27" s="22" t="s">
        <v>128</v>
      </c>
      <c r="K27" s="22"/>
      <c r="L27" s="22"/>
      <c r="M27" s="22"/>
      <c r="N27" s="22"/>
    </row>
    <row r="28" spans="1:14" x14ac:dyDescent="0.25">
      <c r="A28" s="22" t="s">
        <v>161</v>
      </c>
      <c r="B28" s="22" t="s">
        <v>160</v>
      </c>
      <c r="C28" s="23">
        <v>39163</v>
      </c>
      <c r="D28" s="22" t="s">
        <v>57</v>
      </c>
      <c r="E28" s="24">
        <v>44358</v>
      </c>
      <c r="F28" s="22"/>
      <c r="G28" s="22" t="s">
        <v>162</v>
      </c>
      <c r="H28" s="22" t="s">
        <v>163</v>
      </c>
      <c r="I28" s="22" t="s">
        <v>73</v>
      </c>
      <c r="J28" s="22" t="s">
        <v>128</v>
      </c>
      <c r="K28" s="22"/>
      <c r="L28" s="22"/>
      <c r="M28" s="22"/>
      <c r="N28" s="22"/>
    </row>
    <row r="29" spans="1:14" x14ac:dyDescent="0.25">
      <c r="A29" s="22" t="s">
        <v>165</v>
      </c>
      <c r="B29" s="22" t="s">
        <v>164</v>
      </c>
      <c r="C29" s="23">
        <v>2499000</v>
      </c>
      <c r="D29" s="22" t="s">
        <v>57</v>
      </c>
      <c r="E29" s="24">
        <v>44383</v>
      </c>
      <c r="F29" s="22"/>
      <c r="G29" s="22" t="s">
        <v>166</v>
      </c>
      <c r="H29" s="22" t="s">
        <v>167</v>
      </c>
      <c r="I29" s="22" t="s">
        <v>60</v>
      </c>
      <c r="J29" s="22" t="s">
        <v>66</v>
      </c>
      <c r="K29" s="22"/>
      <c r="L29" s="22"/>
      <c r="M29" s="22"/>
      <c r="N29" s="22"/>
    </row>
    <row r="30" spans="1:14" x14ac:dyDescent="0.25">
      <c r="A30" s="22" t="s">
        <v>169</v>
      </c>
      <c r="B30" s="22" t="s">
        <v>168</v>
      </c>
      <c r="C30" s="23">
        <v>49245</v>
      </c>
      <c r="D30" s="22" t="s">
        <v>57</v>
      </c>
      <c r="E30" s="24">
        <v>44382</v>
      </c>
      <c r="F30" s="22"/>
      <c r="G30" s="22" t="s">
        <v>170</v>
      </c>
      <c r="H30" s="22" t="s">
        <v>171</v>
      </c>
      <c r="I30" s="22" t="s">
        <v>73</v>
      </c>
      <c r="J30" s="22" t="s">
        <v>128</v>
      </c>
      <c r="K30" s="22"/>
      <c r="L30" s="22"/>
      <c r="M30" s="22"/>
      <c r="N30" s="22"/>
    </row>
    <row r="31" spans="1:14" x14ac:dyDescent="0.25">
      <c r="A31" s="22" t="s">
        <v>173</v>
      </c>
      <c r="B31" s="22" t="s">
        <v>172</v>
      </c>
      <c r="C31" s="23">
        <v>4689</v>
      </c>
      <c r="D31" s="22" t="s">
        <v>57</v>
      </c>
      <c r="E31" s="24">
        <v>44410</v>
      </c>
      <c r="F31" s="22"/>
      <c r="G31" s="22" t="s">
        <v>174</v>
      </c>
      <c r="H31" s="22" t="s">
        <v>175</v>
      </c>
      <c r="I31" s="22" t="s">
        <v>60</v>
      </c>
      <c r="J31" s="22" t="s">
        <v>61</v>
      </c>
      <c r="K31" s="22"/>
      <c r="L31" s="22"/>
      <c r="M31" s="22"/>
      <c r="N31" s="22"/>
    </row>
    <row r="32" spans="1:14" x14ac:dyDescent="0.25">
      <c r="A32" s="22" t="s">
        <v>177</v>
      </c>
      <c r="B32" s="22" t="s">
        <v>176</v>
      </c>
      <c r="C32" s="23">
        <v>834564</v>
      </c>
      <c r="D32" s="22" t="s">
        <v>57</v>
      </c>
      <c r="E32" s="24">
        <v>44413</v>
      </c>
      <c r="F32" s="22"/>
      <c r="G32" s="22" t="s">
        <v>178</v>
      </c>
      <c r="H32" s="22" t="s">
        <v>179</v>
      </c>
      <c r="I32" s="22" t="s">
        <v>60</v>
      </c>
      <c r="J32" s="22" t="s">
        <v>61</v>
      </c>
      <c r="K32" s="22"/>
      <c r="L32" s="22"/>
      <c r="M32" s="22"/>
      <c r="N32" s="22"/>
    </row>
    <row r="33" spans="1:14" x14ac:dyDescent="0.25">
      <c r="A33" s="22" t="s">
        <v>181</v>
      </c>
      <c r="B33" s="22" t="s">
        <v>180</v>
      </c>
      <c r="C33" s="23">
        <v>13937648</v>
      </c>
      <c r="D33" s="22" t="s">
        <v>57</v>
      </c>
      <c r="E33" s="24">
        <v>44246</v>
      </c>
      <c r="F33" s="22"/>
      <c r="G33" s="22" t="s">
        <v>182</v>
      </c>
      <c r="H33" s="22" t="s">
        <v>183</v>
      </c>
      <c r="I33" s="22" t="s">
        <v>60</v>
      </c>
      <c r="J33" s="22" t="s">
        <v>66</v>
      </c>
      <c r="K33" s="22"/>
      <c r="L33" s="22"/>
      <c r="M33" s="22"/>
      <c r="N33" s="22"/>
    </row>
    <row r="34" spans="1:14" x14ac:dyDescent="0.25">
      <c r="A34" s="22" t="s">
        <v>184</v>
      </c>
      <c r="B34" s="22" t="s">
        <v>180</v>
      </c>
      <c r="C34" s="23">
        <v>816103</v>
      </c>
      <c r="D34" s="22" t="s">
        <v>57</v>
      </c>
      <c r="E34" s="24">
        <v>44253</v>
      </c>
      <c r="F34" s="22"/>
      <c r="G34" s="22" t="s">
        <v>185</v>
      </c>
      <c r="H34" s="22" t="s">
        <v>186</v>
      </c>
      <c r="I34" s="22" t="s">
        <v>60</v>
      </c>
      <c r="J34" s="22" t="s">
        <v>66</v>
      </c>
      <c r="K34" s="22"/>
      <c r="L34" s="22"/>
      <c r="M34" s="22"/>
      <c r="N34" s="22"/>
    </row>
    <row r="35" spans="1:14" x14ac:dyDescent="0.25">
      <c r="A35" s="22" t="s">
        <v>188</v>
      </c>
      <c r="B35" s="22" t="s">
        <v>187</v>
      </c>
      <c r="C35" s="23">
        <v>8167396</v>
      </c>
      <c r="D35" s="22" t="s">
        <v>57</v>
      </c>
      <c r="E35" s="24">
        <v>44442</v>
      </c>
      <c r="F35" s="22"/>
      <c r="G35" s="22" t="s">
        <v>189</v>
      </c>
      <c r="H35" s="22" t="s">
        <v>190</v>
      </c>
      <c r="I35" s="22" t="s">
        <v>60</v>
      </c>
      <c r="J35" s="22" t="s">
        <v>61</v>
      </c>
      <c r="K35" s="22"/>
      <c r="L35" s="22"/>
      <c r="M35" s="22"/>
      <c r="N35" s="22"/>
    </row>
    <row r="36" spans="1:14" x14ac:dyDescent="0.25">
      <c r="A36" s="22" t="s">
        <v>192</v>
      </c>
      <c r="B36" s="22" t="s">
        <v>191</v>
      </c>
      <c r="C36" s="23">
        <v>165200</v>
      </c>
      <c r="D36" s="22" t="s">
        <v>57</v>
      </c>
      <c r="E36" s="24">
        <v>44442</v>
      </c>
      <c r="F36" s="22"/>
      <c r="G36" s="22" t="s">
        <v>193</v>
      </c>
      <c r="H36" s="22" t="s">
        <v>194</v>
      </c>
      <c r="I36" s="22" t="s">
        <v>60</v>
      </c>
      <c r="J36" s="22" t="s">
        <v>66</v>
      </c>
      <c r="K36" s="22"/>
      <c r="L36" s="22"/>
      <c r="M36" s="22"/>
      <c r="N36" s="22"/>
    </row>
    <row r="37" spans="1:14" x14ac:dyDescent="0.25">
      <c r="A37" s="22" t="s">
        <v>3206</v>
      </c>
      <c r="B37" s="22" t="s">
        <v>195</v>
      </c>
      <c r="C37" s="23">
        <v>707100</v>
      </c>
      <c r="D37" s="22" t="s">
        <v>57</v>
      </c>
      <c r="E37" s="24">
        <v>43317</v>
      </c>
      <c r="F37" s="22"/>
      <c r="G37" s="22" t="s">
        <v>196</v>
      </c>
      <c r="H37" s="22" t="s">
        <v>197</v>
      </c>
      <c r="I37" s="22" t="s">
        <v>73</v>
      </c>
      <c r="J37" s="22" t="s">
        <v>28</v>
      </c>
      <c r="K37" s="22"/>
      <c r="L37" s="22"/>
      <c r="M37" s="22"/>
      <c r="N37" s="2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
  <sheetViews>
    <sheetView workbookViewId="0">
      <selection activeCell="D8" sqref="D8"/>
    </sheetView>
  </sheetViews>
  <sheetFormatPr baseColWidth="10" defaultRowHeight="15" x14ac:dyDescent="0.25"/>
  <cols>
    <col min="3" max="3" width="28.140625" customWidth="1"/>
    <col min="8" max="8" width="48" bestFit="1" customWidth="1"/>
  </cols>
  <sheetData>
    <row r="1" spans="1:8" x14ac:dyDescent="0.25">
      <c r="A1" s="21" t="s">
        <v>31</v>
      </c>
      <c r="B1" s="21" t="s">
        <v>32</v>
      </c>
      <c r="C1" s="21" t="s">
        <v>33</v>
      </c>
      <c r="D1" s="21" t="s">
        <v>34</v>
      </c>
      <c r="E1" s="21" t="s">
        <v>35</v>
      </c>
      <c r="F1" s="21" t="s">
        <v>36</v>
      </c>
      <c r="G1" s="21" t="s">
        <v>37</v>
      </c>
      <c r="H1" s="21" t="s">
        <v>38</v>
      </c>
    </row>
    <row r="2" spans="1:8" x14ac:dyDescent="0.25">
      <c r="A2" s="22" t="s">
        <v>39</v>
      </c>
      <c r="B2" s="22" t="s">
        <v>40</v>
      </c>
      <c r="C2" s="22" t="s">
        <v>41</v>
      </c>
      <c r="D2" s="23">
        <v>15676583</v>
      </c>
      <c r="E2" s="22" t="s">
        <v>42</v>
      </c>
      <c r="F2" s="24">
        <v>44631</v>
      </c>
      <c r="G2" s="22"/>
      <c r="H2" s="22" t="s">
        <v>43</v>
      </c>
    </row>
    <row r="3" spans="1:8" x14ac:dyDescent="0.25">
      <c r="A3" s="22" t="s">
        <v>39</v>
      </c>
      <c r="B3" s="22" t="s">
        <v>40</v>
      </c>
      <c r="C3" s="22" t="s">
        <v>44</v>
      </c>
      <c r="D3" s="23">
        <v>3928039</v>
      </c>
      <c r="E3" s="22" t="s">
        <v>45</v>
      </c>
      <c r="F3" s="24">
        <v>44580</v>
      </c>
      <c r="G3" s="22"/>
      <c r="H3" s="22" t="s">
        <v>46</v>
      </c>
    </row>
    <row r="4" spans="1:8" x14ac:dyDescent="0.25">
      <c r="A4" s="22" t="s">
        <v>39</v>
      </c>
      <c r="B4" s="22" t="s">
        <v>47</v>
      </c>
      <c r="C4" s="22" t="s">
        <v>48</v>
      </c>
      <c r="D4" s="23">
        <v>12366402</v>
      </c>
      <c r="E4" s="22" t="s">
        <v>42</v>
      </c>
      <c r="F4" s="24">
        <v>44670</v>
      </c>
      <c r="G4" s="22"/>
      <c r="H4" s="22" t="s">
        <v>49</v>
      </c>
    </row>
    <row r="5" spans="1:8" x14ac:dyDescent="0.25">
      <c r="A5" s="22" t="s">
        <v>39</v>
      </c>
      <c r="B5" s="22" t="s">
        <v>47</v>
      </c>
      <c r="C5" s="22" t="s">
        <v>50</v>
      </c>
      <c r="D5" s="23">
        <v>38219087</v>
      </c>
      <c r="E5" s="22" t="s">
        <v>45</v>
      </c>
      <c r="F5" s="24">
        <v>44537</v>
      </c>
      <c r="G5" s="22"/>
      <c r="H5" s="22" t="s">
        <v>51</v>
      </c>
    </row>
    <row r="6" spans="1:8" x14ac:dyDescent="0.25">
      <c r="D6" s="26">
        <f>SUM(D2:D5)</f>
        <v>70190111</v>
      </c>
    </row>
    <row r="7" spans="1:8" x14ac:dyDescent="0.25">
      <c r="D7" t="s">
        <v>7914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3226"/>
  <sheetViews>
    <sheetView topLeftCell="A3218" workbookViewId="0">
      <selection activeCell="J10" sqref="J10"/>
    </sheetView>
  </sheetViews>
  <sheetFormatPr baseColWidth="10" defaultRowHeight="15" x14ac:dyDescent="0.25"/>
  <sheetData>
    <row r="1" spans="1:14" x14ac:dyDescent="0.25">
      <c r="A1" s="21" t="s">
        <v>33</v>
      </c>
      <c r="B1" s="21" t="s">
        <v>31</v>
      </c>
      <c r="C1" s="21" t="s">
        <v>32</v>
      </c>
      <c r="D1" s="21" t="s">
        <v>34</v>
      </c>
      <c r="E1" s="21" t="s">
        <v>35</v>
      </c>
      <c r="F1" s="21" t="s">
        <v>36</v>
      </c>
      <c r="G1" s="21" t="s">
        <v>37</v>
      </c>
      <c r="H1" s="21" t="s">
        <v>38</v>
      </c>
      <c r="I1" s="21" t="s">
        <v>52</v>
      </c>
      <c r="J1" s="21" t="s">
        <v>53</v>
      </c>
      <c r="K1" s="21" t="s">
        <v>54</v>
      </c>
      <c r="L1" s="22"/>
      <c r="M1" s="22"/>
      <c r="N1" s="22"/>
    </row>
    <row r="2" spans="1:14" x14ac:dyDescent="0.25">
      <c r="A2" s="22">
        <v>201363</v>
      </c>
      <c r="B2" s="22" t="s">
        <v>39</v>
      </c>
      <c r="C2" s="22" t="s">
        <v>4404</v>
      </c>
      <c r="D2" s="23">
        <v>-940000</v>
      </c>
      <c r="E2" s="22" t="s">
        <v>2073</v>
      </c>
      <c r="F2" s="24">
        <v>43089</v>
      </c>
      <c r="G2" s="22" t="s">
        <v>4409</v>
      </c>
      <c r="H2" s="22" t="s">
        <v>4410</v>
      </c>
      <c r="I2" s="22" t="s">
        <v>4411</v>
      </c>
      <c r="J2" s="22" t="s">
        <v>4406</v>
      </c>
      <c r="K2" s="22" t="s">
        <v>4410</v>
      </c>
      <c r="L2" s="22"/>
      <c r="M2" s="22"/>
      <c r="N2" s="22"/>
    </row>
    <row r="3" spans="1:14" x14ac:dyDescent="0.25">
      <c r="A3" s="22">
        <v>201363</v>
      </c>
      <c r="B3" s="22" t="s">
        <v>39</v>
      </c>
      <c r="C3" s="22" t="s">
        <v>4404</v>
      </c>
      <c r="D3" s="23">
        <v>940000</v>
      </c>
      <c r="E3" s="22" t="s">
        <v>2073</v>
      </c>
      <c r="F3" s="24">
        <v>43089</v>
      </c>
      <c r="G3" s="22" t="s">
        <v>4409</v>
      </c>
      <c r="H3" s="22" t="s">
        <v>4410</v>
      </c>
      <c r="I3" s="22" t="s">
        <v>4409</v>
      </c>
      <c r="J3" s="22" t="s">
        <v>4406</v>
      </c>
      <c r="K3" s="22" t="s">
        <v>4410</v>
      </c>
      <c r="L3" s="22"/>
      <c r="M3" s="22"/>
      <c r="N3" s="22"/>
    </row>
    <row r="4" spans="1:14" x14ac:dyDescent="0.25">
      <c r="A4" s="22" t="s">
        <v>7719</v>
      </c>
      <c r="B4" s="22" t="s">
        <v>39</v>
      </c>
      <c r="C4" s="22" t="s">
        <v>4412</v>
      </c>
      <c r="D4" s="23">
        <v>2719565</v>
      </c>
      <c r="E4" s="22" t="s">
        <v>2073</v>
      </c>
      <c r="F4" s="24">
        <v>43598</v>
      </c>
      <c r="G4" s="22" t="s">
        <v>4413</v>
      </c>
      <c r="H4" s="22" t="s">
        <v>4414</v>
      </c>
      <c r="I4" s="22" t="s">
        <v>4413</v>
      </c>
      <c r="J4" s="22" t="s">
        <v>73</v>
      </c>
      <c r="K4" s="22" t="s">
        <v>4415</v>
      </c>
      <c r="L4" s="22"/>
      <c r="M4" s="22"/>
      <c r="N4" s="22"/>
    </row>
    <row r="5" spans="1:14" x14ac:dyDescent="0.25">
      <c r="A5" s="22" t="s">
        <v>7719</v>
      </c>
      <c r="B5" s="22" t="s">
        <v>39</v>
      </c>
      <c r="C5" s="22" t="s">
        <v>4416</v>
      </c>
      <c r="D5" s="23">
        <v>-2719565</v>
      </c>
      <c r="E5" s="22" t="s">
        <v>57</v>
      </c>
      <c r="F5" s="24">
        <v>43521</v>
      </c>
      <c r="G5" s="22" t="s">
        <v>4413</v>
      </c>
      <c r="H5" s="22" t="s">
        <v>4417</v>
      </c>
      <c r="I5" s="22" t="s">
        <v>4418</v>
      </c>
      <c r="J5" s="22" t="s">
        <v>73</v>
      </c>
      <c r="K5" s="22" t="s">
        <v>4419</v>
      </c>
      <c r="L5" s="22"/>
      <c r="M5" s="22"/>
      <c r="N5" s="22"/>
    </row>
    <row r="6" spans="1:14" x14ac:dyDescent="0.25">
      <c r="A6" s="22" t="s">
        <v>7720</v>
      </c>
      <c r="B6" s="22" t="s">
        <v>39</v>
      </c>
      <c r="C6" s="22" t="s">
        <v>4412</v>
      </c>
      <c r="D6" s="23">
        <v>1082716</v>
      </c>
      <c r="E6" s="22" t="s">
        <v>2073</v>
      </c>
      <c r="F6" s="24">
        <v>43598</v>
      </c>
      <c r="G6" s="22" t="s">
        <v>4420</v>
      </c>
      <c r="H6" s="22" t="s">
        <v>4414</v>
      </c>
      <c r="I6" s="22" t="s">
        <v>4420</v>
      </c>
      <c r="J6" s="22" t="s">
        <v>73</v>
      </c>
      <c r="K6" s="22" t="s">
        <v>4415</v>
      </c>
      <c r="L6" s="22"/>
      <c r="M6" s="22"/>
      <c r="N6" s="22"/>
    </row>
    <row r="7" spans="1:14" x14ac:dyDescent="0.25">
      <c r="A7" s="22" t="s">
        <v>7720</v>
      </c>
      <c r="B7" s="22" t="s">
        <v>39</v>
      </c>
      <c r="C7" s="22" t="s">
        <v>4421</v>
      </c>
      <c r="D7" s="23">
        <v>-1082716</v>
      </c>
      <c r="E7" s="22" t="s">
        <v>57</v>
      </c>
      <c r="F7" s="24">
        <v>43136</v>
      </c>
      <c r="G7" s="22" t="s">
        <v>4420</v>
      </c>
      <c r="H7" s="22" t="s">
        <v>4422</v>
      </c>
      <c r="I7" s="22" t="s">
        <v>4423</v>
      </c>
      <c r="J7" s="22" t="s">
        <v>73</v>
      </c>
      <c r="K7" s="22" t="s">
        <v>4424</v>
      </c>
      <c r="L7" s="22"/>
      <c r="M7" s="22"/>
      <c r="N7" s="22"/>
    </row>
    <row r="8" spans="1:14" x14ac:dyDescent="0.25">
      <c r="A8" s="22" t="s">
        <v>7721</v>
      </c>
      <c r="B8" s="22" t="s">
        <v>39</v>
      </c>
      <c r="C8" s="22" t="s">
        <v>4412</v>
      </c>
      <c r="D8" s="23">
        <v>39000</v>
      </c>
      <c r="E8" s="22" t="s">
        <v>2073</v>
      </c>
      <c r="F8" s="24">
        <v>43598</v>
      </c>
      <c r="G8" s="22" t="s">
        <v>4425</v>
      </c>
      <c r="H8" s="22" t="s">
        <v>4414</v>
      </c>
      <c r="I8" s="22" t="s">
        <v>4425</v>
      </c>
      <c r="J8" s="22" t="s">
        <v>73</v>
      </c>
      <c r="K8" s="22" t="s">
        <v>4415</v>
      </c>
      <c r="L8" s="22"/>
      <c r="M8" s="22"/>
      <c r="N8" s="22"/>
    </row>
    <row r="9" spans="1:14" x14ac:dyDescent="0.25">
      <c r="A9" s="22" t="s">
        <v>7721</v>
      </c>
      <c r="B9" s="22" t="s">
        <v>39</v>
      </c>
      <c r="C9" s="22" t="s">
        <v>4426</v>
      </c>
      <c r="D9" s="23">
        <v>-39000</v>
      </c>
      <c r="E9" s="22" t="s">
        <v>57</v>
      </c>
      <c r="F9" s="24">
        <v>43313</v>
      </c>
      <c r="G9" s="22" t="s">
        <v>4425</v>
      </c>
      <c r="H9" s="22" t="s">
        <v>4427</v>
      </c>
      <c r="I9" s="22" t="s">
        <v>4428</v>
      </c>
      <c r="J9" s="22" t="s">
        <v>73</v>
      </c>
      <c r="K9" s="22" t="s">
        <v>4429</v>
      </c>
      <c r="L9" s="22"/>
      <c r="M9" s="22"/>
      <c r="N9" s="22"/>
    </row>
    <row r="10" spans="1:14" x14ac:dyDescent="0.25">
      <c r="A10" s="22" t="s">
        <v>3218</v>
      </c>
      <c r="B10" s="22" t="s">
        <v>39</v>
      </c>
      <c r="C10" s="22" t="s">
        <v>4430</v>
      </c>
      <c r="D10" s="23">
        <v>454786</v>
      </c>
      <c r="E10" s="22" t="s">
        <v>2073</v>
      </c>
      <c r="F10" s="24">
        <v>43593</v>
      </c>
      <c r="G10" s="22" t="s">
        <v>4431</v>
      </c>
      <c r="H10" s="22" t="s">
        <v>4432</v>
      </c>
      <c r="I10" s="22" t="s">
        <v>4431</v>
      </c>
      <c r="J10" s="22" t="s">
        <v>4401</v>
      </c>
      <c r="K10" s="22" t="s">
        <v>4433</v>
      </c>
      <c r="L10" s="22"/>
      <c r="M10" s="22"/>
      <c r="N10" s="22"/>
    </row>
    <row r="11" spans="1:14" x14ac:dyDescent="0.25">
      <c r="A11" s="22" t="s">
        <v>3218</v>
      </c>
      <c r="B11" s="22" t="s">
        <v>39</v>
      </c>
      <c r="C11" s="22" t="s">
        <v>4434</v>
      </c>
      <c r="D11" s="23">
        <v>-454786</v>
      </c>
      <c r="E11" s="22" t="s">
        <v>57</v>
      </c>
      <c r="F11" s="24">
        <v>43652</v>
      </c>
      <c r="G11" s="22" t="s">
        <v>4431</v>
      </c>
      <c r="H11" s="22" t="s">
        <v>4435</v>
      </c>
      <c r="I11" s="22" t="s">
        <v>4436</v>
      </c>
      <c r="J11" s="22" t="s">
        <v>4401</v>
      </c>
      <c r="K11" s="22" t="s">
        <v>4437</v>
      </c>
      <c r="L11" s="22"/>
      <c r="M11" s="22"/>
      <c r="N11" s="22"/>
    </row>
    <row r="12" spans="1:14" x14ac:dyDescent="0.25">
      <c r="A12" s="22" t="s">
        <v>7709</v>
      </c>
      <c r="B12" s="22" t="s">
        <v>39</v>
      </c>
      <c r="C12" s="22" t="s">
        <v>4438</v>
      </c>
      <c r="D12" s="23">
        <v>280500</v>
      </c>
      <c r="E12" s="22" t="s">
        <v>2073</v>
      </c>
      <c r="F12" s="24">
        <v>43685</v>
      </c>
      <c r="G12" s="22" t="s">
        <v>4439</v>
      </c>
      <c r="H12" s="22" t="s">
        <v>4440</v>
      </c>
      <c r="I12" s="22" t="s">
        <v>4439</v>
      </c>
      <c r="J12" s="22" t="s">
        <v>4407</v>
      </c>
      <c r="K12" s="22" t="s">
        <v>4441</v>
      </c>
      <c r="L12" s="22"/>
      <c r="M12" s="22"/>
      <c r="N12" s="22"/>
    </row>
    <row r="13" spans="1:14" x14ac:dyDescent="0.25">
      <c r="A13" s="22" t="s">
        <v>7709</v>
      </c>
      <c r="B13" s="22" t="s">
        <v>39</v>
      </c>
      <c r="C13" s="22" t="s">
        <v>4442</v>
      </c>
      <c r="D13" s="23">
        <v>-280500</v>
      </c>
      <c r="E13" s="22" t="s">
        <v>57</v>
      </c>
      <c r="F13" s="24">
        <v>43684</v>
      </c>
      <c r="G13" s="22" t="s">
        <v>4439</v>
      </c>
      <c r="H13" s="22" t="s">
        <v>4443</v>
      </c>
      <c r="I13" s="22" t="s">
        <v>4444</v>
      </c>
      <c r="J13" s="22" t="s">
        <v>4407</v>
      </c>
      <c r="K13" s="22" t="s">
        <v>83</v>
      </c>
      <c r="L13" s="22"/>
      <c r="M13" s="22"/>
      <c r="N13" s="22"/>
    </row>
    <row r="14" spans="1:14" x14ac:dyDescent="0.25">
      <c r="A14" s="22">
        <v>275693</v>
      </c>
      <c r="B14" s="22" t="s">
        <v>39</v>
      </c>
      <c r="C14" s="22" t="s">
        <v>4404</v>
      </c>
      <c r="D14" s="23">
        <v>-7342000</v>
      </c>
      <c r="E14" s="22" t="s">
        <v>2073</v>
      </c>
      <c r="F14" s="24">
        <v>43695</v>
      </c>
      <c r="G14" s="22" t="s">
        <v>4446</v>
      </c>
      <c r="H14" s="22"/>
      <c r="I14" s="22" t="s">
        <v>4447</v>
      </c>
      <c r="J14" s="22" t="s">
        <v>4401</v>
      </c>
      <c r="K14" s="22"/>
      <c r="L14" s="22"/>
      <c r="M14" s="22"/>
      <c r="N14" s="22"/>
    </row>
    <row r="15" spans="1:14" x14ac:dyDescent="0.25">
      <c r="A15" s="22">
        <v>275693</v>
      </c>
      <c r="B15" s="22" t="s">
        <v>39</v>
      </c>
      <c r="C15" s="22" t="s">
        <v>4404</v>
      </c>
      <c r="D15" s="23">
        <v>7342000</v>
      </c>
      <c r="E15" s="22" t="s">
        <v>2073</v>
      </c>
      <c r="F15" s="24">
        <v>43695</v>
      </c>
      <c r="G15" s="22" t="s">
        <v>4446</v>
      </c>
      <c r="H15" s="22"/>
      <c r="I15" s="22" t="s">
        <v>4447</v>
      </c>
      <c r="J15" s="22" t="s">
        <v>4407</v>
      </c>
      <c r="K15" s="22"/>
      <c r="L15" s="22"/>
      <c r="M15" s="22"/>
      <c r="N15" s="22"/>
    </row>
    <row r="16" spans="1:14" x14ac:dyDescent="0.25">
      <c r="A16" s="22">
        <v>275693</v>
      </c>
      <c r="B16" s="22" t="s">
        <v>39</v>
      </c>
      <c r="C16" s="22" t="s">
        <v>4404</v>
      </c>
      <c r="D16" s="23">
        <v>7342000</v>
      </c>
      <c r="E16" s="22" t="s">
        <v>2073</v>
      </c>
      <c r="F16" s="24">
        <v>43695</v>
      </c>
      <c r="G16" s="22" t="s">
        <v>4446</v>
      </c>
      <c r="H16" s="22"/>
      <c r="I16" s="22" t="s">
        <v>4446</v>
      </c>
      <c r="J16" s="22" t="s">
        <v>4401</v>
      </c>
      <c r="K16" s="22"/>
      <c r="L16" s="22"/>
      <c r="M16" s="22"/>
      <c r="N16" s="22"/>
    </row>
    <row r="17" spans="1:14" x14ac:dyDescent="0.25">
      <c r="A17" s="22">
        <v>275693</v>
      </c>
      <c r="B17" s="22" t="s">
        <v>39</v>
      </c>
      <c r="C17" s="22" t="s">
        <v>4404</v>
      </c>
      <c r="D17" s="23">
        <v>-7342000</v>
      </c>
      <c r="E17" s="22" t="s">
        <v>2073</v>
      </c>
      <c r="F17" s="24">
        <v>43695</v>
      </c>
      <c r="G17" s="22" t="s">
        <v>4446</v>
      </c>
      <c r="H17" s="22"/>
      <c r="I17" s="22" t="s">
        <v>4446</v>
      </c>
      <c r="J17" s="22" t="s">
        <v>4407</v>
      </c>
      <c r="K17" s="22"/>
      <c r="L17" s="22"/>
      <c r="M17" s="22"/>
      <c r="N17" s="22"/>
    </row>
    <row r="18" spans="1:14" x14ac:dyDescent="0.25">
      <c r="A18" s="22" t="s">
        <v>7722</v>
      </c>
      <c r="B18" s="22" t="s">
        <v>39</v>
      </c>
      <c r="C18" s="22" t="s">
        <v>4448</v>
      </c>
      <c r="D18" s="23">
        <v>-119672</v>
      </c>
      <c r="E18" s="22" t="s">
        <v>57</v>
      </c>
      <c r="F18" s="24">
        <v>43354</v>
      </c>
      <c r="G18" s="22" t="s">
        <v>4450</v>
      </c>
      <c r="H18" s="22" t="s">
        <v>4451</v>
      </c>
      <c r="I18" s="22" t="s">
        <v>4452</v>
      </c>
      <c r="J18" s="22" t="s">
        <v>4401</v>
      </c>
      <c r="K18" s="22" t="s">
        <v>4449</v>
      </c>
      <c r="L18" s="22"/>
      <c r="M18" s="22"/>
      <c r="N18" s="22"/>
    </row>
    <row r="19" spans="1:14" x14ac:dyDescent="0.25">
      <c r="A19" s="22" t="s">
        <v>7723</v>
      </c>
      <c r="B19" s="22" t="s">
        <v>39</v>
      </c>
      <c r="C19" s="22" t="s">
        <v>4453</v>
      </c>
      <c r="D19" s="23">
        <v>119672</v>
      </c>
      <c r="E19" s="22" t="s">
        <v>2073</v>
      </c>
      <c r="F19" s="24">
        <v>43354</v>
      </c>
      <c r="G19" s="22" t="s">
        <v>4450</v>
      </c>
      <c r="H19" s="22" t="s">
        <v>4454</v>
      </c>
      <c r="I19" s="22" t="s">
        <v>4450</v>
      </c>
      <c r="J19" s="22" t="s">
        <v>4401</v>
      </c>
      <c r="K19" s="22" t="s">
        <v>4455</v>
      </c>
      <c r="L19" s="22"/>
      <c r="M19" s="22"/>
      <c r="N19" s="22"/>
    </row>
    <row r="20" spans="1:14" x14ac:dyDescent="0.25">
      <c r="A20" s="22" t="s">
        <v>7724</v>
      </c>
      <c r="B20" s="22" t="s">
        <v>39</v>
      </c>
      <c r="C20" s="22" t="s">
        <v>4456</v>
      </c>
      <c r="D20" s="23">
        <v>-100108</v>
      </c>
      <c r="E20" s="22" t="s">
        <v>57</v>
      </c>
      <c r="F20" s="24">
        <v>43405</v>
      </c>
      <c r="G20" s="22" t="s">
        <v>4457</v>
      </c>
      <c r="H20" s="22" t="s">
        <v>4458</v>
      </c>
      <c r="I20" s="22" t="s">
        <v>4459</v>
      </c>
      <c r="J20" s="22" t="s">
        <v>4401</v>
      </c>
      <c r="K20" s="22" t="s">
        <v>4460</v>
      </c>
      <c r="L20" s="22"/>
      <c r="M20" s="22"/>
      <c r="N20" s="22"/>
    </row>
    <row r="21" spans="1:14" x14ac:dyDescent="0.25">
      <c r="A21" s="22" t="s">
        <v>7725</v>
      </c>
      <c r="B21" s="22" t="s">
        <v>39</v>
      </c>
      <c r="C21" s="22" t="s">
        <v>4453</v>
      </c>
      <c r="D21" s="23">
        <v>100108</v>
      </c>
      <c r="E21" s="22" t="s">
        <v>2073</v>
      </c>
      <c r="F21" s="24">
        <v>43405</v>
      </c>
      <c r="G21" s="22" t="s">
        <v>4457</v>
      </c>
      <c r="H21" s="22" t="s">
        <v>4461</v>
      </c>
      <c r="I21" s="22" t="s">
        <v>4457</v>
      </c>
      <c r="J21" s="22" t="s">
        <v>4401</v>
      </c>
      <c r="K21" s="22" t="s">
        <v>4460</v>
      </c>
      <c r="L21" s="22"/>
      <c r="M21" s="22"/>
      <c r="N21" s="22"/>
    </row>
    <row r="22" spans="1:14" x14ac:dyDescent="0.25">
      <c r="A22" s="22" t="s">
        <v>7726</v>
      </c>
      <c r="B22" s="22" t="s">
        <v>39</v>
      </c>
      <c r="C22" s="22" t="s">
        <v>4462</v>
      </c>
      <c r="D22" s="23">
        <v>-179183</v>
      </c>
      <c r="E22" s="22" t="s">
        <v>57</v>
      </c>
      <c r="F22" s="24">
        <v>43362</v>
      </c>
      <c r="G22" s="22" t="s">
        <v>4463</v>
      </c>
      <c r="H22" s="22" t="s">
        <v>4464</v>
      </c>
      <c r="I22" s="22" t="s">
        <v>4465</v>
      </c>
      <c r="J22" s="22" t="s">
        <v>4466</v>
      </c>
      <c r="K22" s="22" t="s">
        <v>4467</v>
      </c>
      <c r="L22" s="22"/>
      <c r="M22" s="22"/>
      <c r="N22" s="22"/>
    </row>
    <row r="23" spans="1:14" x14ac:dyDescent="0.25">
      <c r="A23" s="22" t="s">
        <v>7727</v>
      </c>
      <c r="B23" s="22" t="s">
        <v>39</v>
      </c>
      <c r="C23" s="22" t="s">
        <v>4453</v>
      </c>
      <c r="D23" s="23">
        <v>179183</v>
      </c>
      <c r="E23" s="22" t="s">
        <v>2073</v>
      </c>
      <c r="F23" s="24">
        <v>43362</v>
      </c>
      <c r="G23" s="22" t="s">
        <v>4463</v>
      </c>
      <c r="H23" s="22" t="s">
        <v>4468</v>
      </c>
      <c r="I23" s="22" t="s">
        <v>4463</v>
      </c>
      <c r="J23" s="22" t="s">
        <v>4466</v>
      </c>
      <c r="K23" s="22" t="s">
        <v>4467</v>
      </c>
      <c r="L23" s="22"/>
      <c r="M23" s="22"/>
      <c r="N23" s="22"/>
    </row>
    <row r="24" spans="1:14" x14ac:dyDescent="0.25">
      <c r="A24" s="22" t="s">
        <v>7728</v>
      </c>
      <c r="B24" s="22" t="s">
        <v>39</v>
      </c>
      <c r="C24" s="22" t="s">
        <v>4469</v>
      </c>
      <c r="D24" s="23">
        <v>21434289</v>
      </c>
      <c r="E24" s="22" t="s">
        <v>2073</v>
      </c>
      <c r="F24" s="24">
        <v>43462</v>
      </c>
      <c r="G24" s="22" t="s">
        <v>4470</v>
      </c>
      <c r="H24" s="22" t="s">
        <v>4471</v>
      </c>
      <c r="I24" s="22" t="s">
        <v>4470</v>
      </c>
      <c r="J24" s="22" t="s">
        <v>4401</v>
      </c>
      <c r="K24" s="22" t="s">
        <v>103</v>
      </c>
      <c r="L24" s="22"/>
      <c r="M24" s="22"/>
      <c r="N24" s="22"/>
    </row>
    <row r="25" spans="1:14" x14ac:dyDescent="0.25">
      <c r="A25" s="22" t="s">
        <v>7729</v>
      </c>
      <c r="B25" s="22" t="s">
        <v>39</v>
      </c>
      <c r="C25" s="22" t="s">
        <v>4472</v>
      </c>
      <c r="D25" s="23">
        <v>-21434289</v>
      </c>
      <c r="E25" s="22" t="s">
        <v>57</v>
      </c>
      <c r="F25" s="24">
        <v>43462</v>
      </c>
      <c r="G25" s="22" t="s">
        <v>4470</v>
      </c>
      <c r="H25" s="22" t="s">
        <v>4473</v>
      </c>
      <c r="I25" s="22" t="s">
        <v>4474</v>
      </c>
      <c r="J25" s="22" t="s">
        <v>4401</v>
      </c>
      <c r="K25" s="22" t="s">
        <v>103</v>
      </c>
      <c r="L25" s="22"/>
      <c r="M25" s="22"/>
      <c r="N25" s="22"/>
    </row>
    <row r="26" spans="1:14" x14ac:dyDescent="0.25">
      <c r="A26" s="22">
        <v>275693</v>
      </c>
      <c r="B26" s="22" t="s">
        <v>39</v>
      </c>
      <c r="C26" s="22" t="s">
        <v>4404</v>
      </c>
      <c r="D26" s="23">
        <v>-3333494</v>
      </c>
      <c r="E26" s="22" t="s">
        <v>2073</v>
      </c>
      <c r="F26" s="24">
        <v>43695</v>
      </c>
      <c r="G26" s="22" t="s">
        <v>4475</v>
      </c>
      <c r="H26" s="22"/>
      <c r="I26" s="22" t="s">
        <v>4476</v>
      </c>
      <c r="J26" s="22" t="s">
        <v>4401</v>
      </c>
      <c r="K26" s="22"/>
      <c r="L26" s="22"/>
      <c r="M26" s="22"/>
      <c r="N26" s="22"/>
    </row>
    <row r="27" spans="1:14" x14ac:dyDescent="0.25">
      <c r="A27" s="22">
        <v>275693</v>
      </c>
      <c r="B27" s="22" t="s">
        <v>39</v>
      </c>
      <c r="C27" s="22" t="s">
        <v>4404</v>
      </c>
      <c r="D27" s="23">
        <v>3333494</v>
      </c>
      <c r="E27" s="22" t="s">
        <v>2073</v>
      </c>
      <c r="F27" s="24">
        <v>43695</v>
      </c>
      <c r="G27" s="22" t="s">
        <v>4475</v>
      </c>
      <c r="H27" s="22"/>
      <c r="I27" s="22" t="s">
        <v>4476</v>
      </c>
      <c r="J27" s="22" t="s">
        <v>4407</v>
      </c>
      <c r="K27" s="22"/>
      <c r="L27" s="22"/>
      <c r="M27" s="22"/>
      <c r="N27" s="22"/>
    </row>
    <row r="28" spans="1:14" x14ac:dyDescent="0.25">
      <c r="A28" s="22">
        <v>275693</v>
      </c>
      <c r="B28" s="22" t="s">
        <v>39</v>
      </c>
      <c r="C28" s="22" t="s">
        <v>4404</v>
      </c>
      <c r="D28" s="23">
        <v>3333494</v>
      </c>
      <c r="E28" s="22" t="s">
        <v>2073</v>
      </c>
      <c r="F28" s="24">
        <v>43695</v>
      </c>
      <c r="G28" s="22" t="s">
        <v>4475</v>
      </c>
      <c r="H28" s="22"/>
      <c r="I28" s="22" t="s">
        <v>4475</v>
      </c>
      <c r="J28" s="22" t="s">
        <v>4401</v>
      </c>
      <c r="K28" s="22"/>
      <c r="L28" s="22"/>
      <c r="M28" s="22"/>
      <c r="N28" s="22"/>
    </row>
    <row r="29" spans="1:14" x14ac:dyDescent="0.25">
      <c r="A29" s="22">
        <v>275693</v>
      </c>
      <c r="B29" s="22" t="s">
        <v>39</v>
      </c>
      <c r="C29" s="22" t="s">
        <v>4404</v>
      </c>
      <c r="D29" s="23">
        <v>-3333494</v>
      </c>
      <c r="E29" s="22" t="s">
        <v>2073</v>
      </c>
      <c r="F29" s="24">
        <v>43695</v>
      </c>
      <c r="G29" s="22" t="s">
        <v>4475</v>
      </c>
      <c r="H29" s="22"/>
      <c r="I29" s="22" t="s">
        <v>4475</v>
      </c>
      <c r="J29" s="22" t="s">
        <v>4407</v>
      </c>
      <c r="K29" s="22"/>
      <c r="L29" s="22"/>
      <c r="M29" s="22"/>
      <c r="N29" s="22"/>
    </row>
    <row r="30" spans="1:14" x14ac:dyDescent="0.25">
      <c r="A30" s="22" t="s">
        <v>7730</v>
      </c>
      <c r="B30" s="22" t="s">
        <v>39</v>
      </c>
      <c r="C30" s="22" t="s">
        <v>4477</v>
      </c>
      <c r="D30" s="23">
        <v>123509</v>
      </c>
      <c r="E30" s="22" t="s">
        <v>2073</v>
      </c>
      <c r="F30" s="24">
        <v>43817</v>
      </c>
      <c r="G30" s="22" t="s">
        <v>4478</v>
      </c>
      <c r="H30" s="22" t="s">
        <v>4414</v>
      </c>
      <c r="I30" s="22" t="s">
        <v>4478</v>
      </c>
      <c r="J30" s="22" t="s">
        <v>73</v>
      </c>
      <c r="K30" s="22" t="s">
        <v>4479</v>
      </c>
      <c r="L30" s="22"/>
      <c r="M30" s="22"/>
      <c r="N30" s="22"/>
    </row>
    <row r="31" spans="1:14" x14ac:dyDescent="0.25">
      <c r="A31" s="22" t="s">
        <v>7730</v>
      </c>
      <c r="B31" s="22" t="s">
        <v>39</v>
      </c>
      <c r="C31" s="22" t="s">
        <v>4480</v>
      </c>
      <c r="D31" s="23">
        <v>-123509</v>
      </c>
      <c r="E31" s="22" t="s">
        <v>57</v>
      </c>
      <c r="F31" s="24">
        <v>43634</v>
      </c>
      <c r="G31" s="22" t="s">
        <v>4478</v>
      </c>
      <c r="H31" s="22" t="s">
        <v>4481</v>
      </c>
      <c r="I31" s="22" t="s">
        <v>4482</v>
      </c>
      <c r="J31" s="22" t="s">
        <v>73</v>
      </c>
      <c r="K31" s="22" t="s">
        <v>4424</v>
      </c>
      <c r="L31" s="22"/>
      <c r="M31" s="22"/>
      <c r="N31" s="22"/>
    </row>
    <row r="32" spans="1:14" x14ac:dyDescent="0.25">
      <c r="A32" s="22" t="s">
        <v>3218</v>
      </c>
      <c r="B32" s="22" t="s">
        <v>39</v>
      </c>
      <c r="C32" s="22" t="s">
        <v>4477</v>
      </c>
      <c r="D32" s="23">
        <v>112900</v>
      </c>
      <c r="E32" s="22" t="s">
        <v>2073</v>
      </c>
      <c r="F32" s="24">
        <v>43817</v>
      </c>
      <c r="G32" s="22" t="s">
        <v>4483</v>
      </c>
      <c r="H32" s="22" t="s">
        <v>4414</v>
      </c>
      <c r="I32" s="22" t="s">
        <v>4483</v>
      </c>
      <c r="J32" s="22" t="s">
        <v>73</v>
      </c>
      <c r="K32" s="22" t="s">
        <v>4479</v>
      </c>
      <c r="L32" s="22"/>
      <c r="M32" s="22"/>
      <c r="N32" s="22"/>
    </row>
    <row r="33" spans="1:14" x14ac:dyDescent="0.25">
      <c r="A33" s="22" t="s">
        <v>3218</v>
      </c>
      <c r="B33" s="22" t="s">
        <v>39</v>
      </c>
      <c r="C33" s="22" t="s">
        <v>4434</v>
      </c>
      <c r="D33" s="23">
        <v>-112900</v>
      </c>
      <c r="E33" s="22" t="s">
        <v>57</v>
      </c>
      <c r="F33" s="24">
        <v>43652</v>
      </c>
      <c r="G33" s="22" t="s">
        <v>4483</v>
      </c>
      <c r="H33" s="22" t="s">
        <v>4484</v>
      </c>
      <c r="I33" s="22" t="s">
        <v>4436</v>
      </c>
      <c r="J33" s="22" t="s">
        <v>73</v>
      </c>
      <c r="K33" s="22" t="s">
        <v>4437</v>
      </c>
      <c r="L33" s="22"/>
      <c r="M33" s="22"/>
      <c r="N33" s="22"/>
    </row>
    <row r="34" spans="1:14" x14ac:dyDescent="0.25">
      <c r="A34" s="22" t="s">
        <v>7731</v>
      </c>
      <c r="B34" s="22" t="s">
        <v>39</v>
      </c>
      <c r="C34" s="22" t="s">
        <v>4477</v>
      </c>
      <c r="D34" s="23">
        <v>66452</v>
      </c>
      <c r="E34" s="22" t="s">
        <v>2073</v>
      </c>
      <c r="F34" s="24">
        <v>43817</v>
      </c>
      <c r="G34" s="22" t="s">
        <v>4485</v>
      </c>
      <c r="H34" s="22" t="s">
        <v>4414</v>
      </c>
      <c r="I34" s="22" t="s">
        <v>4485</v>
      </c>
      <c r="J34" s="22" t="s">
        <v>73</v>
      </c>
      <c r="K34" s="22" t="s">
        <v>4479</v>
      </c>
      <c r="L34" s="22"/>
      <c r="M34" s="22"/>
      <c r="N34" s="22"/>
    </row>
    <row r="35" spans="1:14" x14ac:dyDescent="0.25">
      <c r="A35" s="22" t="s">
        <v>7731</v>
      </c>
      <c r="B35" s="22" t="s">
        <v>39</v>
      </c>
      <c r="C35" s="22" t="s">
        <v>4486</v>
      </c>
      <c r="D35" s="23">
        <v>-66452</v>
      </c>
      <c r="E35" s="22" t="s">
        <v>57</v>
      </c>
      <c r="F35" s="24">
        <v>43652</v>
      </c>
      <c r="G35" s="22" t="s">
        <v>4485</v>
      </c>
      <c r="H35" s="22" t="s">
        <v>4487</v>
      </c>
      <c r="I35" s="22" t="s">
        <v>4488</v>
      </c>
      <c r="J35" s="22" t="s">
        <v>73</v>
      </c>
      <c r="K35" s="22" t="s">
        <v>4489</v>
      </c>
      <c r="L35" s="22"/>
      <c r="M35" s="22"/>
      <c r="N35" s="22"/>
    </row>
    <row r="36" spans="1:14" x14ac:dyDescent="0.25">
      <c r="A36" s="22" t="s">
        <v>4490</v>
      </c>
      <c r="B36" s="22" t="s">
        <v>39</v>
      </c>
      <c r="C36" s="22" t="s">
        <v>4477</v>
      </c>
      <c r="D36" s="23">
        <v>2273795</v>
      </c>
      <c r="E36" s="22" t="s">
        <v>2073</v>
      </c>
      <c r="F36" s="24">
        <v>43817</v>
      </c>
      <c r="G36" s="22" t="s">
        <v>4491</v>
      </c>
      <c r="H36" s="22" t="s">
        <v>4492</v>
      </c>
      <c r="I36" s="22" t="s">
        <v>4491</v>
      </c>
      <c r="J36" s="22" t="s">
        <v>73</v>
      </c>
      <c r="K36" s="22" t="s">
        <v>4479</v>
      </c>
      <c r="L36" s="22"/>
      <c r="M36" s="22"/>
      <c r="N36" s="22"/>
    </row>
    <row r="37" spans="1:14" x14ac:dyDescent="0.25">
      <c r="A37" s="22" t="s">
        <v>4490</v>
      </c>
      <c r="B37" s="22" t="s">
        <v>39</v>
      </c>
      <c r="C37" s="22" t="s">
        <v>4493</v>
      </c>
      <c r="D37" s="23">
        <v>-2273795</v>
      </c>
      <c r="E37" s="22" t="s">
        <v>57</v>
      </c>
      <c r="F37" s="24">
        <v>43605</v>
      </c>
      <c r="G37" s="22" t="s">
        <v>4491</v>
      </c>
      <c r="H37" s="22" t="s">
        <v>4494</v>
      </c>
      <c r="I37" s="22" t="s">
        <v>4495</v>
      </c>
      <c r="J37" s="22" t="s">
        <v>73</v>
      </c>
      <c r="K37" s="22" t="s">
        <v>4419</v>
      </c>
      <c r="L37" s="22"/>
      <c r="M37" s="22"/>
      <c r="N37" s="22"/>
    </row>
    <row r="38" spans="1:14" x14ac:dyDescent="0.25">
      <c r="A38" s="22" t="s">
        <v>7732</v>
      </c>
      <c r="B38" s="22" t="s">
        <v>39</v>
      </c>
      <c r="C38" s="22" t="s">
        <v>4477</v>
      </c>
      <c r="D38" s="23">
        <v>68100</v>
      </c>
      <c r="E38" s="22" t="s">
        <v>2073</v>
      </c>
      <c r="F38" s="24">
        <v>43817</v>
      </c>
      <c r="G38" s="22" t="s">
        <v>4496</v>
      </c>
      <c r="H38" s="22" t="s">
        <v>4414</v>
      </c>
      <c r="I38" s="22" t="s">
        <v>4496</v>
      </c>
      <c r="J38" s="22" t="s">
        <v>73</v>
      </c>
      <c r="K38" s="22" t="s">
        <v>4479</v>
      </c>
      <c r="L38" s="22"/>
      <c r="M38" s="22"/>
      <c r="N38" s="22"/>
    </row>
    <row r="39" spans="1:14" x14ac:dyDescent="0.25">
      <c r="A39" s="22" t="s">
        <v>7732</v>
      </c>
      <c r="B39" s="22" t="s">
        <v>39</v>
      </c>
      <c r="C39" s="22" t="s">
        <v>4497</v>
      </c>
      <c r="D39" s="23">
        <v>-68100</v>
      </c>
      <c r="E39" s="22" t="s">
        <v>57</v>
      </c>
      <c r="F39" s="24">
        <v>43658</v>
      </c>
      <c r="G39" s="22" t="s">
        <v>4496</v>
      </c>
      <c r="H39" s="22" t="s">
        <v>4498</v>
      </c>
      <c r="I39" s="22" t="s">
        <v>4499</v>
      </c>
      <c r="J39" s="22" t="s">
        <v>73</v>
      </c>
      <c r="K39" s="22" t="s">
        <v>4500</v>
      </c>
      <c r="L39" s="22"/>
      <c r="M39" s="22"/>
      <c r="N39" s="22"/>
    </row>
    <row r="40" spans="1:14" x14ac:dyDescent="0.25">
      <c r="A40" s="22" t="s">
        <v>7733</v>
      </c>
      <c r="B40" s="22" t="s">
        <v>39</v>
      </c>
      <c r="C40" s="22" t="s">
        <v>4477</v>
      </c>
      <c r="D40" s="23">
        <v>225500</v>
      </c>
      <c r="E40" s="22" t="s">
        <v>2073</v>
      </c>
      <c r="F40" s="24">
        <v>43817</v>
      </c>
      <c r="G40" s="22" t="s">
        <v>4501</v>
      </c>
      <c r="H40" s="22" t="s">
        <v>4492</v>
      </c>
      <c r="I40" s="22" t="s">
        <v>4501</v>
      </c>
      <c r="J40" s="22" t="s">
        <v>60</v>
      </c>
      <c r="K40" s="22" t="s">
        <v>4479</v>
      </c>
      <c r="L40" s="22"/>
      <c r="M40" s="22"/>
      <c r="N40" s="22"/>
    </row>
    <row r="41" spans="1:14" x14ac:dyDescent="0.25">
      <c r="A41" s="22" t="s">
        <v>7733</v>
      </c>
      <c r="B41" s="22" t="s">
        <v>39</v>
      </c>
      <c r="C41" s="22" t="s">
        <v>4502</v>
      </c>
      <c r="D41" s="23">
        <v>-225500</v>
      </c>
      <c r="E41" s="22" t="s">
        <v>57</v>
      </c>
      <c r="F41" s="24">
        <v>43602</v>
      </c>
      <c r="G41" s="22" t="s">
        <v>4501</v>
      </c>
      <c r="H41" s="22" t="s">
        <v>4503</v>
      </c>
      <c r="I41" s="22" t="s">
        <v>4504</v>
      </c>
      <c r="J41" s="22" t="s">
        <v>60</v>
      </c>
      <c r="K41" s="22" t="s">
        <v>103</v>
      </c>
      <c r="L41" s="22"/>
      <c r="M41" s="22"/>
      <c r="N41" s="22"/>
    </row>
    <row r="42" spans="1:14" x14ac:dyDescent="0.25">
      <c r="A42" s="22" t="s">
        <v>7734</v>
      </c>
      <c r="B42" s="22" t="s">
        <v>39</v>
      </c>
      <c r="C42" s="22" t="s">
        <v>4477</v>
      </c>
      <c r="D42" s="23">
        <v>1012618</v>
      </c>
      <c r="E42" s="22" t="s">
        <v>2073</v>
      </c>
      <c r="F42" s="24">
        <v>43817</v>
      </c>
      <c r="G42" s="22" t="s">
        <v>4505</v>
      </c>
      <c r="H42" s="22" t="s">
        <v>4414</v>
      </c>
      <c r="I42" s="22" t="s">
        <v>4505</v>
      </c>
      <c r="J42" s="22" t="s">
        <v>73</v>
      </c>
      <c r="K42" s="22" t="s">
        <v>4479</v>
      </c>
      <c r="L42" s="22"/>
      <c r="M42" s="22"/>
      <c r="N42" s="22"/>
    </row>
    <row r="43" spans="1:14" x14ac:dyDescent="0.25">
      <c r="A43" s="22" t="s">
        <v>7734</v>
      </c>
      <c r="B43" s="22" t="s">
        <v>39</v>
      </c>
      <c r="C43" s="22" t="s">
        <v>4506</v>
      </c>
      <c r="D43" s="23">
        <v>-1012618</v>
      </c>
      <c r="E43" s="22" t="s">
        <v>57</v>
      </c>
      <c r="F43" s="24">
        <v>43648</v>
      </c>
      <c r="G43" s="22" t="s">
        <v>4505</v>
      </c>
      <c r="H43" s="22" t="s">
        <v>4507</v>
      </c>
      <c r="I43" s="22" t="s">
        <v>4508</v>
      </c>
      <c r="J43" s="22" t="s">
        <v>73</v>
      </c>
      <c r="K43" s="22" t="s">
        <v>4419</v>
      </c>
      <c r="L43" s="22"/>
      <c r="M43" s="22"/>
      <c r="N43" s="22"/>
    </row>
    <row r="44" spans="1:14" x14ac:dyDescent="0.25">
      <c r="A44" s="22" t="s">
        <v>7730</v>
      </c>
      <c r="B44" s="22" t="s">
        <v>39</v>
      </c>
      <c r="C44" s="22" t="s">
        <v>4509</v>
      </c>
      <c r="D44" s="23">
        <v>123509</v>
      </c>
      <c r="E44" s="22" t="s">
        <v>2073</v>
      </c>
      <c r="F44" s="24">
        <v>43937</v>
      </c>
      <c r="G44" s="22" t="s">
        <v>4510</v>
      </c>
      <c r="H44" s="22" t="s">
        <v>4511</v>
      </c>
      <c r="I44" s="22" t="s">
        <v>4510</v>
      </c>
      <c r="J44" s="22" t="s">
        <v>4407</v>
      </c>
      <c r="K44" s="22" t="s">
        <v>4512</v>
      </c>
      <c r="L44" s="22"/>
      <c r="M44" s="22"/>
      <c r="N44" s="22"/>
    </row>
    <row r="45" spans="1:14" x14ac:dyDescent="0.25">
      <c r="A45" s="22" t="s">
        <v>7730</v>
      </c>
      <c r="B45" s="22" t="s">
        <v>39</v>
      </c>
      <c r="C45" s="22" t="s">
        <v>4513</v>
      </c>
      <c r="D45" s="23">
        <v>-123509</v>
      </c>
      <c r="E45" s="22" t="s">
        <v>2073</v>
      </c>
      <c r="F45" s="24">
        <v>43817</v>
      </c>
      <c r="G45" s="22" t="s">
        <v>4510</v>
      </c>
      <c r="H45" s="22" t="s">
        <v>4514</v>
      </c>
      <c r="I45" s="22" t="s">
        <v>4478</v>
      </c>
      <c r="J45" s="22" t="s">
        <v>4407</v>
      </c>
      <c r="K45" s="22" t="s">
        <v>4479</v>
      </c>
      <c r="L45" s="22"/>
      <c r="M45" s="22"/>
      <c r="N45" s="22"/>
    </row>
    <row r="46" spans="1:14" x14ac:dyDescent="0.25">
      <c r="A46" s="22" t="s">
        <v>4516</v>
      </c>
      <c r="B46" s="22" t="s">
        <v>39</v>
      </c>
      <c r="C46" s="22" t="s">
        <v>4515</v>
      </c>
      <c r="D46" s="23">
        <v>57600</v>
      </c>
      <c r="E46" s="22" t="s">
        <v>2073</v>
      </c>
      <c r="F46" s="24">
        <v>43937</v>
      </c>
      <c r="G46" s="22" t="s">
        <v>4517</v>
      </c>
      <c r="H46" s="22" t="s">
        <v>4518</v>
      </c>
      <c r="I46" s="22" t="s">
        <v>4517</v>
      </c>
      <c r="J46" s="22" t="s">
        <v>4466</v>
      </c>
      <c r="K46" s="22" t="s">
        <v>4519</v>
      </c>
      <c r="L46" s="22"/>
      <c r="M46" s="22"/>
      <c r="N46" s="22"/>
    </row>
    <row r="47" spans="1:14" x14ac:dyDescent="0.25">
      <c r="A47" s="22" t="s">
        <v>4521</v>
      </c>
      <c r="B47" s="22" t="s">
        <v>39</v>
      </c>
      <c r="C47" s="22" t="s">
        <v>4520</v>
      </c>
      <c r="D47" s="23">
        <v>-57600</v>
      </c>
      <c r="E47" s="22" t="s">
        <v>57</v>
      </c>
      <c r="F47" s="24">
        <v>43937</v>
      </c>
      <c r="G47" s="22" t="s">
        <v>4517</v>
      </c>
      <c r="H47" s="22" t="s">
        <v>1131</v>
      </c>
      <c r="I47" s="22" t="s">
        <v>4522</v>
      </c>
      <c r="J47" s="22" t="s">
        <v>4466</v>
      </c>
      <c r="K47" s="22" t="s">
        <v>4519</v>
      </c>
      <c r="L47" s="22"/>
      <c r="M47" s="22"/>
      <c r="N47" s="22"/>
    </row>
    <row r="48" spans="1:14" x14ac:dyDescent="0.25">
      <c r="A48" s="22" t="s">
        <v>4524</v>
      </c>
      <c r="B48" s="22" t="s">
        <v>39</v>
      </c>
      <c r="C48" s="22" t="s">
        <v>4523</v>
      </c>
      <c r="D48" s="23">
        <v>7800</v>
      </c>
      <c r="E48" s="22" t="s">
        <v>2073</v>
      </c>
      <c r="F48" s="24">
        <v>43908</v>
      </c>
      <c r="G48" s="22" t="s">
        <v>4525</v>
      </c>
      <c r="H48" s="22" t="s">
        <v>4526</v>
      </c>
      <c r="I48" s="22" t="s">
        <v>4525</v>
      </c>
      <c r="J48" s="22" t="s">
        <v>60</v>
      </c>
      <c r="K48" s="22" t="s">
        <v>4527</v>
      </c>
      <c r="L48" s="22"/>
      <c r="M48" s="22"/>
      <c r="N48" s="22"/>
    </row>
    <row r="49" spans="1:14" x14ac:dyDescent="0.25">
      <c r="A49" s="22" t="s">
        <v>4524</v>
      </c>
      <c r="B49" s="22" t="s">
        <v>39</v>
      </c>
      <c r="C49" s="22" t="s">
        <v>4528</v>
      </c>
      <c r="D49" s="23">
        <v>-7800</v>
      </c>
      <c r="E49" s="22" t="s">
        <v>57</v>
      </c>
      <c r="F49" s="24">
        <v>43908</v>
      </c>
      <c r="G49" s="22" t="s">
        <v>4525</v>
      </c>
      <c r="H49" s="22" t="s">
        <v>4529</v>
      </c>
      <c r="I49" s="22" t="s">
        <v>4530</v>
      </c>
      <c r="J49" s="22" t="s">
        <v>60</v>
      </c>
      <c r="K49" s="22" t="s">
        <v>4531</v>
      </c>
      <c r="L49" s="22"/>
      <c r="M49" s="22"/>
      <c r="N49" s="22"/>
    </row>
    <row r="50" spans="1:14" x14ac:dyDescent="0.25">
      <c r="A50" s="22" t="s">
        <v>4533</v>
      </c>
      <c r="B50" s="22" t="s">
        <v>39</v>
      </c>
      <c r="C50" s="22" t="s">
        <v>4532</v>
      </c>
      <c r="D50" s="23">
        <v>159517</v>
      </c>
      <c r="E50" s="22" t="s">
        <v>2073</v>
      </c>
      <c r="F50" s="24">
        <v>44105</v>
      </c>
      <c r="G50" s="22" t="s">
        <v>4534</v>
      </c>
      <c r="H50" s="22"/>
      <c r="I50" s="22" t="s">
        <v>4534</v>
      </c>
      <c r="J50" s="22" t="s">
        <v>4401</v>
      </c>
      <c r="K50" s="22" t="s">
        <v>4535</v>
      </c>
      <c r="L50" s="22"/>
      <c r="M50" s="22"/>
      <c r="N50" s="22"/>
    </row>
    <row r="51" spans="1:14" x14ac:dyDescent="0.25">
      <c r="A51" s="22" t="s">
        <v>4533</v>
      </c>
      <c r="B51" s="22" t="s">
        <v>39</v>
      </c>
      <c r="C51" s="22" t="s">
        <v>4536</v>
      </c>
      <c r="D51" s="23">
        <v>-159517</v>
      </c>
      <c r="E51" s="22" t="s">
        <v>57</v>
      </c>
      <c r="F51" s="24">
        <v>43976</v>
      </c>
      <c r="G51" s="22" t="s">
        <v>4534</v>
      </c>
      <c r="H51" s="22" t="s">
        <v>4537</v>
      </c>
      <c r="I51" s="22" t="s">
        <v>4538</v>
      </c>
      <c r="J51" s="22" t="s">
        <v>4401</v>
      </c>
      <c r="K51" s="22" t="s">
        <v>4539</v>
      </c>
      <c r="L51" s="22"/>
      <c r="M51" s="22"/>
      <c r="N51" s="22"/>
    </row>
    <row r="52" spans="1:14" x14ac:dyDescent="0.25">
      <c r="A52" s="22" t="s">
        <v>4541</v>
      </c>
      <c r="B52" s="22" t="s">
        <v>39</v>
      </c>
      <c r="C52" s="22" t="s">
        <v>4540</v>
      </c>
      <c r="D52" s="23">
        <v>196559</v>
      </c>
      <c r="E52" s="22" t="s">
        <v>2073</v>
      </c>
      <c r="F52" s="24">
        <v>43872</v>
      </c>
      <c r="G52" s="22" t="s">
        <v>4542</v>
      </c>
      <c r="H52" s="22" t="s">
        <v>4543</v>
      </c>
      <c r="I52" s="22" t="s">
        <v>4542</v>
      </c>
      <c r="J52" s="22" t="s">
        <v>4407</v>
      </c>
      <c r="K52" s="22" t="s">
        <v>103</v>
      </c>
      <c r="L52" s="22"/>
      <c r="M52" s="22"/>
      <c r="N52" s="22"/>
    </row>
    <row r="53" spans="1:14" x14ac:dyDescent="0.25">
      <c r="A53" s="22" t="s">
        <v>4545</v>
      </c>
      <c r="B53" s="22" t="s">
        <v>39</v>
      </c>
      <c r="C53" s="22" t="s">
        <v>4544</v>
      </c>
      <c r="D53" s="23">
        <v>-196559</v>
      </c>
      <c r="E53" s="22" t="s">
        <v>57</v>
      </c>
      <c r="F53" s="24">
        <v>43872</v>
      </c>
      <c r="G53" s="22" t="s">
        <v>4542</v>
      </c>
      <c r="H53" s="22" t="s">
        <v>4546</v>
      </c>
      <c r="I53" s="22" t="s">
        <v>4547</v>
      </c>
      <c r="J53" s="22" t="s">
        <v>4407</v>
      </c>
      <c r="K53" s="22" t="s">
        <v>103</v>
      </c>
      <c r="L53" s="22"/>
      <c r="M53" s="22"/>
      <c r="N53" s="22"/>
    </row>
    <row r="54" spans="1:14" x14ac:dyDescent="0.25">
      <c r="A54" s="22" t="s">
        <v>4549</v>
      </c>
      <c r="B54" s="22" t="s">
        <v>39</v>
      </c>
      <c r="C54" s="22" t="s">
        <v>4548</v>
      </c>
      <c r="D54" s="23">
        <v>31700</v>
      </c>
      <c r="E54" s="22" t="s">
        <v>2073</v>
      </c>
      <c r="F54" s="24">
        <v>44111</v>
      </c>
      <c r="G54" s="22" t="s">
        <v>4550</v>
      </c>
      <c r="H54" s="22" t="s">
        <v>4551</v>
      </c>
      <c r="I54" s="22" t="s">
        <v>4550</v>
      </c>
      <c r="J54" s="22" t="s">
        <v>4552</v>
      </c>
      <c r="K54" s="22" t="s">
        <v>4553</v>
      </c>
      <c r="L54" s="22"/>
      <c r="M54" s="22"/>
      <c r="N54" s="22"/>
    </row>
    <row r="55" spans="1:14" x14ac:dyDescent="0.25">
      <c r="A55" s="22" t="s">
        <v>4549</v>
      </c>
      <c r="B55" s="22" t="s">
        <v>39</v>
      </c>
      <c r="C55" s="22" t="s">
        <v>4554</v>
      </c>
      <c r="D55" s="23">
        <v>-31700</v>
      </c>
      <c r="E55" s="22" t="s">
        <v>57</v>
      </c>
      <c r="F55" s="24">
        <v>44048</v>
      </c>
      <c r="G55" s="22" t="s">
        <v>4550</v>
      </c>
      <c r="H55" s="22" t="s">
        <v>4555</v>
      </c>
      <c r="I55" s="22" t="s">
        <v>4556</v>
      </c>
      <c r="J55" s="22" t="s">
        <v>4552</v>
      </c>
      <c r="K55" s="22" t="s">
        <v>4557</v>
      </c>
      <c r="L55" s="22"/>
      <c r="M55" s="22"/>
      <c r="N55" s="22"/>
    </row>
    <row r="56" spans="1:14" x14ac:dyDescent="0.25">
      <c r="A56" s="22" t="s">
        <v>4559</v>
      </c>
      <c r="B56" s="22" t="s">
        <v>39</v>
      </c>
      <c r="C56" s="22" t="s">
        <v>4558</v>
      </c>
      <c r="D56" s="23">
        <v>-1940063</v>
      </c>
      <c r="E56" s="22" t="s">
        <v>57</v>
      </c>
      <c r="F56" s="24">
        <v>44100</v>
      </c>
      <c r="G56" s="22" t="s">
        <v>4560</v>
      </c>
      <c r="H56" s="22" t="s">
        <v>4561</v>
      </c>
      <c r="I56" s="22" t="s">
        <v>4562</v>
      </c>
      <c r="J56" s="22" t="s">
        <v>4407</v>
      </c>
      <c r="K56" s="22" t="s">
        <v>4437</v>
      </c>
      <c r="L56" s="22"/>
      <c r="M56" s="22"/>
      <c r="N56" s="22"/>
    </row>
    <row r="57" spans="1:14" x14ac:dyDescent="0.25">
      <c r="A57" s="22" t="s">
        <v>4559</v>
      </c>
      <c r="B57" s="22" t="s">
        <v>39</v>
      </c>
      <c r="C57" s="22" t="s">
        <v>4548</v>
      </c>
      <c r="D57" s="23">
        <v>1940063</v>
      </c>
      <c r="E57" s="22" t="s">
        <v>2073</v>
      </c>
      <c r="F57" s="24">
        <v>44144</v>
      </c>
      <c r="G57" s="22" t="s">
        <v>4560</v>
      </c>
      <c r="H57" s="22" t="s">
        <v>4563</v>
      </c>
      <c r="I57" s="22" t="s">
        <v>4560</v>
      </c>
      <c r="J57" s="22" t="s">
        <v>4407</v>
      </c>
      <c r="K57" s="22" t="s">
        <v>4564</v>
      </c>
      <c r="L57" s="22"/>
      <c r="M57" s="22"/>
      <c r="N57" s="22"/>
    </row>
    <row r="58" spans="1:14" x14ac:dyDescent="0.25">
      <c r="A58" s="22" t="s">
        <v>4559</v>
      </c>
      <c r="B58" s="22" t="s">
        <v>39</v>
      </c>
      <c r="C58" s="22" t="s">
        <v>4558</v>
      </c>
      <c r="D58" s="23">
        <v>-952481</v>
      </c>
      <c r="E58" s="22" t="s">
        <v>2073</v>
      </c>
      <c r="F58" s="24">
        <v>44144</v>
      </c>
      <c r="G58" s="22" t="s">
        <v>4565</v>
      </c>
      <c r="H58" s="22" t="s">
        <v>4566</v>
      </c>
      <c r="I58" s="22" t="s">
        <v>4560</v>
      </c>
      <c r="J58" s="22" t="s">
        <v>4407</v>
      </c>
      <c r="K58" s="22" t="s">
        <v>4564</v>
      </c>
      <c r="L58" s="22"/>
      <c r="M58" s="22"/>
      <c r="N58" s="22"/>
    </row>
    <row r="59" spans="1:14" x14ac:dyDescent="0.25">
      <c r="A59" s="22" t="s">
        <v>4567</v>
      </c>
      <c r="B59" s="22" t="s">
        <v>39</v>
      </c>
      <c r="C59" s="22" t="s">
        <v>4548</v>
      </c>
      <c r="D59" s="23">
        <v>952481</v>
      </c>
      <c r="E59" s="22" t="s">
        <v>2073</v>
      </c>
      <c r="F59" s="24">
        <v>44172</v>
      </c>
      <c r="G59" s="22" t="s">
        <v>4565</v>
      </c>
      <c r="H59" s="22" t="s">
        <v>4563</v>
      </c>
      <c r="I59" s="22" t="s">
        <v>4565</v>
      </c>
      <c r="J59" s="22" t="s">
        <v>4407</v>
      </c>
      <c r="K59" s="22" t="s">
        <v>4564</v>
      </c>
      <c r="L59" s="22"/>
      <c r="M59" s="22"/>
      <c r="N59" s="22"/>
    </row>
    <row r="60" spans="1:14" x14ac:dyDescent="0.25">
      <c r="A60" s="22" t="s">
        <v>4569</v>
      </c>
      <c r="B60" s="22" t="s">
        <v>39</v>
      </c>
      <c r="C60" s="22" t="s">
        <v>4568</v>
      </c>
      <c r="D60" s="23">
        <v>-95100</v>
      </c>
      <c r="E60" s="22" t="s">
        <v>57</v>
      </c>
      <c r="F60" s="24">
        <v>44102</v>
      </c>
      <c r="G60" s="22" t="s">
        <v>4570</v>
      </c>
      <c r="H60" s="22" t="s">
        <v>580</v>
      </c>
      <c r="I60" s="22" t="s">
        <v>4571</v>
      </c>
      <c r="J60" s="22" t="s">
        <v>4466</v>
      </c>
      <c r="K60" s="22" t="s">
        <v>4500</v>
      </c>
      <c r="L60" s="22"/>
      <c r="M60" s="22"/>
      <c r="N60" s="22"/>
    </row>
    <row r="61" spans="1:14" x14ac:dyDescent="0.25">
      <c r="A61" s="22" t="s">
        <v>4573</v>
      </c>
      <c r="B61" s="22" t="s">
        <v>39</v>
      </c>
      <c r="C61" s="22" t="s">
        <v>4572</v>
      </c>
      <c r="D61" s="23">
        <v>95100</v>
      </c>
      <c r="E61" s="22" t="s">
        <v>2073</v>
      </c>
      <c r="F61" s="24">
        <v>44102</v>
      </c>
      <c r="G61" s="22" t="s">
        <v>4570</v>
      </c>
      <c r="H61" s="22" t="s">
        <v>4574</v>
      </c>
      <c r="I61" s="22" t="s">
        <v>4570</v>
      </c>
      <c r="J61" s="22" t="s">
        <v>4466</v>
      </c>
      <c r="K61" s="22" t="s">
        <v>4500</v>
      </c>
      <c r="L61" s="22"/>
      <c r="M61" s="22"/>
      <c r="N61" s="22"/>
    </row>
    <row r="62" spans="1:14" x14ac:dyDescent="0.25">
      <c r="A62" s="22" t="s">
        <v>2124</v>
      </c>
      <c r="B62" s="22" t="s">
        <v>39</v>
      </c>
      <c r="C62" s="22" t="s">
        <v>4572</v>
      </c>
      <c r="D62" s="23">
        <v>35100</v>
      </c>
      <c r="E62" s="22" t="s">
        <v>2073</v>
      </c>
      <c r="F62" s="24">
        <v>43878</v>
      </c>
      <c r="G62" s="22" t="s">
        <v>2123</v>
      </c>
      <c r="H62" s="22" t="s">
        <v>4575</v>
      </c>
      <c r="I62" s="22" t="s">
        <v>2123</v>
      </c>
      <c r="J62" s="22" t="s">
        <v>4407</v>
      </c>
      <c r="K62" s="22" t="s">
        <v>4557</v>
      </c>
      <c r="L62" s="22"/>
      <c r="M62" s="22"/>
      <c r="N62" s="22"/>
    </row>
    <row r="63" spans="1:14" x14ac:dyDescent="0.25">
      <c r="A63" s="22" t="s">
        <v>4577</v>
      </c>
      <c r="B63" s="22" t="s">
        <v>39</v>
      </c>
      <c r="C63" s="22" t="s">
        <v>4576</v>
      </c>
      <c r="D63" s="23">
        <v>-35100</v>
      </c>
      <c r="E63" s="22" t="s">
        <v>57</v>
      </c>
      <c r="F63" s="24">
        <v>43878</v>
      </c>
      <c r="G63" s="22" t="s">
        <v>2123</v>
      </c>
      <c r="H63" s="22" t="s">
        <v>2031</v>
      </c>
      <c r="I63" s="22" t="s">
        <v>4578</v>
      </c>
      <c r="J63" s="22" t="s">
        <v>4407</v>
      </c>
      <c r="K63" s="22" t="s">
        <v>4557</v>
      </c>
      <c r="L63" s="22"/>
      <c r="M63" s="22"/>
      <c r="N63" s="22"/>
    </row>
    <row r="64" spans="1:14" x14ac:dyDescent="0.25">
      <c r="A64" s="22" t="s">
        <v>2121</v>
      </c>
      <c r="B64" s="22" t="s">
        <v>39</v>
      </c>
      <c r="C64" s="22" t="s">
        <v>4572</v>
      </c>
      <c r="D64" s="23">
        <v>16400</v>
      </c>
      <c r="E64" s="22" t="s">
        <v>2073</v>
      </c>
      <c r="F64" s="24">
        <v>43886</v>
      </c>
      <c r="G64" s="22" t="s">
        <v>2120</v>
      </c>
      <c r="H64" s="22" t="s">
        <v>4575</v>
      </c>
      <c r="I64" s="22" t="s">
        <v>2120</v>
      </c>
      <c r="J64" s="22" t="s">
        <v>4407</v>
      </c>
      <c r="K64" s="22" t="s">
        <v>4557</v>
      </c>
      <c r="L64" s="22"/>
      <c r="M64" s="22"/>
      <c r="N64" s="22"/>
    </row>
    <row r="65" spans="1:14" x14ac:dyDescent="0.25">
      <c r="A65" s="22" t="s">
        <v>4579</v>
      </c>
      <c r="B65" s="22" t="s">
        <v>39</v>
      </c>
      <c r="C65" s="22" t="s">
        <v>4576</v>
      </c>
      <c r="D65" s="23">
        <v>-16400</v>
      </c>
      <c r="E65" s="22" t="s">
        <v>57</v>
      </c>
      <c r="F65" s="24">
        <v>43886</v>
      </c>
      <c r="G65" s="22" t="s">
        <v>2120</v>
      </c>
      <c r="H65" s="22" t="s">
        <v>2031</v>
      </c>
      <c r="I65" s="22" t="s">
        <v>4580</v>
      </c>
      <c r="J65" s="22" t="s">
        <v>4407</v>
      </c>
      <c r="K65" s="22" t="s">
        <v>4557</v>
      </c>
      <c r="L65" s="22"/>
      <c r="M65" s="22"/>
      <c r="N65" s="22"/>
    </row>
    <row r="66" spans="1:14" x14ac:dyDescent="0.25">
      <c r="A66" s="22" t="s">
        <v>2074</v>
      </c>
      <c r="B66" s="22" t="s">
        <v>39</v>
      </c>
      <c r="C66" s="22" t="s">
        <v>4572</v>
      </c>
      <c r="D66" s="23">
        <v>54400</v>
      </c>
      <c r="E66" s="22" t="s">
        <v>2073</v>
      </c>
      <c r="F66" s="24">
        <v>43882</v>
      </c>
      <c r="G66" s="22" t="s">
        <v>2072</v>
      </c>
      <c r="H66" s="22" t="s">
        <v>2102</v>
      </c>
      <c r="I66" s="22" t="s">
        <v>2072</v>
      </c>
      <c r="J66" s="22" t="s">
        <v>4407</v>
      </c>
      <c r="K66" s="22" t="s">
        <v>4557</v>
      </c>
      <c r="L66" s="22"/>
      <c r="M66" s="22"/>
      <c r="N66" s="22"/>
    </row>
    <row r="67" spans="1:14" x14ac:dyDescent="0.25">
      <c r="A67" s="22" t="s">
        <v>4581</v>
      </c>
      <c r="B67" s="22" t="s">
        <v>39</v>
      </c>
      <c r="C67" s="22" t="s">
        <v>4576</v>
      </c>
      <c r="D67" s="23">
        <v>-54400</v>
      </c>
      <c r="E67" s="22" t="s">
        <v>57</v>
      </c>
      <c r="F67" s="24">
        <v>43882</v>
      </c>
      <c r="G67" s="22" t="s">
        <v>2072</v>
      </c>
      <c r="H67" s="22" t="s">
        <v>2127</v>
      </c>
      <c r="I67" s="22" t="s">
        <v>4582</v>
      </c>
      <c r="J67" s="22" t="s">
        <v>4407</v>
      </c>
      <c r="K67" s="22" t="s">
        <v>4557</v>
      </c>
      <c r="L67" s="22"/>
      <c r="M67" s="22"/>
      <c r="N67" s="22"/>
    </row>
    <row r="68" spans="1:14" x14ac:dyDescent="0.25">
      <c r="A68" s="22" t="s">
        <v>4584</v>
      </c>
      <c r="B68" s="22" t="s">
        <v>39</v>
      </c>
      <c r="C68" s="22" t="s">
        <v>4583</v>
      </c>
      <c r="D68" s="23">
        <v>-2159313</v>
      </c>
      <c r="E68" s="22" t="s">
        <v>57</v>
      </c>
      <c r="F68" s="24">
        <v>44166</v>
      </c>
      <c r="G68" s="22" t="s">
        <v>4585</v>
      </c>
      <c r="H68" s="22" t="s">
        <v>2233</v>
      </c>
      <c r="I68" s="22" t="s">
        <v>4586</v>
      </c>
      <c r="J68" s="22" t="s">
        <v>4552</v>
      </c>
      <c r="K68" s="22" t="s">
        <v>4557</v>
      </c>
      <c r="L68" s="22"/>
      <c r="M68" s="22"/>
      <c r="N68" s="22"/>
    </row>
    <row r="69" spans="1:14" x14ac:dyDescent="0.25">
      <c r="A69" s="22" t="s">
        <v>4588</v>
      </c>
      <c r="B69" s="22" t="s">
        <v>39</v>
      </c>
      <c r="C69" s="22" t="s">
        <v>4587</v>
      </c>
      <c r="D69" s="23">
        <v>2159313</v>
      </c>
      <c r="E69" s="22" t="s">
        <v>2073</v>
      </c>
      <c r="F69" s="24">
        <v>44166</v>
      </c>
      <c r="G69" s="22" t="s">
        <v>4585</v>
      </c>
      <c r="H69" s="22" t="s">
        <v>4589</v>
      </c>
      <c r="I69" s="22" t="s">
        <v>4585</v>
      </c>
      <c r="J69" s="22" t="s">
        <v>4552</v>
      </c>
      <c r="K69" s="22" t="s">
        <v>4557</v>
      </c>
      <c r="L69" s="22"/>
      <c r="M69" s="22"/>
      <c r="N69" s="22"/>
    </row>
    <row r="70" spans="1:14" x14ac:dyDescent="0.25">
      <c r="A70" s="22">
        <v>2357119</v>
      </c>
      <c r="B70" s="22" t="s">
        <v>39</v>
      </c>
      <c r="C70" s="22" t="s">
        <v>4404</v>
      </c>
      <c r="D70" s="23">
        <v>-64718586</v>
      </c>
      <c r="E70" s="22" t="s">
        <v>2073</v>
      </c>
      <c r="F70" s="24">
        <v>44066</v>
      </c>
      <c r="G70" s="22" t="s">
        <v>4591</v>
      </c>
      <c r="H70" s="22" t="s">
        <v>3579</v>
      </c>
      <c r="I70" s="22" t="s">
        <v>4592</v>
      </c>
      <c r="J70" s="22" t="s">
        <v>4401</v>
      </c>
      <c r="K70" s="22" t="s">
        <v>3579</v>
      </c>
      <c r="L70" s="22"/>
      <c r="M70" s="22"/>
      <c r="N70" s="22"/>
    </row>
    <row r="71" spans="1:14" x14ac:dyDescent="0.25">
      <c r="A71" s="22">
        <v>2357119</v>
      </c>
      <c r="B71" s="22" t="s">
        <v>39</v>
      </c>
      <c r="C71" s="22" t="s">
        <v>4404</v>
      </c>
      <c r="D71" s="23">
        <v>64718586</v>
      </c>
      <c r="E71" s="22" t="s">
        <v>2073</v>
      </c>
      <c r="F71" s="24">
        <v>44066</v>
      </c>
      <c r="G71" s="22" t="s">
        <v>4591</v>
      </c>
      <c r="H71" s="22" t="s">
        <v>3579</v>
      </c>
      <c r="I71" s="22" t="s">
        <v>4592</v>
      </c>
      <c r="J71" s="22" t="s">
        <v>4406</v>
      </c>
      <c r="K71" s="22" t="s">
        <v>3579</v>
      </c>
      <c r="L71" s="22"/>
      <c r="M71" s="22"/>
      <c r="N71" s="22"/>
    </row>
    <row r="72" spans="1:14" x14ac:dyDescent="0.25">
      <c r="A72" s="22">
        <v>2357119</v>
      </c>
      <c r="B72" s="22" t="s">
        <v>39</v>
      </c>
      <c r="C72" s="22" t="s">
        <v>4404</v>
      </c>
      <c r="D72" s="23">
        <v>64718586</v>
      </c>
      <c r="E72" s="22" t="s">
        <v>2073</v>
      </c>
      <c r="F72" s="24">
        <v>44066</v>
      </c>
      <c r="G72" s="22" t="s">
        <v>4591</v>
      </c>
      <c r="H72" s="22" t="s">
        <v>3579</v>
      </c>
      <c r="I72" s="22" t="s">
        <v>4591</v>
      </c>
      <c r="J72" s="22" t="s">
        <v>4401</v>
      </c>
      <c r="K72" s="22" t="s">
        <v>3579</v>
      </c>
      <c r="L72" s="22"/>
      <c r="M72" s="22"/>
      <c r="N72" s="22"/>
    </row>
    <row r="73" spans="1:14" x14ac:dyDescent="0.25">
      <c r="A73" s="22">
        <v>2357119</v>
      </c>
      <c r="B73" s="22" t="s">
        <v>39</v>
      </c>
      <c r="C73" s="22" t="s">
        <v>4404</v>
      </c>
      <c r="D73" s="23">
        <v>-64718586</v>
      </c>
      <c r="E73" s="22" t="s">
        <v>2073</v>
      </c>
      <c r="F73" s="24">
        <v>44066</v>
      </c>
      <c r="G73" s="22" t="s">
        <v>4591</v>
      </c>
      <c r="H73" s="22" t="s">
        <v>3579</v>
      </c>
      <c r="I73" s="22" t="s">
        <v>4591</v>
      </c>
      <c r="J73" s="22" t="s">
        <v>4406</v>
      </c>
      <c r="K73" s="22" t="s">
        <v>3579</v>
      </c>
      <c r="L73" s="22"/>
      <c r="M73" s="22"/>
      <c r="N73" s="22"/>
    </row>
    <row r="74" spans="1:14" x14ac:dyDescent="0.25">
      <c r="A74" s="22" t="s">
        <v>7735</v>
      </c>
      <c r="B74" s="22" t="s">
        <v>39</v>
      </c>
      <c r="C74" s="22" t="s">
        <v>4593</v>
      </c>
      <c r="D74" s="23">
        <v>-235789</v>
      </c>
      <c r="E74" s="22" t="s">
        <v>57</v>
      </c>
      <c r="F74" s="24">
        <v>43376</v>
      </c>
      <c r="G74" s="22" t="s">
        <v>4594</v>
      </c>
      <c r="H74" s="22" t="s">
        <v>4595</v>
      </c>
      <c r="I74" s="22" t="s">
        <v>4596</v>
      </c>
      <c r="J74" s="22" t="s">
        <v>4401</v>
      </c>
      <c r="K74" s="22" t="s">
        <v>83</v>
      </c>
      <c r="L74" s="22"/>
      <c r="M74" s="22"/>
      <c r="N74" s="22"/>
    </row>
    <row r="75" spans="1:14" x14ac:dyDescent="0.25">
      <c r="A75" s="22" t="s">
        <v>7735</v>
      </c>
      <c r="B75" s="22" t="s">
        <v>39</v>
      </c>
      <c r="C75" s="22" t="s">
        <v>4597</v>
      </c>
      <c r="D75" s="23">
        <v>235789</v>
      </c>
      <c r="E75" s="22" t="s">
        <v>57</v>
      </c>
      <c r="F75" s="24">
        <v>43465</v>
      </c>
      <c r="G75" s="22" t="s">
        <v>4594</v>
      </c>
      <c r="H75" s="22" t="s">
        <v>4598</v>
      </c>
      <c r="I75" s="22" t="s">
        <v>4594</v>
      </c>
      <c r="J75" s="22" t="s">
        <v>4401</v>
      </c>
      <c r="K75" s="22" t="s">
        <v>4599</v>
      </c>
      <c r="L75" s="22"/>
      <c r="M75" s="22"/>
      <c r="N75" s="22"/>
    </row>
    <row r="76" spans="1:14" x14ac:dyDescent="0.25">
      <c r="A76" s="22" t="s">
        <v>7736</v>
      </c>
      <c r="B76" s="22" t="s">
        <v>39</v>
      </c>
      <c r="C76" s="22" t="s">
        <v>4600</v>
      </c>
      <c r="D76" s="23">
        <v>1234911</v>
      </c>
      <c r="E76" s="22" t="s">
        <v>57</v>
      </c>
      <c r="F76" s="24">
        <v>43307</v>
      </c>
      <c r="G76" s="22" t="s">
        <v>4601</v>
      </c>
      <c r="H76" s="22" t="s">
        <v>4602</v>
      </c>
      <c r="I76" s="22" t="s">
        <v>4601</v>
      </c>
      <c r="J76" s="22" t="s">
        <v>4401</v>
      </c>
      <c r="K76" s="22" t="s">
        <v>4602</v>
      </c>
      <c r="L76" s="22"/>
      <c r="M76" s="22"/>
      <c r="N76" s="22"/>
    </row>
    <row r="77" spans="1:14" x14ac:dyDescent="0.25">
      <c r="A77" s="22" t="s">
        <v>7736</v>
      </c>
      <c r="B77" s="22" t="s">
        <v>39</v>
      </c>
      <c r="C77" s="22" t="s">
        <v>4603</v>
      </c>
      <c r="D77" s="23">
        <v>-1234911</v>
      </c>
      <c r="E77" s="22" t="s">
        <v>57</v>
      </c>
      <c r="F77" s="24">
        <v>43306</v>
      </c>
      <c r="G77" s="22" t="s">
        <v>4601</v>
      </c>
      <c r="H77" s="22" t="s">
        <v>4604</v>
      </c>
      <c r="I77" s="22" t="s">
        <v>4605</v>
      </c>
      <c r="J77" s="22" t="s">
        <v>4401</v>
      </c>
      <c r="K77" s="22" t="s">
        <v>4606</v>
      </c>
      <c r="L77" s="22"/>
      <c r="M77" s="22"/>
      <c r="N77" s="22"/>
    </row>
    <row r="78" spans="1:14" x14ac:dyDescent="0.25">
      <c r="A78" s="22" t="s">
        <v>3206</v>
      </c>
      <c r="B78" s="22" t="s">
        <v>39</v>
      </c>
      <c r="C78" s="22" t="s">
        <v>4607</v>
      </c>
      <c r="D78" s="23">
        <v>707100</v>
      </c>
      <c r="E78" s="22" t="s">
        <v>57</v>
      </c>
      <c r="F78" s="24">
        <v>43317</v>
      </c>
      <c r="G78" s="22" t="s">
        <v>197</v>
      </c>
      <c r="H78" s="22"/>
      <c r="I78" s="22" t="s">
        <v>197</v>
      </c>
      <c r="J78" s="22" t="s">
        <v>73</v>
      </c>
      <c r="K78" s="22" t="s">
        <v>28</v>
      </c>
      <c r="L78" s="22"/>
      <c r="M78" s="22"/>
      <c r="N78" s="22"/>
    </row>
    <row r="79" spans="1:14" x14ac:dyDescent="0.25">
      <c r="A79" s="22" t="s">
        <v>3206</v>
      </c>
      <c r="B79" s="22" t="s">
        <v>39</v>
      </c>
      <c r="C79" s="22" t="s">
        <v>4607</v>
      </c>
      <c r="D79" s="23">
        <v>4597748</v>
      </c>
      <c r="E79" s="22" t="s">
        <v>57</v>
      </c>
      <c r="F79" s="24">
        <v>43317</v>
      </c>
      <c r="G79" s="22" t="s">
        <v>197</v>
      </c>
      <c r="H79" s="22"/>
      <c r="I79" s="22" t="s">
        <v>197</v>
      </c>
      <c r="J79" s="22" t="s">
        <v>4401</v>
      </c>
      <c r="K79" s="22" t="s">
        <v>28</v>
      </c>
      <c r="L79" s="22"/>
      <c r="M79" s="22"/>
      <c r="N79" s="22"/>
    </row>
    <row r="80" spans="1:14" x14ac:dyDescent="0.25">
      <c r="A80" s="22" t="s">
        <v>7737</v>
      </c>
      <c r="B80" s="22" t="s">
        <v>39</v>
      </c>
      <c r="C80" s="22" t="s">
        <v>195</v>
      </c>
      <c r="D80" s="23">
        <v>-4597748</v>
      </c>
      <c r="E80" s="22" t="s">
        <v>57</v>
      </c>
      <c r="F80" s="24">
        <v>43317</v>
      </c>
      <c r="G80" s="22" t="s">
        <v>197</v>
      </c>
      <c r="H80" s="22" t="s">
        <v>4608</v>
      </c>
      <c r="I80" s="22" t="s">
        <v>4609</v>
      </c>
      <c r="J80" s="22" t="s">
        <v>4401</v>
      </c>
      <c r="K80" s="22" t="s">
        <v>103</v>
      </c>
      <c r="L80" s="22"/>
      <c r="M80" s="22"/>
      <c r="N80" s="22"/>
    </row>
    <row r="81" spans="1:14" x14ac:dyDescent="0.25">
      <c r="A81" s="22" t="s">
        <v>7737</v>
      </c>
      <c r="B81" s="22" t="s">
        <v>39</v>
      </c>
      <c r="C81" s="22" t="s">
        <v>195</v>
      </c>
      <c r="D81" s="23">
        <v>-707100</v>
      </c>
      <c r="E81" s="22" t="s">
        <v>57</v>
      </c>
      <c r="F81" s="24">
        <v>43317</v>
      </c>
      <c r="G81" s="22" t="s">
        <v>197</v>
      </c>
      <c r="H81" s="22" t="s">
        <v>196</v>
      </c>
      <c r="I81" s="22" t="s">
        <v>4609</v>
      </c>
      <c r="J81" s="22" t="s">
        <v>73</v>
      </c>
      <c r="K81" s="22" t="s">
        <v>103</v>
      </c>
      <c r="L81" s="22"/>
      <c r="M81" s="22"/>
      <c r="N81" s="22"/>
    </row>
    <row r="82" spans="1:14" x14ac:dyDescent="0.25">
      <c r="A82" s="22" t="s">
        <v>7738</v>
      </c>
      <c r="B82" s="22" t="s">
        <v>39</v>
      </c>
      <c r="C82" s="22" t="s">
        <v>4610</v>
      </c>
      <c r="D82" s="23">
        <v>-1067875</v>
      </c>
      <c r="E82" s="22" t="s">
        <v>57</v>
      </c>
      <c r="F82" s="24">
        <v>43397</v>
      </c>
      <c r="G82" s="22" t="s">
        <v>4611</v>
      </c>
      <c r="H82" s="22" t="s">
        <v>4612</v>
      </c>
      <c r="I82" s="22" t="s">
        <v>4613</v>
      </c>
      <c r="J82" s="22" t="s">
        <v>4401</v>
      </c>
      <c r="K82" s="22" t="s">
        <v>4424</v>
      </c>
      <c r="L82" s="22"/>
      <c r="M82" s="22"/>
      <c r="N82" s="22"/>
    </row>
    <row r="83" spans="1:14" x14ac:dyDescent="0.25">
      <c r="A83" s="22" t="s">
        <v>7739</v>
      </c>
      <c r="B83" s="22" t="s">
        <v>39</v>
      </c>
      <c r="C83" s="22" t="s">
        <v>4614</v>
      </c>
      <c r="D83" s="23">
        <v>1067875</v>
      </c>
      <c r="E83" s="22" t="s">
        <v>57</v>
      </c>
      <c r="F83" s="24">
        <v>43397</v>
      </c>
      <c r="G83" s="22" t="s">
        <v>4611</v>
      </c>
      <c r="H83" s="22"/>
      <c r="I83" s="22" t="s">
        <v>4611</v>
      </c>
      <c r="J83" s="22" t="s">
        <v>4401</v>
      </c>
      <c r="K83" s="22" t="s">
        <v>4424</v>
      </c>
      <c r="L83" s="22"/>
      <c r="M83" s="22"/>
      <c r="N83" s="22"/>
    </row>
    <row r="84" spans="1:14" x14ac:dyDescent="0.25">
      <c r="A84" s="22" t="s">
        <v>7740</v>
      </c>
      <c r="B84" s="22" t="s">
        <v>39</v>
      </c>
      <c r="C84" s="22" t="s">
        <v>4615</v>
      </c>
      <c r="D84" s="23">
        <v>224675</v>
      </c>
      <c r="E84" s="22" t="s">
        <v>57</v>
      </c>
      <c r="F84" s="24">
        <v>43159</v>
      </c>
      <c r="G84" s="22" t="s">
        <v>4617</v>
      </c>
      <c r="H84" s="22" t="s">
        <v>4618</v>
      </c>
      <c r="I84" s="22" t="s">
        <v>4617</v>
      </c>
      <c r="J84" s="22" t="s">
        <v>4401</v>
      </c>
      <c r="K84" s="22" t="s">
        <v>4616</v>
      </c>
      <c r="L84" s="22"/>
      <c r="M84" s="22"/>
      <c r="N84" s="22"/>
    </row>
    <row r="85" spans="1:14" x14ac:dyDescent="0.25">
      <c r="A85" s="22" t="s">
        <v>7740</v>
      </c>
      <c r="B85" s="22" t="s">
        <v>39</v>
      </c>
      <c r="C85" s="22" t="s">
        <v>4619</v>
      </c>
      <c r="D85" s="23">
        <v>-224675</v>
      </c>
      <c r="E85" s="22" t="s">
        <v>57</v>
      </c>
      <c r="F85" s="24">
        <v>43159</v>
      </c>
      <c r="G85" s="22" t="s">
        <v>4617</v>
      </c>
      <c r="H85" s="22" t="s">
        <v>4620</v>
      </c>
      <c r="I85" s="22" t="s">
        <v>4621</v>
      </c>
      <c r="J85" s="22" t="s">
        <v>4401</v>
      </c>
      <c r="K85" s="22" t="s">
        <v>4622</v>
      </c>
      <c r="L85" s="22"/>
      <c r="M85" s="22"/>
      <c r="N85" s="22"/>
    </row>
    <row r="86" spans="1:14" x14ac:dyDescent="0.25">
      <c r="A86" s="22" t="s">
        <v>7741</v>
      </c>
      <c r="B86" s="22" t="s">
        <v>39</v>
      </c>
      <c r="C86" s="22" t="s">
        <v>4623</v>
      </c>
      <c r="D86" s="23">
        <v>768401</v>
      </c>
      <c r="E86" s="22" t="s">
        <v>57</v>
      </c>
      <c r="F86" s="24">
        <v>43616</v>
      </c>
      <c r="G86" s="22" t="s">
        <v>4624</v>
      </c>
      <c r="H86" s="22" t="s">
        <v>4625</v>
      </c>
      <c r="I86" s="22" t="s">
        <v>4624</v>
      </c>
      <c r="J86" s="22" t="s">
        <v>4401</v>
      </c>
      <c r="K86" s="22" t="s">
        <v>4626</v>
      </c>
      <c r="L86" s="22"/>
      <c r="M86" s="22"/>
      <c r="N86" s="22"/>
    </row>
    <row r="87" spans="1:14" x14ac:dyDescent="0.25">
      <c r="A87" s="22" t="s">
        <v>7741</v>
      </c>
      <c r="B87" s="22" t="s">
        <v>39</v>
      </c>
      <c r="C87" s="22" t="s">
        <v>4627</v>
      </c>
      <c r="D87" s="23">
        <v>-768401</v>
      </c>
      <c r="E87" s="22" t="s">
        <v>57</v>
      </c>
      <c r="F87" s="24">
        <v>43495</v>
      </c>
      <c r="G87" s="22" t="s">
        <v>4624</v>
      </c>
      <c r="H87" s="22" t="s">
        <v>4628</v>
      </c>
      <c r="I87" s="22" t="s">
        <v>4629</v>
      </c>
      <c r="J87" s="22" t="s">
        <v>4401</v>
      </c>
      <c r="K87" s="22" t="s">
        <v>4419</v>
      </c>
      <c r="L87" s="22"/>
      <c r="M87" s="22"/>
      <c r="N87" s="22"/>
    </row>
    <row r="88" spans="1:14" x14ac:dyDescent="0.25">
      <c r="A88" s="22" t="s">
        <v>7742</v>
      </c>
      <c r="B88" s="22" t="s">
        <v>39</v>
      </c>
      <c r="C88" s="22" t="s">
        <v>4623</v>
      </c>
      <c r="D88" s="23">
        <v>192353</v>
      </c>
      <c r="E88" s="22" t="s">
        <v>57</v>
      </c>
      <c r="F88" s="24">
        <v>43616</v>
      </c>
      <c r="G88" s="22" t="s">
        <v>4630</v>
      </c>
      <c r="H88" s="22" t="s">
        <v>4631</v>
      </c>
      <c r="I88" s="22" t="s">
        <v>4630</v>
      </c>
      <c r="J88" s="22" t="s">
        <v>4401</v>
      </c>
      <c r="K88" s="22" t="s">
        <v>4632</v>
      </c>
      <c r="L88" s="22"/>
      <c r="M88" s="22"/>
      <c r="N88" s="22"/>
    </row>
    <row r="89" spans="1:14" x14ac:dyDescent="0.25">
      <c r="A89" s="22" t="s">
        <v>7742</v>
      </c>
      <c r="B89" s="22" t="s">
        <v>39</v>
      </c>
      <c r="C89" s="22" t="s">
        <v>4627</v>
      </c>
      <c r="D89" s="23">
        <v>-192353</v>
      </c>
      <c r="E89" s="22" t="s">
        <v>57</v>
      </c>
      <c r="F89" s="24">
        <v>43486</v>
      </c>
      <c r="G89" s="22" t="s">
        <v>4630</v>
      </c>
      <c r="H89" s="22" t="s">
        <v>4633</v>
      </c>
      <c r="I89" s="22" t="s">
        <v>4634</v>
      </c>
      <c r="J89" s="22" t="s">
        <v>4401</v>
      </c>
      <c r="K89" s="22" t="s">
        <v>4419</v>
      </c>
      <c r="L89" s="22"/>
      <c r="M89" s="22"/>
      <c r="N89" s="22"/>
    </row>
    <row r="90" spans="1:14" x14ac:dyDescent="0.25">
      <c r="A90" s="22" t="s">
        <v>7743</v>
      </c>
      <c r="B90" s="22" t="s">
        <v>39</v>
      </c>
      <c r="C90" s="22" t="s">
        <v>70</v>
      </c>
      <c r="D90" s="23">
        <v>-770002</v>
      </c>
      <c r="E90" s="22" t="s">
        <v>57</v>
      </c>
      <c r="F90" s="24">
        <v>43365</v>
      </c>
      <c r="G90" s="22" t="s">
        <v>72</v>
      </c>
      <c r="H90" s="22" t="s">
        <v>4635</v>
      </c>
      <c r="I90" s="22" t="s">
        <v>4636</v>
      </c>
      <c r="J90" s="22" t="s">
        <v>4401</v>
      </c>
      <c r="K90" s="22" t="s">
        <v>103</v>
      </c>
      <c r="L90" s="22"/>
      <c r="M90" s="22"/>
      <c r="N90" s="22"/>
    </row>
    <row r="91" spans="1:14" x14ac:dyDescent="0.25">
      <c r="A91" s="22" t="s">
        <v>7743</v>
      </c>
      <c r="B91" s="22" t="s">
        <v>39</v>
      </c>
      <c r="C91" s="22" t="s">
        <v>70</v>
      </c>
      <c r="D91" s="23">
        <v>-615600</v>
      </c>
      <c r="E91" s="22" t="s">
        <v>57</v>
      </c>
      <c r="F91" s="24">
        <v>43365</v>
      </c>
      <c r="G91" s="22" t="s">
        <v>72</v>
      </c>
      <c r="H91" s="22" t="s">
        <v>71</v>
      </c>
      <c r="I91" s="22" t="s">
        <v>4636</v>
      </c>
      <c r="J91" s="22" t="s">
        <v>73</v>
      </c>
      <c r="K91" s="22" t="s">
        <v>103</v>
      </c>
      <c r="L91" s="22"/>
      <c r="M91" s="22"/>
      <c r="N91" s="22"/>
    </row>
    <row r="92" spans="1:14" x14ac:dyDescent="0.25">
      <c r="A92" s="22" t="s">
        <v>3207</v>
      </c>
      <c r="B92" s="22" t="s">
        <v>39</v>
      </c>
      <c r="C92" s="22" t="s">
        <v>4637</v>
      </c>
      <c r="D92" s="23">
        <v>615600</v>
      </c>
      <c r="E92" s="22" t="s">
        <v>57</v>
      </c>
      <c r="F92" s="24">
        <v>43365</v>
      </c>
      <c r="G92" s="22" t="s">
        <v>72</v>
      </c>
      <c r="H92" s="22"/>
      <c r="I92" s="22" t="s">
        <v>72</v>
      </c>
      <c r="J92" s="22" t="s">
        <v>73</v>
      </c>
      <c r="K92" s="22" t="s">
        <v>29</v>
      </c>
      <c r="L92" s="22"/>
      <c r="M92" s="22"/>
      <c r="N92" s="22"/>
    </row>
    <row r="93" spans="1:14" x14ac:dyDescent="0.25">
      <c r="A93" s="22" t="s">
        <v>3207</v>
      </c>
      <c r="B93" s="22" t="s">
        <v>39</v>
      </c>
      <c r="C93" s="22" t="s">
        <v>4637</v>
      </c>
      <c r="D93" s="23">
        <v>770002</v>
      </c>
      <c r="E93" s="22" t="s">
        <v>57</v>
      </c>
      <c r="F93" s="24">
        <v>43365</v>
      </c>
      <c r="G93" s="22" t="s">
        <v>72</v>
      </c>
      <c r="H93" s="22"/>
      <c r="I93" s="22" t="s">
        <v>72</v>
      </c>
      <c r="J93" s="22" t="s">
        <v>4401</v>
      </c>
      <c r="K93" s="22" t="s">
        <v>29</v>
      </c>
      <c r="L93" s="22"/>
      <c r="M93" s="22"/>
      <c r="N93" s="22"/>
    </row>
    <row r="94" spans="1:14" x14ac:dyDescent="0.25">
      <c r="A94" s="22" t="s">
        <v>7744</v>
      </c>
      <c r="B94" s="22" t="s">
        <v>39</v>
      </c>
      <c r="C94" s="22" t="s">
        <v>4638</v>
      </c>
      <c r="D94" s="23">
        <v>48400</v>
      </c>
      <c r="E94" s="22" t="s">
        <v>57</v>
      </c>
      <c r="F94" s="24">
        <v>43055</v>
      </c>
      <c r="G94" s="22" t="s">
        <v>4640</v>
      </c>
      <c r="H94" s="22" t="s">
        <v>4641</v>
      </c>
      <c r="I94" s="22" t="s">
        <v>4640</v>
      </c>
      <c r="J94" s="22" t="s">
        <v>4401</v>
      </c>
      <c r="K94" s="22" t="s">
        <v>4639</v>
      </c>
      <c r="L94" s="22"/>
      <c r="M94" s="22"/>
      <c r="N94" s="22"/>
    </row>
    <row r="95" spans="1:14" x14ac:dyDescent="0.25">
      <c r="A95" s="22" t="s">
        <v>7744</v>
      </c>
      <c r="B95" s="22" t="s">
        <v>39</v>
      </c>
      <c r="C95" s="22" t="s">
        <v>4642</v>
      </c>
      <c r="D95" s="23">
        <v>-48400</v>
      </c>
      <c r="E95" s="22" t="s">
        <v>57</v>
      </c>
      <c r="F95" s="24">
        <v>43055</v>
      </c>
      <c r="G95" s="22" t="s">
        <v>4640</v>
      </c>
      <c r="H95" s="22" t="s">
        <v>4643</v>
      </c>
      <c r="I95" s="22" t="s">
        <v>4644</v>
      </c>
      <c r="J95" s="22" t="s">
        <v>4401</v>
      </c>
      <c r="K95" s="22" t="s">
        <v>4622</v>
      </c>
      <c r="L95" s="22"/>
      <c r="M95" s="22"/>
      <c r="N95" s="22"/>
    </row>
    <row r="96" spans="1:14" x14ac:dyDescent="0.25">
      <c r="A96" s="22" t="s">
        <v>4646</v>
      </c>
      <c r="B96" s="22" t="s">
        <v>39</v>
      </c>
      <c r="C96" s="22" t="s">
        <v>4645</v>
      </c>
      <c r="D96" s="23">
        <v>2218635</v>
      </c>
      <c r="E96" s="22" t="s">
        <v>57</v>
      </c>
      <c r="F96" s="24">
        <v>43677</v>
      </c>
      <c r="G96" s="22" t="s">
        <v>4647</v>
      </c>
      <c r="H96" s="22" t="s">
        <v>4648</v>
      </c>
      <c r="I96" s="22" t="s">
        <v>4647</v>
      </c>
      <c r="J96" s="22" t="s">
        <v>4401</v>
      </c>
      <c r="K96" s="22" t="s">
        <v>4649</v>
      </c>
      <c r="L96" s="22"/>
      <c r="M96" s="22"/>
      <c r="N96" s="22"/>
    </row>
    <row r="97" spans="1:14" x14ac:dyDescent="0.25">
      <c r="A97" s="22" t="s">
        <v>4646</v>
      </c>
      <c r="B97" s="22" t="s">
        <v>39</v>
      </c>
      <c r="C97" s="22" t="s">
        <v>4493</v>
      </c>
      <c r="D97" s="23">
        <v>-2218635</v>
      </c>
      <c r="E97" s="22" t="s">
        <v>57</v>
      </c>
      <c r="F97" s="24">
        <v>43590</v>
      </c>
      <c r="G97" s="22" t="s">
        <v>4647</v>
      </c>
      <c r="H97" s="22" t="s">
        <v>4650</v>
      </c>
      <c r="I97" s="22" t="s">
        <v>4651</v>
      </c>
      <c r="J97" s="22" t="s">
        <v>4401</v>
      </c>
      <c r="K97" s="22" t="s">
        <v>4419</v>
      </c>
      <c r="L97" s="22"/>
      <c r="M97" s="22"/>
      <c r="N97" s="22"/>
    </row>
    <row r="98" spans="1:14" x14ac:dyDescent="0.25">
      <c r="A98" s="22" t="s">
        <v>7745</v>
      </c>
      <c r="B98" s="22" t="s">
        <v>39</v>
      </c>
      <c r="C98" s="22" t="s">
        <v>4652</v>
      </c>
      <c r="D98" s="23">
        <v>226122</v>
      </c>
      <c r="E98" s="22" t="s">
        <v>57</v>
      </c>
      <c r="F98" s="24">
        <v>43317</v>
      </c>
      <c r="G98" s="22" t="s">
        <v>4653</v>
      </c>
      <c r="H98" s="22" t="s">
        <v>4602</v>
      </c>
      <c r="I98" s="22" t="s">
        <v>4653</v>
      </c>
      <c r="J98" s="22" t="s">
        <v>4401</v>
      </c>
      <c r="K98" s="22" t="s">
        <v>4602</v>
      </c>
      <c r="L98" s="22"/>
      <c r="M98" s="22"/>
      <c r="N98" s="22"/>
    </row>
    <row r="99" spans="1:14" x14ac:dyDescent="0.25">
      <c r="A99" s="22" t="s">
        <v>7745</v>
      </c>
      <c r="B99" s="22" t="s">
        <v>39</v>
      </c>
      <c r="C99" s="22" t="s">
        <v>4654</v>
      </c>
      <c r="D99" s="23">
        <v>-226122</v>
      </c>
      <c r="E99" s="22" t="s">
        <v>57</v>
      </c>
      <c r="F99" s="24">
        <v>43316</v>
      </c>
      <c r="G99" s="22" t="s">
        <v>4653</v>
      </c>
      <c r="H99" s="22" t="s">
        <v>4655</v>
      </c>
      <c r="I99" s="22" t="s">
        <v>4656</v>
      </c>
      <c r="J99" s="22" t="s">
        <v>4401</v>
      </c>
      <c r="K99" s="22" t="s">
        <v>4606</v>
      </c>
      <c r="L99" s="22"/>
      <c r="M99" s="22"/>
      <c r="N99" s="22"/>
    </row>
    <row r="100" spans="1:14" x14ac:dyDescent="0.25">
      <c r="A100" s="22" t="s">
        <v>7746</v>
      </c>
      <c r="B100" s="22" t="s">
        <v>39</v>
      </c>
      <c r="C100" s="22" t="s">
        <v>4652</v>
      </c>
      <c r="D100" s="23">
        <v>99031</v>
      </c>
      <c r="E100" s="22" t="s">
        <v>57</v>
      </c>
      <c r="F100" s="24">
        <v>43455</v>
      </c>
      <c r="G100" s="22" t="s">
        <v>4657</v>
      </c>
      <c r="H100" s="22"/>
      <c r="I100" s="22" t="s">
        <v>4657</v>
      </c>
      <c r="J100" s="22" t="s">
        <v>4401</v>
      </c>
      <c r="K100" s="22" t="s">
        <v>103</v>
      </c>
      <c r="L100" s="22"/>
      <c r="M100" s="22"/>
      <c r="N100" s="22"/>
    </row>
    <row r="101" spans="1:14" x14ac:dyDescent="0.25">
      <c r="A101" s="22" t="s">
        <v>7747</v>
      </c>
      <c r="B101" s="22" t="s">
        <v>39</v>
      </c>
      <c r="C101" s="22" t="s">
        <v>4658</v>
      </c>
      <c r="D101" s="23">
        <v>-99031</v>
      </c>
      <c r="E101" s="22" t="s">
        <v>57</v>
      </c>
      <c r="F101" s="24">
        <v>43455</v>
      </c>
      <c r="G101" s="22" t="s">
        <v>4657</v>
      </c>
      <c r="H101" s="22" t="s">
        <v>4659</v>
      </c>
      <c r="I101" s="22" t="s">
        <v>4660</v>
      </c>
      <c r="J101" s="22" t="s">
        <v>4401</v>
      </c>
      <c r="K101" s="22" t="s">
        <v>103</v>
      </c>
      <c r="L101" s="22"/>
      <c r="M101" s="22"/>
      <c r="N101" s="22"/>
    </row>
    <row r="102" spans="1:14" x14ac:dyDescent="0.25">
      <c r="A102" s="22" t="s">
        <v>7748</v>
      </c>
      <c r="B102" s="22" t="s">
        <v>39</v>
      </c>
      <c r="C102" s="22" t="s">
        <v>4430</v>
      </c>
      <c r="D102" s="23">
        <v>254792</v>
      </c>
      <c r="E102" s="22" t="s">
        <v>57</v>
      </c>
      <c r="F102" s="24">
        <v>43468</v>
      </c>
      <c r="G102" s="22" t="s">
        <v>4661</v>
      </c>
      <c r="H102" s="22"/>
      <c r="I102" s="22" t="s">
        <v>4661</v>
      </c>
      <c r="J102" s="22" t="s">
        <v>4466</v>
      </c>
      <c r="K102" s="22" t="s">
        <v>4424</v>
      </c>
      <c r="L102" s="22"/>
      <c r="M102" s="22"/>
      <c r="N102" s="22"/>
    </row>
    <row r="103" spans="1:14" x14ac:dyDescent="0.25">
      <c r="A103" s="22" t="s">
        <v>7749</v>
      </c>
      <c r="B103" s="22" t="s">
        <v>39</v>
      </c>
      <c r="C103" s="22" t="s">
        <v>4662</v>
      </c>
      <c r="D103" s="23">
        <v>-254792</v>
      </c>
      <c r="E103" s="22" t="s">
        <v>57</v>
      </c>
      <c r="F103" s="24">
        <v>43468</v>
      </c>
      <c r="G103" s="22" t="s">
        <v>4661</v>
      </c>
      <c r="H103" s="22" t="s">
        <v>4663</v>
      </c>
      <c r="I103" s="22" t="s">
        <v>4664</v>
      </c>
      <c r="J103" s="22" t="s">
        <v>4466</v>
      </c>
      <c r="K103" s="22" t="s">
        <v>4424</v>
      </c>
      <c r="L103" s="22"/>
      <c r="M103" s="22"/>
      <c r="N103" s="22"/>
    </row>
    <row r="104" spans="1:14" x14ac:dyDescent="0.25">
      <c r="A104" s="22" t="s">
        <v>7722</v>
      </c>
      <c r="B104" s="22" t="s">
        <v>39</v>
      </c>
      <c r="C104" s="22" t="s">
        <v>4448</v>
      </c>
      <c r="D104" s="23">
        <v>-216310</v>
      </c>
      <c r="E104" s="22" t="s">
        <v>57</v>
      </c>
      <c r="F104" s="24">
        <v>43354</v>
      </c>
      <c r="G104" s="22" t="s">
        <v>4452</v>
      </c>
      <c r="H104" s="22" t="s">
        <v>4665</v>
      </c>
      <c r="I104" s="22" t="s">
        <v>4666</v>
      </c>
      <c r="J104" s="22" t="s">
        <v>4401</v>
      </c>
      <c r="K104" s="22" t="s">
        <v>4455</v>
      </c>
      <c r="L104" s="22"/>
      <c r="M104" s="22"/>
      <c r="N104" s="22"/>
    </row>
    <row r="105" spans="1:14" x14ac:dyDescent="0.25">
      <c r="A105" s="22" t="s">
        <v>7722</v>
      </c>
      <c r="B105" s="22" t="s">
        <v>39</v>
      </c>
      <c r="C105" s="22" t="s">
        <v>4667</v>
      </c>
      <c r="D105" s="23">
        <v>216310</v>
      </c>
      <c r="E105" s="22" t="s">
        <v>57</v>
      </c>
      <c r="F105" s="24">
        <v>43354</v>
      </c>
      <c r="G105" s="22" t="s">
        <v>4452</v>
      </c>
      <c r="H105" s="22" t="s">
        <v>4668</v>
      </c>
      <c r="I105" s="22" t="s">
        <v>4452</v>
      </c>
      <c r="J105" s="22" t="s">
        <v>4401</v>
      </c>
      <c r="K105" s="22" t="s">
        <v>4449</v>
      </c>
      <c r="L105" s="22"/>
      <c r="M105" s="22"/>
      <c r="N105" s="22"/>
    </row>
    <row r="106" spans="1:14" x14ac:dyDescent="0.25">
      <c r="A106" s="22" t="s">
        <v>4670</v>
      </c>
      <c r="B106" s="22" t="s">
        <v>39</v>
      </c>
      <c r="C106" s="22" t="s">
        <v>4669</v>
      </c>
      <c r="D106" s="23">
        <v>54641</v>
      </c>
      <c r="E106" s="22" t="s">
        <v>57</v>
      </c>
      <c r="F106" s="24">
        <v>43593</v>
      </c>
      <c r="G106" s="22" t="s">
        <v>4671</v>
      </c>
      <c r="H106" s="22"/>
      <c r="I106" s="22" t="s">
        <v>4671</v>
      </c>
      <c r="J106" s="22" t="s">
        <v>4401</v>
      </c>
      <c r="K106" s="22" t="s">
        <v>4424</v>
      </c>
      <c r="L106" s="22"/>
      <c r="M106" s="22"/>
      <c r="N106" s="22"/>
    </row>
    <row r="107" spans="1:14" x14ac:dyDescent="0.25">
      <c r="A107" s="22" t="s">
        <v>4673</v>
      </c>
      <c r="B107" s="22" t="s">
        <v>39</v>
      </c>
      <c r="C107" s="22" t="s">
        <v>4672</v>
      </c>
      <c r="D107" s="23">
        <v>-54641</v>
      </c>
      <c r="E107" s="22" t="s">
        <v>57</v>
      </c>
      <c r="F107" s="24">
        <v>43593</v>
      </c>
      <c r="G107" s="22" t="s">
        <v>4671</v>
      </c>
      <c r="H107" s="22" t="s">
        <v>4674</v>
      </c>
      <c r="I107" s="22" t="s">
        <v>4675</v>
      </c>
      <c r="J107" s="22" t="s">
        <v>4401</v>
      </c>
      <c r="K107" s="22" t="s">
        <v>4424</v>
      </c>
      <c r="L107" s="22"/>
      <c r="M107" s="22"/>
      <c r="N107" s="22"/>
    </row>
    <row r="108" spans="1:14" x14ac:dyDescent="0.25">
      <c r="A108" s="22" t="s">
        <v>4677</v>
      </c>
      <c r="B108" s="22" t="s">
        <v>39</v>
      </c>
      <c r="C108" s="22" t="s">
        <v>4676</v>
      </c>
      <c r="D108" s="23">
        <v>35100</v>
      </c>
      <c r="E108" s="22" t="s">
        <v>57</v>
      </c>
      <c r="F108" s="24">
        <v>44035</v>
      </c>
      <c r="G108" s="22" t="s">
        <v>4678</v>
      </c>
      <c r="H108" s="22" t="s">
        <v>4679</v>
      </c>
      <c r="I108" s="22" t="s">
        <v>4678</v>
      </c>
      <c r="J108" s="22" t="s">
        <v>4401</v>
      </c>
      <c r="K108" s="22" t="s">
        <v>4680</v>
      </c>
      <c r="L108" s="22"/>
      <c r="M108" s="22"/>
      <c r="N108" s="22"/>
    </row>
    <row r="109" spans="1:14" x14ac:dyDescent="0.25">
      <c r="A109" s="22" t="s">
        <v>4677</v>
      </c>
      <c r="B109" s="22" t="s">
        <v>39</v>
      </c>
      <c r="C109" s="22" t="s">
        <v>4681</v>
      </c>
      <c r="D109" s="23">
        <v>-35100</v>
      </c>
      <c r="E109" s="22" t="s">
        <v>57</v>
      </c>
      <c r="F109" s="24">
        <v>43956</v>
      </c>
      <c r="G109" s="22" t="s">
        <v>4678</v>
      </c>
      <c r="H109" s="22" t="s">
        <v>4682</v>
      </c>
      <c r="I109" s="22" t="s">
        <v>4683</v>
      </c>
      <c r="J109" s="22" t="s">
        <v>4401</v>
      </c>
      <c r="K109" s="22" t="s">
        <v>4519</v>
      </c>
      <c r="L109" s="22"/>
      <c r="M109" s="22"/>
      <c r="N109" s="22"/>
    </row>
    <row r="110" spans="1:14" x14ac:dyDescent="0.25">
      <c r="A110" s="22" t="s">
        <v>3425</v>
      </c>
      <c r="B110" s="22" t="s">
        <v>39</v>
      </c>
      <c r="C110" s="22" t="s">
        <v>4684</v>
      </c>
      <c r="D110" s="23">
        <v>57600</v>
      </c>
      <c r="E110" s="22" t="s">
        <v>57</v>
      </c>
      <c r="F110" s="24">
        <v>43923</v>
      </c>
      <c r="G110" s="22" t="s">
        <v>4685</v>
      </c>
      <c r="H110" s="22" t="s">
        <v>4686</v>
      </c>
      <c r="I110" s="22" t="s">
        <v>4685</v>
      </c>
      <c r="J110" s="22" t="s">
        <v>4401</v>
      </c>
      <c r="K110" s="22" t="s">
        <v>3425</v>
      </c>
      <c r="L110" s="22"/>
      <c r="M110" s="22"/>
      <c r="N110" s="22"/>
    </row>
    <row r="111" spans="1:14" x14ac:dyDescent="0.25">
      <c r="A111" s="22" t="s">
        <v>3425</v>
      </c>
      <c r="B111" s="22" t="s">
        <v>39</v>
      </c>
      <c r="C111" s="22" t="s">
        <v>4687</v>
      </c>
      <c r="D111" s="23">
        <v>-57600</v>
      </c>
      <c r="E111" s="22" t="s">
        <v>57</v>
      </c>
      <c r="F111" s="24">
        <v>43923</v>
      </c>
      <c r="G111" s="22" t="s">
        <v>4685</v>
      </c>
      <c r="H111" s="22" t="s">
        <v>4688</v>
      </c>
      <c r="I111" s="22" t="s">
        <v>4689</v>
      </c>
      <c r="J111" s="22" t="s">
        <v>4401</v>
      </c>
      <c r="K111" s="22" t="s">
        <v>4690</v>
      </c>
      <c r="L111" s="22"/>
      <c r="M111" s="22"/>
      <c r="N111" s="22"/>
    </row>
    <row r="112" spans="1:14" x14ac:dyDescent="0.25">
      <c r="A112" s="22" t="s">
        <v>4692</v>
      </c>
      <c r="B112" s="22" t="s">
        <v>39</v>
      </c>
      <c r="C112" s="22" t="s">
        <v>4691</v>
      </c>
      <c r="D112" s="23">
        <v>131300</v>
      </c>
      <c r="E112" s="22" t="s">
        <v>57</v>
      </c>
      <c r="F112" s="24">
        <v>44074</v>
      </c>
      <c r="G112" s="22" t="s">
        <v>4693</v>
      </c>
      <c r="H112" s="22" t="s">
        <v>4694</v>
      </c>
      <c r="I112" s="22" t="s">
        <v>4693</v>
      </c>
      <c r="J112" s="22" t="s">
        <v>4401</v>
      </c>
      <c r="K112" s="22" t="s">
        <v>4695</v>
      </c>
      <c r="L112" s="22"/>
      <c r="M112" s="22"/>
      <c r="N112" s="22"/>
    </row>
    <row r="113" spans="1:14" x14ac:dyDescent="0.25">
      <c r="A113" s="22" t="s">
        <v>4692</v>
      </c>
      <c r="B113" s="22" t="s">
        <v>39</v>
      </c>
      <c r="C113" s="22" t="s">
        <v>4696</v>
      </c>
      <c r="D113" s="23">
        <v>-131300</v>
      </c>
      <c r="E113" s="22" t="s">
        <v>57</v>
      </c>
      <c r="F113" s="24">
        <v>43993</v>
      </c>
      <c r="G113" s="22" t="s">
        <v>4693</v>
      </c>
      <c r="H113" s="22" t="s">
        <v>4697</v>
      </c>
      <c r="I113" s="22" t="s">
        <v>4698</v>
      </c>
      <c r="J113" s="22" t="s">
        <v>4401</v>
      </c>
      <c r="K113" s="22" t="s">
        <v>4519</v>
      </c>
      <c r="L113" s="22"/>
      <c r="M113" s="22"/>
      <c r="N113" s="22"/>
    </row>
    <row r="114" spans="1:14" x14ac:dyDescent="0.25">
      <c r="A114" s="22" t="s">
        <v>4700</v>
      </c>
      <c r="B114" s="22" t="s">
        <v>39</v>
      </c>
      <c r="C114" s="22" t="s">
        <v>4699</v>
      </c>
      <c r="D114" s="23">
        <v>35100</v>
      </c>
      <c r="E114" s="22" t="s">
        <v>57</v>
      </c>
      <c r="F114" s="24">
        <v>44020</v>
      </c>
      <c r="G114" s="22" t="s">
        <v>4701</v>
      </c>
      <c r="H114" s="22" t="s">
        <v>4702</v>
      </c>
      <c r="I114" s="22" t="s">
        <v>4701</v>
      </c>
      <c r="J114" s="22" t="s">
        <v>4401</v>
      </c>
      <c r="K114" s="22" t="s">
        <v>4703</v>
      </c>
      <c r="L114" s="22"/>
      <c r="M114" s="22"/>
      <c r="N114" s="22"/>
    </row>
    <row r="115" spans="1:14" x14ac:dyDescent="0.25">
      <c r="A115" s="22" t="s">
        <v>4700</v>
      </c>
      <c r="B115" s="22" t="s">
        <v>39</v>
      </c>
      <c r="C115" s="22" t="s">
        <v>4704</v>
      </c>
      <c r="D115" s="23">
        <v>-35100</v>
      </c>
      <c r="E115" s="22" t="s">
        <v>57</v>
      </c>
      <c r="F115" s="24">
        <v>44020</v>
      </c>
      <c r="G115" s="22" t="s">
        <v>4701</v>
      </c>
      <c r="H115" s="22" t="s">
        <v>4705</v>
      </c>
      <c r="I115" s="22" t="s">
        <v>4706</v>
      </c>
      <c r="J115" s="22" t="s">
        <v>4401</v>
      </c>
      <c r="K115" s="22" t="s">
        <v>4707</v>
      </c>
      <c r="L115" s="22"/>
      <c r="M115" s="22"/>
      <c r="N115" s="22"/>
    </row>
    <row r="116" spans="1:14" x14ac:dyDescent="0.25">
      <c r="A116" s="22" t="s">
        <v>4709</v>
      </c>
      <c r="B116" s="22" t="s">
        <v>39</v>
      </c>
      <c r="C116" s="22" t="s">
        <v>4708</v>
      </c>
      <c r="D116" s="23">
        <v>2253949</v>
      </c>
      <c r="E116" s="22" t="s">
        <v>57</v>
      </c>
      <c r="F116" s="24">
        <v>44130</v>
      </c>
      <c r="G116" s="22" t="s">
        <v>4710</v>
      </c>
      <c r="H116" s="22" t="s">
        <v>4711</v>
      </c>
      <c r="I116" s="22" t="s">
        <v>4710</v>
      </c>
      <c r="J116" s="22" t="s">
        <v>4466</v>
      </c>
      <c r="K116" s="22" t="s">
        <v>4712</v>
      </c>
      <c r="L116" s="22"/>
      <c r="M116" s="22"/>
      <c r="N116" s="22"/>
    </row>
    <row r="117" spans="1:14" x14ac:dyDescent="0.25">
      <c r="A117" s="22" t="s">
        <v>4709</v>
      </c>
      <c r="B117" s="22" t="s">
        <v>39</v>
      </c>
      <c r="C117" s="22" t="s">
        <v>4713</v>
      </c>
      <c r="D117" s="23">
        <v>-2253949</v>
      </c>
      <c r="E117" s="22" t="s">
        <v>57</v>
      </c>
      <c r="F117" s="24">
        <v>44077</v>
      </c>
      <c r="G117" s="22" t="s">
        <v>4710</v>
      </c>
      <c r="H117" s="22" t="s">
        <v>1131</v>
      </c>
      <c r="I117" s="22" t="s">
        <v>4714</v>
      </c>
      <c r="J117" s="22" t="s">
        <v>4466</v>
      </c>
      <c r="K117" s="22" t="s">
        <v>83</v>
      </c>
      <c r="L117" s="22"/>
      <c r="M117" s="22"/>
      <c r="N117" s="22"/>
    </row>
    <row r="118" spans="1:14" x14ac:dyDescent="0.25">
      <c r="A118" s="22" t="s">
        <v>4716</v>
      </c>
      <c r="B118" s="22" t="s">
        <v>39</v>
      </c>
      <c r="C118" s="22" t="s">
        <v>4715</v>
      </c>
      <c r="D118" s="23">
        <v>294383</v>
      </c>
      <c r="E118" s="22" t="s">
        <v>57</v>
      </c>
      <c r="F118" s="24">
        <v>43985</v>
      </c>
      <c r="G118" s="22" t="s">
        <v>4717</v>
      </c>
      <c r="H118" s="22" t="s">
        <v>4718</v>
      </c>
      <c r="I118" s="22" t="s">
        <v>4717</v>
      </c>
      <c r="J118" s="22" t="s">
        <v>4407</v>
      </c>
      <c r="K118" s="22" t="s">
        <v>4719</v>
      </c>
      <c r="L118" s="22"/>
      <c r="M118" s="22"/>
      <c r="N118" s="22"/>
    </row>
    <row r="119" spans="1:14" x14ac:dyDescent="0.25">
      <c r="A119" s="22" t="s">
        <v>4716</v>
      </c>
      <c r="B119" s="22" t="s">
        <v>39</v>
      </c>
      <c r="C119" s="22" t="s">
        <v>4720</v>
      </c>
      <c r="D119" s="23">
        <v>-294383</v>
      </c>
      <c r="E119" s="22" t="s">
        <v>57</v>
      </c>
      <c r="F119" s="24">
        <v>43985</v>
      </c>
      <c r="G119" s="22" t="s">
        <v>4717</v>
      </c>
      <c r="H119" s="22" t="s">
        <v>4721</v>
      </c>
      <c r="I119" s="22" t="s">
        <v>4722</v>
      </c>
      <c r="J119" s="22" t="s">
        <v>4407</v>
      </c>
      <c r="K119" s="22" t="s">
        <v>4557</v>
      </c>
      <c r="L119" s="22"/>
      <c r="M119" s="22"/>
      <c r="N119" s="22"/>
    </row>
    <row r="120" spans="1:14" x14ac:dyDescent="0.25">
      <c r="A120" s="22" t="s">
        <v>80</v>
      </c>
      <c r="B120" s="22" t="s">
        <v>39</v>
      </c>
      <c r="C120" s="22" t="s">
        <v>79</v>
      </c>
      <c r="D120" s="23">
        <v>-15403170</v>
      </c>
      <c r="E120" s="22" t="s">
        <v>57</v>
      </c>
      <c r="F120" s="24">
        <v>44107</v>
      </c>
      <c r="G120" s="22" t="s">
        <v>4723</v>
      </c>
      <c r="H120" s="22" t="s">
        <v>4724</v>
      </c>
      <c r="I120" s="22" t="s">
        <v>82</v>
      </c>
      <c r="J120" s="22" t="s">
        <v>4401</v>
      </c>
      <c r="K120" s="22" t="s">
        <v>83</v>
      </c>
      <c r="L120" s="22"/>
      <c r="M120" s="22"/>
      <c r="N120" s="22"/>
    </row>
    <row r="121" spans="1:14" x14ac:dyDescent="0.25">
      <c r="A121" s="22" t="s">
        <v>80</v>
      </c>
      <c r="B121" s="22" t="s">
        <v>39</v>
      </c>
      <c r="C121" s="22" t="s">
        <v>4725</v>
      </c>
      <c r="D121" s="23">
        <v>15403170</v>
      </c>
      <c r="E121" s="22" t="s">
        <v>57</v>
      </c>
      <c r="F121" s="24">
        <v>44196</v>
      </c>
      <c r="G121" s="22" t="s">
        <v>4723</v>
      </c>
      <c r="H121" s="22" t="s">
        <v>4726</v>
      </c>
      <c r="I121" s="22" t="s">
        <v>4723</v>
      </c>
      <c r="J121" s="22" t="s">
        <v>4401</v>
      </c>
      <c r="K121" s="22" t="s">
        <v>4727</v>
      </c>
      <c r="L121" s="22"/>
      <c r="M121" s="22"/>
      <c r="N121" s="22"/>
    </row>
    <row r="122" spans="1:14" x14ac:dyDescent="0.25">
      <c r="A122" s="22" t="s">
        <v>80</v>
      </c>
      <c r="B122" s="22" t="s">
        <v>39</v>
      </c>
      <c r="C122" s="22" t="s">
        <v>79</v>
      </c>
      <c r="D122" s="23">
        <v>-15376536</v>
      </c>
      <c r="E122" s="22" t="s">
        <v>57</v>
      </c>
      <c r="F122" s="24">
        <v>44196</v>
      </c>
      <c r="G122" s="22" t="s">
        <v>4728</v>
      </c>
      <c r="H122" s="22" t="s">
        <v>4729</v>
      </c>
      <c r="I122" s="22" t="s">
        <v>4723</v>
      </c>
      <c r="J122" s="22" t="s">
        <v>4401</v>
      </c>
      <c r="K122" s="22" t="s">
        <v>4727</v>
      </c>
      <c r="L122" s="22"/>
      <c r="M122" s="22"/>
      <c r="N122" s="22"/>
    </row>
    <row r="123" spans="1:14" x14ac:dyDescent="0.25">
      <c r="A123" s="22" t="s">
        <v>4730</v>
      </c>
      <c r="B123" s="22" t="s">
        <v>39</v>
      </c>
      <c r="C123" s="22" t="s">
        <v>4725</v>
      </c>
      <c r="D123" s="23">
        <v>15376536</v>
      </c>
      <c r="E123" s="22" t="s">
        <v>57</v>
      </c>
      <c r="F123" s="24">
        <v>44196</v>
      </c>
      <c r="G123" s="22" t="s">
        <v>4728</v>
      </c>
      <c r="H123" s="22" t="s">
        <v>4726</v>
      </c>
      <c r="I123" s="22" t="s">
        <v>4728</v>
      </c>
      <c r="J123" s="22" t="s">
        <v>4401</v>
      </c>
      <c r="K123" s="22" t="s">
        <v>4727</v>
      </c>
      <c r="L123" s="22"/>
      <c r="M123" s="22"/>
      <c r="N123" s="22"/>
    </row>
    <row r="124" spans="1:14" x14ac:dyDescent="0.25">
      <c r="A124" s="22" t="s">
        <v>4730</v>
      </c>
      <c r="B124" s="22" t="s">
        <v>39</v>
      </c>
      <c r="C124" s="22" t="s">
        <v>79</v>
      </c>
      <c r="D124" s="23">
        <v>-13943241</v>
      </c>
      <c r="E124" s="22" t="s">
        <v>57</v>
      </c>
      <c r="F124" s="24">
        <v>44196</v>
      </c>
      <c r="G124" s="22" t="s">
        <v>4731</v>
      </c>
      <c r="H124" s="22" t="s">
        <v>4729</v>
      </c>
      <c r="I124" s="22" t="s">
        <v>4728</v>
      </c>
      <c r="J124" s="22" t="s">
        <v>4401</v>
      </c>
      <c r="K124" s="22" t="s">
        <v>4727</v>
      </c>
      <c r="L124" s="22"/>
      <c r="M124" s="22"/>
      <c r="N124" s="22"/>
    </row>
    <row r="125" spans="1:14" x14ac:dyDescent="0.25">
      <c r="A125" s="22" t="s">
        <v>80</v>
      </c>
      <c r="B125" s="22" t="s">
        <v>39</v>
      </c>
      <c r="C125" s="22" t="s">
        <v>4732</v>
      </c>
      <c r="D125" s="23">
        <v>13943241</v>
      </c>
      <c r="E125" s="22" t="s">
        <v>57</v>
      </c>
      <c r="F125" s="24">
        <v>44200</v>
      </c>
      <c r="G125" s="22" t="s">
        <v>4731</v>
      </c>
      <c r="H125" s="22" t="s">
        <v>4726</v>
      </c>
      <c r="I125" s="22" t="s">
        <v>4731</v>
      </c>
      <c r="J125" s="22" t="s">
        <v>4401</v>
      </c>
      <c r="K125" s="22" t="s">
        <v>4727</v>
      </c>
      <c r="L125" s="22"/>
      <c r="M125" s="22"/>
      <c r="N125" s="22"/>
    </row>
    <row r="126" spans="1:14" x14ac:dyDescent="0.25">
      <c r="A126" s="22" t="s">
        <v>4733</v>
      </c>
      <c r="B126" s="22" t="s">
        <v>39</v>
      </c>
      <c r="C126" s="22" t="s">
        <v>74</v>
      </c>
      <c r="D126" s="23">
        <v>-115000</v>
      </c>
      <c r="E126" s="22" t="s">
        <v>57</v>
      </c>
      <c r="F126" s="24">
        <v>44078</v>
      </c>
      <c r="G126" s="22" t="s">
        <v>4734</v>
      </c>
      <c r="H126" s="22" t="s">
        <v>2202</v>
      </c>
      <c r="I126" s="22" t="s">
        <v>4735</v>
      </c>
      <c r="J126" s="22" t="s">
        <v>4552</v>
      </c>
      <c r="K126" s="22" t="s">
        <v>78</v>
      </c>
      <c r="L126" s="22"/>
      <c r="M126" s="22"/>
      <c r="N126" s="22"/>
    </row>
    <row r="127" spans="1:14" x14ac:dyDescent="0.25">
      <c r="A127" s="22" t="s">
        <v>4733</v>
      </c>
      <c r="B127" s="22" t="s">
        <v>39</v>
      </c>
      <c r="C127" s="22" t="s">
        <v>4736</v>
      </c>
      <c r="D127" s="23">
        <v>115000</v>
      </c>
      <c r="E127" s="22" t="s">
        <v>57</v>
      </c>
      <c r="F127" s="24">
        <v>44117</v>
      </c>
      <c r="G127" s="22" t="s">
        <v>4734</v>
      </c>
      <c r="H127" s="22" t="s">
        <v>4737</v>
      </c>
      <c r="I127" s="22" t="s">
        <v>4734</v>
      </c>
      <c r="J127" s="22" t="s">
        <v>4552</v>
      </c>
      <c r="K127" s="22" t="s">
        <v>4737</v>
      </c>
      <c r="L127" s="22"/>
      <c r="M127" s="22"/>
      <c r="N127" s="22"/>
    </row>
    <row r="128" spans="1:14" x14ac:dyDescent="0.25">
      <c r="A128" s="22" t="s">
        <v>4738</v>
      </c>
      <c r="B128" s="22" t="s">
        <v>39</v>
      </c>
      <c r="C128" s="22" t="s">
        <v>4725</v>
      </c>
      <c r="D128" s="23">
        <v>4204366</v>
      </c>
      <c r="E128" s="22" t="s">
        <v>57</v>
      </c>
      <c r="F128" s="24">
        <v>43878</v>
      </c>
      <c r="G128" s="22" t="s">
        <v>4739</v>
      </c>
      <c r="H128" s="22" t="s">
        <v>4740</v>
      </c>
      <c r="I128" s="22" t="s">
        <v>4739</v>
      </c>
      <c r="J128" s="22" t="s">
        <v>4401</v>
      </c>
      <c r="K128" s="22" t="s">
        <v>4738</v>
      </c>
      <c r="L128" s="22"/>
      <c r="M128" s="22"/>
      <c r="N128" s="22"/>
    </row>
    <row r="129" spans="1:14" x14ac:dyDescent="0.25">
      <c r="A129" s="22" t="s">
        <v>4738</v>
      </c>
      <c r="B129" s="22" t="s">
        <v>39</v>
      </c>
      <c r="C129" s="22" t="s">
        <v>4741</v>
      </c>
      <c r="D129" s="23">
        <v>-4204366</v>
      </c>
      <c r="E129" s="22" t="s">
        <v>57</v>
      </c>
      <c r="F129" s="24">
        <v>43878</v>
      </c>
      <c r="G129" s="22" t="s">
        <v>4739</v>
      </c>
      <c r="H129" s="22" t="s">
        <v>4742</v>
      </c>
      <c r="I129" s="22" t="s">
        <v>4743</v>
      </c>
      <c r="J129" s="22" t="s">
        <v>4401</v>
      </c>
      <c r="K129" s="22" t="s">
        <v>4744</v>
      </c>
      <c r="L129" s="22"/>
      <c r="M129" s="22"/>
      <c r="N129" s="22"/>
    </row>
    <row r="130" spans="1:14" x14ac:dyDescent="0.25">
      <c r="A130" s="22" t="s">
        <v>4746</v>
      </c>
      <c r="B130" s="22" t="s">
        <v>39</v>
      </c>
      <c r="C130" s="22" t="s">
        <v>4745</v>
      </c>
      <c r="D130" s="23">
        <v>207504</v>
      </c>
      <c r="E130" s="22" t="s">
        <v>57</v>
      </c>
      <c r="F130" s="24">
        <v>44069</v>
      </c>
      <c r="G130" s="22" t="s">
        <v>4747</v>
      </c>
      <c r="H130" s="22"/>
      <c r="I130" s="22" t="s">
        <v>4747</v>
      </c>
      <c r="J130" s="22" t="s">
        <v>4466</v>
      </c>
      <c r="K130" s="22" t="s">
        <v>4557</v>
      </c>
      <c r="L130" s="22"/>
      <c r="M130" s="22"/>
      <c r="N130" s="22"/>
    </row>
    <row r="131" spans="1:14" x14ac:dyDescent="0.25">
      <c r="A131" s="22" t="s">
        <v>4749</v>
      </c>
      <c r="B131" s="22" t="s">
        <v>39</v>
      </c>
      <c r="C131" s="22" t="s">
        <v>4748</v>
      </c>
      <c r="D131" s="23">
        <v>-207504</v>
      </c>
      <c r="E131" s="22" t="s">
        <v>57</v>
      </c>
      <c r="F131" s="24">
        <v>44069</v>
      </c>
      <c r="G131" s="22" t="s">
        <v>4747</v>
      </c>
      <c r="H131" s="22" t="s">
        <v>4750</v>
      </c>
      <c r="I131" s="22" t="s">
        <v>4751</v>
      </c>
      <c r="J131" s="22" t="s">
        <v>4466</v>
      </c>
      <c r="K131" s="22" t="s">
        <v>4557</v>
      </c>
      <c r="L131" s="22"/>
      <c r="M131" s="22"/>
      <c r="N131" s="22"/>
    </row>
    <row r="132" spans="1:14" x14ac:dyDescent="0.25">
      <c r="A132" s="22" t="s">
        <v>2118</v>
      </c>
      <c r="B132" s="22" t="s">
        <v>39</v>
      </c>
      <c r="C132" s="22" t="s">
        <v>4752</v>
      </c>
      <c r="D132" s="23">
        <v>24000</v>
      </c>
      <c r="E132" s="22" t="s">
        <v>57</v>
      </c>
      <c r="F132" s="24">
        <v>43874</v>
      </c>
      <c r="G132" s="22" t="s">
        <v>2117</v>
      </c>
      <c r="H132" s="22" t="s">
        <v>4753</v>
      </c>
      <c r="I132" s="22" t="s">
        <v>2117</v>
      </c>
      <c r="J132" s="22" t="s">
        <v>4407</v>
      </c>
      <c r="K132" s="22" t="s">
        <v>2118</v>
      </c>
      <c r="L132" s="22"/>
      <c r="M132" s="22"/>
      <c r="N132" s="22"/>
    </row>
    <row r="133" spans="1:14" x14ac:dyDescent="0.25">
      <c r="A133" s="22" t="s">
        <v>2118</v>
      </c>
      <c r="B133" s="22" t="s">
        <v>39</v>
      </c>
      <c r="C133" s="22" t="s">
        <v>4576</v>
      </c>
      <c r="D133" s="23">
        <v>-24000</v>
      </c>
      <c r="E133" s="22" t="s">
        <v>57</v>
      </c>
      <c r="F133" s="24">
        <v>43874</v>
      </c>
      <c r="G133" s="22" t="s">
        <v>2117</v>
      </c>
      <c r="H133" s="22" t="s">
        <v>2092</v>
      </c>
      <c r="I133" s="22" t="s">
        <v>4754</v>
      </c>
      <c r="J133" s="22" t="s">
        <v>4407</v>
      </c>
      <c r="K133" s="22" t="s">
        <v>4557</v>
      </c>
      <c r="L133" s="22"/>
      <c r="M133" s="22"/>
      <c r="N133" s="22"/>
    </row>
    <row r="134" spans="1:14" x14ac:dyDescent="0.25">
      <c r="A134" s="22" t="s">
        <v>2081</v>
      </c>
      <c r="B134" s="22" t="s">
        <v>39</v>
      </c>
      <c r="C134" s="22" t="s">
        <v>4755</v>
      </c>
      <c r="D134" s="23">
        <v>314045</v>
      </c>
      <c r="E134" s="22" t="s">
        <v>588</v>
      </c>
      <c r="F134" s="24">
        <v>44095</v>
      </c>
      <c r="G134" s="22" t="s">
        <v>2080</v>
      </c>
      <c r="H134" s="22" t="s">
        <v>4414</v>
      </c>
      <c r="I134" s="22" t="s">
        <v>2080</v>
      </c>
      <c r="J134" s="22" t="s">
        <v>60</v>
      </c>
      <c r="K134" s="22" t="s">
        <v>4479</v>
      </c>
      <c r="L134" s="22"/>
      <c r="M134" s="22"/>
      <c r="N134" s="22"/>
    </row>
    <row r="135" spans="1:14" x14ac:dyDescent="0.25">
      <c r="A135" s="22" t="s">
        <v>2081</v>
      </c>
      <c r="B135" s="22" t="s">
        <v>39</v>
      </c>
      <c r="C135" s="22" t="s">
        <v>4756</v>
      </c>
      <c r="D135" s="23">
        <v>-314045</v>
      </c>
      <c r="E135" s="22" t="s">
        <v>57</v>
      </c>
      <c r="F135" s="24">
        <v>43941</v>
      </c>
      <c r="G135" s="22" t="s">
        <v>2080</v>
      </c>
      <c r="H135" s="22" t="s">
        <v>4757</v>
      </c>
      <c r="I135" s="22" t="s">
        <v>4758</v>
      </c>
      <c r="J135" s="22" t="s">
        <v>60</v>
      </c>
      <c r="K135" s="22" t="s">
        <v>4759</v>
      </c>
      <c r="L135" s="22"/>
      <c r="M135" s="22"/>
      <c r="N135" s="22"/>
    </row>
    <row r="136" spans="1:14" x14ac:dyDescent="0.25">
      <c r="A136" s="22" t="s">
        <v>4760</v>
      </c>
      <c r="B136" s="22" t="s">
        <v>39</v>
      </c>
      <c r="C136" s="22" t="s">
        <v>4755</v>
      </c>
      <c r="D136" s="23">
        <v>17920</v>
      </c>
      <c r="E136" s="22" t="s">
        <v>588</v>
      </c>
      <c r="F136" s="24">
        <v>44095</v>
      </c>
      <c r="G136" s="22" t="s">
        <v>4761</v>
      </c>
      <c r="H136" s="22" t="s">
        <v>4762</v>
      </c>
      <c r="I136" s="22" t="s">
        <v>4761</v>
      </c>
      <c r="J136" s="22" t="s">
        <v>60</v>
      </c>
      <c r="K136" s="22" t="s">
        <v>4479</v>
      </c>
      <c r="L136" s="22"/>
      <c r="M136" s="22"/>
      <c r="N136" s="22"/>
    </row>
    <row r="137" spans="1:14" x14ac:dyDescent="0.25">
      <c r="A137" s="22" t="s">
        <v>4760</v>
      </c>
      <c r="B137" s="22" t="s">
        <v>39</v>
      </c>
      <c r="C137" s="22" t="s">
        <v>4763</v>
      </c>
      <c r="D137" s="23">
        <v>-17920</v>
      </c>
      <c r="E137" s="22" t="s">
        <v>57</v>
      </c>
      <c r="F137" s="24">
        <v>44008</v>
      </c>
      <c r="G137" s="22" t="s">
        <v>4761</v>
      </c>
      <c r="H137" s="22" t="s">
        <v>4764</v>
      </c>
      <c r="I137" s="22" t="s">
        <v>4765</v>
      </c>
      <c r="J137" s="22" t="s">
        <v>60</v>
      </c>
      <c r="K137" s="22" t="s">
        <v>4489</v>
      </c>
      <c r="L137" s="22"/>
      <c r="M137" s="22"/>
      <c r="N137" s="22"/>
    </row>
    <row r="138" spans="1:14" x14ac:dyDescent="0.25">
      <c r="A138" s="22" t="s">
        <v>4766</v>
      </c>
      <c r="B138" s="22" t="s">
        <v>39</v>
      </c>
      <c r="C138" s="22" t="s">
        <v>4755</v>
      </c>
      <c r="D138" s="23">
        <v>326656</v>
      </c>
      <c r="E138" s="22" t="s">
        <v>588</v>
      </c>
      <c r="F138" s="24">
        <v>44095</v>
      </c>
      <c r="G138" s="22" t="s">
        <v>4767</v>
      </c>
      <c r="H138" s="22" t="s">
        <v>4762</v>
      </c>
      <c r="I138" s="22" t="s">
        <v>4767</v>
      </c>
      <c r="J138" s="22" t="s">
        <v>60</v>
      </c>
      <c r="K138" s="22" t="s">
        <v>4479</v>
      </c>
      <c r="L138" s="22"/>
      <c r="M138" s="22"/>
      <c r="N138" s="22"/>
    </row>
    <row r="139" spans="1:14" x14ac:dyDescent="0.25">
      <c r="A139" s="22" t="s">
        <v>4766</v>
      </c>
      <c r="B139" s="22" t="s">
        <v>39</v>
      </c>
      <c r="C139" s="22" t="s">
        <v>4768</v>
      </c>
      <c r="D139" s="23">
        <v>-326656</v>
      </c>
      <c r="E139" s="22" t="s">
        <v>57</v>
      </c>
      <c r="F139" s="24">
        <v>43964</v>
      </c>
      <c r="G139" s="22" t="s">
        <v>4767</v>
      </c>
      <c r="H139" s="22" t="s">
        <v>4769</v>
      </c>
      <c r="I139" s="22" t="s">
        <v>4770</v>
      </c>
      <c r="J139" s="22" t="s">
        <v>60</v>
      </c>
      <c r="K139" s="22" t="s">
        <v>4539</v>
      </c>
      <c r="L139" s="22"/>
      <c r="M139" s="22"/>
      <c r="N139" s="22"/>
    </row>
    <row r="140" spans="1:14" x14ac:dyDescent="0.25">
      <c r="A140" s="22" t="s">
        <v>4771</v>
      </c>
      <c r="B140" s="22" t="s">
        <v>39</v>
      </c>
      <c r="C140" s="22" t="s">
        <v>4576</v>
      </c>
      <c r="D140" s="23">
        <v>-50700</v>
      </c>
      <c r="E140" s="22" t="s">
        <v>57</v>
      </c>
      <c r="F140" s="24">
        <v>43887</v>
      </c>
      <c r="G140" s="22" t="s">
        <v>2035</v>
      </c>
      <c r="H140" s="22" t="s">
        <v>2031</v>
      </c>
      <c r="I140" s="22" t="s">
        <v>4772</v>
      </c>
      <c r="J140" s="22" t="s">
        <v>4407</v>
      </c>
      <c r="K140" s="22" t="s">
        <v>4557</v>
      </c>
      <c r="L140" s="22"/>
      <c r="M140" s="22"/>
      <c r="N140" s="22"/>
    </row>
    <row r="141" spans="1:14" x14ac:dyDescent="0.25">
      <c r="A141" s="22" t="s">
        <v>2036</v>
      </c>
      <c r="B141" s="22" t="s">
        <v>39</v>
      </c>
      <c r="C141" s="22" t="s">
        <v>3504</v>
      </c>
      <c r="D141" s="23">
        <v>50700</v>
      </c>
      <c r="E141" s="22" t="s">
        <v>57</v>
      </c>
      <c r="F141" s="24">
        <v>43887</v>
      </c>
      <c r="G141" s="22" t="s">
        <v>2035</v>
      </c>
      <c r="H141" s="22" t="s">
        <v>2031</v>
      </c>
      <c r="I141" s="22" t="s">
        <v>2035</v>
      </c>
      <c r="J141" s="22" t="s">
        <v>4407</v>
      </c>
      <c r="K141" s="22" t="s">
        <v>4557</v>
      </c>
      <c r="L141" s="22"/>
      <c r="M141" s="22"/>
      <c r="N141" s="22"/>
    </row>
    <row r="142" spans="1:14" x14ac:dyDescent="0.25">
      <c r="A142" s="22" t="s">
        <v>4774</v>
      </c>
      <c r="B142" s="22" t="s">
        <v>39</v>
      </c>
      <c r="C142" s="22" t="s">
        <v>4773</v>
      </c>
      <c r="D142" s="23">
        <v>148800</v>
      </c>
      <c r="E142" s="22" t="s">
        <v>588</v>
      </c>
      <c r="F142" s="24">
        <v>44161</v>
      </c>
      <c r="G142" s="22" t="s">
        <v>4775</v>
      </c>
      <c r="H142" s="22" t="s">
        <v>4776</v>
      </c>
      <c r="I142" s="22" t="s">
        <v>4775</v>
      </c>
      <c r="J142" s="22" t="s">
        <v>60</v>
      </c>
      <c r="K142" s="22" t="s">
        <v>4479</v>
      </c>
      <c r="L142" s="22"/>
      <c r="M142" s="22"/>
      <c r="N142" s="22"/>
    </row>
    <row r="143" spans="1:14" x14ac:dyDescent="0.25">
      <c r="A143" s="22" t="s">
        <v>4774</v>
      </c>
      <c r="B143" s="22" t="s">
        <v>39</v>
      </c>
      <c r="C143" s="22" t="s">
        <v>4777</v>
      </c>
      <c r="D143" s="23">
        <v>-148800</v>
      </c>
      <c r="E143" s="22" t="s">
        <v>57</v>
      </c>
      <c r="F143" s="24">
        <v>44055</v>
      </c>
      <c r="G143" s="22" t="s">
        <v>4775</v>
      </c>
      <c r="H143" s="22" t="s">
        <v>4778</v>
      </c>
      <c r="I143" s="22" t="s">
        <v>4779</v>
      </c>
      <c r="J143" s="22" t="s">
        <v>60</v>
      </c>
      <c r="K143" s="22" t="s">
        <v>4557</v>
      </c>
      <c r="L143" s="22"/>
      <c r="M143" s="22"/>
      <c r="N143" s="22"/>
    </row>
    <row r="144" spans="1:14" x14ac:dyDescent="0.25">
      <c r="A144" s="22" t="s">
        <v>2711</v>
      </c>
      <c r="B144" s="22" t="s">
        <v>39</v>
      </c>
      <c r="C144" s="22" t="s">
        <v>4773</v>
      </c>
      <c r="D144" s="23">
        <v>759601</v>
      </c>
      <c r="E144" s="22" t="s">
        <v>588</v>
      </c>
      <c r="F144" s="24">
        <v>44161</v>
      </c>
      <c r="G144" s="22" t="s">
        <v>2710</v>
      </c>
      <c r="H144" s="22" t="s">
        <v>4776</v>
      </c>
      <c r="I144" s="22" t="s">
        <v>2710</v>
      </c>
      <c r="J144" s="22" t="s">
        <v>60</v>
      </c>
      <c r="K144" s="22" t="s">
        <v>4479</v>
      </c>
      <c r="L144" s="22"/>
      <c r="M144" s="22"/>
      <c r="N144" s="22"/>
    </row>
    <row r="145" spans="1:14" x14ac:dyDescent="0.25">
      <c r="A145" s="22" t="s">
        <v>2711</v>
      </c>
      <c r="B145" s="22" t="s">
        <v>39</v>
      </c>
      <c r="C145" s="22" t="s">
        <v>4780</v>
      </c>
      <c r="D145" s="23">
        <v>-759601</v>
      </c>
      <c r="E145" s="22" t="s">
        <v>57</v>
      </c>
      <c r="F145" s="24">
        <v>44013</v>
      </c>
      <c r="G145" s="22" t="s">
        <v>2710</v>
      </c>
      <c r="H145" s="22" t="s">
        <v>4781</v>
      </c>
      <c r="I145" s="22" t="s">
        <v>4782</v>
      </c>
      <c r="J145" s="22" t="s">
        <v>60</v>
      </c>
      <c r="K145" s="22" t="s">
        <v>4557</v>
      </c>
      <c r="L145" s="22"/>
      <c r="M145" s="22"/>
      <c r="N145" s="22"/>
    </row>
    <row r="146" spans="1:14" x14ac:dyDescent="0.25">
      <c r="A146" s="22" t="s">
        <v>4783</v>
      </c>
      <c r="B146" s="22" t="s">
        <v>39</v>
      </c>
      <c r="C146" s="22" t="s">
        <v>4773</v>
      </c>
      <c r="D146" s="23">
        <v>163500</v>
      </c>
      <c r="E146" s="22" t="s">
        <v>588</v>
      </c>
      <c r="F146" s="24">
        <v>44161</v>
      </c>
      <c r="G146" s="22" t="s">
        <v>4784</v>
      </c>
      <c r="H146" s="22" t="s">
        <v>4776</v>
      </c>
      <c r="I146" s="22" t="s">
        <v>4784</v>
      </c>
      <c r="J146" s="22" t="s">
        <v>73</v>
      </c>
      <c r="K146" s="22" t="s">
        <v>4479</v>
      </c>
      <c r="L146" s="22"/>
      <c r="M146" s="22"/>
      <c r="N146" s="22"/>
    </row>
    <row r="147" spans="1:14" x14ac:dyDescent="0.25">
      <c r="A147" s="22" t="s">
        <v>4783</v>
      </c>
      <c r="B147" s="22" t="s">
        <v>39</v>
      </c>
      <c r="C147" s="22" t="s">
        <v>4785</v>
      </c>
      <c r="D147" s="23">
        <v>-163500</v>
      </c>
      <c r="E147" s="22" t="s">
        <v>57</v>
      </c>
      <c r="F147" s="24">
        <v>43871</v>
      </c>
      <c r="G147" s="22" t="s">
        <v>4784</v>
      </c>
      <c r="H147" s="22" t="s">
        <v>4786</v>
      </c>
      <c r="I147" s="22" t="s">
        <v>4787</v>
      </c>
      <c r="J147" s="22" t="s">
        <v>73</v>
      </c>
      <c r="K147" s="22" t="s">
        <v>112</v>
      </c>
      <c r="L147" s="22"/>
      <c r="M147" s="22"/>
      <c r="N147" s="22"/>
    </row>
    <row r="148" spans="1:14" x14ac:dyDescent="0.25">
      <c r="A148" s="22" t="s">
        <v>3429</v>
      </c>
      <c r="B148" s="22" t="s">
        <v>39</v>
      </c>
      <c r="C148" s="22" t="s">
        <v>4773</v>
      </c>
      <c r="D148" s="23">
        <v>29000</v>
      </c>
      <c r="E148" s="22" t="s">
        <v>588</v>
      </c>
      <c r="F148" s="24">
        <v>44161</v>
      </c>
      <c r="G148" s="22" t="s">
        <v>4788</v>
      </c>
      <c r="H148" s="22" t="s">
        <v>4776</v>
      </c>
      <c r="I148" s="22" t="s">
        <v>4788</v>
      </c>
      <c r="J148" s="22" t="s">
        <v>60</v>
      </c>
      <c r="K148" s="22" t="s">
        <v>4479</v>
      </c>
      <c r="L148" s="22"/>
      <c r="M148" s="22"/>
      <c r="N148" s="22"/>
    </row>
    <row r="149" spans="1:14" x14ac:dyDescent="0.25">
      <c r="A149" s="22" t="s">
        <v>3429</v>
      </c>
      <c r="B149" s="22" t="s">
        <v>39</v>
      </c>
      <c r="C149" s="22" t="s">
        <v>4789</v>
      </c>
      <c r="D149" s="23">
        <v>-29000</v>
      </c>
      <c r="E149" s="22" t="s">
        <v>57</v>
      </c>
      <c r="F149" s="24">
        <v>44028</v>
      </c>
      <c r="G149" s="22" t="s">
        <v>4788</v>
      </c>
      <c r="H149" s="22" t="s">
        <v>4790</v>
      </c>
      <c r="I149" s="22" t="s">
        <v>4791</v>
      </c>
      <c r="J149" s="22" t="s">
        <v>60</v>
      </c>
      <c r="K149" s="22" t="s">
        <v>4557</v>
      </c>
      <c r="L149" s="22"/>
      <c r="M149" s="22"/>
      <c r="N149" s="22"/>
    </row>
    <row r="150" spans="1:14" x14ac:dyDescent="0.25">
      <c r="A150" s="22" t="s">
        <v>4792</v>
      </c>
      <c r="B150" s="22" t="s">
        <v>39</v>
      </c>
      <c r="C150" s="22" t="s">
        <v>4773</v>
      </c>
      <c r="D150" s="23">
        <v>1223579</v>
      </c>
      <c r="E150" s="22" t="s">
        <v>588</v>
      </c>
      <c r="F150" s="24">
        <v>44161</v>
      </c>
      <c r="G150" s="22" t="s">
        <v>4793</v>
      </c>
      <c r="H150" s="22" t="s">
        <v>4776</v>
      </c>
      <c r="I150" s="22" t="s">
        <v>4793</v>
      </c>
      <c r="J150" s="22" t="s">
        <v>73</v>
      </c>
      <c r="K150" s="22" t="s">
        <v>4479</v>
      </c>
      <c r="L150" s="22"/>
      <c r="M150" s="22"/>
      <c r="N150" s="22"/>
    </row>
    <row r="151" spans="1:14" x14ac:dyDescent="0.25">
      <c r="A151" s="22" t="s">
        <v>4792</v>
      </c>
      <c r="B151" s="22" t="s">
        <v>39</v>
      </c>
      <c r="C151" s="22" t="s">
        <v>4794</v>
      </c>
      <c r="D151" s="23">
        <v>-1223579</v>
      </c>
      <c r="E151" s="22" t="s">
        <v>57</v>
      </c>
      <c r="F151" s="24">
        <v>43875</v>
      </c>
      <c r="G151" s="22" t="s">
        <v>4793</v>
      </c>
      <c r="H151" s="22" t="s">
        <v>4795</v>
      </c>
      <c r="I151" s="22" t="s">
        <v>4796</v>
      </c>
      <c r="J151" s="22" t="s">
        <v>73</v>
      </c>
      <c r="K151" s="22" t="s">
        <v>4539</v>
      </c>
      <c r="L151" s="22"/>
      <c r="M151" s="22"/>
      <c r="N151" s="22"/>
    </row>
    <row r="152" spans="1:14" x14ac:dyDescent="0.25">
      <c r="A152" s="22" t="s">
        <v>4545</v>
      </c>
      <c r="B152" s="22" t="s">
        <v>39</v>
      </c>
      <c r="C152" s="22" t="s">
        <v>4773</v>
      </c>
      <c r="D152" s="23">
        <v>1997600</v>
      </c>
      <c r="E152" s="22" t="s">
        <v>588</v>
      </c>
      <c r="F152" s="24">
        <v>44161</v>
      </c>
      <c r="G152" s="22" t="s">
        <v>4797</v>
      </c>
      <c r="H152" s="22" t="s">
        <v>4776</v>
      </c>
      <c r="I152" s="22" t="s">
        <v>4797</v>
      </c>
      <c r="J152" s="22" t="s">
        <v>60</v>
      </c>
      <c r="K152" s="22" t="s">
        <v>4479</v>
      </c>
      <c r="L152" s="22"/>
      <c r="M152" s="22"/>
      <c r="N152" s="22"/>
    </row>
    <row r="153" spans="1:14" x14ac:dyDescent="0.25">
      <c r="A153" s="22" t="s">
        <v>4545</v>
      </c>
      <c r="B153" s="22" t="s">
        <v>39</v>
      </c>
      <c r="C153" s="22" t="s">
        <v>4544</v>
      </c>
      <c r="D153" s="23">
        <v>-1997600</v>
      </c>
      <c r="E153" s="22" t="s">
        <v>57</v>
      </c>
      <c r="F153" s="24">
        <v>43872</v>
      </c>
      <c r="G153" s="22" t="s">
        <v>4797</v>
      </c>
      <c r="H153" s="22" t="s">
        <v>4798</v>
      </c>
      <c r="I153" s="22" t="s">
        <v>4547</v>
      </c>
      <c r="J153" s="22" t="s">
        <v>60</v>
      </c>
      <c r="K153" s="22" t="s">
        <v>103</v>
      </c>
      <c r="L153" s="22"/>
      <c r="M153" s="22"/>
      <c r="N153" s="22"/>
    </row>
    <row r="154" spans="1:14" x14ac:dyDescent="0.25">
      <c r="A154" s="22" t="s">
        <v>4799</v>
      </c>
      <c r="B154" s="22" t="s">
        <v>39</v>
      </c>
      <c r="C154" s="22" t="s">
        <v>4773</v>
      </c>
      <c r="D154" s="23">
        <v>299488</v>
      </c>
      <c r="E154" s="22" t="s">
        <v>588</v>
      </c>
      <c r="F154" s="24">
        <v>44161</v>
      </c>
      <c r="G154" s="22" t="s">
        <v>4800</v>
      </c>
      <c r="H154" s="22" t="s">
        <v>4801</v>
      </c>
      <c r="I154" s="22" t="s">
        <v>4800</v>
      </c>
      <c r="J154" s="22" t="s">
        <v>60</v>
      </c>
      <c r="K154" s="22" t="s">
        <v>4479</v>
      </c>
      <c r="L154" s="22"/>
      <c r="M154" s="22"/>
      <c r="N154" s="22"/>
    </row>
    <row r="155" spans="1:14" x14ac:dyDescent="0.25">
      <c r="A155" s="22" t="s">
        <v>4799</v>
      </c>
      <c r="B155" s="22" t="s">
        <v>39</v>
      </c>
      <c r="C155" s="22" t="s">
        <v>4802</v>
      </c>
      <c r="D155" s="23">
        <v>-299488</v>
      </c>
      <c r="E155" s="22" t="s">
        <v>57</v>
      </c>
      <c r="F155" s="24">
        <v>43863</v>
      </c>
      <c r="G155" s="22" t="s">
        <v>4800</v>
      </c>
      <c r="H155" s="22" t="s">
        <v>4803</v>
      </c>
      <c r="I155" s="22" t="s">
        <v>4804</v>
      </c>
      <c r="J155" s="22" t="s">
        <v>60</v>
      </c>
      <c r="K155" s="22" t="s">
        <v>112</v>
      </c>
      <c r="L155" s="22"/>
      <c r="M155" s="22"/>
      <c r="N155" s="22"/>
    </row>
    <row r="156" spans="1:14" x14ac:dyDescent="0.25">
      <c r="A156" s="22" t="s">
        <v>4805</v>
      </c>
      <c r="B156" s="22" t="s">
        <v>39</v>
      </c>
      <c r="C156" s="22" t="s">
        <v>4773</v>
      </c>
      <c r="D156" s="23">
        <v>28915</v>
      </c>
      <c r="E156" s="22" t="s">
        <v>588</v>
      </c>
      <c r="F156" s="24">
        <v>44161</v>
      </c>
      <c r="G156" s="22" t="s">
        <v>4806</v>
      </c>
      <c r="H156" s="22" t="s">
        <v>4807</v>
      </c>
      <c r="I156" s="22" t="s">
        <v>4806</v>
      </c>
      <c r="J156" s="22" t="s">
        <v>60</v>
      </c>
      <c r="K156" s="22" t="s">
        <v>4479</v>
      </c>
      <c r="L156" s="22"/>
      <c r="M156" s="22"/>
      <c r="N156" s="22"/>
    </row>
    <row r="157" spans="1:14" x14ac:dyDescent="0.25">
      <c r="A157" s="22" t="s">
        <v>4805</v>
      </c>
      <c r="B157" s="22" t="s">
        <v>39</v>
      </c>
      <c r="C157" s="22" t="s">
        <v>4808</v>
      </c>
      <c r="D157" s="23">
        <v>-28915</v>
      </c>
      <c r="E157" s="22" t="s">
        <v>57</v>
      </c>
      <c r="F157" s="24">
        <v>43914</v>
      </c>
      <c r="G157" s="22" t="s">
        <v>4806</v>
      </c>
      <c r="H157" s="22" t="s">
        <v>4809</v>
      </c>
      <c r="I157" s="22" t="s">
        <v>4810</v>
      </c>
      <c r="J157" s="22" t="s">
        <v>60</v>
      </c>
      <c r="K157" s="22" t="s">
        <v>4557</v>
      </c>
      <c r="L157" s="22"/>
      <c r="M157" s="22"/>
      <c r="N157" s="22"/>
    </row>
    <row r="158" spans="1:14" x14ac:dyDescent="0.25">
      <c r="A158" s="22" t="s">
        <v>4812</v>
      </c>
      <c r="B158" s="22" t="s">
        <v>39</v>
      </c>
      <c r="C158" s="22" t="s">
        <v>4811</v>
      </c>
      <c r="D158" s="23">
        <v>-63000</v>
      </c>
      <c r="E158" s="22" t="s">
        <v>57</v>
      </c>
      <c r="F158" s="24">
        <v>44164</v>
      </c>
      <c r="G158" s="22" t="s">
        <v>4813</v>
      </c>
      <c r="H158" s="22" t="s">
        <v>4814</v>
      </c>
      <c r="I158" s="22" t="s">
        <v>4815</v>
      </c>
      <c r="J158" s="22" t="s">
        <v>73</v>
      </c>
      <c r="K158" s="22" t="s">
        <v>4816</v>
      </c>
      <c r="L158" s="22"/>
      <c r="M158" s="22"/>
      <c r="N158" s="22"/>
    </row>
    <row r="159" spans="1:14" x14ac:dyDescent="0.25">
      <c r="A159" s="22" t="s">
        <v>4812</v>
      </c>
      <c r="B159" s="22" t="s">
        <v>39</v>
      </c>
      <c r="C159" s="22" t="s">
        <v>4773</v>
      </c>
      <c r="D159" s="23">
        <v>63000</v>
      </c>
      <c r="E159" s="22" t="s">
        <v>588</v>
      </c>
      <c r="F159" s="24">
        <v>44273</v>
      </c>
      <c r="G159" s="22" t="s">
        <v>4813</v>
      </c>
      <c r="H159" s="22" t="s">
        <v>4776</v>
      </c>
      <c r="I159" s="22" t="s">
        <v>4813</v>
      </c>
      <c r="J159" s="22" t="s">
        <v>73</v>
      </c>
      <c r="K159" s="22" t="s">
        <v>4479</v>
      </c>
      <c r="L159" s="22"/>
      <c r="M159" s="22"/>
      <c r="N159" s="22"/>
    </row>
    <row r="160" spans="1:14" x14ac:dyDescent="0.25">
      <c r="A160" s="22" t="s">
        <v>4818</v>
      </c>
      <c r="B160" s="22" t="s">
        <v>39</v>
      </c>
      <c r="C160" s="22" t="s">
        <v>4817</v>
      </c>
      <c r="D160" s="23">
        <v>-328500</v>
      </c>
      <c r="E160" s="22" t="s">
        <v>57</v>
      </c>
      <c r="F160" s="24">
        <v>44090</v>
      </c>
      <c r="G160" s="22" t="s">
        <v>4819</v>
      </c>
      <c r="H160" s="22" t="s">
        <v>4820</v>
      </c>
      <c r="I160" s="22" t="s">
        <v>4821</v>
      </c>
      <c r="J160" s="22" t="s">
        <v>73</v>
      </c>
      <c r="K160" s="22" t="s">
        <v>4744</v>
      </c>
      <c r="L160" s="22"/>
      <c r="M160" s="22"/>
      <c r="N160" s="22"/>
    </row>
    <row r="161" spans="1:14" x14ac:dyDescent="0.25">
      <c r="A161" s="22" t="s">
        <v>4818</v>
      </c>
      <c r="B161" s="22" t="s">
        <v>39</v>
      </c>
      <c r="C161" s="22" t="s">
        <v>4773</v>
      </c>
      <c r="D161" s="23">
        <v>328500</v>
      </c>
      <c r="E161" s="22" t="s">
        <v>588</v>
      </c>
      <c r="F161" s="24">
        <v>44273</v>
      </c>
      <c r="G161" s="22" t="s">
        <v>4819</v>
      </c>
      <c r="H161" s="22" t="s">
        <v>4776</v>
      </c>
      <c r="I161" s="22" t="s">
        <v>4819</v>
      </c>
      <c r="J161" s="22" t="s">
        <v>73</v>
      </c>
      <c r="K161" s="22" t="s">
        <v>4479</v>
      </c>
      <c r="L161" s="22"/>
      <c r="M161" s="22"/>
      <c r="N161" s="22"/>
    </row>
    <row r="162" spans="1:14" x14ac:dyDescent="0.25">
      <c r="A162" s="22" t="s">
        <v>1902</v>
      </c>
      <c r="B162" s="22" t="s">
        <v>39</v>
      </c>
      <c r="C162" s="22" t="s">
        <v>4822</v>
      </c>
      <c r="D162" s="23">
        <v>-892200</v>
      </c>
      <c r="E162" s="22" t="s">
        <v>57</v>
      </c>
      <c r="F162" s="24">
        <v>44140</v>
      </c>
      <c r="G162" s="22" t="s">
        <v>1960</v>
      </c>
      <c r="H162" s="22" t="s">
        <v>4823</v>
      </c>
      <c r="I162" s="22" t="s">
        <v>4824</v>
      </c>
      <c r="J162" s="22" t="s">
        <v>60</v>
      </c>
      <c r="K162" s="22" t="s">
        <v>4557</v>
      </c>
      <c r="L162" s="22"/>
      <c r="M162" s="22"/>
      <c r="N162" s="22"/>
    </row>
    <row r="163" spans="1:14" x14ac:dyDescent="0.25">
      <c r="A163" s="22" t="s">
        <v>1902</v>
      </c>
      <c r="B163" s="22" t="s">
        <v>39</v>
      </c>
      <c r="C163" s="22" t="s">
        <v>4773</v>
      </c>
      <c r="D163" s="23">
        <v>892200</v>
      </c>
      <c r="E163" s="22" t="s">
        <v>588</v>
      </c>
      <c r="F163" s="24">
        <v>44273</v>
      </c>
      <c r="G163" s="22" t="s">
        <v>1960</v>
      </c>
      <c r="H163" s="22" t="s">
        <v>4801</v>
      </c>
      <c r="I163" s="22" t="s">
        <v>1960</v>
      </c>
      <c r="J163" s="22" t="s">
        <v>60</v>
      </c>
      <c r="K163" s="22" t="s">
        <v>4479</v>
      </c>
      <c r="L163" s="22"/>
      <c r="M163" s="22"/>
      <c r="N163" s="22"/>
    </row>
    <row r="164" spans="1:14" x14ac:dyDescent="0.25">
      <c r="A164" s="22" t="s">
        <v>1882</v>
      </c>
      <c r="B164" s="22" t="s">
        <v>39</v>
      </c>
      <c r="C164" s="22" t="s">
        <v>4825</v>
      </c>
      <c r="D164" s="23">
        <v>-154600</v>
      </c>
      <c r="E164" s="22" t="s">
        <v>57</v>
      </c>
      <c r="F164" s="24">
        <v>44096</v>
      </c>
      <c r="G164" s="22" t="s">
        <v>1881</v>
      </c>
      <c r="H164" s="22" t="s">
        <v>4826</v>
      </c>
      <c r="I164" s="22" t="s">
        <v>4827</v>
      </c>
      <c r="J164" s="22" t="s">
        <v>60</v>
      </c>
      <c r="K164" s="22" t="s">
        <v>78</v>
      </c>
      <c r="L164" s="22"/>
      <c r="M164" s="22"/>
      <c r="N164" s="22"/>
    </row>
    <row r="165" spans="1:14" x14ac:dyDescent="0.25">
      <c r="A165" s="22" t="s">
        <v>1882</v>
      </c>
      <c r="B165" s="22" t="s">
        <v>39</v>
      </c>
      <c r="C165" s="22" t="s">
        <v>4773</v>
      </c>
      <c r="D165" s="23">
        <v>154600</v>
      </c>
      <c r="E165" s="22" t="s">
        <v>588</v>
      </c>
      <c r="F165" s="24">
        <v>44273</v>
      </c>
      <c r="G165" s="22" t="s">
        <v>1881</v>
      </c>
      <c r="H165" s="22" t="s">
        <v>4801</v>
      </c>
      <c r="I165" s="22" t="s">
        <v>1881</v>
      </c>
      <c r="J165" s="22" t="s">
        <v>60</v>
      </c>
      <c r="K165" s="22" t="s">
        <v>4479</v>
      </c>
      <c r="L165" s="22"/>
      <c r="M165" s="22"/>
      <c r="N165" s="22"/>
    </row>
    <row r="166" spans="1:14" x14ac:dyDescent="0.25">
      <c r="A166" s="22" t="s">
        <v>2763</v>
      </c>
      <c r="B166" s="22" t="s">
        <v>39</v>
      </c>
      <c r="C166" s="22" t="s">
        <v>4773</v>
      </c>
      <c r="D166" s="23">
        <v>142800</v>
      </c>
      <c r="E166" s="22" t="s">
        <v>588</v>
      </c>
      <c r="F166" s="24">
        <v>44375</v>
      </c>
      <c r="G166" s="22" t="s">
        <v>2762</v>
      </c>
      <c r="H166" s="22" t="s">
        <v>4776</v>
      </c>
      <c r="I166" s="22" t="s">
        <v>2762</v>
      </c>
      <c r="J166" s="22" t="s">
        <v>60</v>
      </c>
      <c r="K166" s="22" t="s">
        <v>4479</v>
      </c>
      <c r="L166" s="22"/>
      <c r="M166" s="22"/>
      <c r="N166" s="22"/>
    </row>
    <row r="167" spans="1:14" x14ac:dyDescent="0.25">
      <c r="A167" s="22" t="s">
        <v>2763</v>
      </c>
      <c r="B167" s="22" t="s">
        <v>39</v>
      </c>
      <c r="C167" s="22" t="s">
        <v>133</v>
      </c>
      <c r="D167" s="23">
        <v>-142800</v>
      </c>
      <c r="E167" s="22" t="s">
        <v>57</v>
      </c>
      <c r="F167" s="24">
        <v>44312</v>
      </c>
      <c r="G167" s="22" t="s">
        <v>2762</v>
      </c>
      <c r="H167" s="22" t="s">
        <v>4828</v>
      </c>
      <c r="I167" s="22" t="s">
        <v>4829</v>
      </c>
      <c r="J167" s="22" t="s">
        <v>60</v>
      </c>
      <c r="K167" s="22" t="s">
        <v>128</v>
      </c>
      <c r="L167" s="22"/>
      <c r="M167" s="22"/>
      <c r="N167" s="22"/>
    </row>
    <row r="168" spans="1:14" x14ac:dyDescent="0.25">
      <c r="A168" s="22" t="s">
        <v>1842</v>
      </c>
      <c r="B168" s="22" t="s">
        <v>39</v>
      </c>
      <c r="C168" s="22" t="s">
        <v>4773</v>
      </c>
      <c r="D168" s="23">
        <v>625148</v>
      </c>
      <c r="E168" s="22" t="s">
        <v>588</v>
      </c>
      <c r="F168" s="24">
        <v>44375</v>
      </c>
      <c r="G168" s="22" t="s">
        <v>4830</v>
      </c>
      <c r="H168" s="22" t="s">
        <v>4776</v>
      </c>
      <c r="I168" s="22" t="s">
        <v>4830</v>
      </c>
      <c r="J168" s="22" t="s">
        <v>73</v>
      </c>
      <c r="K168" s="22" t="s">
        <v>4479</v>
      </c>
      <c r="L168" s="22"/>
      <c r="M168" s="22"/>
      <c r="N168" s="22"/>
    </row>
    <row r="169" spans="1:14" x14ac:dyDescent="0.25">
      <c r="A169" s="22" t="s">
        <v>1842</v>
      </c>
      <c r="B169" s="22" t="s">
        <v>39</v>
      </c>
      <c r="C169" s="22" t="s">
        <v>4831</v>
      </c>
      <c r="D169" s="23">
        <v>-625148</v>
      </c>
      <c r="E169" s="22" t="s">
        <v>57</v>
      </c>
      <c r="F169" s="24">
        <v>44308</v>
      </c>
      <c r="G169" s="22" t="s">
        <v>4830</v>
      </c>
      <c r="H169" s="22" t="s">
        <v>4832</v>
      </c>
      <c r="I169" s="22" t="s">
        <v>4833</v>
      </c>
      <c r="J169" s="22" t="s">
        <v>73</v>
      </c>
      <c r="K169" s="22" t="s">
        <v>128</v>
      </c>
      <c r="L169" s="22"/>
      <c r="M169" s="22"/>
      <c r="N169" s="22"/>
    </row>
    <row r="170" spans="1:14" x14ac:dyDescent="0.25">
      <c r="A170" s="22" t="s">
        <v>3015</v>
      </c>
      <c r="B170" s="22" t="s">
        <v>39</v>
      </c>
      <c r="C170" s="22" t="s">
        <v>4773</v>
      </c>
      <c r="D170" s="23">
        <v>124429</v>
      </c>
      <c r="E170" s="22" t="s">
        <v>588</v>
      </c>
      <c r="F170" s="24">
        <v>44375</v>
      </c>
      <c r="G170" s="22" t="s">
        <v>4834</v>
      </c>
      <c r="H170" s="22" t="s">
        <v>4776</v>
      </c>
      <c r="I170" s="22" t="s">
        <v>4834</v>
      </c>
      <c r="J170" s="22" t="s">
        <v>73</v>
      </c>
      <c r="K170" s="22" t="s">
        <v>4479</v>
      </c>
      <c r="L170" s="22"/>
      <c r="M170" s="22"/>
      <c r="N170" s="22"/>
    </row>
    <row r="171" spans="1:14" x14ac:dyDescent="0.25">
      <c r="A171" s="22" t="s">
        <v>3015</v>
      </c>
      <c r="B171" s="22" t="s">
        <v>39</v>
      </c>
      <c r="C171" s="22" t="s">
        <v>4835</v>
      </c>
      <c r="D171" s="23">
        <v>-124429</v>
      </c>
      <c r="E171" s="22" t="s">
        <v>57</v>
      </c>
      <c r="F171" s="24">
        <v>44276</v>
      </c>
      <c r="G171" s="22" t="s">
        <v>4834</v>
      </c>
      <c r="H171" s="22" t="s">
        <v>4836</v>
      </c>
      <c r="I171" s="22" t="s">
        <v>4837</v>
      </c>
      <c r="J171" s="22" t="s">
        <v>73</v>
      </c>
      <c r="K171" s="22" t="s">
        <v>4838</v>
      </c>
      <c r="L171" s="22"/>
      <c r="M171" s="22"/>
      <c r="N171" s="22"/>
    </row>
    <row r="172" spans="1:14" x14ac:dyDescent="0.25">
      <c r="A172" s="22" t="s">
        <v>2189</v>
      </c>
      <c r="B172" s="22" t="s">
        <v>39</v>
      </c>
      <c r="C172" s="22" t="s">
        <v>4773</v>
      </c>
      <c r="D172" s="23">
        <v>25096</v>
      </c>
      <c r="E172" s="22" t="s">
        <v>588</v>
      </c>
      <c r="F172" s="24">
        <v>44375</v>
      </c>
      <c r="G172" s="22" t="s">
        <v>4839</v>
      </c>
      <c r="H172" s="22" t="s">
        <v>4776</v>
      </c>
      <c r="I172" s="22" t="s">
        <v>4839</v>
      </c>
      <c r="J172" s="22" t="s">
        <v>60</v>
      </c>
      <c r="K172" s="22" t="s">
        <v>4479</v>
      </c>
      <c r="L172" s="22"/>
      <c r="M172" s="22"/>
      <c r="N172" s="22"/>
    </row>
    <row r="173" spans="1:14" x14ac:dyDescent="0.25">
      <c r="A173" s="22" t="s">
        <v>2189</v>
      </c>
      <c r="B173" s="22" t="s">
        <v>39</v>
      </c>
      <c r="C173" s="22" t="s">
        <v>4840</v>
      </c>
      <c r="D173" s="23">
        <v>-25096</v>
      </c>
      <c r="E173" s="22" t="s">
        <v>57</v>
      </c>
      <c r="F173" s="24">
        <v>44141</v>
      </c>
      <c r="G173" s="22" t="s">
        <v>4839</v>
      </c>
      <c r="H173" s="22" t="s">
        <v>4841</v>
      </c>
      <c r="I173" s="22" t="s">
        <v>2188</v>
      </c>
      <c r="J173" s="22" t="s">
        <v>60</v>
      </c>
      <c r="K173" s="22" t="s">
        <v>128</v>
      </c>
      <c r="L173" s="22"/>
      <c r="M173" s="22"/>
      <c r="N173" s="22"/>
    </row>
    <row r="174" spans="1:14" x14ac:dyDescent="0.25">
      <c r="A174" s="22" t="s">
        <v>4842</v>
      </c>
      <c r="B174" s="22" t="s">
        <v>39</v>
      </c>
      <c r="C174" s="22" t="s">
        <v>4773</v>
      </c>
      <c r="D174" s="23">
        <v>2318556</v>
      </c>
      <c r="E174" s="22" t="s">
        <v>588</v>
      </c>
      <c r="F174" s="24">
        <v>44375</v>
      </c>
      <c r="G174" s="22" t="s">
        <v>4843</v>
      </c>
      <c r="H174" s="22" t="s">
        <v>4801</v>
      </c>
      <c r="I174" s="22" t="s">
        <v>4843</v>
      </c>
      <c r="J174" s="22" t="s">
        <v>60</v>
      </c>
      <c r="K174" s="22" t="s">
        <v>4479</v>
      </c>
      <c r="L174" s="22"/>
      <c r="M174" s="22"/>
      <c r="N174" s="22"/>
    </row>
    <row r="175" spans="1:14" x14ac:dyDescent="0.25">
      <c r="A175" s="22" t="s">
        <v>4842</v>
      </c>
      <c r="B175" s="22" t="s">
        <v>39</v>
      </c>
      <c r="C175" s="22" t="s">
        <v>4844</v>
      </c>
      <c r="D175" s="23">
        <v>-2318556</v>
      </c>
      <c r="E175" s="22" t="s">
        <v>57</v>
      </c>
      <c r="F175" s="24">
        <v>44117</v>
      </c>
      <c r="G175" s="22" t="s">
        <v>4843</v>
      </c>
      <c r="H175" s="22" t="s">
        <v>4845</v>
      </c>
      <c r="I175" s="22" t="s">
        <v>4846</v>
      </c>
      <c r="J175" s="22" t="s">
        <v>60</v>
      </c>
      <c r="K175" s="22" t="s">
        <v>78</v>
      </c>
      <c r="L175" s="22"/>
      <c r="M175" s="22"/>
      <c r="N175" s="22"/>
    </row>
    <row r="176" spans="1:14" x14ac:dyDescent="0.25">
      <c r="A176" s="22" t="s">
        <v>1899</v>
      </c>
      <c r="B176" s="22" t="s">
        <v>39</v>
      </c>
      <c r="C176" s="22" t="s">
        <v>4773</v>
      </c>
      <c r="D176" s="23">
        <v>117194</v>
      </c>
      <c r="E176" s="22" t="s">
        <v>588</v>
      </c>
      <c r="F176" s="24">
        <v>44375</v>
      </c>
      <c r="G176" s="22" t="s">
        <v>1898</v>
      </c>
      <c r="H176" s="22" t="s">
        <v>4801</v>
      </c>
      <c r="I176" s="22" t="s">
        <v>1898</v>
      </c>
      <c r="J176" s="22" t="s">
        <v>60</v>
      </c>
      <c r="K176" s="22" t="s">
        <v>4479</v>
      </c>
      <c r="L176" s="22"/>
      <c r="M176" s="22"/>
      <c r="N176" s="22"/>
    </row>
    <row r="177" spans="1:14" x14ac:dyDescent="0.25">
      <c r="A177" s="22" t="s">
        <v>1899</v>
      </c>
      <c r="B177" s="22" t="s">
        <v>39</v>
      </c>
      <c r="C177" s="22" t="s">
        <v>4847</v>
      </c>
      <c r="D177" s="23">
        <v>-117194</v>
      </c>
      <c r="E177" s="22" t="s">
        <v>57</v>
      </c>
      <c r="F177" s="24">
        <v>44277</v>
      </c>
      <c r="G177" s="22" t="s">
        <v>1898</v>
      </c>
      <c r="H177" s="22" t="s">
        <v>4848</v>
      </c>
      <c r="I177" s="22" t="s">
        <v>4849</v>
      </c>
      <c r="J177" s="22" t="s">
        <v>60</v>
      </c>
      <c r="K177" s="22" t="s">
        <v>128</v>
      </c>
      <c r="L177" s="22"/>
      <c r="M177" s="22"/>
      <c r="N177" s="22"/>
    </row>
    <row r="178" spans="1:14" x14ac:dyDescent="0.25">
      <c r="A178" s="22" t="s">
        <v>2210</v>
      </c>
      <c r="B178" s="22" t="s">
        <v>39</v>
      </c>
      <c r="C178" s="22" t="s">
        <v>4773</v>
      </c>
      <c r="D178" s="23">
        <v>16300</v>
      </c>
      <c r="E178" s="22" t="s">
        <v>588</v>
      </c>
      <c r="F178" s="24">
        <v>44375</v>
      </c>
      <c r="G178" s="22" t="s">
        <v>4850</v>
      </c>
      <c r="H178" s="22" t="s">
        <v>4807</v>
      </c>
      <c r="I178" s="22" t="s">
        <v>4850</v>
      </c>
      <c r="J178" s="22" t="s">
        <v>60</v>
      </c>
      <c r="K178" s="22" t="s">
        <v>4479</v>
      </c>
      <c r="L178" s="22"/>
      <c r="M178" s="22"/>
      <c r="N178" s="22"/>
    </row>
    <row r="179" spans="1:14" x14ac:dyDescent="0.25">
      <c r="A179" s="22" t="s">
        <v>2210</v>
      </c>
      <c r="B179" s="22" t="s">
        <v>39</v>
      </c>
      <c r="C179" s="22" t="s">
        <v>4851</v>
      </c>
      <c r="D179" s="23">
        <v>-16300</v>
      </c>
      <c r="E179" s="22" t="s">
        <v>57</v>
      </c>
      <c r="F179" s="24">
        <v>44113</v>
      </c>
      <c r="G179" s="22" t="s">
        <v>4850</v>
      </c>
      <c r="H179" s="22" t="s">
        <v>4852</v>
      </c>
      <c r="I179" s="22" t="s">
        <v>2209</v>
      </c>
      <c r="J179" s="22" t="s">
        <v>60</v>
      </c>
      <c r="K179" s="22" t="s">
        <v>128</v>
      </c>
      <c r="L179" s="22"/>
      <c r="M179" s="22"/>
      <c r="N179" s="22"/>
    </row>
    <row r="180" spans="1:14" x14ac:dyDescent="0.25">
      <c r="A180" s="22" t="s">
        <v>3212</v>
      </c>
      <c r="B180" s="22" t="s">
        <v>39</v>
      </c>
      <c r="C180" s="22" t="s">
        <v>4773</v>
      </c>
      <c r="D180" s="23">
        <v>540100</v>
      </c>
      <c r="E180" s="22" t="s">
        <v>588</v>
      </c>
      <c r="F180" s="24">
        <v>43531</v>
      </c>
      <c r="G180" s="22" t="s">
        <v>705</v>
      </c>
      <c r="H180" s="22" t="s">
        <v>4853</v>
      </c>
      <c r="I180" s="22" t="s">
        <v>705</v>
      </c>
      <c r="J180" s="22" t="s">
        <v>60</v>
      </c>
      <c r="K180" s="22" t="s">
        <v>4479</v>
      </c>
      <c r="L180" s="22"/>
      <c r="M180" s="22"/>
      <c r="N180" s="22"/>
    </row>
    <row r="181" spans="1:14" x14ac:dyDescent="0.25">
      <c r="A181" s="22" t="s">
        <v>3212</v>
      </c>
      <c r="B181" s="22" t="s">
        <v>39</v>
      </c>
      <c r="C181" s="22" t="s">
        <v>4854</v>
      </c>
      <c r="D181" s="23">
        <v>-540100</v>
      </c>
      <c r="E181" s="22" t="s">
        <v>57</v>
      </c>
      <c r="F181" s="24">
        <v>43493</v>
      </c>
      <c r="G181" s="22" t="s">
        <v>705</v>
      </c>
      <c r="H181" s="22" t="s">
        <v>4855</v>
      </c>
      <c r="I181" s="22" t="s">
        <v>4856</v>
      </c>
      <c r="J181" s="22" t="s">
        <v>60</v>
      </c>
      <c r="K181" s="22" t="s">
        <v>112</v>
      </c>
      <c r="L181" s="22"/>
      <c r="M181" s="22"/>
      <c r="N181" s="22"/>
    </row>
    <row r="182" spans="1:14" x14ac:dyDescent="0.25">
      <c r="A182" s="22" t="s">
        <v>7750</v>
      </c>
      <c r="B182" s="22" t="s">
        <v>39</v>
      </c>
      <c r="C182" s="22" t="s">
        <v>4773</v>
      </c>
      <c r="D182" s="23">
        <v>154674</v>
      </c>
      <c r="E182" s="22" t="s">
        <v>588</v>
      </c>
      <c r="F182" s="24">
        <v>43453</v>
      </c>
      <c r="G182" s="22" t="s">
        <v>4857</v>
      </c>
      <c r="H182" s="22" t="s">
        <v>4858</v>
      </c>
      <c r="I182" s="22" t="s">
        <v>4857</v>
      </c>
      <c r="J182" s="22" t="s">
        <v>73</v>
      </c>
      <c r="K182" s="22" t="s">
        <v>4479</v>
      </c>
      <c r="L182" s="22"/>
      <c r="M182" s="22"/>
      <c r="N182" s="22"/>
    </row>
    <row r="183" spans="1:14" x14ac:dyDescent="0.25">
      <c r="A183" s="22" t="s">
        <v>7750</v>
      </c>
      <c r="B183" s="22" t="s">
        <v>39</v>
      </c>
      <c r="C183" s="22" t="s">
        <v>195</v>
      </c>
      <c r="D183" s="23">
        <v>-154674</v>
      </c>
      <c r="E183" s="22" t="s">
        <v>57</v>
      </c>
      <c r="F183" s="24">
        <v>43340</v>
      </c>
      <c r="G183" s="22" t="s">
        <v>4857</v>
      </c>
      <c r="H183" s="22" t="s">
        <v>4859</v>
      </c>
      <c r="I183" s="22" t="s">
        <v>4860</v>
      </c>
      <c r="J183" s="22" t="s">
        <v>73</v>
      </c>
      <c r="K183" s="22" t="s">
        <v>103</v>
      </c>
      <c r="L183" s="22"/>
      <c r="M183" s="22"/>
      <c r="N183" s="22"/>
    </row>
    <row r="184" spans="1:14" x14ac:dyDescent="0.25">
      <c r="A184" s="22" t="s">
        <v>685</v>
      </c>
      <c r="B184" s="22" t="s">
        <v>39</v>
      </c>
      <c r="C184" s="22" t="s">
        <v>4773</v>
      </c>
      <c r="D184" s="23">
        <v>7327704</v>
      </c>
      <c r="E184" s="22" t="s">
        <v>588</v>
      </c>
      <c r="F184" s="24">
        <v>44322</v>
      </c>
      <c r="G184" s="22" t="s">
        <v>2855</v>
      </c>
      <c r="H184" s="22" t="s">
        <v>4801</v>
      </c>
      <c r="I184" s="22" t="s">
        <v>2855</v>
      </c>
      <c r="J184" s="22" t="s">
        <v>60</v>
      </c>
      <c r="K184" s="22" t="s">
        <v>4479</v>
      </c>
      <c r="L184" s="22"/>
      <c r="M184" s="22"/>
      <c r="N184" s="22"/>
    </row>
    <row r="185" spans="1:14" x14ac:dyDescent="0.25">
      <c r="A185" s="22" t="s">
        <v>685</v>
      </c>
      <c r="B185" s="22" t="s">
        <v>39</v>
      </c>
      <c r="C185" s="22" t="s">
        <v>4861</v>
      </c>
      <c r="D185" s="23">
        <v>-7327704</v>
      </c>
      <c r="E185" s="22" t="s">
        <v>57</v>
      </c>
      <c r="F185" s="24">
        <v>44232</v>
      </c>
      <c r="G185" s="22" t="s">
        <v>2855</v>
      </c>
      <c r="H185" s="22" t="s">
        <v>4862</v>
      </c>
      <c r="I185" s="22" t="s">
        <v>4863</v>
      </c>
      <c r="J185" s="22" t="s">
        <v>60</v>
      </c>
      <c r="K185" s="22" t="s">
        <v>4864</v>
      </c>
      <c r="L185" s="22"/>
      <c r="M185" s="22"/>
      <c r="N185" s="22"/>
    </row>
    <row r="186" spans="1:14" x14ac:dyDescent="0.25">
      <c r="A186" s="22" t="s">
        <v>702</v>
      </c>
      <c r="B186" s="22" t="s">
        <v>39</v>
      </c>
      <c r="C186" s="22" t="s">
        <v>4773</v>
      </c>
      <c r="D186" s="23">
        <v>2364100</v>
      </c>
      <c r="E186" s="22" t="s">
        <v>588</v>
      </c>
      <c r="F186" s="24">
        <v>44322</v>
      </c>
      <c r="G186" s="22" t="s">
        <v>701</v>
      </c>
      <c r="H186" s="22" t="s">
        <v>4801</v>
      </c>
      <c r="I186" s="22" t="s">
        <v>701</v>
      </c>
      <c r="J186" s="22" t="s">
        <v>60</v>
      </c>
      <c r="K186" s="22" t="s">
        <v>4479</v>
      </c>
      <c r="L186" s="22"/>
      <c r="M186" s="22"/>
      <c r="N186" s="22"/>
    </row>
    <row r="187" spans="1:14" x14ac:dyDescent="0.25">
      <c r="A187" s="22" t="s">
        <v>702</v>
      </c>
      <c r="B187" s="22" t="s">
        <v>39</v>
      </c>
      <c r="C187" s="22" t="s">
        <v>4861</v>
      </c>
      <c r="D187" s="23">
        <v>-2364100</v>
      </c>
      <c r="E187" s="22" t="s">
        <v>57</v>
      </c>
      <c r="F187" s="24">
        <v>44227</v>
      </c>
      <c r="G187" s="22" t="s">
        <v>701</v>
      </c>
      <c r="H187" s="22" t="s">
        <v>4865</v>
      </c>
      <c r="I187" s="22" t="s">
        <v>4866</v>
      </c>
      <c r="J187" s="22" t="s">
        <v>60</v>
      </c>
      <c r="K187" s="22" t="s">
        <v>4864</v>
      </c>
      <c r="L187" s="22"/>
      <c r="M187" s="22"/>
      <c r="N187" s="22"/>
    </row>
    <row r="188" spans="1:14" x14ac:dyDescent="0.25">
      <c r="A188" s="22" t="s">
        <v>2642</v>
      </c>
      <c r="B188" s="22" t="s">
        <v>39</v>
      </c>
      <c r="C188" s="22" t="s">
        <v>4773</v>
      </c>
      <c r="D188" s="23">
        <v>160000</v>
      </c>
      <c r="E188" s="22" t="s">
        <v>588</v>
      </c>
      <c r="F188" s="24">
        <v>44322</v>
      </c>
      <c r="G188" s="22" t="s">
        <v>2641</v>
      </c>
      <c r="H188" s="22" t="s">
        <v>4801</v>
      </c>
      <c r="I188" s="22" t="s">
        <v>2641</v>
      </c>
      <c r="J188" s="22" t="s">
        <v>60</v>
      </c>
      <c r="K188" s="22" t="s">
        <v>4479</v>
      </c>
      <c r="L188" s="22"/>
      <c r="M188" s="22"/>
      <c r="N188" s="22"/>
    </row>
    <row r="189" spans="1:14" x14ac:dyDescent="0.25">
      <c r="A189" s="22" t="s">
        <v>2642</v>
      </c>
      <c r="B189" s="22" t="s">
        <v>39</v>
      </c>
      <c r="C189" s="22" t="s">
        <v>4867</v>
      </c>
      <c r="D189" s="23">
        <v>-160000</v>
      </c>
      <c r="E189" s="22" t="s">
        <v>57</v>
      </c>
      <c r="F189" s="24">
        <v>44258</v>
      </c>
      <c r="G189" s="22" t="s">
        <v>2641</v>
      </c>
      <c r="H189" s="22" t="s">
        <v>4868</v>
      </c>
      <c r="I189" s="22" t="s">
        <v>4869</v>
      </c>
      <c r="J189" s="22" t="s">
        <v>60</v>
      </c>
      <c r="K189" s="22" t="s">
        <v>128</v>
      </c>
      <c r="L189" s="22"/>
      <c r="M189" s="22"/>
      <c r="N189" s="22"/>
    </row>
    <row r="190" spans="1:14" x14ac:dyDescent="0.25">
      <c r="A190" s="22" t="s">
        <v>728</v>
      </c>
      <c r="B190" s="22" t="s">
        <v>39</v>
      </c>
      <c r="C190" s="22" t="s">
        <v>4773</v>
      </c>
      <c r="D190" s="23">
        <v>102400</v>
      </c>
      <c r="E190" s="22" t="s">
        <v>588</v>
      </c>
      <c r="F190" s="24">
        <v>44322</v>
      </c>
      <c r="G190" s="22" t="s">
        <v>727</v>
      </c>
      <c r="H190" s="22" t="s">
        <v>4776</v>
      </c>
      <c r="I190" s="22" t="s">
        <v>727</v>
      </c>
      <c r="J190" s="22" t="s">
        <v>60</v>
      </c>
      <c r="K190" s="22" t="s">
        <v>4479</v>
      </c>
      <c r="L190" s="22"/>
      <c r="M190" s="22"/>
      <c r="N190" s="22"/>
    </row>
    <row r="191" spans="1:14" x14ac:dyDescent="0.25">
      <c r="A191" s="22" t="s">
        <v>728</v>
      </c>
      <c r="B191" s="22" t="s">
        <v>39</v>
      </c>
      <c r="C191" s="22" t="s">
        <v>4870</v>
      </c>
      <c r="D191" s="23">
        <v>-102400</v>
      </c>
      <c r="E191" s="22" t="s">
        <v>57</v>
      </c>
      <c r="F191" s="24">
        <v>44255</v>
      </c>
      <c r="G191" s="22" t="s">
        <v>727</v>
      </c>
      <c r="H191" s="22" t="s">
        <v>4871</v>
      </c>
      <c r="I191" s="22" t="s">
        <v>4872</v>
      </c>
      <c r="J191" s="22" t="s">
        <v>60</v>
      </c>
      <c r="K191" s="22" t="s">
        <v>4557</v>
      </c>
      <c r="L191" s="22"/>
      <c r="M191" s="22"/>
      <c r="N191" s="22"/>
    </row>
    <row r="192" spans="1:14" x14ac:dyDescent="0.25">
      <c r="A192" s="22" t="s">
        <v>659</v>
      </c>
      <c r="B192" s="22" t="s">
        <v>39</v>
      </c>
      <c r="C192" s="22" t="s">
        <v>4773</v>
      </c>
      <c r="D192" s="23">
        <v>68029</v>
      </c>
      <c r="E192" s="22" t="s">
        <v>588</v>
      </c>
      <c r="F192" s="24">
        <v>44322</v>
      </c>
      <c r="G192" s="22" t="s">
        <v>658</v>
      </c>
      <c r="H192" s="22" t="s">
        <v>4776</v>
      </c>
      <c r="I192" s="22" t="s">
        <v>658</v>
      </c>
      <c r="J192" s="22" t="s">
        <v>60</v>
      </c>
      <c r="K192" s="22" t="s">
        <v>4479</v>
      </c>
      <c r="L192" s="22"/>
      <c r="M192" s="22"/>
      <c r="N192" s="22"/>
    </row>
    <row r="193" spans="1:14" x14ac:dyDescent="0.25">
      <c r="A193" s="22" t="s">
        <v>659</v>
      </c>
      <c r="B193" s="22" t="s">
        <v>39</v>
      </c>
      <c r="C193" s="22" t="s">
        <v>4873</v>
      </c>
      <c r="D193" s="23">
        <v>-68029</v>
      </c>
      <c r="E193" s="22" t="s">
        <v>57</v>
      </c>
      <c r="F193" s="24">
        <v>44248</v>
      </c>
      <c r="G193" s="22" t="s">
        <v>658</v>
      </c>
      <c r="H193" s="22" t="s">
        <v>4874</v>
      </c>
      <c r="I193" s="22" t="s">
        <v>4875</v>
      </c>
      <c r="J193" s="22" t="s">
        <v>60</v>
      </c>
      <c r="K193" s="22" t="s">
        <v>4759</v>
      </c>
      <c r="L193" s="22"/>
      <c r="M193" s="22"/>
      <c r="N193" s="22"/>
    </row>
    <row r="194" spans="1:14" x14ac:dyDescent="0.25">
      <c r="A194" s="22" t="s">
        <v>719</v>
      </c>
      <c r="B194" s="22" t="s">
        <v>39</v>
      </c>
      <c r="C194" s="22" t="s">
        <v>4773</v>
      </c>
      <c r="D194" s="23">
        <v>53700</v>
      </c>
      <c r="E194" s="22" t="s">
        <v>588</v>
      </c>
      <c r="F194" s="24">
        <v>44322</v>
      </c>
      <c r="G194" s="22" t="s">
        <v>4876</v>
      </c>
      <c r="H194" s="22" t="s">
        <v>4776</v>
      </c>
      <c r="I194" s="22" t="s">
        <v>4876</v>
      </c>
      <c r="J194" s="22" t="s">
        <v>73</v>
      </c>
      <c r="K194" s="22" t="s">
        <v>4479</v>
      </c>
      <c r="L194" s="22"/>
      <c r="M194" s="22"/>
      <c r="N194" s="22"/>
    </row>
    <row r="195" spans="1:14" x14ac:dyDescent="0.25">
      <c r="A195" s="22" t="s">
        <v>719</v>
      </c>
      <c r="B195" s="22" t="s">
        <v>39</v>
      </c>
      <c r="C195" s="22" t="s">
        <v>4877</v>
      </c>
      <c r="D195" s="23">
        <v>-53700</v>
      </c>
      <c r="E195" s="22" t="s">
        <v>57</v>
      </c>
      <c r="F195" s="24">
        <v>44215</v>
      </c>
      <c r="G195" s="22" t="s">
        <v>4876</v>
      </c>
      <c r="H195" s="22" t="s">
        <v>4878</v>
      </c>
      <c r="I195" s="22" t="s">
        <v>4879</v>
      </c>
      <c r="J195" s="22" t="s">
        <v>73</v>
      </c>
      <c r="K195" s="22" t="s">
        <v>4880</v>
      </c>
      <c r="L195" s="22"/>
      <c r="M195" s="22"/>
      <c r="N195" s="22"/>
    </row>
    <row r="196" spans="1:14" x14ac:dyDescent="0.25">
      <c r="A196" s="22" t="s">
        <v>662</v>
      </c>
      <c r="B196" s="22" t="s">
        <v>39</v>
      </c>
      <c r="C196" s="22" t="s">
        <v>4773</v>
      </c>
      <c r="D196" s="23">
        <v>39163</v>
      </c>
      <c r="E196" s="22" t="s">
        <v>588</v>
      </c>
      <c r="F196" s="24">
        <v>44322</v>
      </c>
      <c r="G196" s="22" t="s">
        <v>661</v>
      </c>
      <c r="H196" s="22" t="s">
        <v>4776</v>
      </c>
      <c r="I196" s="22" t="s">
        <v>661</v>
      </c>
      <c r="J196" s="22" t="s">
        <v>60</v>
      </c>
      <c r="K196" s="22" t="s">
        <v>4479</v>
      </c>
      <c r="L196" s="22"/>
      <c r="M196" s="22"/>
      <c r="N196" s="22"/>
    </row>
    <row r="197" spans="1:14" x14ac:dyDescent="0.25">
      <c r="A197" s="22" t="s">
        <v>662</v>
      </c>
      <c r="B197" s="22" t="s">
        <v>39</v>
      </c>
      <c r="C197" s="22" t="s">
        <v>4873</v>
      </c>
      <c r="D197" s="23">
        <v>-39163</v>
      </c>
      <c r="E197" s="22" t="s">
        <v>57</v>
      </c>
      <c r="F197" s="24">
        <v>44245</v>
      </c>
      <c r="G197" s="22" t="s">
        <v>661</v>
      </c>
      <c r="H197" s="22" t="s">
        <v>4881</v>
      </c>
      <c r="I197" s="22" t="s">
        <v>4882</v>
      </c>
      <c r="J197" s="22" t="s">
        <v>60</v>
      </c>
      <c r="K197" s="22" t="s">
        <v>4759</v>
      </c>
      <c r="L197" s="22"/>
      <c r="M197" s="22"/>
      <c r="N197" s="22"/>
    </row>
    <row r="198" spans="1:14" x14ac:dyDescent="0.25">
      <c r="A198" s="22" t="s">
        <v>589</v>
      </c>
      <c r="B198" s="22" t="s">
        <v>39</v>
      </c>
      <c r="C198" s="22" t="s">
        <v>4773</v>
      </c>
      <c r="D198" s="23">
        <v>39163</v>
      </c>
      <c r="E198" s="22" t="s">
        <v>588</v>
      </c>
      <c r="F198" s="24">
        <v>44322</v>
      </c>
      <c r="G198" s="22" t="s">
        <v>587</v>
      </c>
      <c r="H198" s="22" t="s">
        <v>4776</v>
      </c>
      <c r="I198" s="22" t="s">
        <v>587</v>
      </c>
      <c r="J198" s="22" t="s">
        <v>60</v>
      </c>
      <c r="K198" s="22" t="s">
        <v>4479</v>
      </c>
      <c r="L198" s="22"/>
      <c r="M198" s="22"/>
      <c r="N198" s="22"/>
    </row>
    <row r="199" spans="1:14" x14ac:dyDescent="0.25">
      <c r="A199" s="22" t="s">
        <v>589</v>
      </c>
      <c r="B199" s="22" t="s">
        <v>39</v>
      </c>
      <c r="C199" s="22" t="s">
        <v>4873</v>
      </c>
      <c r="D199" s="23">
        <v>-39163</v>
      </c>
      <c r="E199" s="22" t="s">
        <v>57</v>
      </c>
      <c r="F199" s="24">
        <v>44253</v>
      </c>
      <c r="G199" s="22" t="s">
        <v>587</v>
      </c>
      <c r="H199" s="22" t="s">
        <v>4883</v>
      </c>
      <c r="I199" s="22" t="s">
        <v>4884</v>
      </c>
      <c r="J199" s="22" t="s">
        <v>60</v>
      </c>
      <c r="K199" s="22" t="s">
        <v>4759</v>
      </c>
      <c r="L199" s="22"/>
      <c r="M199" s="22"/>
      <c r="N199" s="22"/>
    </row>
    <row r="200" spans="1:14" x14ac:dyDescent="0.25">
      <c r="A200" s="22" t="s">
        <v>4886</v>
      </c>
      <c r="B200" s="22" t="s">
        <v>39</v>
      </c>
      <c r="C200" s="22" t="s">
        <v>4885</v>
      </c>
      <c r="D200" s="23">
        <v>1696094</v>
      </c>
      <c r="E200" s="22" t="s">
        <v>45</v>
      </c>
      <c r="F200" s="24">
        <v>43361</v>
      </c>
      <c r="G200" s="22" t="s">
        <v>4887</v>
      </c>
      <c r="H200" s="22" t="s">
        <v>4888</v>
      </c>
      <c r="I200" s="22" t="s">
        <v>4887</v>
      </c>
      <c r="J200" s="22" t="s">
        <v>4401</v>
      </c>
      <c r="K200" s="22" t="s">
        <v>4888</v>
      </c>
      <c r="L200" s="22"/>
      <c r="M200" s="22"/>
      <c r="N200" s="22"/>
    </row>
    <row r="201" spans="1:14" x14ac:dyDescent="0.25">
      <c r="A201" s="22" t="s">
        <v>4886</v>
      </c>
      <c r="B201" s="22" t="s">
        <v>39</v>
      </c>
      <c r="C201" s="22" t="s">
        <v>4885</v>
      </c>
      <c r="D201" s="23">
        <v>-1696094</v>
      </c>
      <c r="E201" s="22" t="s">
        <v>45</v>
      </c>
      <c r="F201" s="24">
        <v>43361</v>
      </c>
      <c r="G201" s="22" t="s">
        <v>4887</v>
      </c>
      <c r="H201" s="22" t="s">
        <v>4888</v>
      </c>
      <c r="I201" s="22" t="s">
        <v>4887</v>
      </c>
      <c r="J201" s="22" t="s">
        <v>4406</v>
      </c>
      <c r="K201" s="22" t="s">
        <v>4888</v>
      </c>
      <c r="L201" s="22"/>
      <c r="M201" s="22"/>
      <c r="N201" s="22"/>
    </row>
    <row r="202" spans="1:14" x14ac:dyDescent="0.25">
      <c r="A202" s="22" t="s">
        <v>7751</v>
      </c>
      <c r="B202" s="22" t="s">
        <v>39</v>
      </c>
      <c r="C202" s="22" t="s">
        <v>4889</v>
      </c>
      <c r="D202" s="23">
        <v>-100263</v>
      </c>
      <c r="E202" s="22" t="s">
        <v>57</v>
      </c>
      <c r="F202" s="24">
        <v>43135</v>
      </c>
      <c r="G202" s="22" t="s">
        <v>4887</v>
      </c>
      <c r="H202" s="22" t="s">
        <v>4890</v>
      </c>
      <c r="I202" s="22" t="s">
        <v>4891</v>
      </c>
      <c r="J202" s="22" t="s">
        <v>4401</v>
      </c>
      <c r="K202" s="22" t="s">
        <v>4419</v>
      </c>
      <c r="L202" s="22"/>
      <c r="M202" s="22"/>
      <c r="N202" s="22"/>
    </row>
    <row r="203" spans="1:14" x14ac:dyDescent="0.25">
      <c r="A203" s="22" t="s">
        <v>7752</v>
      </c>
      <c r="B203" s="22" t="s">
        <v>39</v>
      </c>
      <c r="C203" s="22" t="s">
        <v>4889</v>
      </c>
      <c r="D203" s="23">
        <v>-293716</v>
      </c>
      <c r="E203" s="22" t="s">
        <v>57</v>
      </c>
      <c r="F203" s="24">
        <v>43136</v>
      </c>
      <c r="G203" s="22" t="s">
        <v>4887</v>
      </c>
      <c r="H203" s="22" t="s">
        <v>4892</v>
      </c>
      <c r="I203" s="22" t="s">
        <v>4893</v>
      </c>
      <c r="J203" s="22" t="s">
        <v>4401</v>
      </c>
      <c r="K203" s="22" t="s">
        <v>4419</v>
      </c>
      <c r="L203" s="22"/>
      <c r="M203" s="22"/>
      <c r="N203" s="22"/>
    </row>
    <row r="204" spans="1:14" x14ac:dyDescent="0.25">
      <c r="A204" s="22" t="s">
        <v>7753</v>
      </c>
      <c r="B204" s="22" t="s">
        <v>39</v>
      </c>
      <c r="C204" s="22" t="s">
        <v>4894</v>
      </c>
      <c r="D204" s="23">
        <v>-346871</v>
      </c>
      <c r="E204" s="22" t="s">
        <v>57</v>
      </c>
      <c r="F204" s="24">
        <v>43103</v>
      </c>
      <c r="G204" s="22" t="s">
        <v>4887</v>
      </c>
      <c r="H204" s="22" t="s">
        <v>4895</v>
      </c>
      <c r="I204" s="22" t="s">
        <v>4896</v>
      </c>
      <c r="J204" s="22" t="s">
        <v>4401</v>
      </c>
      <c r="K204" s="22" t="s">
        <v>4419</v>
      </c>
      <c r="L204" s="22"/>
      <c r="M204" s="22"/>
      <c r="N204" s="22"/>
    </row>
    <row r="205" spans="1:14" x14ac:dyDescent="0.25">
      <c r="A205" s="22" t="s">
        <v>7754</v>
      </c>
      <c r="B205" s="22" t="s">
        <v>39</v>
      </c>
      <c r="C205" s="22" t="s">
        <v>4897</v>
      </c>
      <c r="D205" s="23">
        <v>-59779</v>
      </c>
      <c r="E205" s="22" t="s">
        <v>57</v>
      </c>
      <c r="F205" s="24">
        <v>43124</v>
      </c>
      <c r="G205" s="22" t="s">
        <v>4887</v>
      </c>
      <c r="H205" s="22" t="s">
        <v>4898</v>
      </c>
      <c r="I205" s="22" t="s">
        <v>4899</v>
      </c>
      <c r="J205" s="22" t="s">
        <v>4401</v>
      </c>
      <c r="K205" s="22" t="s">
        <v>4519</v>
      </c>
      <c r="L205" s="22"/>
      <c r="M205" s="22"/>
      <c r="N205" s="22"/>
    </row>
    <row r="206" spans="1:14" x14ac:dyDescent="0.25">
      <c r="A206" s="22" t="s">
        <v>7755</v>
      </c>
      <c r="B206" s="22" t="s">
        <v>39</v>
      </c>
      <c r="C206" s="22" t="s">
        <v>4900</v>
      </c>
      <c r="D206" s="23">
        <v>-51529</v>
      </c>
      <c r="E206" s="22" t="s">
        <v>57</v>
      </c>
      <c r="F206" s="24">
        <v>43077</v>
      </c>
      <c r="G206" s="22" t="s">
        <v>4887</v>
      </c>
      <c r="H206" s="22" t="s">
        <v>4901</v>
      </c>
      <c r="I206" s="22" t="s">
        <v>4902</v>
      </c>
      <c r="J206" s="22" t="s">
        <v>4401</v>
      </c>
      <c r="K206" s="22" t="s">
        <v>4419</v>
      </c>
      <c r="L206" s="22"/>
      <c r="M206" s="22"/>
      <c r="N206" s="22"/>
    </row>
    <row r="207" spans="1:14" x14ac:dyDescent="0.25">
      <c r="A207" s="22" t="s">
        <v>7756</v>
      </c>
      <c r="B207" s="22" t="s">
        <v>39</v>
      </c>
      <c r="C207" s="22" t="s">
        <v>4903</v>
      </c>
      <c r="D207" s="23">
        <v>-198645</v>
      </c>
      <c r="E207" s="22" t="s">
        <v>57</v>
      </c>
      <c r="F207" s="24">
        <v>43172</v>
      </c>
      <c r="G207" s="22" t="s">
        <v>4887</v>
      </c>
      <c r="H207" s="22" t="s">
        <v>4904</v>
      </c>
      <c r="I207" s="22" t="s">
        <v>4905</v>
      </c>
      <c r="J207" s="22" t="s">
        <v>4401</v>
      </c>
      <c r="K207" s="22" t="s">
        <v>4419</v>
      </c>
      <c r="L207" s="22"/>
      <c r="M207" s="22"/>
      <c r="N207" s="22"/>
    </row>
    <row r="208" spans="1:14" x14ac:dyDescent="0.25">
      <c r="A208" s="22" t="s">
        <v>7757</v>
      </c>
      <c r="B208" s="22" t="s">
        <v>39</v>
      </c>
      <c r="C208" s="22" t="s">
        <v>4906</v>
      </c>
      <c r="D208" s="23">
        <v>-309680</v>
      </c>
      <c r="E208" s="22" t="s">
        <v>57</v>
      </c>
      <c r="F208" s="24">
        <v>43179</v>
      </c>
      <c r="G208" s="22" t="s">
        <v>4887</v>
      </c>
      <c r="H208" s="22" t="s">
        <v>4907</v>
      </c>
      <c r="I208" s="22" t="s">
        <v>4908</v>
      </c>
      <c r="J208" s="22" t="s">
        <v>4401</v>
      </c>
      <c r="K208" s="22" t="s">
        <v>4419</v>
      </c>
      <c r="L208" s="22"/>
      <c r="M208" s="22"/>
      <c r="N208" s="22"/>
    </row>
    <row r="209" spans="1:14" x14ac:dyDescent="0.25">
      <c r="A209" s="22" t="s">
        <v>7758</v>
      </c>
      <c r="B209" s="22" t="s">
        <v>39</v>
      </c>
      <c r="C209" s="22" t="s">
        <v>4906</v>
      </c>
      <c r="D209" s="23">
        <v>-185623</v>
      </c>
      <c r="E209" s="22" t="s">
        <v>57</v>
      </c>
      <c r="F209" s="24">
        <v>43187</v>
      </c>
      <c r="G209" s="22" t="s">
        <v>4887</v>
      </c>
      <c r="H209" s="22" t="s">
        <v>4907</v>
      </c>
      <c r="I209" s="22" t="s">
        <v>4909</v>
      </c>
      <c r="J209" s="22" t="s">
        <v>4401</v>
      </c>
      <c r="K209" s="22" t="s">
        <v>4419</v>
      </c>
      <c r="L209" s="22"/>
      <c r="M209" s="22"/>
      <c r="N209" s="22"/>
    </row>
    <row r="210" spans="1:14" x14ac:dyDescent="0.25">
      <c r="A210" s="22" t="s">
        <v>7759</v>
      </c>
      <c r="B210" s="22" t="s">
        <v>39</v>
      </c>
      <c r="C210" s="22" t="s">
        <v>4910</v>
      </c>
      <c r="D210" s="23">
        <v>-98688</v>
      </c>
      <c r="E210" s="22" t="s">
        <v>57</v>
      </c>
      <c r="F210" s="24">
        <v>43229</v>
      </c>
      <c r="G210" s="22" t="s">
        <v>4887</v>
      </c>
      <c r="H210" s="22" t="s">
        <v>4911</v>
      </c>
      <c r="I210" s="22" t="s">
        <v>4912</v>
      </c>
      <c r="J210" s="22" t="s">
        <v>4401</v>
      </c>
      <c r="K210" s="22" t="s">
        <v>4519</v>
      </c>
      <c r="L210" s="22"/>
      <c r="M210" s="22"/>
      <c r="N210" s="22"/>
    </row>
    <row r="211" spans="1:14" x14ac:dyDescent="0.25">
      <c r="A211" s="22" t="s">
        <v>7760</v>
      </c>
      <c r="B211" s="22" t="s">
        <v>39</v>
      </c>
      <c r="C211" s="22" t="s">
        <v>4913</v>
      </c>
      <c r="D211" s="23">
        <v>-51300</v>
      </c>
      <c r="E211" s="22" t="s">
        <v>57</v>
      </c>
      <c r="F211" s="24">
        <v>43207</v>
      </c>
      <c r="G211" s="22" t="s">
        <v>4887</v>
      </c>
      <c r="H211" s="22" t="s">
        <v>4914</v>
      </c>
      <c r="I211" s="22" t="s">
        <v>4915</v>
      </c>
      <c r="J211" s="22" t="s">
        <v>4401</v>
      </c>
      <c r="K211" s="22" t="s">
        <v>4519</v>
      </c>
      <c r="L211" s="22"/>
      <c r="M211" s="22"/>
      <c r="N211" s="22"/>
    </row>
    <row r="212" spans="1:14" x14ac:dyDescent="0.25">
      <c r="A212" s="22" t="s">
        <v>4917</v>
      </c>
      <c r="B212" s="22" t="s">
        <v>39</v>
      </c>
      <c r="C212" s="22" t="s">
        <v>4916</v>
      </c>
      <c r="D212" s="23">
        <v>1696094</v>
      </c>
      <c r="E212" s="22" t="s">
        <v>42</v>
      </c>
      <c r="F212" s="24">
        <v>43350</v>
      </c>
      <c r="G212" s="22" t="s">
        <v>4887</v>
      </c>
      <c r="H212" s="22" t="s">
        <v>4918</v>
      </c>
      <c r="I212" s="22" t="s">
        <v>4919</v>
      </c>
      <c r="J212" s="22" t="s">
        <v>4406</v>
      </c>
      <c r="K212" s="22" t="s">
        <v>4916</v>
      </c>
      <c r="L212" s="22"/>
      <c r="M212" s="22"/>
      <c r="N212" s="22"/>
    </row>
    <row r="213" spans="1:14" x14ac:dyDescent="0.25">
      <c r="A213" s="22" t="s">
        <v>7761</v>
      </c>
      <c r="B213" s="22" t="s">
        <v>39</v>
      </c>
      <c r="C213" s="22" t="s">
        <v>4920</v>
      </c>
      <c r="D213" s="23">
        <v>-465613</v>
      </c>
      <c r="E213" s="22" t="s">
        <v>57</v>
      </c>
      <c r="F213" s="24">
        <v>43359</v>
      </c>
      <c r="G213" s="22" t="s">
        <v>4921</v>
      </c>
      <c r="H213" s="22" t="s">
        <v>4922</v>
      </c>
      <c r="I213" s="22" t="s">
        <v>4923</v>
      </c>
      <c r="J213" s="22" t="s">
        <v>4401</v>
      </c>
      <c r="K213" s="22" t="s">
        <v>4519</v>
      </c>
      <c r="L213" s="22"/>
      <c r="M213" s="22"/>
      <c r="N213" s="22"/>
    </row>
    <row r="214" spans="1:14" x14ac:dyDescent="0.25">
      <c r="A214" s="22" t="s">
        <v>7762</v>
      </c>
      <c r="B214" s="22" t="s">
        <v>39</v>
      </c>
      <c r="C214" s="22" t="s">
        <v>4920</v>
      </c>
      <c r="D214" s="23">
        <v>-1418113</v>
      </c>
      <c r="E214" s="22" t="s">
        <v>57</v>
      </c>
      <c r="F214" s="24">
        <v>43352</v>
      </c>
      <c r="G214" s="22" t="s">
        <v>4921</v>
      </c>
      <c r="H214" s="22" t="s">
        <v>4924</v>
      </c>
      <c r="I214" s="22" t="s">
        <v>4925</v>
      </c>
      <c r="J214" s="22" t="s">
        <v>4401</v>
      </c>
      <c r="K214" s="22" t="s">
        <v>4519</v>
      </c>
      <c r="L214" s="22"/>
      <c r="M214" s="22"/>
      <c r="N214" s="22"/>
    </row>
    <row r="215" spans="1:14" x14ac:dyDescent="0.25">
      <c r="A215" s="22" t="s">
        <v>7763</v>
      </c>
      <c r="B215" s="22" t="s">
        <v>39</v>
      </c>
      <c r="C215" s="22" t="s">
        <v>4926</v>
      </c>
      <c r="D215" s="23">
        <v>-352033</v>
      </c>
      <c r="E215" s="22" t="s">
        <v>57</v>
      </c>
      <c r="F215" s="24">
        <v>43388</v>
      </c>
      <c r="G215" s="22" t="s">
        <v>4921</v>
      </c>
      <c r="H215" s="22" t="s">
        <v>4907</v>
      </c>
      <c r="I215" s="22" t="s">
        <v>4927</v>
      </c>
      <c r="J215" s="22" t="s">
        <v>4401</v>
      </c>
      <c r="K215" s="22" t="s">
        <v>83</v>
      </c>
      <c r="L215" s="22"/>
      <c r="M215" s="22"/>
      <c r="N215" s="22"/>
    </row>
    <row r="216" spans="1:14" x14ac:dyDescent="0.25">
      <c r="A216" s="22" t="s">
        <v>7735</v>
      </c>
      <c r="B216" s="22" t="s">
        <v>39</v>
      </c>
      <c r="C216" s="22" t="s">
        <v>4597</v>
      </c>
      <c r="D216" s="23">
        <v>-62947</v>
      </c>
      <c r="E216" s="22" t="s">
        <v>57</v>
      </c>
      <c r="F216" s="24">
        <v>43465</v>
      </c>
      <c r="G216" s="22" t="s">
        <v>4921</v>
      </c>
      <c r="H216" s="22" t="s">
        <v>4598</v>
      </c>
      <c r="I216" s="22" t="s">
        <v>4594</v>
      </c>
      <c r="J216" s="22" t="s">
        <v>4401</v>
      </c>
      <c r="K216" s="22" t="s">
        <v>4599</v>
      </c>
      <c r="L216" s="22"/>
      <c r="M216" s="22"/>
      <c r="N216" s="22"/>
    </row>
    <row r="217" spans="1:14" x14ac:dyDescent="0.25">
      <c r="A217" s="22" t="s">
        <v>4928</v>
      </c>
      <c r="B217" s="22" t="s">
        <v>39</v>
      </c>
      <c r="C217" s="22" t="s">
        <v>4597</v>
      </c>
      <c r="D217" s="23">
        <v>0</v>
      </c>
      <c r="E217" s="22" t="s">
        <v>45</v>
      </c>
      <c r="F217" s="24">
        <v>43411</v>
      </c>
      <c r="G217" s="22" t="s">
        <v>4921</v>
      </c>
      <c r="H217" s="22" t="s">
        <v>4929</v>
      </c>
      <c r="I217" s="22" t="s">
        <v>4921</v>
      </c>
      <c r="J217" s="22" t="s">
        <v>4401</v>
      </c>
      <c r="K217" s="22" t="s">
        <v>4929</v>
      </c>
      <c r="L217" s="22"/>
      <c r="M217" s="22"/>
      <c r="N217" s="22"/>
    </row>
    <row r="218" spans="1:14" x14ac:dyDescent="0.25">
      <c r="A218" s="22" t="s">
        <v>7764</v>
      </c>
      <c r="B218" s="22" t="s">
        <v>39</v>
      </c>
      <c r="C218" s="22" t="s">
        <v>4930</v>
      </c>
      <c r="D218" s="23">
        <v>-86443</v>
      </c>
      <c r="E218" s="22" t="s">
        <v>57</v>
      </c>
      <c r="F218" s="24">
        <v>43272</v>
      </c>
      <c r="G218" s="22" t="s">
        <v>4921</v>
      </c>
      <c r="H218" s="22" t="s">
        <v>4911</v>
      </c>
      <c r="I218" s="22" t="s">
        <v>4931</v>
      </c>
      <c r="J218" s="22" t="s">
        <v>4401</v>
      </c>
      <c r="K218" s="22" t="s">
        <v>4419</v>
      </c>
      <c r="L218" s="22"/>
      <c r="M218" s="22"/>
      <c r="N218" s="22"/>
    </row>
    <row r="219" spans="1:14" x14ac:dyDescent="0.25">
      <c r="A219" s="22" t="s">
        <v>7765</v>
      </c>
      <c r="B219" s="22" t="s">
        <v>39</v>
      </c>
      <c r="C219" s="22" t="s">
        <v>4932</v>
      </c>
      <c r="D219" s="23">
        <v>-305391</v>
      </c>
      <c r="E219" s="22" t="s">
        <v>57</v>
      </c>
      <c r="F219" s="24">
        <v>43310</v>
      </c>
      <c r="G219" s="22" t="s">
        <v>4921</v>
      </c>
      <c r="H219" s="22" t="s">
        <v>4933</v>
      </c>
      <c r="I219" s="22" t="s">
        <v>4934</v>
      </c>
      <c r="J219" s="22" t="s">
        <v>4401</v>
      </c>
      <c r="K219" s="22" t="s">
        <v>4419</v>
      </c>
      <c r="L219" s="22"/>
      <c r="M219" s="22"/>
      <c r="N219" s="22"/>
    </row>
    <row r="220" spans="1:14" x14ac:dyDescent="0.25">
      <c r="A220" s="22" t="s">
        <v>3205</v>
      </c>
      <c r="B220" s="22" t="s">
        <v>39</v>
      </c>
      <c r="C220" s="22" t="s">
        <v>4935</v>
      </c>
      <c r="D220" s="23">
        <v>-235976</v>
      </c>
      <c r="E220" s="22" t="s">
        <v>57</v>
      </c>
      <c r="F220" s="24">
        <v>43316</v>
      </c>
      <c r="G220" s="22" t="s">
        <v>4921</v>
      </c>
      <c r="H220" s="22" t="s">
        <v>4936</v>
      </c>
      <c r="I220" s="22" t="s">
        <v>4937</v>
      </c>
      <c r="J220" s="22" t="s">
        <v>4401</v>
      </c>
      <c r="K220" s="22" t="s">
        <v>4519</v>
      </c>
      <c r="L220" s="22"/>
      <c r="M220" s="22"/>
      <c r="N220" s="22"/>
    </row>
    <row r="221" spans="1:14" x14ac:dyDescent="0.25">
      <c r="A221" s="22" t="s">
        <v>4938</v>
      </c>
      <c r="B221" s="22" t="s">
        <v>39</v>
      </c>
      <c r="C221" s="22" t="s">
        <v>4916</v>
      </c>
      <c r="D221" s="23">
        <v>2926516</v>
      </c>
      <c r="E221" s="22" t="s">
        <v>42</v>
      </c>
      <c r="F221" s="24">
        <v>43411</v>
      </c>
      <c r="G221" s="22" t="s">
        <v>4921</v>
      </c>
      <c r="H221" s="22" t="s">
        <v>4939</v>
      </c>
      <c r="I221" s="22" t="s">
        <v>4940</v>
      </c>
      <c r="J221" s="22" t="s">
        <v>4401</v>
      </c>
      <c r="K221" s="22" t="s">
        <v>4916</v>
      </c>
      <c r="L221" s="22"/>
      <c r="M221" s="22"/>
      <c r="N221" s="22"/>
    </row>
    <row r="222" spans="1:14" x14ac:dyDescent="0.25">
      <c r="A222" s="22" t="s">
        <v>7766</v>
      </c>
      <c r="B222" s="22" t="s">
        <v>39</v>
      </c>
      <c r="C222" s="22" t="s">
        <v>4941</v>
      </c>
      <c r="D222" s="23">
        <v>-117477</v>
      </c>
      <c r="E222" s="22" t="s">
        <v>57</v>
      </c>
      <c r="F222" s="24">
        <v>43410</v>
      </c>
      <c r="G222" s="22" t="s">
        <v>4942</v>
      </c>
      <c r="H222" s="22" t="s">
        <v>4943</v>
      </c>
      <c r="I222" s="22" t="s">
        <v>4944</v>
      </c>
      <c r="J222" s="22" t="s">
        <v>4401</v>
      </c>
      <c r="K222" s="22" t="s">
        <v>83</v>
      </c>
      <c r="L222" s="22"/>
      <c r="M222" s="22"/>
      <c r="N222" s="22"/>
    </row>
    <row r="223" spans="1:14" x14ac:dyDescent="0.25">
      <c r="A223" s="22" t="s">
        <v>7767</v>
      </c>
      <c r="B223" s="22" t="s">
        <v>39</v>
      </c>
      <c r="C223" s="22" t="s">
        <v>4593</v>
      </c>
      <c r="D223" s="23">
        <v>-116768</v>
      </c>
      <c r="E223" s="22" t="s">
        <v>57</v>
      </c>
      <c r="F223" s="24">
        <v>43381</v>
      </c>
      <c r="G223" s="22" t="s">
        <v>4942</v>
      </c>
      <c r="H223" s="22" t="s">
        <v>4945</v>
      </c>
      <c r="I223" s="22" t="s">
        <v>4946</v>
      </c>
      <c r="J223" s="22" t="s">
        <v>4401</v>
      </c>
      <c r="K223" s="22" t="s">
        <v>83</v>
      </c>
      <c r="L223" s="22"/>
      <c r="M223" s="22"/>
      <c r="N223" s="22"/>
    </row>
    <row r="224" spans="1:14" x14ac:dyDescent="0.25">
      <c r="A224" s="22" t="s">
        <v>7768</v>
      </c>
      <c r="B224" s="22" t="s">
        <v>39</v>
      </c>
      <c r="C224" s="22" t="s">
        <v>4593</v>
      </c>
      <c r="D224" s="23">
        <v>-264376</v>
      </c>
      <c r="E224" s="22" t="s">
        <v>57</v>
      </c>
      <c r="F224" s="24">
        <v>43385</v>
      </c>
      <c r="G224" s="22" t="s">
        <v>4942</v>
      </c>
      <c r="H224" s="22" t="s">
        <v>4947</v>
      </c>
      <c r="I224" s="22" t="s">
        <v>4948</v>
      </c>
      <c r="J224" s="22" t="s">
        <v>4401</v>
      </c>
      <c r="K224" s="22" t="s">
        <v>83</v>
      </c>
      <c r="L224" s="22"/>
      <c r="M224" s="22"/>
      <c r="N224" s="22"/>
    </row>
    <row r="225" spans="1:14" x14ac:dyDescent="0.25">
      <c r="A225" s="22" t="s">
        <v>7735</v>
      </c>
      <c r="B225" s="22" t="s">
        <v>39</v>
      </c>
      <c r="C225" s="22" t="s">
        <v>4593</v>
      </c>
      <c r="D225" s="23">
        <v>-172842</v>
      </c>
      <c r="E225" s="22" t="s">
        <v>57</v>
      </c>
      <c r="F225" s="24">
        <v>43465</v>
      </c>
      <c r="G225" s="22" t="s">
        <v>4942</v>
      </c>
      <c r="H225" s="22" t="s">
        <v>4949</v>
      </c>
      <c r="I225" s="22" t="s">
        <v>4594</v>
      </c>
      <c r="J225" s="22" t="s">
        <v>4401</v>
      </c>
      <c r="K225" s="22" t="s">
        <v>4599</v>
      </c>
      <c r="L225" s="22"/>
      <c r="M225" s="22"/>
      <c r="N225" s="22"/>
    </row>
    <row r="226" spans="1:14" x14ac:dyDescent="0.25">
      <c r="A226" s="22" t="s">
        <v>4950</v>
      </c>
      <c r="B226" s="22" t="s">
        <v>39</v>
      </c>
      <c r="C226" s="22" t="s">
        <v>4597</v>
      </c>
      <c r="D226" s="23">
        <v>-328537</v>
      </c>
      <c r="E226" s="22" t="s">
        <v>45</v>
      </c>
      <c r="F226" s="24">
        <v>43465</v>
      </c>
      <c r="G226" s="22" t="s">
        <v>4942</v>
      </c>
      <c r="H226" s="22" t="s">
        <v>4951</v>
      </c>
      <c r="I226" s="22" t="s">
        <v>4942</v>
      </c>
      <c r="J226" s="22" t="s">
        <v>4401</v>
      </c>
      <c r="K226" s="22" t="s">
        <v>4951</v>
      </c>
      <c r="L226" s="22"/>
      <c r="M226" s="22"/>
      <c r="N226" s="22"/>
    </row>
    <row r="227" spans="1:14" x14ac:dyDescent="0.25">
      <c r="A227" s="22" t="s">
        <v>4952</v>
      </c>
      <c r="B227" s="22" t="s">
        <v>39</v>
      </c>
      <c r="C227" s="22" t="s">
        <v>4916</v>
      </c>
      <c r="D227" s="23">
        <v>1000000</v>
      </c>
      <c r="E227" s="22" t="s">
        <v>42</v>
      </c>
      <c r="F227" s="24">
        <v>43441</v>
      </c>
      <c r="G227" s="22" t="s">
        <v>4942</v>
      </c>
      <c r="H227" s="22" t="s">
        <v>4953</v>
      </c>
      <c r="I227" s="22" t="s">
        <v>4954</v>
      </c>
      <c r="J227" s="22" t="s">
        <v>4401</v>
      </c>
      <c r="K227" s="22" t="s">
        <v>4916</v>
      </c>
      <c r="L227" s="22"/>
      <c r="M227" s="22"/>
      <c r="N227" s="22"/>
    </row>
    <row r="228" spans="1:14" x14ac:dyDescent="0.25">
      <c r="A228" s="22" t="s">
        <v>7769</v>
      </c>
      <c r="B228" s="22" t="s">
        <v>39</v>
      </c>
      <c r="C228" s="22" t="s">
        <v>4955</v>
      </c>
      <c r="D228" s="23">
        <v>-120016</v>
      </c>
      <c r="E228" s="22" t="s">
        <v>57</v>
      </c>
      <c r="F228" s="24">
        <v>43367</v>
      </c>
      <c r="G228" s="22" t="s">
        <v>4956</v>
      </c>
      <c r="H228" s="22" t="s">
        <v>4957</v>
      </c>
      <c r="I228" s="22" t="s">
        <v>4958</v>
      </c>
      <c r="J228" s="22" t="s">
        <v>4401</v>
      </c>
      <c r="K228" s="22" t="s">
        <v>4864</v>
      </c>
      <c r="L228" s="22"/>
      <c r="M228" s="22"/>
      <c r="N228" s="22"/>
    </row>
    <row r="229" spans="1:14" x14ac:dyDescent="0.25">
      <c r="A229" s="22" t="s">
        <v>7770</v>
      </c>
      <c r="B229" s="22" t="s">
        <v>39</v>
      </c>
      <c r="C229" s="22" t="s">
        <v>4959</v>
      </c>
      <c r="D229" s="23">
        <v>-51822</v>
      </c>
      <c r="E229" s="22" t="s">
        <v>57</v>
      </c>
      <c r="F229" s="24">
        <v>43382</v>
      </c>
      <c r="G229" s="22" t="s">
        <v>4956</v>
      </c>
      <c r="H229" s="22" t="s">
        <v>4957</v>
      </c>
      <c r="I229" s="22" t="s">
        <v>4960</v>
      </c>
      <c r="J229" s="22" t="s">
        <v>4466</v>
      </c>
      <c r="K229" s="22" t="s">
        <v>4864</v>
      </c>
      <c r="L229" s="22"/>
      <c r="M229" s="22"/>
      <c r="N229" s="22"/>
    </row>
    <row r="230" spans="1:14" x14ac:dyDescent="0.25">
      <c r="A230" s="22" t="s">
        <v>7771</v>
      </c>
      <c r="B230" s="22" t="s">
        <v>39</v>
      </c>
      <c r="C230" s="22" t="s">
        <v>4961</v>
      </c>
      <c r="D230" s="23">
        <v>-175277</v>
      </c>
      <c r="E230" s="22" t="s">
        <v>57</v>
      </c>
      <c r="F230" s="24">
        <v>43434</v>
      </c>
      <c r="G230" s="22" t="s">
        <v>4956</v>
      </c>
      <c r="H230" s="22" t="s">
        <v>4962</v>
      </c>
      <c r="I230" s="22" t="s">
        <v>4963</v>
      </c>
      <c r="J230" s="22" t="s">
        <v>4466</v>
      </c>
      <c r="K230" s="22" t="s">
        <v>4864</v>
      </c>
      <c r="L230" s="22"/>
      <c r="M230" s="22"/>
      <c r="N230" s="22"/>
    </row>
    <row r="231" spans="1:14" x14ac:dyDescent="0.25">
      <c r="A231" s="22" t="s">
        <v>7772</v>
      </c>
      <c r="B231" s="22" t="s">
        <v>39</v>
      </c>
      <c r="C231" s="22" t="s">
        <v>4597</v>
      </c>
      <c r="D231" s="23">
        <v>227099</v>
      </c>
      <c r="E231" s="22" t="s">
        <v>45</v>
      </c>
      <c r="F231" s="24">
        <v>43465</v>
      </c>
      <c r="G231" s="22" t="s">
        <v>4956</v>
      </c>
      <c r="H231" s="22"/>
      <c r="I231" s="22" t="s">
        <v>4956</v>
      </c>
      <c r="J231" s="22" t="s">
        <v>4466</v>
      </c>
      <c r="K231" s="22" t="s">
        <v>4964</v>
      </c>
      <c r="L231" s="22"/>
      <c r="M231" s="22"/>
      <c r="N231" s="22"/>
    </row>
    <row r="232" spans="1:14" x14ac:dyDescent="0.25">
      <c r="A232" s="22" t="s">
        <v>7772</v>
      </c>
      <c r="B232" s="22" t="s">
        <v>39</v>
      </c>
      <c r="C232" s="22" t="s">
        <v>4597</v>
      </c>
      <c r="D232" s="23">
        <v>35830</v>
      </c>
      <c r="E232" s="22" t="s">
        <v>45</v>
      </c>
      <c r="F232" s="24">
        <v>43465</v>
      </c>
      <c r="G232" s="22" t="s">
        <v>4956</v>
      </c>
      <c r="H232" s="22"/>
      <c r="I232" s="22" t="s">
        <v>4956</v>
      </c>
      <c r="J232" s="22" t="s">
        <v>4401</v>
      </c>
      <c r="K232" s="22" t="s">
        <v>4964</v>
      </c>
      <c r="L232" s="22"/>
      <c r="M232" s="22"/>
      <c r="N232" s="22"/>
    </row>
    <row r="233" spans="1:14" x14ac:dyDescent="0.25">
      <c r="A233" s="22" t="s">
        <v>7773</v>
      </c>
      <c r="B233" s="22" t="s">
        <v>39</v>
      </c>
      <c r="C233" s="22" t="s">
        <v>4965</v>
      </c>
      <c r="D233" s="23">
        <v>-48400</v>
      </c>
      <c r="E233" s="22" t="s">
        <v>57</v>
      </c>
      <c r="F233" s="24">
        <v>43063</v>
      </c>
      <c r="G233" s="22" t="s">
        <v>4956</v>
      </c>
      <c r="H233" s="22" t="s">
        <v>4966</v>
      </c>
      <c r="I233" s="22" t="s">
        <v>4967</v>
      </c>
      <c r="J233" s="22" t="s">
        <v>4401</v>
      </c>
      <c r="K233" s="22" t="s">
        <v>4968</v>
      </c>
      <c r="L233" s="22"/>
      <c r="M233" s="22"/>
      <c r="N233" s="22"/>
    </row>
    <row r="234" spans="1:14" x14ac:dyDescent="0.25">
      <c r="A234" s="22" t="s">
        <v>7774</v>
      </c>
      <c r="B234" s="22" t="s">
        <v>39</v>
      </c>
      <c r="C234" s="22" t="s">
        <v>4969</v>
      </c>
      <c r="D234" s="23">
        <v>-492432</v>
      </c>
      <c r="E234" s="22" t="s">
        <v>57</v>
      </c>
      <c r="F234" s="24">
        <v>43068</v>
      </c>
      <c r="G234" s="22" t="s">
        <v>4956</v>
      </c>
      <c r="H234" s="22" t="s">
        <v>4970</v>
      </c>
      <c r="I234" s="22" t="s">
        <v>4971</v>
      </c>
      <c r="J234" s="22" t="s">
        <v>4401</v>
      </c>
      <c r="K234" s="22" t="s">
        <v>4460</v>
      </c>
      <c r="L234" s="22"/>
      <c r="M234" s="22"/>
      <c r="N234" s="22"/>
    </row>
    <row r="235" spans="1:14" x14ac:dyDescent="0.25">
      <c r="A235" s="22" t="s">
        <v>7775</v>
      </c>
      <c r="B235" s="22" t="s">
        <v>39</v>
      </c>
      <c r="C235" s="22" t="s">
        <v>4972</v>
      </c>
      <c r="D235" s="23">
        <v>-61900</v>
      </c>
      <c r="E235" s="22" t="s">
        <v>57</v>
      </c>
      <c r="F235" s="24">
        <v>43131</v>
      </c>
      <c r="G235" s="22" t="s">
        <v>4956</v>
      </c>
      <c r="H235" s="22" t="s">
        <v>4973</v>
      </c>
      <c r="I235" s="22" t="s">
        <v>4974</v>
      </c>
      <c r="J235" s="22" t="s">
        <v>4401</v>
      </c>
      <c r="K235" s="22" t="s">
        <v>4838</v>
      </c>
      <c r="L235" s="22"/>
      <c r="M235" s="22"/>
      <c r="N235" s="22"/>
    </row>
    <row r="236" spans="1:14" x14ac:dyDescent="0.25">
      <c r="A236" s="22" t="s">
        <v>7776</v>
      </c>
      <c r="B236" s="22" t="s">
        <v>39</v>
      </c>
      <c r="C236" s="22" t="s">
        <v>4975</v>
      </c>
      <c r="D236" s="23">
        <v>-188085</v>
      </c>
      <c r="E236" s="22" t="s">
        <v>57</v>
      </c>
      <c r="F236" s="24">
        <v>43124</v>
      </c>
      <c r="G236" s="22" t="s">
        <v>4956</v>
      </c>
      <c r="H236" s="22" t="s">
        <v>4976</v>
      </c>
      <c r="I236" s="22" t="s">
        <v>4977</v>
      </c>
      <c r="J236" s="22" t="s">
        <v>4401</v>
      </c>
      <c r="K236" s="22" t="s">
        <v>4864</v>
      </c>
      <c r="L236" s="22"/>
      <c r="M236" s="22"/>
      <c r="N236" s="22"/>
    </row>
    <row r="237" spans="1:14" x14ac:dyDescent="0.25">
      <c r="A237" s="22" t="s">
        <v>3204</v>
      </c>
      <c r="B237" s="22" t="s">
        <v>39</v>
      </c>
      <c r="C237" s="22" t="s">
        <v>109</v>
      </c>
      <c r="D237" s="23">
        <v>-614500</v>
      </c>
      <c r="E237" s="22" t="s">
        <v>57</v>
      </c>
      <c r="F237" s="24">
        <v>43131</v>
      </c>
      <c r="G237" s="22" t="s">
        <v>4956</v>
      </c>
      <c r="H237" s="22" t="s">
        <v>4978</v>
      </c>
      <c r="I237" s="22" t="s">
        <v>111</v>
      </c>
      <c r="J237" s="22" t="s">
        <v>4401</v>
      </c>
      <c r="K237" s="22" t="s">
        <v>112</v>
      </c>
      <c r="L237" s="22"/>
      <c r="M237" s="22"/>
      <c r="N237" s="22"/>
    </row>
    <row r="238" spans="1:14" x14ac:dyDescent="0.25">
      <c r="A238" s="22" t="s">
        <v>7777</v>
      </c>
      <c r="B238" s="22" t="s">
        <v>39</v>
      </c>
      <c r="C238" s="22" t="s">
        <v>4979</v>
      </c>
      <c r="D238" s="23">
        <v>-244855</v>
      </c>
      <c r="E238" s="22" t="s">
        <v>57</v>
      </c>
      <c r="F238" s="24">
        <v>43153</v>
      </c>
      <c r="G238" s="22" t="s">
        <v>4956</v>
      </c>
      <c r="H238" s="22" t="s">
        <v>4980</v>
      </c>
      <c r="I238" s="22" t="s">
        <v>4981</v>
      </c>
      <c r="J238" s="22" t="s">
        <v>4401</v>
      </c>
      <c r="K238" s="22" t="s">
        <v>4707</v>
      </c>
      <c r="L238" s="22"/>
      <c r="M238" s="22"/>
      <c r="N238" s="22"/>
    </row>
    <row r="239" spans="1:14" x14ac:dyDescent="0.25">
      <c r="A239" s="22" t="s">
        <v>7778</v>
      </c>
      <c r="B239" s="22" t="s">
        <v>39</v>
      </c>
      <c r="C239" s="22" t="s">
        <v>4982</v>
      </c>
      <c r="D239" s="23">
        <v>-187977</v>
      </c>
      <c r="E239" s="22" t="s">
        <v>57</v>
      </c>
      <c r="F239" s="24">
        <v>43141</v>
      </c>
      <c r="G239" s="22" t="s">
        <v>4956</v>
      </c>
      <c r="H239" s="22" t="s">
        <v>4983</v>
      </c>
      <c r="I239" s="22" t="s">
        <v>4984</v>
      </c>
      <c r="J239" s="22" t="s">
        <v>4401</v>
      </c>
      <c r="K239" s="22" t="s">
        <v>4968</v>
      </c>
      <c r="L239" s="22"/>
      <c r="M239" s="22"/>
      <c r="N239" s="22"/>
    </row>
    <row r="240" spans="1:14" x14ac:dyDescent="0.25">
      <c r="A240" s="22" t="s">
        <v>7779</v>
      </c>
      <c r="B240" s="22" t="s">
        <v>39</v>
      </c>
      <c r="C240" s="22" t="s">
        <v>4982</v>
      </c>
      <c r="D240" s="23">
        <v>-153737</v>
      </c>
      <c r="E240" s="22" t="s">
        <v>57</v>
      </c>
      <c r="F240" s="24">
        <v>43154</v>
      </c>
      <c r="G240" s="22" t="s">
        <v>4956</v>
      </c>
      <c r="H240" s="22" t="s">
        <v>4985</v>
      </c>
      <c r="I240" s="22" t="s">
        <v>4986</v>
      </c>
      <c r="J240" s="22" t="s">
        <v>4401</v>
      </c>
      <c r="K240" s="22" t="s">
        <v>4968</v>
      </c>
      <c r="L240" s="22"/>
      <c r="M240" s="22"/>
      <c r="N240" s="22"/>
    </row>
    <row r="241" spans="1:14" x14ac:dyDescent="0.25">
      <c r="A241" s="22" t="s">
        <v>7780</v>
      </c>
      <c r="B241" s="22" t="s">
        <v>39</v>
      </c>
      <c r="C241" s="22" t="s">
        <v>4982</v>
      </c>
      <c r="D241" s="23">
        <v>-418671</v>
      </c>
      <c r="E241" s="22" t="s">
        <v>57</v>
      </c>
      <c r="F241" s="24">
        <v>43159</v>
      </c>
      <c r="G241" s="22" t="s">
        <v>4956</v>
      </c>
      <c r="H241" s="22" t="s">
        <v>4987</v>
      </c>
      <c r="I241" s="22" t="s">
        <v>4988</v>
      </c>
      <c r="J241" s="22" t="s">
        <v>4401</v>
      </c>
      <c r="K241" s="22" t="s">
        <v>4968</v>
      </c>
      <c r="L241" s="22"/>
      <c r="M241" s="22"/>
      <c r="N241" s="22"/>
    </row>
    <row r="242" spans="1:14" x14ac:dyDescent="0.25">
      <c r="A242" s="22" t="s">
        <v>7781</v>
      </c>
      <c r="B242" s="22" t="s">
        <v>39</v>
      </c>
      <c r="C242" s="22" t="s">
        <v>4989</v>
      </c>
      <c r="D242" s="23">
        <v>-243913</v>
      </c>
      <c r="E242" s="22" t="s">
        <v>57</v>
      </c>
      <c r="F242" s="24">
        <v>43187</v>
      </c>
      <c r="G242" s="22" t="s">
        <v>4956</v>
      </c>
      <c r="H242" s="22" t="s">
        <v>4990</v>
      </c>
      <c r="I242" s="22" t="s">
        <v>4991</v>
      </c>
      <c r="J242" s="22" t="s">
        <v>4401</v>
      </c>
      <c r="K242" s="22" t="s">
        <v>4992</v>
      </c>
      <c r="L242" s="22"/>
      <c r="M242" s="22"/>
      <c r="N242" s="22"/>
    </row>
    <row r="243" spans="1:14" x14ac:dyDescent="0.25">
      <c r="A243" s="22" t="s">
        <v>7782</v>
      </c>
      <c r="B243" s="22" t="s">
        <v>39</v>
      </c>
      <c r="C243" s="22" t="s">
        <v>4989</v>
      </c>
      <c r="D243" s="23">
        <v>-51300</v>
      </c>
      <c r="E243" s="22" t="s">
        <v>57</v>
      </c>
      <c r="F243" s="24">
        <v>43192</v>
      </c>
      <c r="G243" s="22" t="s">
        <v>4956</v>
      </c>
      <c r="H243" s="22" t="s">
        <v>4993</v>
      </c>
      <c r="I243" s="22" t="s">
        <v>4994</v>
      </c>
      <c r="J243" s="22" t="s">
        <v>4401</v>
      </c>
      <c r="K243" s="22" t="s">
        <v>4992</v>
      </c>
      <c r="L243" s="22"/>
      <c r="M243" s="22"/>
      <c r="N243" s="22"/>
    </row>
    <row r="244" spans="1:14" x14ac:dyDescent="0.25">
      <c r="A244" s="22" t="s">
        <v>7783</v>
      </c>
      <c r="B244" s="22" t="s">
        <v>39</v>
      </c>
      <c r="C244" s="22" t="s">
        <v>4995</v>
      </c>
      <c r="D244" s="23">
        <v>-114322</v>
      </c>
      <c r="E244" s="22" t="s">
        <v>57</v>
      </c>
      <c r="F244" s="24">
        <v>43204</v>
      </c>
      <c r="G244" s="22" t="s">
        <v>4956</v>
      </c>
      <c r="H244" s="22" t="s">
        <v>4996</v>
      </c>
      <c r="I244" s="22" t="s">
        <v>4997</v>
      </c>
      <c r="J244" s="22" t="s">
        <v>4401</v>
      </c>
      <c r="K244" s="22" t="s">
        <v>4864</v>
      </c>
      <c r="L244" s="22"/>
      <c r="M244" s="22"/>
      <c r="N244" s="22"/>
    </row>
    <row r="245" spans="1:14" x14ac:dyDescent="0.25">
      <c r="A245" s="22" t="s">
        <v>7784</v>
      </c>
      <c r="B245" s="22" t="s">
        <v>39</v>
      </c>
      <c r="C245" s="22" t="s">
        <v>4995</v>
      </c>
      <c r="D245" s="23">
        <v>-95722</v>
      </c>
      <c r="E245" s="22" t="s">
        <v>57</v>
      </c>
      <c r="F245" s="24">
        <v>43209</v>
      </c>
      <c r="G245" s="22" t="s">
        <v>4956</v>
      </c>
      <c r="H245" s="22" t="s">
        <v>4996</v>
      </c>
      <c r="I245" s="22" t="s">
        <v>4998</v>
      </c>
      <c r="J245" s="22" t="s">
        <v>4401</v>
      </c>
      <c r="K245" s="22" t="s">
        <v>4864</v>
      </c>
      <c r="L245" s="22"/>
      <c r="M245" s="22"/>
      <c r="N245" s="22"/>
    </row>
    <row r="246" spans="1:14" x14ac:dyDescent="0.25">
      <c r="A246" s="22" t="s">
        <v>4999</v>
      </c>
      <c r="B246" s="22" t="s">
        <v>39</v>
      </c>
      <c r="C246" s="22" t="s">
        <v>4402</v>
      </c>
      <c r="D246" s="23">
        <v>3000000</v>
      </c>
      <c r="E246" s="22" t="s">
        <v>42</v>
      </c>
      <c r="F246" s="24">
        <v>43411</v>
      </c>
      <c r="G246" s="22" t="s">
        <v>4956</v>
      </c>
      <c r="H246" s="22" t="s">
        <v>4939</v>
      </c>
      <c r="I246" s="22" t="s">
        <v>5000</v>
      </c>
      <c r="J246" s="22" t="s">
        <v>4401</v>
      </c>
      <c r="K246" s="22" t="s">
        <v>4402</v>
      </c>
      <c r="L246" s="22"/>
      <c r="M246" s="22"/>
      <c r="N246" s="22"/>
    </row>
    <row r="247" spans="1:14" x14ac:dyDescent="0.25">
      <c r="A247" s="22" t="s">
        <v>7785</v>
      </c>
      <c r="B247" s="22" t="s">
        <v>39</v>
      </c>
      <c r="C247" s="22" t="s">
        <v>5001</v>
      </c>
      <c r="D247" s="23">
        <v>-7838193</v>
      </c>
      <c r="E247" s="22" t="s">
        <v>57</v>
      </c>
      <c r="F247" s="24">
        <v>43397</v>
      </c>
      <c r="G247" s="22" t="s">
        <v>5002</v>
      </c>
      <c r="H247" s="22" t="s">
        <v>5003</v>
      </c>
      <c r="I247" s="22" t="s">
        <v>5004</v>
      </c>
      <c r="J247" s="22" t="s">
        <v>4401</v>
      </c>
      <c r="K247" s="22" t="s">
        <v>4744</v>
      </c>
      <c r="L247" s="22"/>
      <c r="M247" s="22"/>
      <c r="N247" s="22"/>
    </row>
    <row r="248" spans="1:14" x14ac:dyDescent="0.25">
      <c r="A248" s="22" t="s">
        <v>5006</v>
      </c>
      <c r="B248" s="22" t="s">
        <v>39</v>
      </c>
      <c r="C248" s="22" t="s">
        <v>5005</v>
      </c>
      <c r="D248" s="23">
        <v>9713919</v>
      </c>
      <c r="E248" s="22" t="s">
        <v>45</v>
      </c>
      <c r="F248" s="24">
        <v>43488</v>
      </c>
      <c r="G248" s="22" t="s">
        <v>5002</v>
      </c>
      <c r="H248" s="22" t="s">
        <v>5007</v>
      </c>
      <c r="I248" s="22" t="s">
        <v>5002</v>
      </c>
      <c r="J248" s="22" t="s">
        <v>4401</v>
      </c>
      <c r="K248" s="22" t="s">
        <v>5007</v>
      </c>
      <c r="L248" s="22"/>
      <c r="M248" s="22"/>
      <c r="N248" s="22"/>
    </row>
    <row r="249" spans="1:14" x14ac:dyDescent="0.25">
      <c r="A249" s="22" t="s">
        <v>5006</v>
      </c>
      <c r="B249" s="22" t="s">
        <v>39</v>
      </c>
      <c r="C249" s="22" t="s">
        <v>5005</v>
      </c>
      <c r="D249" s="23">
        <v>-9713919</v>
      </c>
      <c r="E249" s="22" t="s">
        <v>45</v>
      </c>
      <c r="F249" s="24">
        <v>43488</v>
      </c>
      <c r="G249" s="22" t="s">
        <v>5002</v>
      </c>
      <c r="H249" s="22" t="s">
        <v>5007</v>
      </c>
      <c r="I249" s="22" t="s">
        <v>5002</v>
      </c>
      <c r="J249" s="22" t="s">
        <v>4401</v>
      </c>
      <c r="K249" s="22" t="s">
        <v>5007</v>
      </c>
      <c r="L249" s="22"/>
      <c r="M249" s="22"/>
      <c r="N249" s="22"/>
    </row>
    <row r="250" spans="1:14" x14ac:dyDescent="0.25">
      <c r="A250" s="22" t="s">
        <v>7786</v>
      </c>
      <c r="B250" s="22" t="s">
        <v>39</v>
      </c>
      <c r="C250" s="22" t="s">
        <v>5008</v>
      </c>
      <c r="D250" s="23">
        <v>-205222</v>
      </c>
      <c r="E250" s="22" t="s">
        <v>57</v>
      </c>
      <c r="F250" s="24">
        <v>43188</v>
      </c>
      <c r="G250" s="22" t="s">
        <v>5002</v>
      </c>
      <c r="H250" s="22" t="s">
        <v>5009</v>
      </c>
      <c r="I250" s="22" t="s">
        <v>5010</v>
      </c>
      <c r="J250" s="22" t="s">
        <v>4401</v>
      </c>
      <c r="K250" s="22" t="s">
        <v>5011</v>
      </c>
      <c r="L250" s="22"/>
      <c r="M250" s="22"/>
      <c r="N250" s="22"/>
    </row>
    <row r="251" spans="1:14" x14ac:dyDescent="0.25">
      <c r="A251" s="22" t="s">
        <v>7787</v>
      </c>
      <c r="B251" s="22" t="s">
        <v>39</v>
      </c>
      <c r="C251" s="22" t="s">
        <v>5008</v>
      </c>
      <c r="D251" s="23">
        <v>-177480</v>
      </c>
      <c r="E251" s="22" t="s">
        <v>57</v>
      </c>
      <c r="F251" s="24">
        <v>43188</v>
      </c>
      <c r="G251" s="22" t="s">
        <v>5002</v>
      </c>
      <c r="H251" s="22" t="s">
        <v>5012</v>
      </c>
      <c r="I251" s="22" t="s">
        <v>5013</v>
      </c>
      <c r="J251" s="22" t="s">
        <v>4401</v>
      </c>
      <c r="K251" s="22" t="s">
        <v>5011</v>
      </c>
      <c r="L251" s="22"/>
      <c r="M251" s="22"/>
      <c r="N251" s="22"/>
    </row>
    <row r="252" spans="1:14" x14ac:dyDescent="0.25">
      <c r="A252" s="22" t="s">
        <v>7788</v>
      </c>
      <c r="B252" s="22" t="s">
        <v>39</v>
      </c>
      <c r="C252" s="22" t="s">
        <v>5014</v>
      </c>
      <c r="D252" s="23">
        <v>-168997</v>
      </c>
      <c r="E252" s="22" t="s">
        <v>57</v>
      </c>
      <c r="F252" s="24">
        <v>43244</v>
      </c>
      <c r="G252" s="22" t="s">
        <v>5002</v>
      </c>
      <c r="H252" s="22" t="s">
        <v>5015</v>
      </c>
      <c r="I252" s="22" t="s">
        <v>5016</v>
      </c>
      <c r="J252" s="22" t="s">
        <v>4401</v>
      </c>
      <c r="K252" s="22" t="s">
        <v>5017</v>
      </c>
      <c r="L252" s="22"/>
      <c r="M252" s="22"/>
      <c r="N252" s="22"/>
    </row>
    <row r="253" spans="1:14" x14ac:dyDescent="0.25">
      <c r="A253" s="22" t="s">
        <v>7789</v>
      </c>
      <c r="B253" s="22" t="s">
        <v>39</v>
      </c>
      <c r="C253" s="22" t="s">
        <v>5018</v>
      </c>
      <c r="D253" s="23">
        <v>-376983</v>
      </c>
      <c r="E253" s="22" t="s">
        <v>57</v>
      </c>
      <c r="F253" s="24">
        <v>43311</v>
      </c>
      <c r="G253" s="22" t="s">
        <v>5002</v>
      </c>
      <c r="H253" s="22" t="s">
        <v>5019</v>
      </c>
      <c r="I253" s="22" t="s">
        <v>5020</v>
      </c>
      <c r="J253" s="22" t="s">
        <v>4401</v>
      </c>
      <c r="K253" s="22" t="s">
        <v>5021</v>
      </c>
      <c r="L253" s="22"/>
      <c r="M253" s="22"/>
      <c r="N253" s="22"/>
    </row>
    <row r="254" spans="1:14" x14ac:dyDescent="0.25">
      <c r="A254" s="22" t="s">
        <v>7790</v>
      </c>
      <c r="B254" s="22" t="s">
        <v>39</v>
      </c>
      <c r="C254" s="22" t="s">
        <v>5018</v>
      </c>
      <c r="D254" s="23">
        <v>-66174</v>
      </c>
      <c r="E254" s="22" t="s">
        <v>57</v>
      </c>
      <c r="F254" s="24">
        <v>43292</v>
      </c>
      <c r="G254" s="22" t="s">
        <v>5002</v>
      </c>
      <c r="H254" s="22" t="s">
        <v>5022</v>
      </c>
      <c r="I254" s="22" t="s">
        <v>5023</v>
      </c>
      <c r="J254" s="22" t="s">
        <v>4401</v>
      </c>
      <c r="K254" s="22" t="s">
        <v>5021</v>
      </c>
      <c r="L254" s="22"/>
      <c r="M254" s="22"/>
      <c r="N254" s="22"/>
    </row>
    <row r="255" spans="1:14" x14ac:dyDescent="0.25">
      <c r="A255" s="22" t="s">
        <v>7791</v>
      </c>
      <c r="B255" s="22" t="s">
        <v>39</v>
      </c>
      <c r="C255" s="22" t="s">
        <v>5018</v>
      </c>
      <c r="D255" s="23">
        <v>-109867</v>
      </c>
      <c r="E255" s="22" t="s">
        <v>57</v>
      </c>
      <c r="F255" s="24">
        <v>43282</v>
      </c>
      <c r="G255" s="22" t="s">
        <v>5002</v>
      </c>
      <c r="H255" s="22" t="s">
        <v>5024</v>
      </c>
      <c r="I255" s="22" t="s">
        <v>5025</v>
      </c>
      <c r="J255" s="22" t="s">
        <v>4401</v>
      </c>
      <c r="K255" s="22" t="s">
        <v>5021</v>
      </c>
      <c r="L255" s="22"/>
      <c r="M255" s="22"/>
      <c r="N255" s="22"/>
    </row>
    <row r="256" spans="1:14" x14ac:dyDescent="0.25">
      <c r="A256" s="22" t="s">
        <v>7792</v>
      </c>
      <c r="B256" s="22" t="s">
        <v>39</v>
      </c>
      <c r="C256" s="22" t="s">
        <v>5026</v>
      </c>
      <c r="D256" s="23">
        <v>-771003</v>
      </c>
      <c r="E256" s="22" t="s">
        <v>57</v>
      </c>
      <c r="F256" s="24">
        <v>43314</v>
      </c>
      <c r="G256" s="22" t="s">
        <v>5002</v>
      </c>
      <c r="H256" s="22" t="s">
        <v>5027</v>
      </c>
      <c r="I256" s="22" t="s">
        <v>5028</v>
      </c>
      <c r="J256" s="22" t="s">
        <v>4401</v>
      </c>
      <c r="K256" s="22" t="s">
        <v>4460</v>
      </c>
      <c r="L256" s="22"/>
      <c r="M256" s="22"/>
      <c r="N256" s="22"/>
    </row>
    <row r="257" spans="1:14" x14ac:dyDescent="0.25">
      <c r="A257" s="22" t="s">
        <v>5030</v>
      </c>
      <c r="B257" s="22" t="s">
        <v>39</v>
      </c>
      <c r="C257" s="22" t="s">
        <v>5029</v>
      </c>
      <c r="D257" s="23">
        <v>9713919</v>
      </c>
      <c r="E257" s="22" t="s">
        <v>42</v>
      </c>
      <c r="F257" s="24">
        <v>43488</v>
      </c>
      <c r="G257" s="22" t="s">
        <v>5002</v>
      </c>
      <c r="H257" s="22" t="s">
        <v>5031</v>
      </c>
      <c r="I257" s="22" t="s">
        <v>5032</v>
      </c>
      <c r="J257" s="22" t="s">
        <v>4401</v>
      </c>
      <c r="K257" s="22" t="s">
        <v>5029</v>
      </c>
      <c r="L257" s="22"/>
      <c r="M257" s="22"/>
      <c r="N257" s="22"/>
    </row>
    <row r="258" spans="1:14" x14ac:dyDescent="0.25">
      <c r="A258" s="22" t="s">
        <v>5033</v>
      </c>
      <c r="B258" s="22" t="s">
        <v>39</v>
      </c>
      <c r="C258" s="22" t="s">
        <v>4600</v>
      </c>
      <c r="D258" s="23">
        <v>48400</v>
      </c>
      <c r="E258" s="22" t="s">
        <v>45</v>
      </c>
      <c r="F258" s="24">
        <v>43488</v>
      </c>
      <c r="G258" s="22" t="s">
        <v>5034</v>
      </c>
      <c r="H258" s="22" t="s">
        <v>5031</v>
      </c>
      <c r="I258" s="22" t="s">
        <v>5034</v>
      </c>
      <c r="J258" s="22" t="s">
        <v>4466</v>
      </c>
      <c r="K258" s="22" t="s">
        <v>5031</v>
      </c>
      <c r="L258" s="22"/>
      <c r="M258" s="22"/>
      <c r="N258" s="22"/>
    </row>
    <row r="259" spans="1:14" x14ac:dyDescent="0.25">
      <c r="A259" s="22" t="s">
        <v>5033</v>
      </c>
      <c r="B259" s="22" t="s">
        <v>39</v>
      </c>
      <c r="C259" s="22" t="s">
        <v>4600</v>
      </c>
      <c r="D259" s="23">
        <v>-48400</v>
      </c>
      <c r="E259" s="22" t="s">
        <v>45</v>
      </c>
      <c r="F259" s="24">
        <v>43488</v>
      </c>
      <c r="G259" s="22" t="s">
        <v>5034</v>
      </c>
      <c r="H259" s="22" t="s">
        <v>5031</v>
      </c>
      <c r="I259" s="22" t="s">
        <v>5034</v>
      </c>
      <c r="J259" s="22" t="s">
        <v>4401</v>
      </c>
      <c r="K259" s="22" t="s">
        <v>5031</v>
      </c>
      <c r="L259" s="22"/>
      <c r="M259" s="22"/>
      <c r="N259" s="22"/>
    </row>
    <row r="260" spans="1:14" x14ac:dyDescent="0.25">
      <c r="A260" s="22" t="s">
        <v>7793</v>
      </c>
      <c r="B260" s="22" t="s">
        <v>39</v>
      </c>
      <c r="C260" s="22" t="s">
        <v>5035</v>
      </c>
      <c r="D260" s="23">
        <v>-99000</v>
      </c>
      <c r="E260" s="22" t="s">
        <v>57</v>
      </c>
      <c r="F260" s="24">
        <v>43249</v>
      </c>
      <c r="G260" s="22" t="s">
        <v>5034</v>
      </c>
      <c r="H260" s="22" t="s">
        <v>5036</v>
      </c>
      <c r="I260" s="22" t="s">
        <v>5037</v>
      </c>
      <c r="J260" s="22" t="s">
        <v>4401</v>
      </c>
      <c r="K260" s="22" t="s">
        <v>5038</v>
      </c>
      <c r="L260" s="22"/>
      <c r="M260" s="22"/>
      <c r="N260" s="22"/>
    </row>
    <row r="261" spans="1:14" x14ac:dyDescent="0.25">
      <c r="A261" s="22" t="s">
        <v>7794</v>
      </c>
      <c r="B261" s="22" t="s">
        <v>39</v>
      </c>
      <c r="C261" s="22" t="s">
        <v>5039</v>
      </c>
      <c r="D261" s="23">
        <v>-123481</v>
      </c>
      <c r="E261" s="22" t="s">
        <v>57</v>
      </c>
      <c r="F261" s="24">
        <v>43204</v>
      </c>
      <c r="G261" s="22" t="s">
        <v>5034</v>
      </c>
      <c r="H261" s="22" t="s">
        <v>4987</v>
      </c>
      <c r="I261" s="22" t="s">
        <v>5040</v>
      </c>
      <c r="J261" s="22" t="s">
        <v>4401</v>
      </c>
      <c r="K261" s="22" t="s">
        <v>5038</v>
      </c>
      <c r="L261" s="22"/>
      <c r="M261" s="22"/>
      <c r="N261" s="22"/>
    </row>
    <row r="262" spans="1:14" x14ac:dyDescent="0.25">
      <c r="A262" s="22" t="s">
        <v>7795</v>
      </c>
      <c r="B262" s="22" t="s">
        <v>39</v>
      </c>
      <c r="C262" s="22" t="s">
        <v>5039</v>
      </c>
      <c r="D262" s="23">
        <v>-55121</v>
      </c>
      <c r="E262" s="22" t="s">
        <v>57</v>
      </c>
      <c r="F262" s="24">
        <v>43214</v>
      </c>
      <c r="G262" s="22" t="s">
        <v>5034</v>
      </c>
      <c r="H262" s="22" t="s">
        <v>4655</v>
      </c>
      <c r="I262" s="22" t="s">
        <v>5041</v>
      </c>
      <c r="J262" s="22" t="s">
        <v>4401</v>
      </c>
      <c r="K262" s="22" t="s">
        <v>5038</v>
      </c>
      <c r="L262" s="22"/>
      <c r="M262" s="22"/>
      <c r="N262" s="22"/>
    </row>
    <row r="263" spans="1:14" x14ac:dyDescent="0.25">
      <c r="A263" s="22" t="s">
        <v>7796</v>
      </c>
      <c r="B263" s="22" t="s">
        <v>39</v>
      </c>
      <c r="C263" s="22" t="s">
        <v>5042</v>
      </c>
      <c r="D263" s="23">
        <v>-1202786</v>
      </c>
      <c r="E263" s="22" t="s">
        <v>57</v>
      </c>
      <c r="F263" s="24">
        <v>43094</v>
      </c>
      <c r="G263" s="22" t="s">
        <v>5034</v>
      </c>
      <c r="H263" s="22" t="s">
        <v>5043</v>
      </c>
      <c r="I263" s="22" t="s">
        <v>5044</v>
      </c>
      <c r="J263" s="22" t="s">
        <v>4401</v>
      </c>
      <c r="K263" s="22" t="s">
        <v>5038</v>
      </c>
      <c r="L263" s="22"/>
      <c r="M263" s="22"/>
      <c r="N263" s="22"/>
    </row>
    <row r="264" spans="1:14" x14ac:dyDescent="0.25">
      <c r="A264" s="22" t="s">
        <v>7797</v>
      </c>
      <c r="B264" s="22" t="s">
        <v>39</v>
      </c>
      <c r="C264" s="22" t="s">
        <v>5045</v>
      </c>
      <c r="D264" s="23">
        <v>-48400</v>
      </c>
      <c r="E264" s="22" t="s">
        <v>57</v>
      </c>
      <c r="F264" s="24">
        <v>43092</v>
      </c>
      <c r="G264" s="22" t="s">
        <v>5034</v>
      </c>
      <c r="H264" s="22" t="s">
        <v>5046</v>
      </c>
      <c r="I264" s="22" t="s">
        <v>5047</v>
      </c>
      <c r="J264" s="22" t="s">
        <v>4466</v>
      </c>
      <c r="K264" s="22" t="s">
        <v>5038</v>
      </c>
      <c r="L264" s="22"/>
      <c r="M264" s="22"/>
      <c r="N264" s="22"/>
    </row>
    <row r="265" spans="1:14" x14ac:dyDescent="0.25">
      <c r="A265" s="22" t="s">
        <v>7798</v>
      </c>
      <c r="B265" s="22" t="s">
        <v>39</v>
      </c>
      <c r="C265" s="22" t="s">
        <v>5048</v>
      </c>
      <c r="D265" s="23">
        <v>-194779</v>
      </c>
      <c r="E265" s="22" t="s">
        <v>57</v>
      </c>
      <c r="F265" s="24">
        <v>43274</v>
      </c>
      <c r="G265" s="22" t="s">
        <v>5034</v>
      </c>
      <c r="H265" s="22" t="s">
        <v>5049</v>
      </c>
      <c r="I265" s="22" t="s">
        <v>5050</v>
      </c>
      <c r="J265" s="22" t="s">
        <v>4401</v>
      </c>
      <c r="K265" s="22" t="s">
        <v>4606</v>
      </c>
      <c r="L265" s="22"/>
      <c r="M265" s="22"/>
      <c r="N265" s="22"/>
    </row>
    <row r="266" spans="1:14" x14ac:dyDescent="0.25">
      <c r="A266" s="22" t="s">
        <v>7799</v>
      </c>
      <c r="B266" s="22" t="s">
        <v>39</v>
      </c>
      <c r="C266" s="22" t="s">
        <v>4603</v>
      </c>
      <c r="D266" s="23">
        <v>-95300</v>
      </c>
      <c r="E266" s="22" t="s">
        <v>57</v>
      </c>
      <c r="F266" s="24">
        <v>43306</v>
      </c>
      <c r="G266" s="22" t="s">
        <v>5034</v>
      </c>
      <c r="H266" s="22" t="s">
        <v>5051</v>
      </c>
      <c r="I266" s="22" t="s">
        <v>5052</v>
      </c>
      <c r="J266" s="22" t="s">
        <v>4401</v>
      </c>
      <c r="K266" s="22" t="s">
        <v>4606</v>
      </c>
      <c r="L266" s="22"/>
      <c r="M266" s="22"/>
      <c r="N266" s="22"/>
    </row>
    <row r="267" spans="1:14" x14ac:dyDescent="0.25">
      <c r="A267" s="22" t="s">
        <v>7736</v>
      </c>
      <c r="B267" s="22" t="s">
        <v>39</v>
      </c>
      <c r="C267" s="22" t="s">
        <v>4603</v>
      </c>
      <c r="D267" s="23">
        <v>-190759</v>
      </c>
      <c r="E267" s="22" t="s">
        <v>57</v>
      </c>
      <c r="F267" s="24">
        <v>43307</v>
      </c>
      <c r="G267" s="22" t="s">
        <v>5034</v>
      </c>
      <c r="H267" s="22" t="s">
        <v>5053</v>
      </c>
      <c r="I267" s="22" t="s">
        <v>4601</v>
      </c>
      <c r="J267" s="22" t="s">
        <v>4401</v>
      </c>
      <c r="K267" s="22" t="s">
        <v>4602</v>
      </c>
      <c r="L267" s="22"/>
      <c r="M267" s="22"/>
      <c r="N267" s="22"/>
    </row>
    <row r="268" spans="1:14" x14ac:dyDescent="0.25">
      <c r="A268" s="22" t="s">
        <v>5033</v>
      </c>
      <c r="B268" s="22" t="s">
        <v>39</v>
      </c>
      <c r="C268" s="22" t="s">
        <v>5054</v>
      </c>
      <c r="D268" s="23">
        <v>2009626</v>
      </c>
      <c r="E268" s="22" t="s">
        <v>42</v>
      </c>
      <c r="F268" s="24">
        <v>43488</v>
      </c>
      <c r="G268" s="22" t="s">
        <v>5034</v>
      </c>
      <c r="H268" s="22" t="s">
        <v>5031</v>
      </c>
      <c r="I268" s="22" t="s">
        <v>5055</v>
      </c>
      <c r="J268" s="22" t="s">
        <v>4401</v>
      </c>
      <c r="K268" s="22" t="s">
        <v>5054</v>
      </c>
      <c r="L268" s="22"/>
      <c r="M268" s="22"/>
      <c r="N268" s="22"/>
    </row>
    <row r="269" spans="1:14" x14ac:dyDescent="0.25">
      <c r="A269" s="22" t="s">
        <v>5057</v>
      </c>
      <c r="B269" s="22" t="s">
        <v>39</v>
      </c>
      <c r="C269" s="22" t="s">
        <v>5056</v>
      </c>
      <c r="D269" s="23">
        <v>51300</v>
      </c>
      <c r="E269" s="22" t="s">
        <v>45</v>
      </c>
      <c r="F269" s="24">
        <v>43496</v>
      </c>
      <c r="G269" s="22" t="s">
        <v>5058</v>
      </c>
      <c r="H269" s="22"/>
      <c r="I269" s="22" t="s">
        <v>5058</v>
      </c>
      <c r="J269" s="22" t="s">
        <v>4466</v>
      </c>
      <c r="K269" s="22" t="s">
        <v>5057</v>
      </c>
      <c r="L269" s="22"/>
      <c r="M269" s="22"/>
      <c r="N269" s="22"/>
    </row>
    <row r="270" spans="1:14" x14ac:dyDescent="0.25">
      <c r="A270" s="22" t="s">
        <v>5057</v>
      </c>
      <c r="B270" s="22" t="s">
        <v>39</v>
      </c>
      <c r="C270" s="22" t="s">
        <v>5056</v>
      </c>
      <c r="D270" s="23">
        <v>-51300</v>
      </c>
      <c r="E270" s="22" t="s">
        <v>45</v>
      </c>
      <c r="F270" s="24">
        <v>43496</v>
      </c>
      <c r="G270" s="22" t="s">
        <v>5058</v>
      </c>
      <c r="H270" s="22"/>
      <c r="I270" s="22" t="s">
        <v>5058</v>
      </c>
      <c r="J270" s="22" t="s">
        <v>4401</v>
      </c>
      <c r="K270" s="22" t="s">
        <v>5057</v>
      </c>
      <c r="L270" s="22"/>
      <c r="M270" s="22"/>
      <c r="N270" s="22"/>
    </row>
    <row r="271" spans="1:14" x14ac:dyDescent="0.25">
      <c r="A271" s="22" t="s">
        <v>7800</v>
      </c>
      <c r="B271" s="22" t="s">
        <v>39</v>
      </c>
      <c r="C271" s="22" t="s">
        <v>5059</v>
      </c>
      <c r="D271" s="23">
        <v>-51300</v>
      </c>
      <c r="E271" s="22" t="s">
        <v>57</v>
      </c>
      <c r="F271" s="24">
        <v>43150</v>
      </c>
      <c r="G271" s="22" t="s">
        <v>5058</v>
      </c>
      <c r="H271" s="22" t="s">
        <v>5060</v>
      </c>
      <c r="I271" s="22" t="s">
        <v>5061</v>
      </c>
      <c r="J271" s="22" t="s">
        <v>4466</v>
      </c>
      <c r="K271" s="22" t="s">
        <v>4429</v>
      </c>
      <c r="L271" s="22"/>
      <c r="M271" s="22"/>
      <c r="N271" s="22"/>
    </row>
    <row r="272" spans="1:14" x14ac:dyDescent="0.25">
      <c r="A272" s="22" t="s">
        <v>7801</v>
      </c>
      <c r="B272" s="22" t="s">
        <v>39</v>
      </c>
      <c r="C272" s="22" t="s">
        <v>5062</v>
      </c>
      <c r="D272" s="23">
        <v>-224630</v>
      </c>
      <c r="E272" s="22" t="s">
        <v>57</v>
      </c>
      <c r="F272" s="24">
        <v>43201</v>
      </c>
      <c r="G272" s="22" t="s">
        <v>5058</v>
      </c>
      <c r="H272" s="22" t="s">
        <v>5063</v>
      </c>
      <c r="I272" s="22" t="s">
        <v>5064</v>
      </c>
      <c r="J272" s="22" t="s">
        <v>4401</v>
      </c>
      <c r="K272" s="22" t="s">
        <v>103</v>
      </c>
      <c r="L272" s="22"/>
      <c r="M272" s="22"/>
      <c r="N272" s="22"/>
    </row>
    <row r="273" spans="1:14" x14ac:dyDescent="0.25">
      <c r="A273" s="22" t="s">
        <v>7802</v>
      </c>
      <c r="B273" s="22" t="s">
        <v>39</v>
      </c>
      <c r="C273" s="22" t="s">
        <v>5065</v>
      </c>
      <c r="D273" s="23">
        <v>-51300</v>
      </c>
      <c r="E273" s="22" t="s">
        <v>57</v>
      </c>
      <c r="F273" s="24">
        <v>43253</v>
      </c>
      <c r="G273" s="22" t="s">
        <v>5058</v>
      </c>
      <c r="H273" s="22" t="s">
        <v>5066</v>
      </c>
      <c r="I273" s="22" t="s">
        <v>5067</v>
      </c>
      <c r="J273" s="22" t="s">
        <v>4401</v>
      </c>
      <c r="K273" s="22" t="s">
        <v>5068</v>
      </c>
      <c r="L273" s="22"/>
      <c r="M273" s="22"/>
      <c r="N273" s="22"/>
    </row>
    <row r="274" spans="1:14" x14ac:dyDescent="0.25">
      <c r="A274" s="22" t="s">
        <v>7803</v>
      </c>
      <c r="B274" s="22" t="s">
        <v>39</v>
      </c>
      <c r="C274" s="22" t="s">
        <v>5065</v>
      </c>
      <c r="D274" s="23">
        <v>-101442</v>
      </c>
      <c r="E274" s="22" t="s">
        <v>57</v>
      </c>
      <c r="F274" s="24">
        <v>43262</v>
      </c>
      <c r="G274" s="22" t="s">
        <v>5058</v>
      </c>
      <c r="H274" s="22" t="s">
        <v>5069</v>
      </c>
      <c r="I274" s="22" t="s">
        <v>5070</v>
      </c>
      <c r="J274" s="22" t="s">
        <v>4401</v>
      </c>
      <c r="K274" s="22" t="s">
        <v>5068</v>
      </c>
      <c r="L274" s="22"/>
      <c r="M274" s="22"/>
      <c r="N274" s="22"/>
    </row>
    <row r="275" spans="1:14" x14ac:dyDescent="0.25">
      <c r="A275" s="22" t="s">
        <v>7804</v>
      </c>
      <c r="B275" s="22" t="s">
        <v>39</v>
      </c>
      <c r="C275" s="22" t="s">
        <v>5065</v>
      </c>
      <c r="D275" s="23">
        <v>-327951</v>
      </c>
      <c r="E275" s="22" t="s">
        <v>57</v>
      </c>
      <c r="F275" s="24">
        <v>43269</v>
      </c>
      <c r="G275" s="22" t="s">
        <v>5058</v>
      </c>
      <c r="H275" s="22" t="s">
        <v>5071</v>
      </c>
      <c r="I275" s="22" t="s">
        <v>5072</v>
      </c>
      <c r="J275" s="22" t="s">
        <v>4401</v>
      </c>
      <c r="K275" s="22" t="s">
        <v>5068</v>
      </c>
      <c r="L275" s="22"/>
      <c r="M275" s="22"/>
      <c r="N275" s="22"/>
    </row>
    <row r="276" spans="1:14" x14ac:dyDescent="0.25">
      <c r="A276" s="22" t="s">
        <v>7805</v>
      </c>
      <c r="B276" s="22" t="s">
        <v>39</v>
      </c>
      <c r="C276" s="22" t="s">
        <v>5073</v>
      </c>
      <c r="D276" s="23">
        <v>-48400</v>
      </c>
      <c r="E276" s="22" t="s">
        <v>57</v>
      </c>
      <c r="F276" s="24">
        <v>43042</v>
      </c>
      <c r="G276" s="22" t="s">
        <v>5058</v>
      </c>
      <c r="H276" s="22" t="s">
        <v>5074</v>
      </c>
      <c r="I276" s="22" t="s">
        <v>5075</v>
      </c>
      <c r="J276" s="22" t="s">
        <v>4401</v>
      </c>
      <c r="K276" s="22" t="s">
        <v>103</v>
      </c>
      <c r="L276" s="22"/>
      <c r="M276" s="22"/>
      <c r="N276" s="22"/>
    </row>
    <row r="277" spans="1:14" x14ac:dyDescent="0.25">
      <c r="A277" s="22" t="s">
        <v>7806</v>
      </c>
      <c r="B277" s="22" t="s">
        <v>39</v>
      </c>
      <c r="C277" s="22" t="s">
        <v>5073</v>
      </c>
      <c r="D277" s="23">
        <v>-148596</v>
      </c>
      <c r="E277" s="22" t="s">
        <v>57</v>
      </c>
      <c r="F277" s="24">
        <v>43058</v>
      </c>
      <c r="G277" s="22" t="s">
        <v>5058</v>
      </c>
      <c r="H277" s="22" t="s">
        <v>5074</v>
      </c>
      <c r="I277" s="22" t="s">
        <v>5076</v>
      </c>
      <c r="J277" s="22" t="s">
        <v>4401</v>
      </c>
      <c r="K277" s="22" t="s">
        <v>103</v>
      </c>
      <c r="L277" s="22"/>
      <c r="M277" s="22"/>
      <c r="N277" s="22"/>
    </row>
    <row r="278" spans="1:14" x14ac:dyDescent="0.25">
      <c r="A278" s="22" t="s">
        <v>7721</v>
      </c>
      <c r="B278" s="22" t="s">
        <v>39</v>
      </c>
      <c r="C278" s="22" t="s">
        <v>4426</v>
      </c>
      <c r="D278" s="23">
        <v>-682759</v>
      </c>
      <c r="E278" s="22" t="s">
        <v>57</v>
      </c>
      <c r="F278" s="24">
        <v>43313</v>
      </c>
      <c r="G278" s="22" t="s">
        <v>5058</v>
      </c>
      <c r="H278" s="22" t="s">
        <v>5077</v>
      </c>
      <c r="I278" s="22" t="s">
        <v>4428</v>
      </c>
      <c r="J278" s="22" t="s">
        <v>4401</v>
      </c>
      <c r="K278" s="22" t="s">
        <v>4429</v>
      </c>
      <c r="L278" s="22"/>
      <c r="M278" s="22"/>
      <c r="N278" s="22"/>
    </row>
    <row r="279" spans="1:14" x14ac:dyDescent="0.25">
      <c r="A279" s="22" t="s">
        <v>7807</v>
      </c>
      <c r="B279" s="22" t="s">
        <v>39</v>
      </c>
      <c r="C279" s="22" t="s">
        <v>195</v>
      </c>
      <c r="D279" s="23">
        <v>-31200</v>
      </c>
      <c r="E279" s="22" t="s">
        <v>57</v>
      </c>
      <c r="F279" s="24">
        <v>43339</v>
      </c>
      <c r="G279" s="22" t="s">
        <v>5058</v>
      </c>
      <c r="H279" s="22" t="s">
        <v>5078</v>
      </c>
      <c r="I279" s="22" t="s">
        <v>5079</v>
      </c>
      <c r="J279" s="22" t="s">
        <v>4401</v>
      </c>
      <c r="K279" s="22" t="s">
        <v>103</v>
      </c>
      <c r="L279" s="22"/>
      <c r="M279" s="22"/>
      <c r="N279" s="22"/>
    </row>
    <row r="280" spans="1:14" x14ac:dyDescent="0.25">
      <c r="A280" s="22" t="s">
        <v>3206</v>
      </c>
      <c r="B280" s="22" t="s">
        <v>39</v>
      </c>
      <c r="C280" s="22" t="s">
        <v>195</v>
      </c>
      <c r="D280" s="23">
        <v>-1394781</v>
      </c>
      <c r="E280" s="22" t="s">
        <v>57</v>
      </c>
      <c r="F280" s="24">
        <v>43317</v>
      </c>
      <c r="G280" s="22" t="s">
        <v>5058</v>
      </c>
      <c r="H280" s="22" t="s">
        <v>5080</v>
      </c>
      <c r="I280" s="22" t="s">
        <v>197</v>
      </c>
      <c r="J280" s="22" t="s">
        <v>4401</v>
      </c>
      <c r="K280" s="22" t="s">
        <v>28</v>
      </c>
      <c r="L280" s="22"/>
      <c r="M280" s="22"/>
      <c r="N280" s="22"/>
    </row>
    <row r="281" spans="1:14" x14ac:dyDescent="0.25">
      <c r="A281" s="22" t="s">
        <v>5082</v>
      </c>
      <c r="B281" s="22" t="s">
        <v>39</v>
      </c>
      <c r="C281" s="22" t="s">
        <v>5081</v>
      </c>
      <c r="D281" s="23">
        <v>3062359</v>
      </c>
      <c r="E281" s="22" t="s">
        <v>42</v>
      </c>
      <c r="F281" s="24">
        <v>43488</v>
      </c>
      <c r="G281" s="22" t="s">
        <v>5058</v>
      </c>
      <c r="H281" s="22" t="s">
        <v>5031</v>
      </c>
      <c r="I281" s="22" t="s">
        <v>5083</v>
      </c>
      <c r="J281" s="22" t="s">
        <v>4401</v>
      </c>
      <c r="K281" s="22" t="s">
        <v>5081</v>
      </c>
      <c r="L281" s="22"/>
      <c r="M281" s="22"/>
      <c r="N281" s="22"/>
    </row>
    <row r="282" spans="1:14" x14ac:dyDescent="0.25">
      <c r="A282" s="22" t="s">
        <v>7808</v>
      </c>
      <c r="B282" s="22" t="s">
        <v>39</v>
      </c>
      <c r="C282" s="22" t="s">
        <v>5084</v>
      </c>
      <c r="D282" s="23">
        <v>-52810</v>
      </c>
      <c r="E282" s="22" t="s">
        <v>57</v>
      </c>
      <c r="F282" s="24">
        <v>43370</v>
      </c>
      <c r="G282" s="22" t="s">
        <v>5085</v>
      </c>
      <c r="H282" s="22" t="s">
        <v>5086</v>
      </c>
      <c r="I282" s="22" t="s">
        <v>5087</v>
      </c>
      <c r="J282" s="22" t="s">
        <v>4401</v>
      </c>
      <c r="K282" s="22" t="s">
        <v>4838</v>
      </c>
      <c r="L282" s="22"/>
      <c r="M282" s="22"/>
      <c r="N282" s="22"/>
    </row>
    <row r="283" spans="1:14" x14ac:dyDescent="0.25">
      <c r="A283" s="22" t="s">
        <v>7739</v>
      </c>
      <c r="B283" s="22" t="s">
        <v>39</v>
      </c>
      <c r="C283" s="22" t="s">
        <v>4610</v>
      </c>
      <c r="D283" s="23">
        <v>-959433</v>
      </c>
      <c r="E283" s="22" t="s">
        <v>57</v>
      </c>
      <c r="F283" s="24">
        <v>43397</v>
      </c>
      <c r="G283" s="22" t="s">
        <v>5085</v>
      </c>
      <c r="H283" s="22" t="s">
        <v>4612</v>
      </c>
      <c r="I283" s="22" t="s">
        <v>4611</v>
      </c>
      <c r="J283" s="22" t="s">
        <v>4401</v>
      </c>
      <c r="K283" s="22" t="s">
        <v>4424</v>
      </c>
      <c r="L283" s="22"/>
      <c r="M283" s="22"/>
      <c r="N283" s="22"/>
    </row>
    <row r="284" spans="1:14" x14ac:dyDescent="0.25">
      <c r="A284" s="22" t="s">
        <v>7809</v>
      </c>
      <c r="B284" s="22" t="s">
        <v>39</v>
      </c>
      <c r="C284" s="22" t="s">
        <v>4421</v>
      </c>
      <c r="D284" s="23">
        <v>-61900</v>
      </c>
      <c r="E284" s="22" t="s">
        <v>57</v>
      </c>
      <c r="F284" s="24">
        <v>43133</v>
      </c>
      <c r="G284" s="22" t="s">
        <v>5085</v>
      </c>
      <c r="H284" s="22" t="s">
        <v>4973</v>
      </c>
      <c r="I284" s="22" t="s">
        <v>5088</v>
      </c>
      <c r="J284" s="22" t="s">
        <v>4401</v>
      </c>
      <c r="K284" s="22" t="s">
        <v>4424</v>
      </c>
      <c r="L284" s="22"/>
      <c r="M284" s="22"/>
      <c r="N284" s="22"/>
    </row>
    <row r="285" spans="1:14" x14ac:dyDescent="0.25">
      <c r="A285" s="22" t="s">
        <v>7810</v>
      </c>
      <c r="B285" s="22" t="s">
        <v>39</v>
      </c>
      <c r="C285" s="22" t="s">
        <v>5089</v>
      </c>
      <c r="D285" s="23">
        <v>-47000</v>
      </c>
      <c r="E285" s="22" t="s">
        <v>57</v>
      </c>
      <c r="F285" s="24">
        <v>43140</v>
      </c>
      <c r="G285" s="22" t="s">
        <v>5085</v>
      </c>
      <c r="H285" s="22" t="s">
        <v>5090</v>
      </c>
      <c r="I285" s="22" t="s">
        <v>5091</v>
      </c>
      <c r="J285" s="22" t="s">
        <v>4401</v>
      </c>
      <c r="K285" s="22" t="s">
        <v>4424</v>
      </c>
      <c r="L285" s="22"/>
      <c r="M285" s="22"/>
      <c r="N285" s="22"/>
    </row>
    <row r="286" spans="1:14" x14ac:dyDescent="0.25">
      <c r="A286" s="22" t="s">
        <v>7811</v>
      </c>
      <c r="B286" s="22" t="s">
        <v>39</v>
      </c>
      <c r="C286" s="22" t="s">
        <v>5092</v>
      </c>
      <c r="D286" s="23">
        <v>-55519</v>
      </c>
      <c r="E286" s="22" t="s">
        <v>57</v>
      </c>
      <c r="F286" s="24">
        <v>43233</v>
      </c>
      <c r="G286" s="22" t="s">
        <v>5085</v>
      </c>
      <c r="H286" s="22" t="s">
        <v>5093</v>
      </c>
      <c r="I286" s="22" t="s">
        <v>5094</v>
      </c>
      <c r="J286" s="22" t="s">
        <v>4401</v>
      </c>
      <c r="K286" s="22" t="s">
        <v>4816</v>
      </c>
      <c r="L286" s="22"/>
      <c r="M286" s="22"/>
      <c r="N286" s="22"/>
    </row>
    <row r="287" spans="1:14" x14ac:dyDescent="0.25">
      <c r="A287" s="22" t="s">
        <v>7812</v>
      </c>
      <c r="B287" s="22" t="s">
        <v>39</v>
      </c>
      <c r="C287" s="22" t="s">
        <v>5092</v>
      </c>
      <c r="D287" s="23">
        <v>-51300</v>
      </c>
      <c r="E287" s="22" t="s">
        <v>57</v>
      </c>
      <c r="F287" s="24">
        <v>43251</v>
      </c>
      <c r="G287" s="22" t="s">
        <v>5085</v>
      </c>
      <c r="H287" s="22" t="s">
        <v>5093</v>
      </c>
      <c r="I287" s="22" t="s">
        <v>5095</v>
      </c>
      <c r="J287" s="22" t="s">
        <v>4401</v>
      </c>
      <c r="K287" s="22" t="s">
        <v>4816</v>
      </c>
      <c r="L287" s="22"/>
      <c r="M287" s="22"/>
      <c r="N287" s="22"/>
    </row>
    <row r="288" spans="1:14" x14ac:dyDescent="0.25">
      <c r="A288" s="22" t="s">
        <v>7813</v>
      </c>
      <c r="B288" s="22" t="s">
        <v>39</v>
      </c>
      <c r="C288" s="22" t="s">
        <v>5096</v>
      </c>
      <c r="D288" s="23">
        <v>-51300</v>
      </c>
      <c r="E288" s="22" t="s">
        <v>57</v>
      </c>
      <c r="F288" s="24">
        <v>43210</v>
      </c>
      <c r="G288" s="22" t="s">
        <v>5085</v>
      </c>
      <c r="H288" s="22" t="s">
        <v>5097</v>
      </c>
      <c r="I288" s="22" t="s">
        <v>5098</v>
      </c>
      <c r="J288" s="22" t="s">
        <v>4401</v>
      </c>
      <c r="K288" s="22" t="s">
        <v>4816</v>
      </c>
      <c r="L288" s="22"/>
      <c r="M288" s="22"/>
      <c r="N288" s="22"/>
    </row>
    <row r="289" spans="1:14" x14ac:dyDescent="0.25">
      <c r="A289" s="22" t="s">
        <v>7710</v>
      </c>
      <c r="B289" s="22" t="s">
        <v>39</v>
      </c>
      <c r="C289" s="22" t="s">
        <v>5099</v>
      </c>
      <c r="D289" s="23">
        <v>-31200</v>
      </c>
      <c r="E289" s="22" t="s">
        <v>57</v>
      </c>
      <c r="F289" s="24">
        <v>43336</v>
      </c>
      <c r="G289" s="22" t="s">
        <v>5085</v>
      </c>
      <c r="H289" s="22" t="s">
        <v>5093</v>
      </c>
      <c r="I289" s="22" t="s">
        <v>5100</v>
      </c>
      <c r="J289" s="22" t="s">
        <v>4401</v>
      </c>
      <c r="K289" s="22" t="s">
        <v>4424</v>
      </c>
      <c r="L289" s="22"/>
      <c r="M289" s="22"/>
      <c r="N289" s="22"/>
    </row>
    <row r="290" spans="1:14" x14ac:dyDescent="0.25">
      <c r="A290" s="22" t="s">
        <v>5102</v>
      </c>
      <c r="B290" s="22" t="s">
        <v>39</v>
      </c>
      <c r="C290" s="22" t="s">
        <v>5101</v>
      </c>
      <c r="D290" s="23">
        <v>1310462</v>
      </c>
      <c r="E290" s="22" t="s">
        <v>42</v>
      </c>
      <c r="F290" s="24">
        <v>43488</v>
      </c>
      <c r="G290" s="22" t="s">
        <v>5085</v>
      </c>
      <c r="H290" s="22" t="s">
        <v>5031</v>
      </c>
      <c r="I290" s="22" t="s">
        <v>5103</v>
      </c>
      <c r="J290" s="22" t="s">
        <v>4401</v>
      </c>
      <c r="K290" s="22" t="s">
        <v>5101</v>
      </c>
      <c r="L290" s="22"/>
      <c r="M290" s="22"/>
      <c r="N290" s="22"/>
    </row>
    <row r="291" spans="1:14" x14ac:dyDescent="0.25">
      <c r="A291" s="22" t="s">
        <v>2103</v>
      </c>
      <c r="B291" s="22" t="s">
        <v>39</v>
      </c>
      <c r="C291" s="22" t="s">
        <v>3504</v>
      </c>
      <c r="D291" s="23">
        <v>1310462</v>
      </c>
      <c r="E291" s="22" t="s">
        <v>45</v>
      </c>
      <c r="F291" s="24">
        <v>43488</v>
      </c>
      <c r="G291" s="22" t="s">
        <v>5085</v>
      </c>
      <c r="H291" s="22" t="s">
        <v>5104</v>
      </c>
      <c r="I291" s="22" t="s">
        <v>5085</v>
      </c>
      <c r="J291" s="22" t="s">
        <v>4401</v>
      </c>
      <c r="K291" s="22" t="s">
        <v>5105</v>
      </c>
      <c r="L291" s="22"/>
      <c r="M291" s="22"/>
      <c r="N291" s="22"/>
    </row>
    <row r="292" spans="1:14" x14ac:dyDescent="0.25">
      <c r="A292" s="22" t="s">
        <v>2103</v>
      </c>
      <c r="B292" s="22" t="s">
        <v>39</v>
      </c>
      <c r="C292" s="22" t="s">
        <v>3504</v>
      </c>
      <c r="D292" s="23">
        <v>-1310462</v>
      </c>
      <c r="E292" s="22" t="s">
        <v>45</v>
      </c>
      <c r="F292" s="24">
        <v>43488</v>
      </c>
      <c r="G292" s="22" t="s">
        <v>5085</v>
      </c>
      <c r="H292" s="22" t="s">
        <v>5104</v>
      </c>
      <c r="I292" s="22" t="s">
        <v>5085</v>
      </c>
      <c r="J292" s="22" t="s">
        <v>4401</v>
      </c>
      <c r="K292" s="22" t="s">
        <v>5105</v>
      </c>
      <c r="L292" s="22"/>
      <c r="M292" s="22"/>
      <c r="N292" s="22"/>
    </row>
    <row r="293" spans="1:14" x14ac:dyDescent="0.25">
      <c r="A293" s="22" t="s">
        <v>7814</v>
      </c>
      <c r="B293" s="22" t="s">
        <v>39</v>
      </c>
      <c r="C293" s="22" t="s">
        <v>5106</v>
      </c>
      <c r="D293" s="23">
        <v>-4150452</v>
      </c>
      <c r="E293" s="22" t="s">
        <v>57</v>
      </c>
      <c r="F293" s="24">
        <v>43424</v>
      </c>
      <c r="G293" s="22" t="s">
        <v>5107</v>
      </c>
      <c r="H293" s="22" t="s">
        <v>5108</v>
      </c>
      <c r="I293" s="22" t="s">
        <v>5109</v>
      </c>
      <c r="J293" s="22" t="s">
        <v>4401</v>
      </c>
      <c r="K293" s="22" t="s">
        <v>4437</v>
      </c>
      <c r="L293" s="22"/>
      <c r="M293" s="22"/>
      <c r="N293" s="22"/>
    </row>
    <row r="294" spans="1:14" x14ac:dyDescent="0.25">
      <c r="A294" s="22" t="s">
        <v>5110</v>
      </c>
      <c r="B294" s="22" t="s">
        <v>39</v>
      </c>
      <c r="C294" s="22" t="s">
        <v>5005</v>
      </c>
      <c r="D294" s="23">
        <v>4150452</v>
      </c>
      <c r="E294" s="22" t="s">
        <v>45</v>
      </c>
      <c r="F294" s="24">
        <v>43488</v>
      </c>
      <c r="G294" s="22" t="s">
        <v>5107</v>
      </c>
      <c r="H294" s="22" t="s">
        <v>2103</v>
      </c>
      <c r="I294" s="22" t="s">
        <v>5107</v>
      </c>
      <c r="J294" s="22" t="s">
        <v>4401</v>
      </c>
      <c r="K294" s="22" t="s">
        <v>2103</v>
      </c>
      <c r="L294" s="22"/>
      <c r="M294" s="22"/>
      <c r="N294" s="22"/>
    </row>
    <row r="295" spans="1:14" x14ac:dyDescent="0.25">
      <c r="A295" s="22" t="s">
        <v>5110</v>
      </c>
      <c r="B295" s="22" t="s">
        <v>39</v>
      </c>
      <c r="C295" s="22" t="s">
        <v>5005</v>
      </c>
      <c r="D295" s="23">
        <v>-4150452</v>
      </c>
      <c r="E295" s="22" t="s">
        <v>45</v>
      </c>
      <c r="F295" s="24">
        <v>43488</v>
      </c>
      <c r="G295" s="22" t="s">
        <v>5107</v>
      </c>
      <c r="H295" s="22" t="s">
        <v>2103</v>
      </c>
      <c r="I295" s="22" t="s">
        <v>5107</v>
      </c>
      <c r="J295" s="22" t="s">
        <v>4401</v>
      </c>
      <c r="K295" s="22" t="s">
        <v>2103</v>
      </c>
      <c r="L295" s="22"/>
      <c r="M295" s="22"/>
      <c r="N295" s="22"/>
    </row>
    <row r="296" spans="1:14" x14ac:dyDescent="0.25">
      <c r="A296" s="22" t="s">
        <v>5110</v>
      </c>
      <c r="B296" s="22" t="s">
        <v>39</v>
      </c>
      <c r="C296" s="22" t="s">
        <v>5111</v>
      </c>
      <c r="D296" s="23">
        <v>4150452</v>
      </c>
      <c r="E296" s="22" t="s">
        <v>42</v>
      </c>
      <c r="F296" s="24">
        <v>43488</v>
      </c>
      <c r="G296" s="22" t="s">
        <v>5107</v>
      </c>
      <c r="H296" s="22" t="s">
        <v>5031</v>
      </c>
      <c r="I296" s="22" t="s">
        <v>5112</v>
      </c>
      <c r="J296" s="22" t="s">
        <v>4401</v>
      </c>
      <c r="K296" s="22" t="s">
        <v>5111</v>
      </c>
      <c r="L296" s="22"/>
      <c r="M296" s="22"/>
      <c r="N296" s="22"/>
    </row>
    <row r="297" spans="1:14" x14ac:dyDescent="0.25">
      <c r="A297" s="22" t="s">
        <v>7815</v>
      </c>
      <c r="B297" s="22" t="s">
        <v>39</v>
      </c>
      <c r="C297" s="22" t="s">
        <v>5113</v>
      </c>
      <c r="D297" s="23">
        <v>-160817</v>
      </c>
      <c r="E297" s="22" t="s">
        <v>57</v>
      </c>
      <c r="F297" s="24">
        <v>43378</v>
      </c>
      <c r="G297" s="22" t="s">
        <v>5114</v>
      </c>
      <c r="H297" s="22" t="s">
        <v>5115</v>
      </c>
      <c r="I297" s="22" t="s">
        <v>5116</v>
      </c>
      <c r="J297" s="22" t="s">
        <v>4401</v>
      </c>
      <c r="K297" s="22" t="s">
        <v>4467</v>
      </c>
      <c r="L297" s="22"/>
      <c r="M297" s="22"/>
      <c r="N297" s="22"/>
    </row>
    <row r="298" spans="1:14" x14ac:dyDescent="0.25">
      <c r="A298" s="22" t="s">
        <v>2103</v>
      </c>
      <c r="B298" s="22" t="s">
        <v>39</v>
      </c>
      <c r="C298" s="22" t="s">
        <v>5056</v>
      </c>
      <c r="D298" s="23">
        <v>160817</v>
      </c>
      <c r="E298" s="22" t="s">
        <v>45</v>
      </c>
      <c r="F298" s="24">
        <v>43496</v>
      </c>
      <c r="G298" s="22" t="s">
        <v>5114</v>
      </c>
      <c r="H298" s="22" t="s">
        <v>5117</v>
      </c>
      <c r="I298" s="22" t="s">
        <v>5114</v>
      </c>
      <c r="J298" s="22" t="s">
        <v>4401</v>
      </c>
      <c r="K298" s="22" t="s">
        <v>5118</v>
      </c>
      <c r="L298" s="22"/>
      <c r="M298" s="22"/>
      <c r="N298" s="22"/>
    </row>
    <row r="299" spans="1:14" x14ac:dyDescent="0.25">
      <c r="A299" s="22" t="s">
        <v>2103</v>
      </c>
      <c r="B299" s="22" t="s">
        <v>39</v>
      </c>
      <c r="C299" s="22" t="s">
        <v>5056</v>
      </c>
      <c r="D299" s="23">
        <v>-160817</v>
      </c>
      <c r="E299" s="22" t="s">
        <v>45</v>
      </c>
      <c r="F299" s="24">
        <v>43496</v>
      </c>
      <c r="G299" s="22" t="s">
        <v>5114</v>
      </c>
      <c r="H299" s="22" t="s">
        <v>5117</v>
      </c>
      <c r="I299" s="22" t="s">
        <v>5114</v>
      </c>
      <c r="J299" s="22" t="s">
        <v>4401</v>
      </c>
      <c r="K299" s="22" t="s">
        <v>5118</v>
      </c>
      <c r="L299" s="22"/>
      <c r="M299" s="22"/>
      <c r="N299" s="22"/>
    </row>
    <row r="300" spans="1:14" x14ac:dyDescent="0.25">
      <c r="A300" s="22" t="s">
        <v>5120</v>
      </c>
      <c r="B300" s="22" t="s">
        <v>39</v>
      </c>
      <c r="C300" s="22" t="s">
        <v>5119</v>
      </c>
      <c r="D300" s="23">
        <v>160817</v>
      </c>
      <c r="E300" s="22" t="s">
        <v>42</v>
      </c>
      <c r="F300" s="24">
        <v>43495</v>
      </c>
      <c r="G300" s="22" t="s">
        <v>5114</v>
      </c>
      <c r="H300" s="22" t="s">
        <v>5031</v>
      </c>
      <c r="I300" s="22" t="s">
        <v>5121</v>
      </c>
      <c r="J300" s="22" t="s">
        <v>4401</v>
      </c>
      <c r="K300" s="22" t="s">
        <v>5119</v>
      </c>
      <c r="L300" s="22"/>
      <c r="M300" s="22"/>
      <c r="N300" s="22"/>
    </row>
    <row r="301" spans="1:14" x14ac:dyDescent="0.25">
      <c r="A301" s="22" t="s">
        <v>7816</v>
      </c>
      <c r="B301" s="22" t="s">
        <v>39</v>
      </c>
      <c r="C301" s="22" t="s">
        <v>5122</v>
      </c>
      <c r="D301" s="23">
        <v>-651083</v>
      </c>
      <c r="E301" s="22" t="s">
        <v>57</v>
      </c>
      <c r="F301" s="24">
        <v>43430</v>
      </c>
      <c r="G301" s="22" t="s">
        <v>5123</v>
      </c>
      <c r="H301" s="22" t="s">
        <v>5124</v>
      </c>
      <c r="I301" s="22" t="s">
        <v>5125</v>
      </c>
      <c r="J301" s="22" t="s">
        <v>4401</v>
      </c>
      <c r="K301" s="22" t="s">
        <v>4489</v>
      </c>
      <c r="L301" s="22"/>
      <c r="M301" s="22"/>
      <c r="N301" s="22"/>
    </row>
    <row r="302" spans="1:14" x14ac:dyDescent="0.25">
      <c r="A302" s="22" t="s">
        <v>7711</v>
      </c>
      <c r="B302" s="22" t="s">
        <v>39</v>
      </c>
      <c r="C302" s="22" t="s">
        <v>5126</v>
      </c>
      <c r="D302" s="23">
        <v>-31200</v>
      </c>
      <c r="E302" s="22" t="s">
        <v>57</v>
      </c>
      <c r="F302" s="24">
        <v>43395</v>
      </c>
      <c r="G302" s="22" t="s">
        <v>5123</v>
      </c>
      <c r="H302" s="22" t="s">
        <v>5124</v>
      </c>
      <c r="I302" s="22" t="s">
        <v>5127</v>
      </c>
      <c r="J302" s="22" t="s">
        <v>4401</v>
      </c>
      <c r="K302" s="22" t="s">
        <v>4489</v>
      </c>
      <c r="L302" s="22"/>
      <c r="M302" s="22"/>
      <c r="N302" s="22"/>
    </row>
    <row r="303" spans="1:14" x14ac:dyDescent="0.25">
      <c r="A303" s="22"/>
      <c r="B303" s="22" t="s">
        <v>39</v>
      </c>
      <c r="C303" s="22" t="s">
        <v>4600</v>
      </c>
      <c r="D303" s="23">
        <v>0</v>
      </c>
      <c r="E303" s="22" t="s">
        <v>45</v>
      </c>
      <c r="F303" s="24">
        <v>43495</v>
      </c>
      <c r="G303" s="22" t="s">
        <v>5123</v>
      </c>
      <c r="H303" s="22" t="s">
        <v>2103</v>
      </c>
      <c r="I303" s="22" t="s">
        <v>5123</v>
      </c>
      <c r="J303" s="22" t="s">
        <v>4401</v>
      </c>
      <c r="K303" s="22" t="s">
        <v>2103</v>
      </c>
      <c r="L303" s="22"/>
      <c r="M303" s="22"/>
      <c r="N303" s="22"/>
    </row>
    <row r="304" spans="1:14" x14ac:dyDescent="0.25">
      <c r="A304" s="22" t="s">
        <v>5129</v>
      </c>
      <c r="B304" s="22" t="s">
        <v>39</v>
      </c>
      <c r="C304" s="22" t="s">
        <v>5128</v>
      </c>
      <c r="D304" s="23">
        <v>682283</v>
      </c>
      <c r="E304" s="22" t="s">
        <v>42</v>
      </c>
      <c r="F304" s="24">
        <v>43495</v>
      </c>
      <c r="G304" s="22" t="s">
        <v>5123</v>
      </c>
      <c r="H304" s="22" t="s">
        <v>5031</v>
      </c>
      <c r="I304" s="22" t="s">
        <v>5130</v>
      </c>
      <c r="J304" s="22" t="s">
        <v>4401</v>
      </c>
      <c r="K304" s="22" t="s">
        <v>5128</v>
      </c>
      <c r="L304" s="22"/>
      <c r="M304" s="22"/>
      <c r="N304" s="22"/>
    </row>
    <row r="305" spans="1:14" x14ac:dyDescent="0.25">
      <c r="A305" s="22" t="s">
        <v>7740</v>
      </c>
      <c r="B305" s="22" t="s">
        <v>39</v>
      </c>
      <c r="C305" s="22" t="s">
        <v>4615</v>
      </c>
      <c r="D305" s="23">
        <v>-141800</v>
      </c>
      <c r="E305" s="22" t="s">
        <v>57</v>
      </c>
      <c r="F305" s="24">
        <v>43159</v>
      </c>
      <c r="G305" s="22" t="s">
        <v>5131</v>
      </c>
      <c r="H305" s="22" t="s">
        <v>5132</v>
      </c>
      <c r="I305" s="22" t="s">
        <v>4617</v>
      </c>
      <c r="J305" s="22" t="s">
        <v>4401</v>
      </c>
      <c r="K305" s="22" t="s">
        <v>4616</v>
      </c>
      <c r="L305" s="22"/>
      <c r="M305" s="22"/>
      <c r="N305" s="22"/>
    </row>
    <row r="306" spans="1:14" x14ac:dyDescent="0.25">
      <c r="A306" s="22" t="s">
        <v>2115</v>
      </c>
      <c r="B306" s="22" t="s">
        <v>39</v>
      </c>
      <c r="C306" s="22" t="s">
        <v>4615</v>
      </c>
      <c r="D306" s="23">
        <v>141800</v>
      </c>
      <c r="E306" s="22" t="s">
        <v>45</v>
      </c>
      <c r="F306" s="24">
        <v>43601</v>
      </c>
      <c r="G306" s="22" t="s">
        <v>5131</v>
      </c>
      <c r="H306" s="22" t="s">
        <v>5133</v>
      </c>
      <c r="I306" s="22" t="s">
        <v>5131</v>
      </c>
      <c r="J306" s="22" t="s">
        <v>4401</v>
      </c>
      <c r="K306" s="22" t="s">
        <v>5134</v>
      </c>
      <c r="L306" s="22"/>
      <c r="M306" s="22"/>
      <c r="N306" s="22"/>
    </row>
    <row r="307" spans="1:14" x14ac:dyDescent="0.25">
      <c r="A307" s="22" t="s">
        <v>2115</v>
      </c>
      <c r="B307" s="22" t="s">
        <v>39</v>
      </c>
      <c r="C307" s="22" t="s">
        <v>4615</v>
      </c>
      <c r="D307" s="23">
        <v>-141800</v>
      </c>
      <c r="E307" s="22" t="s">
        <v>45</v>
      </c>
      <c r="F307" s="24">
        <v>43601</v>
      </c>
      <c r="G307" s="22" t="s">
        <v>5131</v>
      </c>
      <c r="H307" s="22" t="s">
        <v>5133</v>
      </c>
      <c r="I307" s="22" t="s">
        <v>5131</v>
      </c>
      <c r="J307" s="22" t="s">
        <v>4401</v>
      </c>
      <c r="K307" s="22" t="s">
        <v>5134</v>
      </c>
      <c r="L307" s="22"/>
      <c r="M307" s="22"/>
      <c r="N307" s="22"/>
    </row>
    <row r="308" spans="1:14" x14ac:dyDescent="0.25">
      <c r="A308" s="22" t="s">
        <v>5136</v>
      </c>
      <c r="B308" s="22" t="s">
        <v>39</v>
      </c>
      <c r="C308" s="22" t="s">
        <v>5135</v>
      </c>
      <c r="D308" s="23">
        <v>141800</v>
      </c>
      <c r="E308" s="22" t="s">
        <v>42</v>
      </c>
      <c r="F308" s="24">
        <v>43593</v>
      </c>
      <c r="G308" s="22" t="s">
        <v>5131</v>
      </c>
      <c r="H308" s="22" t="s">
        <v>5137</v>
      </c>
      <c r="I308" s="22" t="s">
        <v>5138</v>
      </c>
      <c r="J308" s="22" t="s">
        <v>4401</v>
      </c>
      <c r="K308" s="22" t="s">
        <v>3480</v>
      </c>
      <c r="L308" s="22"/>
      <c r="M308" s="22"/>
      <c r="N308" s="22"/>
    </row>
    <row r="309" spans="1:14" x14ac:dyDescent="0.25">
      <c r="A309" s="22" t="s">
        <v>5140</v>
      </c>
      <c r="B309" s="22" t="s">
        <v>39</v>
      </c>
      <c r="C309" s="22" t="s">
        <v>5139</v>
      </c>
      <c r="D309" s="23">
        <v>114800</v>
      </c>
      <c r="E309" s="22" t="s">
        <v>45</v>
      </c>
      <c r="F309" s="24">
        <v>43593</v>
      </c>
      <c r="G309" s="22" t="s">
        <v>5141</v>
      </c>
      <c r="H309" s="22" t="s">
        <v>5137</v>
      </c>
      <c r="I309" s="22" t="s">
        <v>5141</v>
      </c>
      <c r="J309" s="22" t="s">
        <v>4401</v>
      </c>
      <c r="K309" s="22" t="s">
        <v>5137</v>
      </c>
      <c r="L309" s="22"/>
      <c r="M309" s="22"/>
      <c r="N309" s="22"/>
    </row>
    <row r="310" spans="1:14" x14ac:dyDescent="0.25">
      <c r="A310" s="22" t="s">
        <v>5140</v>
      </c>
      <c r="B310" s="22" t="s">
        <v>39</v>
      </c>
      <c r="C310" s="22" t="s">
        <v>5139</v>
      </c>
      <c r="D310" s="23">
        <v>-114800</v>
      </c>
      <c r="E310" s="22" t="s">
        <v>45</v>
      </c>
      <c r="F310" s="24">
        <v>43593</v>
      </c>
      <c r="G310" s="22" t="s">
        <v>5141</v>
      </c>
      <c r="H310" s="22" t="s">
        <v>5137</v>
      </c>
      <c r="I310" s="22" t="s">
        <v>5141</v>
      </c>
      <c r="J310" s="22" t="s">
        <v>4401</v>
      </c>
      <c r="K310" s="22" t="s">
        <v>5137</v>
      </c>
      <c r="L310" s="22"/>
      <c r="M310" s="22"/>
      <c r="N310" s="22"/>
    </row>
    <row r="311" spans="1:14" x14ac:dyDescent="0.25">
      <c r="A311" s="22" t="s">
        <v>7817</v>
      </c>
      <c r="B311" s="22" t="s">
        <v>39</v>
      </c>
      <c r="C311" s="22" t="s">
        <v>5142</v>
      </c>
      <c r="D311" s="23">
        <v>-114800</v>
      </c>
      <c r="E311" s="22" t="s">
        <v>57</v>
      </c>
      <c r="F311" s="24">
        <v>43533</v>
      </c>
      <c r="G311" s="22" t="s">
        <v>5141</v>
      </c>
      <c r="H311" s="22" t="s">
        <v>5143</v>
      </c>
      <c r="I311" s="22" t="s">
        <v>5144</v>
      </c>
      <c r="J311" s="22" t="s">
        <v>4401</v>
      </c>
      <c r="K311" s="22" t="s">
        <v>5038</v>
      </c>
      <c r="L311" s="22"/>
      <c r="M311" s="22"/>
      <c r="N311" s="22"/>
    </row>
    <row r="312" spans="1:14" x14ac:dyDescent="0.25">
      <c r="A312" s="22" t="s">
        <v>5140</v>
      </c>
      <c r="B312" s="22" t="s">
        <v>39</v>
      </c>
      <c r="C312" s="22" t="s">
        <v>5054</v>
      </c>
      <c r="D312" s="23">
        <v>114800</v>
      </c>
      <c r="E312" s="22" t="s">
        <v>42</v>
      </c>
      <c r="F312" s="24">
        <v>43593</v>
      </c>
      <c r="G312" s="22" t="s">
        <v>5141</v>
      </c>
      <c r="H312" s="22" t="s">
        <v>5137</v>
      </c>
      <c r="I312" s="22" t="s">
        <v>5145</v>
      </c>
      <c r="J312" s="22" t="s">
        <v>4401</v>
      </c>
      <c r="K312" s="22" t="s">
        <v>3553</v>
      </c>
      <c r="L312" s="22"/>
      <c r="M312" s="22"/>
      <c r="N312" s="22"/>
    </row>
    <row r="313" spans="1:14" x14ac:dyDescent="0.25">
      <c r="A313" s="22" t="s">
        <v>5146</v>
      </c>
      <c r="B313" s="22" t="s">
        <v>39</v>
      </c>
      <c r="C313" s="22" t="s">
        <v>4623</v>
      </c>
      <c r="D313" s="23">
        <v>0</v>
      </c>
      <c r="E313" s="22" t="s">
        <v>45</v>
      </c>
      <c r="F313" s="24">
        <v>43616</v>
      </c>
      <c r="G313" s="22" t="s">
        <v>5147</v>
      </c>
      <c r="H313" s="22" t="s">
        <v>5148</v>
      </c>
      <c r="I313" s="22" t="s">
        <v>5147</v>
      </c>
      <c r="J313" s="22" t="s">
        <v>4401</v>
      </c>
      <c r="K313" s="22" t="s">
        <v>5148</v>
      </c>
      <c r="L313" s="22"/>
      <c r="M313" s="22"/>
      <c r="N313" s="22"/>
    </row>
    <row r="314" spans="1:14" x14ac:dyDescent="0.25">
      <c r="A314" s="22" t="s">
        <v>7818</v>
      </c>
      <c r="B314" s="22" t="s">
        <v>39</v>
      </c>
      <c r="C314" s="22" t="s">
        <v>5149</v>
      </c>
      <c r="D314" s="23">
        <v>-62653</v>
      </c>
      <c r="E314" s="22" t="s">
        <v>57</v>
      </c>
      <c r="F314" s="24">
        <v>43528</v>
      </c>
      <c r="G314" s="22" t="s">
        <v>5147</v>
      </c>
      <c r="H314" s="22" t="s">
        <v>5150</v>
      </c>
      <c r="I314" s="22" t="s">
        <v>5151</v>
      </c>
      <c r="J314" s="22" t="s">
        <v>4401</v>
      </c>
      <c r="K314" s="22" t="s">
        <v>83</v>
      </c>
      <c r="L314" s="22"/>
      <c r="M314" s="22"/>
      <c r="N314" s="22"/>
    </row>
    <row r="315" spans="1:14" x14ac:dyDescent="0.25">
      <c r="A315" s="22" t="s">
        <v>7819</v>
      </c>
      <c r="B315" s="22" t="s">
        <v>39</v>
      </c>
      <c r="C315" s="22" t="s">
        <v>5149</v>
      </c>
      <c r="D315" s="23">
        <v>-216558</v>
      </c>
      <c r="E315" s="22" t="s">
        <v>57</v>
      </c>
      <c r="F315" s="24">
        <v>43529</v>
      </c>
      <c r="G315" s="22" t="s">
        <v>5147</v>
      </c>
      <c r="H315" s="22" t="s">
        <v>5152</v>
      </c>
      <c r="I315" s="22" t="s">
        <v>5153</v>
      </c>
      <c r="J315" s="22" t="s">
        <v>4401</v>
      </c>
      <c r="K315" s="22" t="s">
        <v>83</v>
      </c>
      <c r="L315" s="22"/>
      <c r="M315" s="22"/>
      <c r="N315" s="22"/>
    </row>
    <row r="316" spans="1:14" x14ac:dyDescent="0.25">
      <c r="A316" s="22" t="s">
        <v>7820</v>
      </c>
      <c r="B316" s="22" t="s">
        <v>39</v>
      </c>
      <c r="C316" s="22" t="s">
        <v>5149</v>
      </c>
      <c r="D316" s="23">
        <v>-104800</v>
      </c>
      <c r="E316" s="22" t="s">
        <v>57</v>
      </c>
      <c r="F316" s="24">
        <v>43548</v>
      </c>
      <c r="G316" s="22" t="s">
        <v>5147</v>
      </c>
      <c r="H316" s="22" t="s">
        <v>5154</v>
      </c>
      <c r="I316" s="22" t="s">
        <v>5155</v>
      </c>
      <c r="J316" s="22" t="s">
        <v>4401</v>
      </c>
      <c r="K316" s="22" t="s">
        <v>83</v>
      </c>
      <c r="L316" s="22"/>
      <c r="M316" s="22"/>
      <c r="N316" s="22"/>
    </row>
    <row r="317" spans="1:14" x14ac:dyDescent="0.25">
      <c r="A317" s="22" t="s">
        <v>7821</v>
      </c>
      <c r="B317" s="22" t="s">
        <v>39</v>
      </c>
      <c r="C317" s="22" t="s">
        <v>5149</v>
      </c>
      <c r="D317" s="23">
        <v>-104800</v>
      </c>
      <c r="E317" s="22" t="s">
        <v>57</v>
      </c>
      <c r="F317" s="24">
        <v>43552</v>
      </c>
      <c r="G317" s="22" t="s">
        <v>5147</v>
      </c>
      <c r="H317" s="22" t="s">
        <v>5154</v>
      </c>
      <c r="I317" s="22" t="s">
        <v>5156</v>
      </c>
      <c r="J317" s="22" t="s">
        <v>4401</v>
      </c>
      <c r="K317" s="22" t="s">
        <v>83</v>
      </c>
      <c r="L317" s="22"/>
      <c r="M317" s="22"/>
      <c r="N317" s="22"/>
    </row>
    <row r="318" spans="1:14" x14ac:dyDescent="0.25">
      <c r="A318" s="22" t="s">
        <v>7822</v>
      </c>
      <c r="B318" s="22" t="s">
        <v>39</v>
      </c>
      <c r="C318" s="22" t="s">
        <v>5157</v>
      </c>
      <c r="D318" s="23">
        <v>-55764</v>
      </c>
      <c r="E318" s="22" t="s">
        <v>57</v>
      </c>
      <c r="F318" s="24">
        <v>43547</v>
      </c>
      <c r="G318" s="22" t="s">
        <v>5147</v>
      </c>
      <c r="H318" s="22" t="s">
        <v>5158</v>
      </c>
      <c r="I318" s="22" t="s">
        <v>5159</v>
      </c>
      <c r="J318" s="22" t="s">
        <v>4401</v>
      </c>
      <c r="K318" s="22" t="s">
        <v>83</v>
      </c>
      <c r="L318" s="22"/>
      <c r="M318" s="22"/>
      <c r="N318" s="22"/>
    </row>
    <row r="319" spans="1:14" x14ac:dyDescent="0.25">
      <c r="A319" s="22" t="s">
        <v>7823</v>
      </c>
      <c r="B319" s="22" t="s">
        <v>39</v>
      </c>
      <c r="C319" s="22" t="s">
        <v>5157</v>
      </c>
      <c r="D319" s="23">
        <v>-176400</v>
      </c>
      <c r="E319" s="22" t="s">
        <v>57</v>
      </c>
      <c r="F319" s="24">
        <v>43552</v>
      </c>
      <c r="G319" s="22" t="s">
        <v>5147</v>
      </c>
      <c r="H319" s="22" t="s">
        <v>5158</v>
      </c>
      <c r="I319" s="22" t="s">
        <v>5160</v>
      </c>
      <c r="J319" s="22" t="s">
        <v>4401</v>
      </c>
      <c r="K319" s="22" t="s">
        <v>83</v>
      </c>
      <c r="L319" s="22"/>
      <c r="M319" s="22"/>
      <c r="N319" s="22"/>
    </row>
    <row r="320" spans="1:14" x14ac:dyDescent="0.25">
      <c r="A320" s="22" t="s">
        <v>7824</v>
      </c>
      <c r="B320" s="22" t="s">
        <v>39</v>
      </c>
      <c r="C320" s="22" t="s">
        <v>5157</v>
      </c>
      <c r="D320" s="23">
        <v>-179235</v>
      </c>
      <c r="E320" s="22" t="s">
        <v>57</v>
      </c>
      <c r="F320" s="24">
        <v>43553</v>
      </c>
      <c r="G320" s="22" t="s">
        <v>5147</v>
      </c>
      <c r="H320" s="22" t="s">
        <v>5161</v>
      </c>
      <c r="I320" s="22" t="s">
        <v>5162</v>
      </c>
      <c r="J320" s="22" t="s">
        <v>4401</v>
      </c>
      <c r="K320" s="22" t="s">
        <v>83</v>
      </c>
      <c r="L320" s="22"/>
      <c r="M320" s="22"/>
      <c r="N320" s="22"/>
    </row>
    <row r="321" spans="1:14" x14ac:dyDescent="0.25">
      <c r="A321" s="22" t="s">
        <v>5163</v>
      </c>
      <c r="B321" s="22" t="s">
        <v>39</v>
      </c>
      <c r="C321" s="22" t="s">
        <v>4916</v>
      </c>
      <c r="D321" s="23">
        <v>900210</v>
      </c>
      <c r="E321" s="22" t="s">
        <v>42</v>
      </c>
      <c r="F321" s="24">
        <v>43593</v>
      </c>
      <c r="G321" s="22" t="s">
        <v>5147</v>
      </c>
      <c r="H321" s="22" t="s">
        <v>5137</v>
      </c>
      <c r="I321" s="22" t="s">
        <v>5164</v>
      </c>
      <c r="J321" s="22" t="s">
        <v>4401</v>
      </c>
      <c r="K321" s="22" t="s">
        <v>47</v>
      </c>
      <c r="L321" s="22"/>
      <c r="M321" s="22"/>
      <c r="N321" s="22"/>
    </row>
    <row r="322" spans="1:14" x14ac:dyDescent="0.25">
      <c r="A322" s="22" t="s">
        <v>7741</v>
      </c>
      <c r="B322" s="22" t="s">
        <v>39</v>
      </c>
      <c r="C322" s="22" t="s">
        <v>4623</v>
      </c>
      <c r="D322" s="23">
        <v>-328537</v>
      </c>
      <c r="E322" s="22" t="s">
        <v>57</v>
      </c>
      <c r="F322" s="24">
        <v>43616</v>
      </c>
      <c r="G322" s="22" t="s">
        <v>5165</v>
      </c>
      <c r="H322" s="22" t="s">
        <v>5166</v>
      </c>
      <c r="I322" s="22" t="s">
        <v>4624</v>
      </c>
      <c r="J322" s="22" t="s">
        <v>4401</v>
      </c>
      <c r="K322" s="22" t="s">
        <v>4626</v>
      </c>
      <c r="L322" s="22"/>
      <c r="M322" s="22"/>
      <c r="N322" s="22"/>
    </row>
    <row r="323" spans="1:14" x14ac:dyDescent="0.25">
      <c r="A323" s="22" t="s">
        <v>5167</v>
      </c>
      <c r="B323" s="22" t="s">
        <v>39</v>
      </c>
      <c r="C323" s="22" t="s">
        <v>4623</v>
      </c>
      <c r="D323" s="23">
        <v>328537</v>
      </c>
      <c r="E323" s="22" t="s">
        <v>45</v>
      </c>
      <c r="F323" s="24">
        <v>43616</v>
      </c>
      <c r="G323" s="22" t="s">
        <v>5165</v>
      </c>
      <c r="H323" s="22" t="s">
        <v>5168</v>
      </c>
      <c r="I323" s="22" t="s">
        <v>5165</v>
      </c>
      <c r="J323" s="22" t="s">
        <v>4401</v>
      </c>
      <c r="K323" s="22" t="s">
        <v>5169</v>
      </c>
      <c r="L323" s="22"/>
      <c r="M323" s="22"/>
      <c r="N323" s="22"/>
    </row>
    <row r="324" spans="1:14" x14ac:dyDescent="0.25">
      <c r="A324" s="22" t="s">
        <v>5167</v>
      </c>
      <c r="B324" s="22" t="s">
        <v>39</v>
      </c>
      <c r="C324" s="22" t="s">
        <v>4623</v>
      </c>
      <c r="D324" s="23">
        <v>-328537</v>
      </c>
      <c r="E324" s="22" t="s">
        <v>45</v>
      </c>
      <c r="F324" s="24">
        <v>43616</v>
      </c>
      <c r="G324" s="22" t="s">
        <v>5165</v>
      </c>
      <c r="H324" s="22" t="s">
        <v>5169</v>
      </c>
      <c r="I324" s="22" t="s">
        <v>5165</v>
      </c>
      <c r="J324" s="22" t="s">
        <v>4401</v>
      </c>
      <c r="K324" s="22" t="s">
        <v>5169</v>
      </c>
      <c r="L324" s="22"/>
      <c r="M324" s="22"/>
      <c r="N324" s="22"/>
    </row>
    <row r="325" spans="1:14" x14ac:dyDescent="0.25">
      <c r="A325" s="22" t="s">
        <v>4950</v>
      </c>
      <c r="B325" s="22" t="s">
        <v>39</v>
      </c>
      <c r="C325" s="22" t="s">
        <v>4916</v>
      </c>
      <c r="D325" s="23">
        <v>328537</v>
      </c>
      <c r="E325" s="22" t="s">
        <v>45</v>
      </c>
      <c r="F325" s="24">
        <v>43465</v>
      </c>
      <c r="G325" s="22" t="s">
        <v>5165</v>
      </c>
      <c r="H325" s="22" t="s">
        <v>5170</v>
      </c>
      <c r="I325" s="22" t="s">
        <v>4942</v>
      </c>
      <c r="J325" s="22" t="s">
        <v>4401</v>
      </c>
      <c r="K325" s="22" t="s">
        <v>4951</v>
      </c>
      <c r="L325" s="22"/>
      <c r="M325" s="22"/>
      <c r="N325" s="22"/>
    </row>
    <row r="326" spans="1:14" x14ac:dyDescent="0.25">
      <c r="A326" s="22" t="s">
        <v>7742</v>
      </c>
      <c r="B326" s="22" t="s">
        <v>39</v>
      </c>
      <c r="C326" s="22" t="s">
        <v>4623</v>
      </c>
      <c r="D326" s="23">
        <v>-122326</v>
      </c>
      <c r="E326" s="22" t="s">
        <v>57</v>
      </c>
      <c r="F326" s="24">
        <v>43616</v>
      </c>
      <c r="G326" s="22" t="s">
        <v>5171</v>
      </c>
      <c r="H326" s="22" t="s">
        <v>4631</v>
      </c>
      <c r="I326" s="22" t="s">
        <v>4630</v>
      </c>
      <c r="J326" s="22" t="s">
        <v>4401</v>
      </c>
      <c r="K326" s="22" t="s">
        <v>4632</v>
      </c>
      <c r="L326" s="22"/>
      <c r="M326" s="22"/>
      <c r="N326" s="22"/>
    </row>
    <row r="327" spans="1:14" x14ac:dyDescent="0.25">
      <c r="A327" s="22" t="s">
        <v>5172</v>
      </c>
      <c r="B327" s="22" t="s">
        <v>39</v>
      </c>
      <c r="C327" s="22" t="s">
        <v>4623</v>
      </c>
      <c r="D327" s="23">
        <v>0</v>
      </c>
      <c r="E327" s="22" t="s">
        <v>45</v>
      </c>
      <c r="F327" s="24">
        <v>43496</v>
      </c>
      <c r="G327" s="22" t="s">
        <v>5171</v>
      </c>
      <c r="H327" s="22" t="s">
        <v>5173</v>
      </c>
      <c r="I327" s="22" t="s">
        <v>5171</v>
      </c>
      <c r="J327" s="22" t="s">
        <v>4401</v>
      </c>
      <c r="K327" s="22" t="s">
        <v>5173</v>
      </c>
      <c r="L327" s="22"/>
      <c r="M327" s="22"/>
      <c r="N327" s="22"/>
    </row>
    <row r="328" spans="1:14" x14ac:dyDescent="0.25">
      <c r="A328" s="22" t="s">
        <v>7825</v>
      </c>
      <c r="B328" s="22" t="s">
        <v>39</v>
      </c>
      <c r="C328" s="22" t="s">
        <v>4627</v>
      </c>
      <c r="D328" s="23">
        <v>-54743</v>
      </c>
      <c r="E328" s="22" t="s">
        <v>57</v>
      </c>
      <c r="F328" s="24">
        <v>43490</v>
      </c>
      <c r="G328" s="22" t="s">
        <v>5171</v>
      </c>
      <c r="H328" s="22" t="s">
        <v>5174</v>
      </c>
      <c r="I328" s="22" t="s">
        <v>5175</v>
      </c>
      <c r="J328" s="22" t="s">
        <v>4401</v>
      </c>
      <c r="K328" s="22" t="s">
        <v>4419</v>
      </c>
      <c r="L328" s="22"/>
      <c r="M328" s="22"/>
      <c r="N328" s="22"/>
    </row>
    <row r="329" spans="1:14" x14ac:dyDescent="0.25">
      <c r="A329" s="22" t="s">
        <v>7741</v>
      </c>
      <c r="B329" s="22" t="s">
        <v>39</v>
      </c>
      <c r="C329" s="22" t="s">
        <v>4627</v>
      </c>
      <c r="D329" s="23">
        <v>-439864</v>
      </c>
      <c r="E329" s="22" t="s">
        <v>57</v>
      </c>
      <c r="F329" s="24">
        <v>43616</v>
      </c>
      <c r="G329" s="22" t="s">
        <v>5171</v>
      </c>
      <c r="H329" s="22" t="s">
        <v>5176</v>
      </c>
      <c r="I329" s="22" t="s">
        <v>4624</v>
      </c>
      <c r="J329" s="22" t="s">
        <v>4401</v>
      </c>
      <c r="K329" s="22" t="s">
        <v>4626</v>
      </c>
      <c r="L329" s="22"/>
      <c r="M329" s="22"/>
      <c r="N329" s="22"/>
    </row>
    <row r="330" spans="1:14" x14ac:dyDescent="0.25">
      <c r="A330" s="22" t="s">
        <v>5177</v>
      </c>
      <c r="B330" s="22" t="s">
        <v>39</v>
      </c>
      <c r="C330" s="22" t="s">
        <v>4916</v>
      </c>
      <c r="D330" s="23">
        <v>616933</v>
      </c>
      <c r="E330" s="22" t="s">
        <v>42</v>
      </c>
      <c r="F330" s="24">
        <v>43495</v>
      </c>
      <c r="G330" s="22" t="s">
        <v>5171</v>
      </c>
      <c r="H330" s="22" t="s">
        <v>5031</v>
      </c>
      <c r="I330" s="22" t="s">
        <v>5178</v>
      </c>
      <c r="J330" s="22" t="s">
        <v>4401</v>
      </c>
      <c r="K330" s="22" t="s">
        <v>4916</v>
      </c>
      <c r="L330" s="22"/>
      <c r="M330" s="22"/>
      <c r="N330" s="22"/>
    </row>
    <row r="331" spans="1:14" x14ac:dyDescent="0.25">
      <c r="A331" s="22" t="s">
        <v>7826</v>
      </c>
      <c r="B331" s="22" t="s">
        <v>39</v>
      </c>
      <c r="C331" s="22" t="s">
        <v>70</v>
      </c>
      <c r="D331" s="23">
        <v>-57000</v>
      </c>
      <c r="E331" s="22" t="s">
        <v>57</v>
      </c>
      <c r="F331" s="24">
        <v>43354</v>
      </c>
      <c r="G331" s="22" t="s">
        <v>5179</v>
      </c>
      <c r="H331" s="22" t="s">
        <v>5180</v>
      </c>
      <c r="I331" s="22" t="s">
        <v>5181</v>
      </c>
      <c r="J331" s="22" t="s">
        <v>4401</v>
      </c>
      <c r="K331" s="22" t="s">
        <v>103</v>
      </c>
      <c r="L331" s="22"/>
      <c r="M331" s="22"/>
      <c r="N331" s="22"/>
    </row>
    <row r="332" spans="1:14" x14ac:dyDescent="0.25">
      <c r="A332" s="22" t="s">
        <v>3207</v>
      </c>
      <c r="B332" s="22" t="s">
        <v>39</v>
      </c>
      <c r="C332" s="22" t="s">
        <v>70</v>
      </c>
      <c r="D332" s="23">
        <v>-210527</v>
      </c>
      <c r="E332" s="22" t="s">
        <v>57</v>
      </c>
      <c r="F332" s="24">
        <v>43365</v>
      </c>
      <c r="G332" s="22" t="s">
        <v>5179</v>
      </c>
      <c r="H332" s="22" t="s">
        <v>5182</v>
      </c>
      <c r="I332" s="22" t="s">
        <v>72</v>
      </c>
      <c r="J332" s="22" t="s">
        <v>4401</v>
      </c>
      <c r="K332" s="22" t="s">
        <v>29</v>
      </c>
      <c r="L332" s="22"/>
      <c r="M332" s="22"/>
      <c r="N332" s="22"/>
    </row>
    <row r="333" spans="1:14" x14ac:dyDescent="0.25">
      <c r="A333" s="22" t="s">
        <v>5184</v>
      </c>
      <c r="B333" s="22" t="s">
        <v>39</v>
      </c>
      <c r="C333" s="22" t="s">
        <v>5183</v>
      </c>
      <c r="D333" s="23">
        <v>0</v>
      </c>
      <c r="E333" s="22" t="s">
        <v>45</v>
      </c>
      <c r="F333" s="24">
        <v>43662</v>
      </c>
      <c r="G333" s="22" t="s">
        <v>5179</v>
      </c>
      <c r="H333" s="22" t="s">
        <v>5184</v>
      </c>
      <c r="I333" s="22" t="s">
        <v>5179</v>
      </c>
      <c r="J333" s="22" t="s">
        <v>4401</v>
      </c>
      <c r="K333" s="22" t="s">
        <v>5184</v>
      </c>
      <c r="L333" s="22"/>
      <c r="M333" s="22"/>
      <c r="N333" s="22"/>
    </row>
    <row r="334" spans="1:14" x14ac:dyDescent="0.25">
      <c r="A334" s="22" t="s">
        <v>7750</v>
      </c>
      <c r="B334" s="22" t="s">
        <v>39</v>
      </c>
      <c r="C334" s="22" t="s">
        <v>195</v>
      </c>
      <c r="D334" s="23">
        <v>-51300</v>
      </c>
      <c r="E334" s="22" t="s">
        <v>57</v>
      </c>
      <c r="F334" s="24">
        <v>43340</v>
      </c>
      <c r="G334" s="22" t="s">
        <v>5179</v>
      </c>
      <c r="H334" s="22" t="s">
        <v>5185</v>
      </c>
      <c r="I334" s="22" t="s">
        <v>4860</v>
      </c>
      <c r="J334" s="22" t="s">
        <v>4401</v>
      </c>
      <c r="K334" s="22" t="s">
        <v>103</v>
      </c>
      <c r="L334" s="22"/>
      <c r="M334" s="22"/>
      <c r="N334" s="22"/>
    </row>
    <row r="335" spans="1:14" x14ac:dyDescent="0.25">
      <c r="A335" s="22" t="s">
        <v>7827</v>
      </c>
      <c r="B335" s="22" t="s">
        <v>39</v>
      </c>
      <c r="C335" s="22" t="s">
        <v>5186</v>
      </c>
      <c r="D335" s="23">
        <v>-31200</v>
      </c>
      <c r="E335" s="22" t="s">
        <v>57</v>
      </c>
      <c r="F335" s="24">
        <v>43330</v>
      </c>
      <c r="G335" s="22" t="s">
        <v>5179</v>
      </c>
      <c r="H335" s="22" t="s">
        <v>5180</v>
      </c>
      <c r="I335" s="22" t="s">
        <v>5187</v>
      </c>
      <c r="J335" s="22" t="s">
        <v>4401</v>
      </c>
      <c r="K335" s="22" t="s">
        <v>103</v>
      </c>
      <c r="L335" s="22"/>
      <c r="M335" s="22"/>
      <c r="N335" s="22"/>
    </row>
    <row r="336" spans="1:14" x14ac:dyDescent="0.25">
      <c r="A336" s="22" t="s">
        <v>5188</v>
      </c>
      <c r="B336" s="22" t="s">
        <v>39</v>
      </c>
      <c r="C336" s="22" t="s">
        <v>5081</v>
      </c>
      <c r="D336" s="23">
        <v>350027</v>
      </c>
      <c r="E336" s="22" t="s">
        <v>42</v>
      </c>
      <c r="F336" s="24">
        <v>43654</v>
      </c>
      <c r="G336" s="22" t="s">
        <v>5179</v>
      </c>
      <c r="H336" s="22" t="s">
        <v>5189</v>
      </c>
      <c r="I336" s="22" t="s">
        <v>5190</v>
      </c>
      <c r="J336" s="22" t="s">
        <v>4401</v>
      </c>
      <c r="K336" s="22" t="s">
        <v>5081</v>
      </c>
      <c r="L336" s="22"/>
      <c r="M336" s="22"/>
      <c r="N336" s="22"/>
    </row>
    <row r="337" spans="1:14" x14ac:dyDescent="0.25">
      <c r="A337" s="22" t="s">
        <v>7744</v>
      </c>
      <c r="B337" s="22" t="s">
        <v>39</v>
      </c>
      <c r="C337" s="22" t="s">
        <v>4638</v>
      </c>
      <c r="D337" s="23">
        <v>-21465</v>
      </c>
      <c r="E337" s="22" t="s">
        <v>57</v>
      </c>
      <c r="F337" s="24">
        <v>43055</v>
      </c>
      <c r="G337" s="22" t="s">
        <v>5191</v>
      </c>
      <c r="H337" s="22" t="s">
        <v>5192</v>
      </c>
      <c r="I337" s="22" t="s">
        <v>4640</v>
      </c>
      <c r="J337" s="22" t="s">
        <v>4401</v>
      </c>
      <c r="K337" s="22" t="s">
        <v>4639</v>
      </c>
      <c r="L337" s="22"/>
      <c r="M337" s="22"/>
      <c r="N337" s="22"/>
    </row>
    <row r="338" spans="1:14" x14ac:dyDescent="0.25">
      <c r="A338" s="22" t="s">
        <v>2115</v>
      </c>
      <c r="B338" s="22" t="s">
        <v>39</v>
      </c>
      <c r="C338" s="22" t="s">
        <v>4638</v>
      </c>
      <c r="D338" s="23">
        <v>0</v>
      </c>
      <c r="E338" s="22" t="s">
        <v>45</v>
      </c>
      <c r="F338" s="24">
        <v>43670</v>
      </c>
      <c r="G338" s="22" t="s">
        <v>5191</v>
      </c>
      <c r="H338" s="22" t="s">
        <v>5193</v>
      </c>
      <c r="I338" s="22" t="s">
        <v>5191</v>
      </c>
      <c r="J338" s="22" t="s">
        <v>4401</v>
      </c>
      <c r="K338" s="22" t="s">
        <v>5194</v>
      </c>
      <c r="L338" s="22"/>
      <c r="M338" s="22"/>
      <c r="N338" s="22"/>
    </row>
    <row r="339" spans="1:14" x14ac:dyDescent="0.25">
      <c r="A339" s="22" t="s">
        <v>7740</v>
      </c>
      <c r="B339" s="22" t="s">
        <v>39</v>
      </c>
      <c r="C339" s="22" t="s">
        <v>4619</v>
      </c>
      <c r="D339" s="23">
        <v>-82875</v>
      </c>
      <c r="E339" s="22" t="s">
        <v>57</v>
      </c>
      <c r="F339" s="24">
        <v>43159</v>
      </c>
      <c r="G339" s="22" t="s">
        <v>5191</v>
      </c>
      <c r="H339" s="22" t="s">
        <v>5195</v>
      </c>
      <c r="I339" s="22" t="s">
        <v>4617</v>
      </c>
      <c r="J339" s="22" t="s">
        <v>4401</v>
      </c>
      <c r="K339" s="22" t="s">
        <v>4616</v>
      </c>
      <c r="L339" s="22"/>
      <c r="M339" s="22"/>
      <c r="N339" s="22"/>
    </row>
    <row r="340" spans="1:14" x14ac:dyDescent="0.25">
      <c r="A340" s="22" t="s">
        <v>5196</v>
      </c>
      <c r="B340" s="22" t="s">
        <v>39</v>
      </c>
      <c r="C340" s="22" t="s">
        <v>5135</v>
      </c>
      <c r="D340" s="23">
        <v>104340</v>
      </c>
      <c r="E340" s="22" t="s">
        <v>42</v>
      </c>
      <c r="F340" s="24">
        <v>43654</v>
      </c>
      <c r="G340" s="22" t="s">
        <v>5191</v>
      </c>
      <c r="H340" s="22" t="s">
        <v>5189</v>
      </c>
      <c r="I340" s="22" t="s">
        <v>5197</v>
      </c>
      <c r="J340" s="22" t="s">
        <v>4401</v>
      </c>
      <c r="K340" s="22" t="s">
        <v>5135</v>
      </c>
      <c r="L340" s="22"/>
      <c r="M340" s="22"/>
      <c r="N340" s="22"/>
    </row>
    <row r="341" spans="1:14" x14ac:dyDescent="0.25">
      <c r="A341" s="22" t="s">
        <v>5198</v>
      </c>
      <c r="B341" s="22" t="s">
        <v>39</v>
      </c>
      <c r="C341" s="22" t="s">
        <v>4438</v>
      </c>
      <c r="D341" s="23">
        <v>298017</v>
      </c>
      <c r="E341" s="22" t="s">
        <v>45</v>
      </c>
      <c r="F341" s="24">
        <v>43685</v>
      </c>
      <c r="G341" s="22" t="s">
        <v>5199</v>
      </c>
      <c r="H341" s="22" t="s">
        <v>5200</v>
      </c>
      <c r="I341" s="22" t="s">
        <v>5199</v>
      </c>
      <c r="J341" s="22" t="s">
        <v>4401</v>
      </c>
      <c r="K341" s="22" t="s">
        <v>5200</v>
      </c>
      <c r="L341" s="22"/>
      <c r="M341" s="22"/>
      <c r="N341" s="22"/>
    </row>
    <row r="342" spans="1:14" x14ac:dyDescent="0.25">
      <c r="A342" s="22" t="s">
        <v>5198</v>
      </c>
      <c r="B342" s="22" t="s">
        <v>39</v>
      </c>
      <c r="C342" s="22" t="s">
        <v>4438</v>
      </c>
      <c r="D342" s="23">
        <v>-298017</v>
      </c>
      <c r="E342" s="22" t="s">
        <v>45</v>
      </c>
      <c r="F342" s="24">
        <v>43685</v>
      </c>
      <c r="G342" s="22" t="s">
        <v>5199</v>
      </c>
      <c r="H342" s="22" t="s">
        <v>5200</v>
      </c>
      <c r="I342" s="22" t="s">
        <v>5199</v>
      </c>
      <c r="J342" s="22" t="s">
        <v>4401</v>
      </c>
      <c r="K342" s="22" t="s">
        <v>5200</v>
      </c>
      <c r="L342" s="22"/>
      <c r="M342" s="22"/>
      <c r="N342" s="22"/>
    </row>
    <row r="343" spans="1:14" x14ac:dyDescent="0.25">
      <c r="A343" s="22" t="s">
        <v>7828</v>
      </c>
      <c r="B343" s="22" t="s">
        <v>39</v>
      </c>
      <c r="C343" s="22" t="s">
        <v>5201</v>
      </c>
      <c r="D343" s="23">
        <v>-54874</v>
      </c>
      <c r="E343" s="22" t="s">
        <v>57</v>
      </c>
      <c r="F343" s="24">
        <v>43569</v>
      </c>
      <c r="G343" s="22" t="s">
        <v>5199</v>
      </c>
      <c r="H343" s="22" t="s">
        <v>5202</v>
      </c>
      <c r="I343" s="22" t="s">
        <v>5203</v>
      </c>
      <c r="J343" s="22" t="s">
        <v>4401</v>
      </c>
      <c r="K343" s="22" t="s">
        <v>5011</v>
      </c>
      <c r="L343" s="22"/>
      <c r="M343" s="22"/>
      <c r="N343" s="22"/>
    </row>
    <row r="344" spans="1:14" x14ac:dyDescent="0.25">
      <c r="A344" s="22" t="s">
        <v>7829</v>
      </c>
      <c r="B344" s="22" t="s">
        <v>39</v>
      </c>
      <c r="C344" s="22" t="s">
        <v>5201</v>
      </c>
      <c r="D344" s="23">
        <v>-188743</v>
      </c>
      <c r="E344" s="22" t="s">
        <v>57</v>
      </c>
      <c r="F344" s="24">
        <v>43573</v>
      </c>
      <c r="G344" s="22" t="s">
        <v>5199</v>
      </c>
      <c r="H344" s="22" t="s">
        <v>5204</v>
      </c>
      <c r="I344" s="22" t="s">
        <v>5205</v>
      </c>
      <c r="J344" s="22" t="s">
        <v>4401</v>
      </c>
      <c r="K344" s="22" t="s">
        <v>5011</v>
      </c>
      <c r="L344" s="22"/>
      <c r="M344" s="22"/>
      <c r="N344" s="22"/>
    </row>
    <row r="345" spans="1:14" x14ac:dyDescent="0.25">
      <c r="A345" s="22" t="s">
        <v>5207</v>
      </c>
      <c r="B345" s="22" t="s">
        <v>39</v>
      </c>
      <c r="C345" s="22" t="s">
        <v>5206</v>
      </c>
      <c r="D345" s="23">
        <v>-54400</v>
      </c>
      <c r="E345" s="22" t="s">
        <v>57</v>
      </c>
      <c r="F345" s="24">
        <v>43613</v>
      </c>
      <c r="G345" s="22" t="s">
        <v>5199</v>
      </c>
      <c r="H345" s="22" t="s">
        <v>5208</v>
      </c>
      <c r="I345" s="22" t="s">
        <v>5209</v>
      </c>
      <c r="J345" s="22" t="s">
        <v>4401</v>
      </c>
      <c r="K345" s="22" t="s">
        <v>5011</v>
      </c>
      <c r="L345" s="22"/>
      <c r="M345" s="22"/>
      <c r="N345" s="22"/>
    </row>
    <row r="346" spans="1:14" x14ac:dyDescent="0.25">
      <c r="A346" s="22" t="s">
        <v>5210</v>
      </c>
      <c r="B346" s="22" t="s">
        <v>39</v>
      </c>
      <c r="C346" s="22" t="s">
        <v>5029</v>
      </c>
      <c r="D346" s="23">
        <v>298017</v>
      </c>
      <c r="E346" s="22" t="s">
        <v>42</v>
      </c>
      <c r="F346" s="24">
        <v>43685</v>
      </c>
      <c r="G346" s="22" t="s">
        <v>5199</v>
      </c>
      <c r="H346" s="22" t="s">
        <v>5211</v>
      </c>
      <c r="I346" s="22" t="s">
        <v>5212</v>
      </c>
      <c r="J346" s="22" t="s">
        <v>4401</v>
      </c>
      <c r="K346" s="22" t="s">
        <v>3760</v>
      </c>
      <c r="L346" s="22"/>
      <c r="M346" s="22"/>
      <c r="N346" s="22"/>
    </row>
    <row r="347" spans="1:14" x14ac:dyDescent="0.25">
      <c r="A347" s="22" t="s">
        <v>4646</v>
      </c>
      <c r="B347" s="22" t="s">
        <v>39</v>
      </c>
      <c r="C347" s="22" t="s">
        <v>4645</v>
      </c>
      <c r="D347" s="23">
        <v>-1140624</v>
      </c>
      <c r="E347" s="22" t="s">
        <v>57</v>
      </c>
      <c r="F347" s="24">
        <v>43677</v>
      </c>
      <c r="G347" s="22" t="s">
        <v>5213</v>
      </c>
      <c r="H347" s="22" t="s">
        <v>4648</v>
      </c>
      <c r="I347" s="22" t="s">
        <v>4647</v>
      </c>
      <c r="J347" s="22" t="s">
        <v>4401</v>
      </c>
      <c r="K347" s="22" t="s">
        <v>4649</v>
      </c>
      <c r="L347" s="22"/>
      <c r="M347" s="22"/>
      <c r="N347" s="22"/>
    </row>
    <row r="348" spans="1:14" x14ac:dyDescent="0.25">
      <c r="A348" s="22" t="s">
        <v>5214</v>
      </c>
      <c r="B348" s="22" t="s">
        <v>39</v>
      </c>
      <c r="C348" s="22" t="s">
        <v>4645</v>
      </c>
      <c r="D348" s="23">
        <v>2218635</v>
      </c>
      <c r="E348" s="22" t="s">
        <v>45</v>
      </c>
      <c r="F348" s="24">
        <v>43677</v>
      </c>
      <c r="G348" s="22" t="s">
        <v>5213</v>
      </c>
      <c r="H348" s="22" t="s">
        <v>5215</v>
      </c>
      <c r="I348" s="22" t="s">
        <v>5213</v>
      </c>
      <c r="J348" s="22" t="s">
        <v>4401</v>
      </c>
      <c r="K348" s="22" t="s">
        <v>5215</v>
      </c>
      <c r="L348" s="22"/>
      <c r="M348" s="22"/>
      <c r="N348" s="22"/>
    </row>
    <row r="349" spans="1:14" x14ac:dyDescent="0.25">
      <c r="A349" s="22" t="s">
        <v>5214</v>
      </c>
      <c r="B349" s="22" t="s">
        <v>39</v>
      </c>
      <c r="C349" s="22" t="s">
        <v>4645</v>
      </c>
      <c r="D349" s="23">
        <v>-2218635</v>
      </c>
      <c r="E349" s="22" t="s">
        <v>45</v>
      </c>
      <c r="F349" s="24">
        <v>43677</v>
      </c>
      <c r="G349" s="22" t="s">
        <v>5213</v>
      </c>
      <c r="H349" s="22" t="s">
        <v>5215</v>
      </c>
      <c r="I349" s="22" t="s">
        <v>5213</v>
      </c>
      <c r="J349" s="22" t="s">
        <v>4401</v>
      </c>
      <c r="K349" s="22" t="s">
        <v>5215</v>
      </c>
      <c r="L349" s="22"/>
      <c r="M349" s="22"/>
      <c r="N349" s="22"/>
    </row>
    <row r="350" spans="1:14" x14ac:dyDescent="0.25">
      <c r="A350" s="22" t="s">
        <v>7830</v>
      </c>
      <c r="B350" s="22" t="s">
        <v>39</v>
      </c>
      <c r="C350" s="22" t="s">
        <v>5216</v>
      </c>
      <c r="D350" s="23">
        <v>-237554</v>
      </c>
      <c r="E350" s="22" t="s">
        <v>57</v>
      </c>
      <c r="F350" s="24">
        <v>43440</v>
      </c>
      <c r="G350" s="22" t="s">
        <v>5213</v>
      </c>
      <c r="H350" s="22" t="s">
        <v>5217</v>
      </c>
      <c r="I350" s="22" t="s">
        <v>5218</v>
      </c>
      <c r="J350" s="22" t="s">
        <v>4401</v>
      </c>
      <c r="K350" s="22" t="s">
        <v>4419</v>
      </c>
      <c r="L350" s="22"/>
      <c r="M350" s="22"/>
      <c r="N350" s="22"/>
    </row>
    <row r="351" spans="1:14" x14ac:dyDescent="0.25">
      <c r="A351" s="22" t="s">
        <v>7831</v>
      </c>
      <c r="B351" s="22" t="s">
        <v>39</v>
      </c>
      <c r="C351" s="22" t="s">
        <v>5216</v>
      </c>
      <c r="D351" s="23">
        <v>-51300</v>
      </c>
      <c r="E351" s="22" t="s">
        <v>57</v>
      </c>
      <c r="F351" s="24">
        <v>43443</v>
      </c>
      <c r="G351" s="22" t="s">
        <v>5213</v>
      </c>
      <c r="H351" s="22" t="s">
        <v>5217</v>
      </c>
      <c r="I351" s="22" t="s">
        <v>5219</v>
      </c>
      <c r="J351" s="22" t="s">
        <v>4401</v>
      </c>
      <c r="K351" s="22" t="s">
        <v>4419</v>
      </c>
      <c r="L351" s="22"/>
      <c r="M351" s="22"/>
      <c r="N351" s="22"/>
    </row>
    <row r="352" spans="1:14" x14ac:dyDescent="0.25">
      <c r="A352" s="22" t="s">
        <v>7832</v>
      </c>
      <c r="B352" s="22" t="s">
        <v>39</v>
      </c>
      <c r="C352" s="22" t="s">
        <v>5216</v>
      </c>
      <c r="D352" s="23">
        <v>-284799</v>
      </c>
      <c r="E352" s="22" t="s">
        <v>57</v>
      </c>
      <c r="F352" s="24">
        <v>43449</v>
      </c>
      <c r="G352" s="22" t="s">
        <v>5213</v>
      </c>
      <c r="H352" s="22" t="s">
        <v>5220</v>
      </c>
      <c r="I352" s="22" t="s">
        <v>5221</v>
      </c>
      <c r="J352" s="22" t="s">
        <v>4401</v>
      </c>
      <c r="K352" s="22" t="s">
        <v>4419</v>
      </c>
      <c r="L352" s="22"/>
      <c r="M352" s="22"/>
      <c r="N352" s="22"/>
    </row>
    <row r="353" spans="1:14" x14ac:dyDescent="0.25">
      <c r="A353" s="22" t="s">
        <v>7833</v>
      </c>
      <c r="B353" s="22" t="s">
        <v>39</v>
      </c>
      <c r="C353" s="22" t="s">
        <v>5216</v>
      </c>
      <c r="D353" s="23">
        <v>-379931</v>
      </c>
      <c r="E353" s="22" t="s">
        <v>57</v>
      </c>
      <c r="F353" s="24">
        <v>43468</v>
      </c>
      <c r="G353" s="22" t="s">
        <v>5213</v>
      </c>
      <c r="H353" s="22" t="s">
        <v>5217</v>
      </c>
      <c r="I353" s="22" t="s">
        <v>5222</v>
      </c>
      <c r="J353" s="22" t="s">
        <v>4401</v>
      </c>
      <c r="K353" s="22" t="s">
        <v>4419</v>
      </c>
      <c r="L353" s="22"/>
      <c r="M353" s="22"/>
      <c r="N353" s="22"/>
    </row>
    <row r="354" spans="1:14" x14ac:dyDescent="0.25">
      <c r="A354" s="22" t="s">
        <v>7834</v>
      </c>
      <c r="B354" s="22" t="s">
        <v>39</v>
      </c>
      <c r="C354" s="22" t="s">
        <v>4627</v>
      </c>
      <c r="D354" s="23">
        <v>-54400</v>
      </c>
      <c r="E354" s="22" t="s">
        <v>57</v>
      </c>
      <c r="F354" s="24">
        <v>43485</v>
      </c>
      <c r="G354" s="22" t="s">
        <v>5213</v>
      </c>
      <c r="H354" s="22" t="s">
        <v>5223</v>
      </c>
      <c r="I354" s="22" t="s">
        <v>5224</v>
      </c>
      <c r="J354" s="22" t="s">
        <v>4401</v>
      </c>
      <c r="K354" s="22" t="s">
        <v>4419</v>
      </c>
      <c r="L354" s="22"/>
      <c r="M354" s="22"/>
      <c r="N354" s="22"/>
    </row>
    <row r="355" spans="1:14" x14ac:dyDescent="0.25">
      <c r="A355" s="22" t="s">
        <v>7742</v>
      </c>
      <c r="B355" s="22" t="s">
        <v>39</v>
      </c>
      <c r="C355" s="22" t="s">
        <v>4627</v>
      </c>
      <c r="D355" s="23">
        <v>-70027</v>
      </c>
      <c r="E355" s="22" t="s">
        <v>57</v>
      </c>
      <c r="F355" s="24">
        <v>43616</v>
      </c>
      <c r="G355" s="22" t="s">
        <v>5213</v>
      </c>
      <c r="H355" s="22" t="s">
        <v>5225</v>
      </c>
      <c r="I355" s="22" t="s">
        <v>4630</v>
      </c>
      <c r="J355" s="22" t="s">
        <v>4401</v>
      </c>
      <c r="K355" s="22" t="s">
        <v>4632</v>
      </c>
      <c r="L355" s="22"/>
      <c r="M355" s="22"/>
      <c r="N355" s="22"/>
    </row>
    <row r="356" spans="1:14" x14ac:dyDescent="0.25">
      <c r="A356" s="22" t="s">
        <v>5226</v>
      </c>
      <c r="B356" s="22" t="s">
        <v>39</v>
      </c>
      <c r="C356" s="22" t="s">
        <v>4916</v>
      </c>
      <c r="D356" s="23">
        <v>2218635</v>
      </c>
      <c r="E356" s="22" t="s">
        <v>42</v>
      </c>
      <c r="F356" s="24">
        <v>43654</v>
      </c>
      <c r="G356" s="22" t="s">
        <v>5213</v>
      </c>
      <c r="H356" s="22" t="s">
        <v>5189</v>
      </c>
      <c r="I356" s="22" t="s">
        <v>5227</v>
      </c>
      <c r="J356" s="22" t="s">
        <v>4401</v>
      </c>
      <c r="K356" s="22" t="s">
        <v>4916</v>
      </c>
      <c r="L356" s="22"/>
      <c r="M356" s="22"/>
      <c r="N356" s="22"/>
    </row>
    <row r="357" spans="1:14" x14ac:dyDescent="0.25">
      <c r="A357" s="22" t="s">
        <v>5228</v>
      </c>
      <c r="B357" s="22" t="s">
        <v>39</v>
      </c>
      <c r="C357" s="22" t="s">
        <v>4652</v>
      </c>
      <c r="D357" s="23">
        <v>0</v>
      </c>
      <c r="E357" s="22" t="s">
        <v>45</v>
      </c>
      <c r="F357" s="24">
        <v>43685</v>
      </c>
      <c r="G357" s="22" t="s">
        <v>5229</v>
      </c>
      <c r="H357" s="22" t="s">
        <v>5211</v>
      </c>
      <c r="I357" s="22" t="s">
        <v>5229</v>
      </c>
      <c r="J357" s="22" t="s">
        <v>4401</v>
      </c>
      <c r="K357" s="22" t="s">
        <v>5211</v>
      </c>
      <c r="L357" s="22"/>
      <c r="M357" s="22"/>
      <c r="N357" s="22"/>
    </row>
    <row r="358" spans="1:14" x14ac:dyDescent="0.25">
      <c r="A358" s="22" t="s">
        <v>7835</v>
      </c>
      <c r="B358" s="22" t="s">
        <v>39</v>
      </c>
      <c r="C358" s="22" t="s">
        <v>4603</v>
      </c>
      <c r="D358" s="23">
        <v>-51300</v>
      </c>
      <c r="E358" s="22" t="s">
        <v>57</v>
      </c>
      <c r="F358" s="24">
        <v>43298</v>
      </c>
      <c r="G358" s="22" t="s">
        <v>5229</v>
      </c>
      <c r="H358" s="22" t="s">
        <v>5049</v>
      </c>
      <c r="I358" s="22" t="s">
        <v>5230</v>
      </c>
      <c r="J358" s="22" t="s">
        <v>4401</v>
      </c>
      <c r="K358" s="22" t="s">
        <v>4606</v>
      </c>
      <c r="L358" s="22"/>
      <c r="M358" s="22"/>
      <c r="N358" s="22"/>
    </row>
    <row r="359" spans="1:14" x14ac:dyDescent="0.25">
      <c r="A359" s="22" t="s">
        <v>7836</v>
      </c>
      <c r="B359" s="22" t="s">
        <v>39</v>
      </c>
      <c r="C359" s="22" t="s">
        <v>4654</v>
      </c>
      <c r="D359" s="23">
        <v>-51300</v>
      </c>
      <c r="E359" s="22" t="s">
        <v>57</v>
      </c>
      <c r="F359" s="24">
        <v>43324</v>
      </c>
      <c r="G359" s="22" t="s">
        <v>5229</v>
      </c>
      <c r="H359" s="22" t="s">
        <v>5231</v>
      </c>
      <c r="I359" s="22" t="s">
        <v>5232</v>
      </c>
      <c r="J359" s="22" t="s">
        <v>4401</v>
      </c>
      <c r="K359" s="22" t="s">
        <v>4606</v>
      </c>
      <c r="L359" s="22"/>
      <c r="M359" s="22"/>
      <c r="N359" s="22"/>
    </row>
    <row r="360" spans="1:14" x14ac:dyDescent="0.25">
      <c r="A360" s="22" t="s">
        <v>7745</v>
      </c>
      <c r="B360" s="22" t="s">
        <v>39</v>
      </c>
      <c r="C360" s="22" t="s">
        <v>4654</v>
      </c>
      <c r="D360" s="23">
        <v>-104846</v>
      </c>
      <c r="E360" s="22" t="s">
        <v>57</v>
      </c>
      <c r="F360" s="24">
        <v>43317</v>
      </c>
      <c r="G360" s="22" t="s">
        <v>5229</v>
      </c>
      <c r="H360" s="22" t="s">
        <v>5053</v>
      </c>
      <c r="I360" s="22" t="s">
        <v>4653</v>
      </c>
      <c r="J360" s="22" t="s">
        <v>4401</v>
      </c>
      <c r="K360" s="22" t="s">
        <v>4602</v>
      </c>
      <c r="L360" s="22"/>
      <c r="M360" s="22"/>
      <c r="N360" s="22"/>
    </row>
    <row r="361" spans="1:14" x14ac:dyDescent="0.25">
      <c r="A361" s="22" t="s">
        <v>5228</v>
      </c>
      <c r="B361" s="22" t="s">
        <v>39</v>
      </c>
      <c r="C361" s="22" t="s">
        <v>5054</v>
      </c>
      <c r="D361" s="23">
        <v>207446</v>
      </c>
      <c r="E361" s="22" t="s">
        <v>42</v>
      </c>
      <c r="F361" s="24">
        <v>43685</v>
      </c>
      <c r="G361" s="22" t="s">
        <v>5229</v>
      </c>
      <c r="H361" s="22" t="s">
        <v>5211</v>
      </c>
      <c r="I361" s="22" t="s">
        <v>5233</v>
      </c>
      <c r="J361" s="22" t="s">
        <v>4401</v>
      </c>
      <c r="K361" s="22" t="s">
        <v>3553</v>
      </c>
      <c r="L361" s="22"/>
      <c r="M361" s="22"/>
      <c r="N361" s="22"/>
    </row>
    <row r="362" spans="1:14" x14ac:dyDescent="0.25">
      <c r="A362" s="22" t="s">
        <v>3207</v>
      </c>
      <c r="B362" s="22" t="s">
        <v>39</v>
      </c>
      <c r="C362" s="22" t="s">
        <v>70</v>
      </c>
      <c r="D362" s="23">
        <v>-559475</v>
      </c>
      <c r="E362" s="22" t="s">
        <v>57</v>
      </c>
      <c r="F362" s="24">
        <v>43365</v>
      </c>
      <c r="G362" s="22" t="s">
        <v>5234</v>
      </c>
      <c r="H362" s="22" t="s">
        <v>5235</v>
      </c>
      <c r="I362" s="22" t="s">
        <v>72</v>
      </c>
      <c r="J362" s="22" t="s">
        <v>4401</v>
      </c>
      <c r="K362" s="22" t="s">
        <v>29</v>
      </c>
      <c r="L362" s="22"/>
      <c r="M362" s="22"/>
      <c r="N362" s="22"/>
    </row>
    <row r="363" spans="1:14" x14ac:dyDescent="0.25">
      <c r="A363" s="22" t="s">
        <v>7837</v>
      </c>
      <c r="B363" s="22" t="s">
        <v>39</v>
      </c>
      <c r="C363" s="22" t="s">
        <v>106</v>
      </c>
      <c r="D363" s="23">
        <v>-44000</v>
      </c>
      <c r="E363" s="22" t="s">
        <v>57</v>
      </c>
      <c r="F363" s="24">
        <v>43391</v>
      </c>
      <c r="G363" s="22" t="s">
        <v>5234</v>
      </c>
      <c r="H363" s="22" t="s">
        <v>5180</v>
      </c>
      <c r="I363" s="22" t="s">
        <v>5236</v>
      </c>
      <c r="J363" s="22" t="s">
        <v>4401</v>
      </c>
      <c r="K363" s="22" t="s">
        <v>103</v>
      </c>
      <c r="L363" s="22"/>
      <c r="M363" s="22"/>
      <c r="N363" s="22"/>
    </row>
    <row r="364" spans="1:14" x14ac:dyDescent="0.25">
      <c r="A364" s="22" t="s">
        <v>5237</v>
      </c>
      <c r="B364" s="22" t="s">
        <v>39</v>
      </c>
      <c r="C364" s="22" t="s">
        <v>4652</v>
      </c>
      <c r="D364" s="23">
        <v>899247</v>
      </c>
      <c r="E364" s="22" t="s">
        <v>45</v>
      </c>
      <c r="F364" s="24">
        <v>43693</v>
      </c>
      <c r="G364" s="22" t="s">
        <v>5234</v>
      </c>
      <c r="H364" s="22" t="s">
        <v>5237</v>
      </c>
      <c r="I364" s="22" t="s">
        <v>5234</v>
      </c>
      <c r="J364" s="22" t="s">
        <v>4401</v>
      </c>
      <c r="K364" s="22" t="s">
        <v>5237</v>
      </c>
      <c r="L364" s="22"/>
      <c r="M364" s="22"/>
      <c r="N364" s="22"/>
    </row>
    <row r="365" spans="1:14" x14ac:dyDescent="0.25">
      <c r="A365" s="22" t="s">
        <v>5237</v>
      </c>
      <c r="B365" s="22" t="s">
        <v>39</v>
      </c>
      <c r="C365" s="22" t="s">
        <v>4652</v>
      </c>
      <c r="D365" s="23">
        <v>-899247</v>
      </c>
      <c r="E365" s="22" t="s">
        <v>45</v>
      </c>
      <c r="F365" s="24">
        <v>43693</v>
      </c>
      <c r="G365" s="22" t="s">
        <v>5234</v>
      </c>
      <c r="H365" s="22" t="s">
        <v>5237</v>
      </c>
      <c r="I365" s="22" t="s">
        <v>5234</v>
      </c>
      <c r="J365" s="22" t="s">
        <v>4401</v>
      </c>
      <c r="K365" s="22" t="s">
        <v>5237</v>
      </c>
      <c r="L365" s="22"/>
      <c r="M365" s="22"/>
      <c r="N365" s="22"/>
    </row>
    <row r="366" spans="1:14" x14ac:dyDescent="0.25">
      <c r="A366" s="22" t="s">
        <v>7838</v>
      </c>
      <c r="B366" s="22" t="s">
        <v>39</v>
      </c>
      <c r="C366" s="22" t="s">
        <v>4658</v>
      </c>
      <c r="D366" s="23">
        <v>-51300</v>
      </c>
      <c r="E366" s="22" t="s">
        <v>57</v>
      </c>
      <c r="F366" s="24">
        <v>43450</v>
      </c>
      <c r="G366" s="22" t="s">
        <v>5234</v>
      </c>
      <c r="H366" s="22" t="s">
        <v>5238</v>
      </c>
      <c r="I366" s="22" t="s">
        <v>5239</v>
      </c>
      <c r="J366" s="22" t="s">
        <v>4401</v>
      </c>
      <c r="K366" s="22" t="s">
        <v>103</v>
      </c>
      <c r="L366" s="22"/>
      <c r="M366" s="22"/>
      <c r="N366" s="22"/>
    </row>
    <row r="367" spans="1:14" x14ac:dyDescent="0.25">
      <c r="A367" s="22" t="s">
        <v>7839</v>
      </c>
      <c r="B367" s="22" t="s">
        <v>39</v>
      </c>
      <c r="C367" s="22" t="s">
        <v>4658</v>
      </c>
      <c r="D367" s="23">
        <v>-176099</v>
      </c>
      <c r="E367" s="22" t="s">
        <v>57</v>
      </c>
      <c r="F367" s="24">
        <v>43453</v>
      </c>
      <c r="G367" s="22" t="s">
        <v>5234</v>
      </c>
      <c r="H367" s="22" t="s">
        <v>5240</v>
      </c>
      <c r="I367" s="22" t="s">
        <v>5241</v>
      </c>
      <c r="J367" s="22" t="s">
        <v>4401</v>
      </c>
      <c r="K367" s="22" t="s">
        <v>103</v>
      </c>
      <c r="L367" s="22"/>
      <c r="M367" s="22"/>
      <c r="N367" s="22"/>
    </row>
    <row r="368" spans="1:14" x14ac:dyDescent="0.25">
      <c r="A368" s="22" t="s">
        <v>7746</v>
      </c>
      <c r="B368" s="22" t="s">
        <v>39</v>
      </c>
      <c r="C368" s="22" t="s">
        <v>4658</v>
      </c>
      <c r="D368" s="23">
        <v>-13292</v>
      </c>
      <c r="E368" s="22" t="s">
        <v>57</v>
      </c>
      <c r="F368" s="24">
        <v>43455</v>
      </c>
      <c r="G368" s="22" t="s">
        <v>5234</v>
      </c>
      <c r="H368" s="22" t="s">
        <v>5242</v>
      </c>
      <c r="I368" s="22" t="s">
        <v>4657</v>
      </c>
      <c r="J368" s="22" t="s">
        <v>4401</v>
      </c>
      <c r="K368" s="22" t="s">
        <v>103</v>
      </c>
      <c r="L368" s="22"/>
      <c r="M368" s="22"/>
      <c r="N368" s="22"/>
    </row>
    <row r="369" spans="1:14" x14ac:dyDescent="0.25">
      <c r="A369" s="22" t="s">
        <v>7840</v>
      </c>
      <c r="B369" s="22" t="s">
        <v>39</v>
      </c>
      <c r="C369" s="22" t="s">
        <v>5243</v>
      </c>
      <c r="D369" s="23">
        <v>-55081</v>
      </c>
      <c r="E369" s="22" t="s">
        <v>57</v>
      </c>
      <c r="F369" s="24">
        <v>43475</v>
      </c>
      <c r="G369" s="22" t="s">
        <v>5234</v>
      </c>
      <c r="H369" s="22" t="s">
        <v>5244</v>
      </c>
      <c r="I369" s="22" t="s">
        <v>5245</v>
      </c>
      <c r="J369" s="22" t="s">
        <v>4401</v>
      </c>
      <c r="K369" s="22" t="s">
        <v>5068</v>
      </c>
      <c r="L369" s="22"/>
      <c r="M369" s="22"/>
      <c r="N369" s="22"/>
    </row>
    <row r="370" spans="1:14" x14ac:dyDescent="0.25">
      <c r="A370" s="22" t="s">
        <v>5246</v>
      </c>
      <c r="B370" s="22" t="s">
        <v>39</v>
      </c>
      <c r="C370" s="22" t="s">
        <v>5081</v>
      </c>
      <c r="D370" s="23">
        <v>899247</v>
      </c>
      <c r="E370" s="22" t="s">
        <v>42</v>
      </c>
      <c r="F370" s="24">
        <v>43685</v>
      </c>
      <c r="G370" s="22" t="s">
        <v>5234</v>
      </c>
      <c r="H370" s="22" t="s">
        <v>5211</v>
      </c>
      <c r="I370" s="22" t="s">
        <v>5247</v>
      </c>
      <c r="J370" s="22" t="s">
        <v>4401</v>
      </c>
      <c r="K370" s="22" t="s">
        <v>3643</v>
      </c>
      <c r="L370" s="22"/>
      <c r="M370" s="22"/>
      <c r="N370" s="22"/>
    </row>
    <row r="371" spans="1:14" x14ac:dyDescent="0.25">
      <c r="A371" s="22" t="s">
        <v>7841</v>
      </c>
      <c r="B371" s="22" t="s">
        <v>39</v>
      </c>
      <c r="C371" s="22" t="s">
        <v>4610</v>
      </c>
      <c r="D371" s="23">
        <v>-242587</v>
      </c>
      <c r="E371" s="22" t="s">
        <v>57</v>
      </c>
      <c r="F371" s="24">
        <v>43401</v>
      </c>
      <c r="G371" s="22" t="s">
        <v>5248</v>
      </c>
      <c r="H371" s="22" t="s">
        <v>5249</v>
      </c>
      <c r="I371" s="22" t="s">
        <v>5250</v>
      </c>
      <c r="J371" s="22" t="s">
        <v>4401</v>
      </c>
      <c r="K371" s="22" t="s">
        <v>4424</v>
      </c>
      <c r="L371" s="22"/>
      <c r="M371" s="22"/>
      <c r="N371" s="22"/>
    </row>
    <row r="372" spans="1:14" x14ac:dyDescent="0.25">
      <c r="A372" s="22" t="s">
        <v>7842</v>
      </c>
      <c r="B372" s="22" t="s">
        <v>39</v>
      </c>
      <c r="C372" s="22" t="s">
        <v>4610</v>
      </c>
      <c r="D372" s="23">
        <v>-124200</v>
      </c>
      <c r="E372" s="22" t="s">
        <v>57</v>
      </c>
      <c r="F372" s="24">
        <v>43406</v>
      </c>
      <c r="G372" s="22" t="s">
        <v>5248</v>
      </c>
      <c r="H372" s="22" t="s">
        <v>5251</v>
      </c>
      <c r="I372" s="22" t="s">
        <v>5252</v>
      </c>
      <c r="J372" s="22" t="s">
        <v>4401</v>
      </c>
      <c r="K372" s="22" t="s">
        <v>4424</v>
      </c>
      <c r="L372" s="22"/>
      <c r="M372" s="22"/>
      <c r="N372" s="22"/>
    </row>
    <row r="373" spans="1:14" x14ac:dyDescent="0.25">
      <c r="A373" s="22" t="s">
        <v>7739</v>
      </c>
      <c r="B373" s="22" t="s">
        <v>39</v>
      </c>
      <c r="C373" s="22" t="s">
        <v>4610</v>
      </c>
      <c r="D373" s="23">
        <v>-108442</v>
      </c>
      <c r="E373" s="22" t="s">
        <v>57</v>
      </c>
      <c r="F373" s="24">
        <v>43397</v>
      </c>
      <c r="G373" s="22" t="s">
        <v>5248</v>
      </c>
      <c r="H373" s="22" t="s">
        <v>4612</v>
      </c>
      <c r="I373" s="22" t="s">
        <v>4611</v>
      </c>
      <c r="J373" s="22" t="s">
        <v>4401</v>
      </c>
      <c r="K373" s="22" t="s">
        <v>4424</v>
      </c>
      <c r="L373" s="22"/>
      <c r="M373" s="22"/>
      <c r="N373" s="22"/>
    </row>
    <row r="374" spans="1:14" x14ac:dyDescent="0.25">
      <c r="A374" s="22" t="s">
        <v>7843</v>
      </c>
      <c r="B374" s="22" t="s">
        <v>39</v>
      </c>
      <c r="C374" s="22" t="s">
        <v>4662</v>
      </c>
      <c r="D374" s="23">
        <v>-54300</v>
      </c>
      <c r="E374" s="22" t="s">
        <v>57</v>
      </c>
      <c r="F374" s="24">
        <v>43480</v>
      </c>
      <c r="G374" s="22" t="s">
        <v>5248</v>
      </c>
      <c r="H374" s="22" t="s">
        <v>5253</v>
      </c>
      <c r="I374" s="22" t="s">
        <v>5254</v>
      </c>
      <c r="J374" s="22" t="s">
        <v>4466</v>
      </c>
      <c r="K374" s="22" t="s">
        <v>4424</v>
      </c>
      <c r="L374" s="22"/>
      <c r="M374" s="22"/>
      <c r="N374" s="22"/>
    </row>
    <row r="375" spans="1:14" x14ac:dyDescent="0.25">
      <c r="A375" s="22" t="s">
        <v>7748</v>
      </c>
      <c r="B375" s="22" t="s">
        <v>39</v>
      </c>
      <c r="C375" s="22" t="s">
        <v>4662</v>
      </c>
      <c r="D375" s="23">
        <v>-94827</v>
      </c>
      <c r="E375" s="22" t="s">
        <v>57</v>
      </c>
      <c r="F375" s="24">
        <v>43468</v>
      </c>
      <c r="G375" s="22" t="s">
        <v>5248</v>
      </c>
      <c r="H375" s="22" t="s">
        <v>5255</v>
      </c>
      <c r="I375" s="22" t="s">
        <v>4661</v>
      </c>
      <c r="J375" s="22" t="s">
        <v>4466</v>
      </c>
      <c r="K375" s="22" t="s">
        <v>4424</v>
      </c>
      <c r="L375" s="22"/>
      <c r="M375" s="22"/>
      <c r="N375" s="22"/>
    </row>
    <row r="376" spans="1:14" x14ac:dyDescent="0.25">
      <c r="A376" s="22" t="s">
        <v>5256</v>
      </c>
      <c r="B376" s="22" t="s">
        <v>39</v>
      </c>
      <c r="C376" s="22" t="s">
        <v>5101</v>
      </c>
      <c r="D376" s="23">
        <v>624356</v>
      </c>
      <c r="E376" s="22" t="s">
        <v>42</v>
      </c>
      <c r="F376" s="24">
        <v>43685</v>
      </c>
      <c r="G376" s="22" t="s">
        <v>5248</v>
      </c>
      <c r="H376" s="22" t="s">
        <v>5211</v>
      </c>
      <c r="I376" s="22" t="s">
        <v>5257</v>
      </c>
      <c r="J376" s="22" t="s">
        <v>4401</v>
      </c>
      <c r="K376" s="22" t="s">
        <v>3504</v>
      </c>
      <c r="L376" s="22"/>
      <c r="M376" s="22"/>
      <c r="N376" s="22"/>
    </row>
    <row r="377" spans="1:14" x14ac:dyDescent="0.25">
      <c r="A377" s="22" t="s">
        <v>2103</v>
      </c>
      <c r="B377" s="22" t="s">
        <v>39</v>
      </c>
      <c r="C377" s="22" t="s">
        <v>3504</v>
      </c>
      <c r="D377" s="23">
        <v>149127</v>
      </c>
      <c r="E377" s="22" t="s">
        <v>45</v>
      </c>
      <c r="F377" s="24">
        <v>43685</v>
      </c>
      <c r="G377" s="22" t="s">
        <v>5248</v>
      </c>
      <c r="H377" s="22" t="s">
        <v>5258</v>
      </c>
      <c r="I377" s="22" t="s">
        <v>5248</v>
      </c>
      <c r="J377" s="22" t="s">
        <v>4466</v>
      </c>
      <c r="K377" s="22" t="s">
        <v>5259</v>
      </c>
      <c r="L377" s="22"/>
      <c r="M377" s="22"/>
      <c r="N377" s="22"/>
    </row>
    <row r="378" spans="1:14" x14ac:dyDescent="0.25">
      <c r="A378" s="22" t="s">
        <v>2103</v>
      </c>
      <c r="B378" s="22" t="s">
        <v>39</v>
      </c>
      <c r="C378" s="22" t="s">
        <v>3504</v>
      </c>
      <c r="D378" s="23">
        <v>-149127</v>
      </c>
      <c r="E378" s="22" t="s">
        <v>45</v>
      </c>
      <c r="F378" s="24">
        <v>43685</v>
      </c>
      <c r="G378" s="22" t="s">
        <v>5248</v>
      </c>
      <c r="H378" s="22" t="s">
        <v>5258</v>
      </c>
      <c r="I378" s="22" t="s">
        <v>5248</v>
      </c>
      <c r="J378" s="22" t="s">
        <v>4401</v>
      </c>
      <c r="K378" s="22" t="s">
        <v>5259</v>
      </c>
      <c r="L378" s="22"/>
      <c r="M378" s="22"/>
      <c r="N378" s="22"/>
    </row>
    <row r="379" spans="1:14" x14ac:dyDescent="0.25">
      <c r="A379" s="22" t="s">
        <v>7844</v>
      </c>
      <c r="B379" s="22" t="s">
        <v>39</v>
      </c>
      <c r="C379" s="22" t="s">
        <v>5260</v>
      </c>
      <c r="D379" s="23">
        <v>-159607</v>
      </c>
      <c r="E379" s="22" t="s">
        <v>57</v>
      </c>
      <c r="F379" s="24">
        <v>43375</v>
      </c>
      <c r="G379" s="22" t="s">
        <v>5261</v>
      </c>
      <c r="H379" s="22" t="s">
        <v>5262</v>
      </c>
      <c r="I379" s="22" t="s">
        <v>5263</v>
      </c>
      <c r="J379" s="22" t="s">
        <v>4407</v>
      </c>
      <c r="K379" s="22" t="s">
        <v>5264</v>
      </c>
      <c r="L379" s="22"/>
      <c r="M379" s="22"/>
      <c r="N379" s="22"/>
    </row>
    <row r="380" spans="1:14" x14ac:dyDescent="0.25">
      <c r="A380" s="22" t="s">
        <v>7722</v>
      </c>
      <c r="B380" s="22" t="s">
        <v>39</v>
      </c>
      <c r="C380" s="22" t="s">
        <v>4667</v>
      </c>
      <c r="D380" s="23">
        <v>-96638</v>
      </c>
      <c r="E380" s="22" t="s">
        <v>57</v>
      </c>
      <c r="F380" s="24">
        <v>43354</v>
      </c>
      <c r="G380" s="22" t="s">
        <v>5261</v>
      </c>
      <c r="H380" s="22" t="s">
        <v>5265</v>
      </c>
      <c r="I380" s="22" t="s">
        <v>4452</v>
      </c>
      <c r="J380" s="22" t="s">
        <v>4401</v>
      </c>
      <c r="K380" s="22" t="s">
        <v>4449</v>
      </c>
      <c r="L380" s="22"/>
      <c r="M380" s="22"/>
      <c r="N380" s="22"/>
    </row>
    <row r="381" spans="1:14" x14ac:dyDescent="0.25">
      <c r="A381" s="22" t="s">
        <v>2115</v>
      </c>
      <c r="B381" s="22" t="s">
        <v>39</v>
      </c>
      <c r="C381" s="22" t="s">
        <v>4667</v>
      </c>
      <c r="D381" s="23">
        <v>-159607</v>
      </c>
      <c r="E381" s="22" t="s">
        <v>45</v>
      </c>
      <c r="F381" s="24">
        <v>43700</v>
      </c>
      <c r="G381" s="22" t="s">
        <v>5261</v>
      </c>
      <c r="H381" s="22" t="s">
        <v>5266</v>
      </c>
      <c r="I381" s="22" t="s">
        <v>5261</v>
      </c>
      <c r="J381" s="22" t="s">
        <v>4401</v>
      </c>
      <c r="K381" s="22" t="s">
        <v>5267</v>
      </c>
      <c r="L381" s="22"/>
      <c r="M381" s="22"/>
      <c r="N381" s="22"/>
    </row>
    <row r="382" spans="1:14" x14ac:dyDescent="0.25">
      <c r="A382" s="22" t="s">
        <v>2115</v>
      </c>
      <c r="B382" s="22" t="s">
        <v>39</v>
      </c>
      <c r="C382" s="22" t="s">
        <v>4667</v>
      </c>
      <c r="D382" s="23">
        <v>159607</v>
      </c>
      <c r="E382" s="22" t="s">
        <v>45</v>
      </c>
      <c r="F382" s="24">
        <v>43700</v>
      </c>
      <c r="G382" s="22" t="s">
        <v>5261</v>
      </c>
      <c r="H382" s="22" t="s">
        <v>5266</v>
      </c>
      <c r="I382" s="22" t="s">
        <v>5261</v>
      </c>
      <c r="J382" s="22" t="s">
        <v>4407</v>
      </c>
      <c r="K382" s="22" t="s">
        <v>5267</v>
      </c>
      <c r="L382" s="22"/>
      <c r="M382" s="22"/>
      <c r="N382" s="22"/>
    </row>
    <row r="383" spans="1:14" x14ac:dyDescent="0.25">
      <c r="A383" s="22" t="s">
        <v>7744</v>
      </c>
      <c r="B383" s="22" t="s">
        <v>39</v>
      </c>
      <c r="C383" s="22" t="s">
        <v>4642</v>
      </c>
      <c r="D383" s="23">
        <v>-26935</v>
      </c>
      <c r="E383" s="22" t="s">
        <v>57</v>
      </c>
      <c r="F383" s="24">
        <v>43055</v>
      </c>
      <c r="G383" s="22" t="s">
        <v>5261</v>
      </c>
      <c r="H383" s="22" t="s">
        <v>4641</v>
      </c>
      <c r="I383" s="22" t="s">
        <v>4640</v>
      </c>
      <c r="J383" s="22" t="s">
        <v>4401</v>
      </c>
      <c r="K383" s="22" t="s">
        <v>4639</v>
      </c>
      <c r="L383" s="22"/>
      <c r="M383" s="22"/>
      <c r="N383" s="22"/>
    </row>
    <row r="384" spans="1:14" x14ac:dyDescent="0.25">
      <c r="A384" s="22" t="s">
        <v>4371</v>
      </c>
      <c r="B384" s="22" t="s">
        <v>39</v>
      </c>
      <c r="C384" s="22" t="s">
        <v>5268</v>
      </c>
      <c r="D384" s="23">
        <v>-51720</v>
      </c>
      <c r="E384" s="22" t="s">
        <v>57</v>
      </c>
      <c r="F384" s="24">
        <v>43069</v>
      </c>
      <c r="G384" s="22" t="s">
        <v>5261</v>
      </c>
      <c r="H384" s="22" t="s">
        <v>5269</v>
      </c>
      <c r="I384" s="22" t="s">
        <v>5270</v>
      </c>
      <c r="J384" s="22" t="s">
        <v>4401</v>
      </c>
      <c r="K384" s="22" t="s">
        <v>4455</v>
      </c>
      <c r="L384" s="22"/>
      <c r="M384" s="22"/>
      <c r="N384" s="22"/>
    </row>
    <row r="385" spans="1:14" x14ac:dyDescent="0.25">
      <c r="A385" s="22" t="s">
        <v>7845</v>
      </c>
      <c r="B385" s="22" t="s">
        <v>39</v>
      </c>
      <c r="C385" s="22" t="s">
        <v>5271</v>
      </c>
      <c r="D385" s="23">
        <v>-51300</v>
      </c>
      <c r="E385" s="22" t="s">
        <v>57</v>
      </c>
      <c r="F385" s="24">
        <v>43294</v>
      </c>
      <c r="G385" s="22" t="s">
        <v>5261</v>
      </c>
      <c r="H385" s="22" t="s">
        <v>5272</v>
      </c>
      <c r="I385" s="22" t="s">
        <v>5273</v>
      </c>
      <c r="J385" s="22" t="s">
        <v>4401</v>
      </c>
      <c r="K385" s="22" t="s">
        <v>4707</v>
      </c>
      <c r="L385" s="22"/>
      <c r="M385" s="22"/>
      <c r="N385" s="22"/>
    </row>
    <row r="386" spans="1:14" x14ac:dyDescent="0.25">
      <c r="A386" s="22" t="s">
        <v>5274</v>
      </c>
      <c r="B386" s="22" t="s">
        <v>39</v>
      </c>
      <c r="C386" s="22" t="s">
        <v>5135</v>
      </c>
      <c r="D386" s="23">
        <v>386200</v>
      </c>
      <c r="E386" s="22" t="s">
        <v>42</v>
      </c>
      <c r="F386" s="24">
        <v>43685</v>
      </c>
      <c r="G386" s="22" t="s">
        <v>5261</v>
      </c>
      <c r="H386" s="22" t="s">
        <v>5211</v>
      </c>
      <c r="I386" s="22" t="s">
        <v>5275</v>
      </c>
      <c r="J386" s="22" t="s">
        <v>4401</v>
      </c>
      <c r="K386" s="22" t="s">
        <v>3480</v>
      </c>
      <c r="L386" s="22"/>
      <c r="M386" s="22"/>
      <c r="N386" s="22"/>
    </row>
    <row r="387" spans="1:14" x14ac:dyDescent="0.25">
      <c r="A387" s="22" t="s">
        <v>2103</v>
      </c>
      <c r="B387" s="22" t="s">
        <v>39</v>
      </c>
      <c r="C387" s="22" t="s">
        <v>5276</v>
      </c>
      <c r="D387" s="23">
        <v>95881</v>
      </c>
      <c r="E387" s="22" t="s">
        <v>45</v>
      </c>
      <c r="F387" s="24">
        <v>43704</v>
      </c>
      <c r="G387" s="22" t="s">
        <v>5277</v>
      </c>
      <c r="H387" s="22" t="s">
        <v>5278</v>
      </c>
      <c r="I387" s="22" t="s">
        <v>5277</v>
      </c>
      <c r="J387" s="22" t="s">
        <v>4401</v>
      </c>
      <c r="K387" s="22" t="s">
        <v>5279</v>
      </c>
      <c r="L387" s="22"/>
      <c r="M387" s="22"/>
      <c r="N387" s="22"/>
    </row>
    <row r="388" spans="1:14" x14ac:dyDescent="0.25">
      <c r="A388" s="22" t="s">
        <v>2103</v>
      </c>
      <c r="B388" s="22" t="s">
        <v>39</v>
      </c>
      <c r="C388" s="22" t="s">
        <v>5276</v>
      </c>
      <c r="D388" s="23">
        <v>-95881</v>
      </c>
      <c r="E388" s="22" t="s">
        <v>45</v>
      </c>
      <c r="F388" s="24">
        <v>43704</v>
      </c>
      <c r="G388" s="22" t="s">
        <v>5277</v>
      </c>
      <c r="H388" s="22" t="s">
        <v>5278</v>
      </c>
      <c r="I388" s="22" t="s">
        <v>5277</v>
      </c>
      <c r="J388" s="22" t="s">
        <v>4401</v>
      </c>
      <c r="K388" s="22" t="s">
        <v>5279</v>
      </c>
      <c r="L388" s="22"/>
      <c r="M388" s="22"/>
      <c r="N388" s="22"/>
    </row>
    <row r="389" spans="1:14" x14ac:dyDescent="0.25">
      <c r="A389" s="22" t="s">
        <v>7846</v>
      </c>
      <c r="B389" s="22" t="s">
        <v>39</v>
      </c>
      <c r="C389" s="22" t="s">
        <v>5280</v>
      </c>
      <c r="D389" s="23">
        <v>-95881</v>
      </c>
      <c r="E389" s="22" t="s">
        <v>57</v>
      </c>
      <c r="F389" s="24">
        <v>43566</v>
      </c>
      <c r="G389" s="22" t="s">
        <v>5277</v>
      </c>
      <c r="H389" s="22" t="s">
        <v>5281</v>
      </c>
      <c r="I389" s="22" t="s">
        <v>5282</v>
      </c>
      <c r="J389" s="22" t="s">
        <v>4401</v>
      </c>
      <c r="K389" s="22" t="s">
        <v>4467</v>
      </c>
      <c r="L389" s="22"/>
      <c r="M389" s="22"/>
      <c r="N389" s="22"/>
    </row>
    <row r="390" spans="1:14" x14ac:dyDescent="0.25">
      <c r="A390" s="22" t="s">
        <v>5283</v>
      </c>
      <c r="B390" s="22" t="s">
        <v>39</v>
      </c>
      <c r="C390" s="22" t="s">
        <v>5119</v>
      </c>
      <c r="D390" s="23">
        <v>95881</v>
      </c>
      <c r="E390" s="22" t="s">
        <v>42</v>
      </c>
      <c r="F390" s="24">
        <v>43685</v>
      </c>
      <c r="G390" s="22" t="s">
        <v>5277</v>
      </c>
      <c r="H390" s="22" t="s">
        <v>5211</v>
      </c>
      <c r="I390" s="22" t="s">
        <v>5284</v>
      </c>
      <c r="J390" s="22" t="s">
        <v>4401</v>
      </c>
      <c r="K390" s="22" t="s">
        <v>5285</v>
      </c>
      <c r="L390" s="22"/>
      <c r="M390" s="22"/>
      <c r="N390" s="22"/>
    </row>
    <row r="391" spans="1:14" x14ac:dyDescent="0.25">
      <c r="A391" s="22" t="s">
        <v>5287</v>
      </c>
      <c r="B391" s="22" t="s">
        <v>39</v>
      </c>
      <c r="C391" s="22" t="s">
        <v>5286</v>
      </c>
      <c r="D391" s="23">
        <v>-68100</v>
      </c>
      <c r="E391" s="22" t="s">
        <v>45</v>
      </c>
      <c r="F391" s="24">
        <v>43685</v>
      </c>
      <c r="G391" s="22" t="s">
        <v>5288</v>
      </c>
      <c r="H391" s="22" t="s">
        <v>2103</v>
      </c>
      <c r="I391" s="22" t="s">
        <v>5288</v>
      </c>
      <c r="J391" s="22" t="s">
        <v>4401</v>
      </c>
      <c r="K391" s="22" t="s">
        <v>2103</v>
      </c>
      <c r="L391" s="22"/>
      <c r="M391" s="22"/>
      <c r="N391" s="22"/>
    </row>
    <row r="392" spans="1:14" x14ac:dyDescent="0.25">
      <c r="A392" s="22" t="s">
        <v>7847</v>
      </c>
      <c r="B392" s="22" t="s">
        <v>39</v>
      </c>
      <c r="C392" s="22" t="s">
        <v>4497</v>
      </c>
      <c r="D392" s="23">
        <v>-196443</v>
      </c>
      <c r="E392" s="22" t="s">
        <v>57</v>
      </c>
      <c r="F392" s="24">
        <v>43622</v>
      </c>
      <c r="G392" s="22" t="s">
        <v>5288</v>
      </c>
      <c r="H392" s="22" t="s">
        <v>5289</v>
      </c>
      <c r="I392" s="22" t="s">
        <v>5290</v>
      </c>
      <c r="J392" s="22" t="s">
        <v>4401</v>
      </c>
      <c r="K392" s="22" t="s">
        <v>4500</v>
      </c>
      <c r="L392" s="22"/>
      <c r="M392" s="22"/>
      <c r="N392" s="22"/>
    </row>
    <row r="393" spans="1:14" x14ac:dyDescent="0.25">
      <c r="A393" s="22" t="s">
        <v>7848</v>
      </c>
      <c r="B393" s="22" t="s">
        <v>39</v>
      </c>
      <c r="C393" s="22" t="s">
        <v>4497</v>
      </c>
      <c r="D393" s="23">
        <v>-100121</v>
      </c>
      <c r="E393" s="22" t="s">
        <v>57</v>
      </c>
      <c r="F393" s="24">
        <v>43638</v>
      </c>
      <c r="G393" s="22" t="s">
        <v>5288</v>
      </c>
      <c r="H393" s="22" t="s">
        <v>5291</v>
      </c>
      <c r="I393" s="22" t="s">
        <v>5292</v>
      </c>
      <c r="J393" s="22" t="s">
        <v>4401</v>
      </c>
      <c r="K393" s="22" t="s">
        <v>4500</v>
      </c>
      <c r="L393" s="22"/>
      <c r="M393" s="22"/>
      <c r="N393" s="22"/>
    </row>
    <row r="394" spans="1:14" x14ac:dyDescent="0.25">
      <c r="A394" s="22" t="s">
        <v>7732</v>
      </c>
      <c r="B394" s="22" t="s">
        <v>39</v>
      </c>
      <c r="C394" s="22" t="s">
        <v>4497</v>
      </c>
      <c r="D394" s="23">
        <v>-1126300</v>
      </c>
      <c r="E394" s="22" t="s">
        <v>57</v>
      </c>
      <c r="F394" s="24">
        <v>43658</v>
      </c>
      <c r="G394" s="22" t="s">
        <v>5288</v>
      </c>
      <c r="H394" s="22" t="s">
        <v>5293</v>
      </c>
      <c r="I394" s="22" t="s">
        <v>4499</v>
      </c>
      <c r="J394" s="22" t="s">
        <v>4401</v>
      </c>
      <c r="K394" s="22" t="s">
        <v>4500</v>
      </c>
      <c r="L394" s="22"/>
      <c r="M394" s="22"/>
      <c r="N394" s="22"/>
    </row>
    <row r="395" spans="1:14" x14ac:dyDescent="0.25">
      <c r="A395" s="22" t="s">
        <v>7849</v>
      </c>
      <c r="B395" s="22" t="s">
        <v>39</v>
      </c>
      <c r="C395" s="22" t="s">
        <v>4497</v>
      </c>
      <c r="D395" s="23">
        <v>-57274</v>
      </c>
      <c r="E395" s="22" t="s">
        <v>57</v>
      </c>
      <c r="F395" s="24">
        <v>43642</v>
      </c>
      <c r="G395" s="22" t="s">
        <v>5288</v>
      </c>
      <c r="H395" s="22" t="s">
        <v>5294</v>
      </c>
      <c r="I395" s="22" t="s">
        <v>5295</v>
      </c>
      <c r="J395" s="22" t="s">
        <v>4401</v>
      </c>
      <c r="K395" s="22" t="s">
        <v>4500</v>
      </c>
      <c r="L395" s="22"/>
      <c r="M395" s="22"/>
      <c r="N395" s="22"/>
    </row>
    <row r="396" spans="1:14" x14ac:dyDescent="0.25">
      <c r="A396" s="22" t="s">
        <v>5287</v>
      </c>
      <c r="B396" s="22" t="s">
        <v>39</v>
      </c>
      <c r="C396" s="22" t="s">
        <v>5296</v>
      </c>
      <c r="D396" s="23">
        <v>1548238</v>
      </c>
      <c r="E396" s="22" t="s">
        <v>42</v>
      </c>
      <c r="F396" s="24">
        <v>43685</v>
      </c>
      <c r="G396" s="22" t="s">
        <v>5288</v>
      </c>
      <c r="H396" s="22" t="s">
        <v>5211</v>
      </c>
      <c r="I396" s="22" t="s">
        <v>5297</v>
      </c>
      <c r="J396" s="22" t="s">
        <v>4401</v>
      </c>
      <c r="K396" s="22" t="s">
        <v>40</v>
      </c>
      <c r="L396" s="22"/>
      <c r="M396" s="22"/>
      <c r="N396" s="22"/>
    </row>
    <row r="397" spans="1:14" x14ac:dyDescent="0.25">
      <c r="A397" s="22" t="s">
        <v>5299</v>
      </c>
      <c r="B397" s="22" t="s">
        <v>39</v>
      </c>
      <c r="C397" s="22" t="s">
        <v>5298</v>
      </c>
      <c r="D397" s="23">
        <v>366214</v>
      </c>
      <c r="E397" s="22" t="s">
        <v>45</v>
      </c>
      <c r="F397" s="24">
        <v>43707</v>
      </c>
      <c r="G397" s="22" t="s">
        <v>5300</v>
      </c>
      <c r="H397" s="22" t="s">
        <v>5301</v>
      </c>
      <c r="I397" s="22" t="s">
        <v>5300</v>
      </c>
      <c r="J397" s="22" t="s">
        <v>4466</v>
      </c>
      <c r="K397" s="22" t="s">
        <v>5301</v>
      </c>
      <c r="L397" s="22"/>
      <c r="M397" s="22"/>
      <c r="N397" s="22"/>
    </row>
    <row r="398" spans="1:14" x14ac:dyDescent="0.25">
      <c r="A398" s="22" t="s">
        <v>5299</v>
      </c>
      <c r="B398" s="22" t="s">
        <v>39</v>
      </c>
      <c r="C398" s="22" t="s">
        <v>5298</v>
      </c>
      <c r="D398" s="23">
        <v>-43284365</v>
      </c>
      <c r="E398" s="22" t="s">
        <v>45</v>
      </c>
      <c r="F398" s="24">
        <v>43707</v>
      </c>
      <c r="G398" s="22" t="s">
        <v>5300</v>
      </c>
      <c r="H398" s="22" t="s">
        <v>5301</v>
      </c>
      <c r="I398" s="22" t="s">
        <v>5300</v>
      </c>
      <c r="J398" s="22" t="s">
        <v>4401</v>
      </c>
      <c r="K398" s="22" t="s">
        <v>5301</v>
      </c>
      <c r="L398" s="22"/>
      <c r="M398" s="22"/>
      <c r="N398" s="22"/>
    </row>
    <row r="399" spans="1:14" x14ac:dyDescent="0.25">
      <c r="A399" s="22" t="s">
        <v>7850</v>
      </c>
      <c r="B399" s="22" t="s">
        <v>39</v>
      </c>
      <c r="C399" s="22" t="s">
        <v>5302</v>
      </c>
      <c r="D399" s="23">
        <v>-238514</v>
      </c>
      <c r="E399" s="22" t="s">
        <v>57</v>
      </c>
      <c r="F399" s="24">
        <v>43559</v>
      </c>
      <c r="G399" s="22" t="s">
        <v>5300</v>
      </c>
      <c r="H399" s="22" t="s">
        <v>5303</v>
      </c>
      <c r="I399" s="22" t="s">
        <v>5304</v>
      </c>
      <c r="J399" s="22" t="s">
        <v>4466</v>
      </c>
      <c r="K399" s="22" t="s">
        <v>4519</v>
      </c>
      <c r="L399" s="22"/>
      <c r="M399" s="22"/>
      <c r="N399" s="22"/>
    </row>
    <row r="400" spans="1:14" x14ac:dyDescent="0.25">
      <c r="A400" s="22" t="s">
        <v>7851</v>
      </c>
      <c r="B400" s="22" t="s">
        <v>39</v>
      </c>
      <c r="C400" s="22" t="s">
        <v>5302</v>
      </c>
      <c r="D400" s="23">
        <v>-127700</v>
      </c>
      <c r="E400" s="22" t="s">
        <v>57</v>
      </c>
      <c r="F400" s="24">
        <v>43581</v>
      </c>
      <c r="G400" s="22" t="s">
        <v>5300</v>
      </c>
      <c r="H400" s="22" t="s">
        <v>5305</v>
      </c>
      <c r="I400" s="22" t="s">
        <v>5306</v>
      </c>
      <c r="J400" s="22" t="s">
        <v>4466</v>
      </c>
      <c r="K400" s="22" t="s">
        <v>4519</v>
      </c>
      <c r="L400" s="22"/>
      <c r="M400" s="22"/>
      <c r="N400" s="22"/>
    </row>
    <row r="401" spans="1:14" x14ac:dyDescent="0.25">
      <c r="A401" s="22" t="s">
        <v>7852</v>
      </c>
      <c r="B401" s="22" t="s">
        <v>39</v>
      </c>
      <c r="C401" s="22" t="s">
        <v>5307</v>
      </c>
      <c r="D401" s="23">
        <v>-644600</v>
      </c>
      <c r="E401" s="22" t="s">
        <v>57</v>
      </c>
      <c r="F401" s="24">
        <v>43652</v>
      </c>
      <c r="G401" s="22" t="s">
        <v>5300</v>
      </c>
      <c r="H401" s="22" t="s">
        <v>5308</v>
      </c>
      <c r="I401" s="22" t="s">
        <v>5309</v>
      </c>
      <c r="J401" s="22" t="s">
        <v>4401</v>
      </c>
      <c r="K401" s="22" t="s">
        <v>83</v>
      </c>
      <c r="L401" s="22"/>
      <c r="M401" s="22"/>
      <c r="N401" s="22"/>
    </row>
    <row r="402" spans="1:14" x14ac:dyDescent="0.25">
      <c r="A402" s="22" t="s">
        <v>7853</v>
      </c>
      <c r="B402" s="22" t="s">
        <v>39</v>
      </c>
      <c r="C402" s="22" t="s">
        <v>5307</v>
      </c>
      <c r="D402" s="23">
        <v>-54400</v>
      </c>
      <c r="E402" s="22" t="s">
        <v>57</v>
      </c>
      <c r="F402" s="24">
        <v>43577</v>
      </c>
      <c r="G402" s="22" t="s">
        <v>5300</v>
      </c>
      <c r="H402" s="22" t="s">
        <v>5310</v>
      </c>
      <c r="I402" s="22" t="s">
        <v>5311</v>
      </c>
      <c r="J402" s="22" t="s">
        <v>4401</v>
      </c>
      <c r="K402" s="22" t="s">
        <v>83</v>
      </c>
      <c r="L402" s="22"/>
      <c r="M402" s="22"/>
      <c r="N402" s="22"/>
    </row>
    <row r="403" spans="1:14" x14ac:dyDescent="0.25">
      <c r="A403" s="22" t="s">
        <v>5312</v>
      </c>
      <c r="B403" s="22" t="s">
        <v>39</v>
      </c>
      <c r="C403" s="22" t="s">
        <v>4493</v>
      </c>
      <c r="D403" s="23">
        <v>-2275379</v>
      </c>
      <c r="E403" s="22" t="s">
        <v>57</v>
      </c>
      <c r="F403" s="24">
        <v>43600</v>
      </c>
      <c r="G403" s="22" t="s">
        <v>5300</v>
      </c>
      <c r="H403" s="22" t="s">
        <v>5313</v>
      </c>
      <c r="I403" s="22" t="s">
        <v>5314</v>
      </c>
      <c r="J403" s="22" t="s">
        <v>4401</v>
      </c>
      <c r="K403" s="22" t="s">
        <v>4419</v>
      </c>
      <c r="L403" s="22"/>
      <c r="M403" s="22"/>
      <c r="N403" s="22"/>
    </row>
    <row r="404" spans="1:14" x14ac:dyDescent="0.25">
      <c r="A404" s="22" t="s">
        <v>5315</v>
      </c>
      <c r="B404" s="22" t="s">
        <v>39</v>
      </c>
      <c r="C404" s="22" t="s">
        <v>4493</v>
      </c>
      <c r="D404" s="23">
        <v>-55081</v>
      </c>
      <c r="E404" s="22" t="s">
        <v>57</v>
      </c>
      <c r="F404" s="24">
        <v>43610</v>
      </c>
      <c r="G404" s="22" t="s">
        <v>5300</v>
      </c>
      <c r="H404" s="22" t="s">
        <v>5316</v>
      </c>
      <c r="I404" s="22" t="s">
        <v>5317</v>
      </c>
      <c r="J404" s="22" t="s">
        <v>4401</v>
      </c>
      <c r="K404" s="22" t="s">
        <v>4419</v>
      </c>
      <c r="L404" s="22"/>
      <c r="M404" s="22"/>
      <c r="N404" s="22"/>
    </row>
    <row r="405" spans="1:14" x14ac:dyDescent="0.25">
      <c r="A405" s="22" t="s">
        <v>4490</v>
      </c>
      <c r="B405" s="22" t="s">
        <v>39</v>
      </c>
      <c r="C405" s="22" t="s">
        <v>4493</v>
      </c>
      <c r="D405" s="23">
        <v>-1575400</v>
      </c>
      <c r="E405" s="22" t="s">
        <v>57</v>
      </c>
      <c r="F405" s="24">
        <v>43605</v>
      </c>
      <c r="G405" s="22" t="s">
        <v>5300</v>
      </c>
      <c r="H405" s="22" t="s">
        <v>5318</v>
      </c>
      <c r="I405" s="22" t="s">
        <v>4495</v>
      </c>
      <c r="J405" s="22" t="s">
        <v>4401</v>
      </c>
      <c r="K405" s="22" t="s">
        <v>4419</v>
      </c>
      <c r="L405" s="22"/>
      <c r="M405" s="22"/>
      <c r="N405" s="22"/>
    </row>
    <row r="406" spans="1:14" x14ac:dyDescent="0.25">
      <c r="A406" s="22" t="s">
        <v>4646</v>
      </c>
      <c r="B406" s="22" t="s">
        <v>39</v>
      </c>
      <c r="C406" s="22" t="s">
        <v>4493</v>
      </c>
      <c r="D406" s="23">
        <v>-1078011</v>
      </c>
      <c r="E406" s="22" t="s">
        <v>57</v>
      </c>
      <c r="F406" s="24">
        <v>43677</v>
      </c>
      <c r="G406" s="22" t="s">
        <v>5300</v>
      </c>
      <c r="H406" s="22" t="s">
        <v>5319</v>
      </c>
      <c r="I406" s="22" t="s">
        <v>4647</v>
      </c>
      <c r="J406" s="22" t="s">
        <v>4401</v>
      </c>
      <c r="K406" s="22" t="s">
        <v>4649</v>
      </c>
      <c r="L406" s="22"/>
      <c r="M406" s="22"/>
      <c r="N406" s="22"/>
    </row>
    <row r="407" spans="1:14" x14ac:dyDescent="0.25">
      <c r="A407" s="22" t="s">
        <v>7734</v>
      </c>
      <c r="B407" s="22" t="s">
        <v>39</v>
      </c>
      <c r="C407" s="22" t="s">
        <v>4506</v>
      </c>
      <c r="D407" s="23">
        <v>-44774059</v>
      </c>
      <c r="E407" s="22" t="s">
        <v>57</v>
      </c>
      <c r="F407" s="24">
        <v>43648</v>
      </c>
      <c r="G407" s="22" t="s">
        <v>5300</v>
      </c>
      <c r="H407" s="22" t="s">
        <v>5320</v>
      </c>
      <c r="I407" s="22" t="s">
        <v>4508</v>
      </c>
      <c r="J407" s="22" t="s">
        <v>4401</v>
      </c>
      <c r="K407" s="22" t="s">
        <v>4419</v>
      </c>
      <c r="L407" s="22"/>
      <c r="M407" s="22"/>
      <c r="N407" s="22"/>
    </row>
    <row r="408" spans="1:14" x14ac:dyDescent="0.25">
      <c r="A408" s="22" t="s">
        <v>7854</v>
      </c>
      <c r="B408" s="22" t="s">
        <v>39</v>
      </c>
      <c r="C408" s="22" t="s">
        <v>5321</v>
      </c>
      <c r="D408" s="23">
        <v>-193516</v>
      </c>
      <c r="E408" s="22" t="s">
        <v>57</v>
      </c>
      <c r="F408" s="24">
        <v>43632</v>
      </c>
      <c r="G408" s="22" t="s">
        <v>5300</v>
      </c>
      <c r="H408" s="22" t="s">
        <v>5322</v>
      </c>
      <c r="I408" s="22" t="s">
        <v>5323</v>
      </c>
      <c r="J408" s="22" t="s">
        <v>4401</v>
      </c>
      <c r="K408" s="22" t="s">
        <v>4419</v>
      </c>
      <c r="L408" s="22"/>
      <c r="M408" s="22"/>
      <c r="N408" s="22"/>
    </row>
    <row r="409" spans="1:14" x14ac:dyDescent="0.25">
      <c r="A409" s="22" t="s">
        <v>7855</v>
      </c>
      <c r="B409" s="22" t="s">
        <v>39</v>
      </c>
      <c r="C409" s="22" t="s">
        <v>5321</v>
      </c>
      <c r="D409" s="23">
        <v>-54915</v>
      </c>
      <c r="E409" s="22" t="s">
        <v>57</v>
      </c>
      <c r="F409" s="24">
        <v>43643</v>
      </c>
      <c r="G409" s="22" t="s">
        <v>5300</v>
      </c>
      <c r="H409" s="22" t="s">
        <v>5324</v>
      </c>
      <c r="I409" s="22" t="s">
        <v>5325</v>
      </c>
      <c r="J409" s="22" t="s">
        <v>4401</v>
      </c>
      <c r="K409" s="22" t="s">
        <v>4419</v>
      </c>
      <c r="L409" s="22"/>
      <c r="M409" s="22"/>
      <c r="N409" s="22"/>
    </row>
    <row r="410" spans="1:14" x14ac:dyDescent="0.25">
      <c r="A410" s="22" t="s">
        <v>7856</v>
      </c>
      <c r="B410" s="22" t="s">
        <v>39</v>
      </c>
      <c r="C410" s="22" t="s">
        <v>5321</v>
      </c>
      <c r="D410" s="23">
        <v>-259784</v>
      </c>
      <c r="E410" s="22" t="s">
        <v>57</v>
      </c>
      <c r="F410" s="24">
        <v>43658</v>
      </c>
      <c r="G410" s="22" t="s">
        <v>5300</v>
      </c>
      <c r="H410" s="22" t="s">
        <v>5326</v>
      </c>
      <c r="I410" s="22" t="s">
        <v>5327</v>
      </c>
      <c r="J410" s="22" t="s">
        <v>4401</v>
      </c>
      <c r="K410" s="22" t="s">
        <v>4419</v>
      </c>
      <c r="L410" s="22"/>
      <c r="M410" s="22"/>
      <c r="N410" s="22"/>
    </row>
    <row r="411" spans="1:14" x14ac:dyDescent="0.25">
      <c r="A411" s="22" t="s">
        <v>5328</v>
      </c>
      <c r="B411" s="22" t="s">
        <v>39</v>
      </c>
      <c r="C411" s="22" t="s">
        <v>4916</v>
      </c>
      <c r="D411" s="23">
        <v>94249510</v>
      </c>
      <c r="E411" s="22" t="s">
        <v>42</v>
      </c>
      <c r="F411" s="24">
        <v>43685</v>
      </c>
      <c r="G411" s="22" t="s">
        <v>5300</v>
      </c>
      <c r="H411" s="22" t="s">
        <v>5211</v>
      </c>
      <c r="I411" s="22" t="s">
        <v>5329</v>
      </c>
      <c r="J411" s="22" t="s">
        <v>4401</v>
      </c>
      <c r="K411" s="22" t="s">
        <v>47</v>
      </c>
      <c r="L411" s="22"/>
      <c r="M411" s="22"/>
      <c r="N411" s="22"/>
    </row>
    <row r="412" spans="1:14" x14ac:dyDescent="0.25">
      <c r="A412" s="22"/>
      <c r="B412" s="22" t="s">
        <v>39</v>
      </c>
      <c r="C412" s="22" t="s">
        <v>5298</v>
      </c>
      <c r="D412" s="23">
        <v>41561</v>
      </c>
      <c r="E412" s="22" t="s">
        <v>45</v>
      </c>
      <c r="F412" s="24">
        <v>43707</v>
      </c>
      <c r="G412" s="22" t="s">
        <v>5330</v>
      </c>
      <c r="H412" s="22" t="s">
        <v>2103</v>
      </c>
      <c r="I412" s="22" t="s">
        <v>5330</v>
      </c>
      <c r="J412" s="22" t="s">
        <v>4466</v>
      </c>
      <c r="K412" s="22" t="s">
        <v>2103</v>
      </c>
      <c r="L412" s="22"/>
      <c r="M412" s="22"/>
      <c r="N412" s="22"/>
    </row>
    <row r="413" spans="1:14" x14ac:dyDescent="0.25">
      <c r="A413" s="22"/>
      <c r="B413" s="22" t="s">
        <v>39</v>
      </c>
      <c r="C413" s="22" t="s">
        <v>5298</v>
      </c>
      <c r="D413" s="23">
        <v>-41561</v>
      </c>
      <c r="E413" s="22" t="s">
        <v>45</v>
      </c>
      <c r="F413" s="24">
        <v>43707</v>
      </c>
      <c r="G413" s="22" t="s">
        <v>5330</v>
      </c>
      <c r="H413" s="22" t="s">
        <v>2103</v>
      </c>
      <c r="I413" s="22" t="s">
        <v>5330</v>
      </c>
      <c r="J413" s="22" t="s">
        <v>4401</v>
      </c>
      <c r="K413" s="22" t="s">
        <v>2103</v>
      </c>
      <c r="L413" s="22"/>
      <c r="M413" s="22"/>
      <c r="N413" s="22"/>
    </row>
    <row r="414" spans="1:14" x14ac:dyDescent="0.25">
      <c r="A414" s="22" t="s">
        <v>7857</v>
      </c>
      <c r="B414" s="22" t="s">
        <v>39</v>
      </c>
      <c r="C414" s="22" t="s">
        <v>5331</v>
      </c>
      <c r="D414" s="23">
        <v>-51300</v>
      </c>
      <c r="E414" s="22" t="s">
        <v>57</v>
      </c>
      <c r="F414" s="24">
        <v>43196</v>
      </c>
      <c r="G414" s="22" t="s">
        <v>5330</v>
      </c>
      <c r="H414" s="22" t="s">
        <v>5332</v>
      </c>
      <c r="I414" s="22" t="s">
        <v>5333</v>
      </c>
      <c r="J414" s="22" t="s">
        <v>4401</v>
      </c>
      <c r="K414" s="22" t="s">
        <v>4489</v>
      </c>
      <c r="L414" s="22"/>
      <c r="M414" s="22"/>
      <c r="N414" s="22"/>
    </row>
    <row r="415" spans="1:14" x14ac:dyDescent="0.25">
      <c r="A415" s="22" t="s">
        <v>7858</v>
      </c>
      <c r="B415" s="22" t="s">
        <v>39</v>
      </c>
      <c r="C415" s="22" t="s">
        <v>5334</v>
      </c>
      <c r="D415" s="23">
        <v>-51822</v>
      </c>
      <c r="E415" s="22" t="s">
        <v>57</v>
      </c>
      <c r="F415" s="24">
        <v>43182</v>
      </c>
      <c r="G415" s="22" t="s">
        <v>5330</v>
      </c>
      <c r="H415" s="22" t="s">
        <v>5335</v>
      </c>
      <c r="I415" s="22" t="s">
        <v>5336</v>
      </c>
      <c r="J415" s="22" t="s">
        <v>4401</v>
      </c>
      <c r="K415" s="22" t="s">
        <v>4489</v>
      </c>
      <c r="L415" s="22"/>
      <c r="M415" s="22"/>
      <c r="N415" s="22"/>
    </row>
    <row r="416" spans="1:14" x14ac:dyDescent="0.25">
      <c r="A416" s="22" t="s">
        <v>7859</v>
      </c>
      <c r="B416" s="22" t="s">
        <v>39</v>
      </c>
      <c r="C416" s="22" t="s">
        <v>5337</v>
      </c>
      <c r="D416" s="23">
        <v>-41561</v>
      </c>
      <c r="E416" s="22" t="s">
        <v>57</v>
      </c>
      <c r="F416" s="24">
        <v>43585</v>
      </c>
      <c r="G416" s="22" t="s">
        <v>5330</v>
      </c>
      <c r="H416" s="22" t="s">
        <v>5338</v>
      </c>
      <c r="I416" s="22" t="s">
        <v>5339</v>
      </c>
      <c r="J416" s="22" t="s">
        <v>4466</v>
      </c>
      <c r="K416" s="22" t="s">
        <v>4489</v>
      </c>
      <c r="L416" s="22"/>
      <c r="M416" s="22"/>
      <c r="N416" s="22"/>
    </row>
    <row r="417" spans="1:14" x14ac:dyDescent="0.25">
      <c r="A417" s="22" t="s">
        <v>7860</v>
      </c>
      <c r="B417" s="22" t="s">
        <v>39</v>
      </c>
      <c r="C417" s="22" t="s">
        <v>5340</v>
      </c>
      <c r="D417" s="23">
        <v>-260395</v>
      </c>
      <c r="E417" s="22" t="s">
        <v>57</v>
      </c>
      <c r="F417" s="24">
        <v>43320</v>
      </c>
      <c r="G417" s="22" t="s">
        <v>5330</v>
      </c>
      <c r="H417" s="22" t="s">
        <v>5341</v>
      </c>
      <c r="I417" s="22" t="s">
        <v>5342</v>
      </c>
      <c r="J417" s="22" t="s">
        <v>4401</v>
      </c>
      <c r="K417" s="22" t="s">
        <v>4489</v>
      </c>
      <c r="L417" s="22"/>
      <c r="M417" s="22"/>
      <c r="N417" s="22"/>
    </row>
    <row r="418" spans="1:14" x14ac:dyDescent="0.25">
      <c r="A418" s="22" t="s">
        <v>5343</v>
      </c>
      <c r="B418" s="22" t="s">
        <v>39</v>
      </c>
      <c r="C418" s="22" t="s">
        <v>5128</v>
      </c>
      <c r="D418" s="23">
        <v>405078</v>
      </c>
      <c r="E418" s="22" t="s">
        <v>42</v>
      </c>
      <c r="F418" s="24">
        <v>43685</v>
      </c>
      <c r="G418" s="22" t="s">
        <v>5330</v>
      </c>
      <c r="H418" s="22" t="s">
        <v>5211</v>
      </c>
      <c r="I418" s="22" t="s">
        <v>5344</v>
      </c>
      <c r="J418" s="22" t="s">
        <v>4401</v>
      </c>
      <c r="K418" s="22" t="s">
        <v>3573</v>
      </c>
      <c r="L418" s="22"/>
      <c r="M418" s="22"/>
      <c r="N418" s="22"/>
    </row>
    <row r="419" spans="1:14" x14ac:dyDescent="0.25">
      <c r="A419" s="22" t="s">
        <v>2103</v>
      </c>
      <c r="B419" s="22" t="s">
        <v>39</v>
      </c>
      <c r="C419" s="22" t="s">
        <v>5345</v>
      </c>
      <c r="D419" s="23">
        <v>166383</v>
      </c>
      <c r="E419" s="22" t="s">
        <v>45</v>
      </c>
      <c r="F419" s="24">
        <v>43717</v>
      </c>
      <c r="G419" s="22" t="s">
        <v>5346</v>
      </c>
      <c r="H419" s="22" t="s">
        <v>5347</v>
      </c>
      <c r="I419" s="22" t="s">
        <v>5346</v>
      </c>
      <c r="J419" s="22" t="s">
        <v>4401</v>
      </c>
      <c r="K419" s="22" t="s">
        <v>2103</v>
      </c>
      <c r="L419" s="22"/>
      <c r="M419" s="22"/>
      <c r="N419" s="22"/>
    </row>
    <row r="420" spans="1:14" x14ac:dyDescent="0.25">
      <c r="A420" s="22" t="s">
        <v>2103</v>
      </c>
      <c r="B420" s="22" t="s">
        <v>39</v>
      </c>
      <c r="C420" s="22" t="s">
        <v>5345</v>
      </c>
      <c r="D420" s="23">
        <v>-166383</v>
      </c>
      <c r="E420" s="22" t="s">
        <v>45</v>
      </c>
      <c r="F420" s="24">
        <v>43717</v>
      </c>
      <c r="G420" s="22" t="s">
        <v>5346</v>
      </c>
      <c r="H420" s="22" t="s">
        <v>5347</v>
      </c>
      <c r="I420" s="22" t="s">
        <v>5346</v>
      </c>
      <c r="J420" s="22" t="s">
        <v>4401</v>
      </c>
      <c r="K420" s="22" t="s">
        <v>2103</v>
      </c>
      <c r="L420" s="22"/>
      <c r="M420" s="22"/>
      <c r="N420" s="22"/>
    </row>
    <row r="421" spans="1:14" x14ac:dyDescent="0.25">
      <c r="A421" s="22" t="s">
        <v>7861</v>
      </c>
      <c r="B421" s="22" t="s">
        <v>39</v>
      </c>
      <c r="C421" s="22" t="s">
        <v>5348</v>
      </c>
      <c r="D421" s="23">
        <v>-166383</v>
      </c>
      <c r="E421" s="22" t="s">
        <v>57</v>
      </c>
      <c r="F421" s="24">
        <v>43652</v>
      </c>
      <c r="G421" s="22" t="s">
        <v>5346</v>
      </c>
      <c r="H421" s="22" t="s">
        <v>5349</v>
      </c>
      <c r="I421" s="22" t="s">
        <v>5350</v>
      </c>
      <c r="J421" s="22" t="s">
        <v>4401</v>
      </c>
      <c r="K421" s="22" t="s">
        <v>112</v>
      </c>
      <c r="L421" s="22"/>
      <c r="M421" s="22"/>
      <c r="N421" s="22"/>
    </row>
    <row r="422" spans="1:14" x14ac:dyDescent="0.25">
      <c r="A422" s="22" t="s">
        <v>5352</v>
      </c>
      <c r="B422" s="22" t="s">
        <v>39</v>
      </c>
      <c r="C422" s="22" t="s">
        <v>5351</v>
      </c>
      <c r="D422" s="23">
        <v>166383</v>
      </c>
      <c r="E422" s="22" t="s">
        <v>42</v>
      </c>
      <c r="F422" s="24">
        <v>43685</v>
      </c>
      <c r="G422" s="22" t="s">
        <v>5346</v>
      </c>
      <c r="H422" s="22" t="s">
        <v>5211</v>
      </c>
      <c r="I422" s="22" t="s">
        <v>5353</v>
      </c>
      <c r="J422" s="22" t="s">
        <v>4401</v>
      </c>
      <c r="K422" s="22" t="s">
        <v>3767</v>
      </c>
      <c r="L422" s="22"/>
      <c r="M422" s="22"/>
      <c r="N422" s="22"/>
    </row>
    <row r="423" spans="1:14" x14ac:dyDescent="0.25">
      <c r="A423" s="22" t="s">
        <v>3218</v>
      </c>
      <c r="B423" s="22" t="s">
        <v>39</v>
      </c>
      <c r="C423" s="22" t="s">
        <v>4430</v>
      </c>
      <c r="D423" s="23">
        <v>55240</v>
      </c>
      <c r="E423" s="22" t="s">
        <v>45</v>
      </c>
      <c r="F423" s="24">
        <v>43593</v>
      </c>
      <c r="G423" s="22" t="s">
        <v>5354</v>
      </c>
      <c r="H423" s="22" t="s">
        <v>2103</v>
      </c>
      <c r="I423" s="22" t="s">
        <v>5354</v>
      </c>
      <c r="J423" s="22" t="s">
        <v>4401</v>
      </c>
      <c r="K423" s="22" t="s">
        <v>2103</v>
      </c>
      <c r="L423" s="22"/>
      <c r="M423" s="22"/>
      <c r="N423" s="22"/>
    </row>
    <row r="424" spans="1:14" x14ac:dyDescent="0.25">
      <c r="A424" s="22" t="s">
        <v>3218</v>
      </c>
      <c r="B424" s="22" t="s">
        <v>39</v>
      </c>
      <c r="C424" s="22" t="s">
        <v>4430</v>
      </c>
      <c r="D424" s="23">
        <v>-55240</v>
      </c>
      <c r="E424" s="22" t="s">
        <v>45</v>
      </c>
      <c r="F424" s="24">
        <v>43593</v>
      </c>
      <c r="G424" s="22" t="s">
        <v>5354</v>
      </c>
      <c r="H424" s="22" t="s">
        <v>2103</v>
      </c>
      <c r="I424" s="22" t="s">
        <v>5354</v>
      </c>
      <c r="J424" s="22" t="s">
        <v>4401</v>
      </c>
      <c r="K424" s="22" t="s">
        <v>2103</v>
      </c>
      <c r="L424" s="22"/>
      <c r="M424" s="22"/>
      <c r="N424" s="22"/>
    </row>
    <row r="425" spans="1:14" x14ac:dyDescent="0.25">
      <c r="A425" s="22" t="s">
        <v>3218</v>
      </c>
      <c r="B425" s="22" t="s">
        <v>39</v>
      </c>
      <c r="C425" s="22" t="s">
        <v>4434</v>
      </c>
      <c r="D425" s="23">
        <v>-55240</v>
      </c>
      <c r="E425" s="22" t="s">
        <v>2073</v>
      </c>
      <c r="F425" s="24">
        <v>43593</v>
      </c>
      <c r="G425" s="22" t="s">
        <v>5354</v>
      </c>
      <c r="H425" s="22" t="s">
        <v>4432</v>
      </c>
      <c r="I425" s="22" t="s">
        <v>4431</v>
      </c>
      <c r="J425" s="22" t="s">
        <v>4401</v>
      </c>
      <c r="K425" s="22" t="s">
        <v>4433</v>
      </c>
      <c r="L425" s="22"/>
      <c r="M425" s="22"/>
      <c r="N425" s="22"/>
    </row>
    <row r="426" spans="1:14" x14ac:dyDescent="0.25">
      <c r="A426" s="22" t="s">
        <v>5355</v>
      </c>
      <c r="B426" s="22" t="s">
        <v>39</v>
      </c>
      <c r="C426" s="22" t="s">
        <v>5111</v>
      </c>
      <c r="D426" s="23">
        <v>55240</v>
      </c>
      <c r="E426" s="22" t="s">
        <v>42</v>
      </c>
      <c r="F426" s="24">
        <v>43593</v>
      </c>
      <c r="G426" s="22" t="s">
        <v>5354</v>
      </c>
      <c r="H426" s="22" t="s">
        <v>5137</v>
      </c>
      <c r="I426" s="22" t="s">
        <v>5356</v>
      </c>
      <c r="J426" s="22" t="s">
        <v>4401</v>
      </c>
      <c r="K426" s="22" t="s">
        <v>3566</v>
      </c>
      <c r="L426" s="22"/>
      <c r="M426" s="22"/>
      <c r="N426" s="22"/>
    </row>
    <row r="427" spans="1:14" x14ac:dyDescent="0.25">
      <c r="A427" s="22" t="s">
        <v>7709</v>
      </c>
      <c r="B427" s="22" t="s">
        <v>39</v>
      </c>
      <c r="C427" s="22" t="s">
        <v>4438</v>
      </c>
      <c r="D427" s="23">
        <v>-168140</v>
      </c>
      <c r="E427" s="22" t="s">
        <v>45</v>
      </c>
      <c r="F427" s="24">
        <v>43685</v>
      </c>
      <c r="G427" s="22" t="s">
        <v>5357</v>
      </c>
      <c r="H427" s="22" t="s">
        <v>2103</v>
      </c>
      <c r="I427" s="22" t="s">
        <v>5357</v>
      </c>
      <c r="J427" s="22" t="s">
        <v>4401</v>
      </c>
      <c r="K427" s="22" t="s">
        <v>2103</v>
      </c>
      <c r="L427" s="22"/>
      <c r="M427" s="22"/>
      <c r="N427" s="22"/>
    </row>
    <row r="428" spans="1:14" x14ac:dyDescent="0.25">
      <c r="A428" s="22" t="s">
        <v>7709</v>
      </c>
      <c r="B428" s="22" t="s">
        <v>39</v>
      </c>
      <c r="C428" s="22" t="s">
        <v>4438</v>
      </c>
      <c r="D428" s="23">
        <v>168140</v>
      </c>
      <c r="E428" s="22" t="s">
        <v>45</v>
      </c>
      <c r="F428" s="24">
        <v>43685</v>
      </c>
      <c r="G428" s="22" t="s">
        <v>5357</v>
      </c>
      <c r="H428" s="22" t="s">
        <v>2103</v>
      </c>
      <c r="I428" s="22" t="s">
        <v>5357</v>
      </c>
      <c r="J428" s="22" t="s">
        <v>4407</v>
      </c>
      <c r="K428" s="22" t="s">
        <v>2103</v>
      </c>
      <c r="L428" s="22"/>
      <c r="M428" s="22"/>
      <c r="N428" s="22"/>
    </row>
    <row r="429" spans="1:14" x14ac:dyDescent="0.25">
      <c r="A429" s="22" t="s">
        <v>3218</v>
      </c>
      <c r="B429" s="22" t="s">
        <v>39</v>
      </c>
      <c r="C429" s="22" t="s">
        <v>4434</v>
      </c>
      <c r="D429" s="23">
        <v>-399546</v>
      </c>
      <c r="E429" s="22" t="s">
        <v>2073</v>
      </c>
      <c r="F429" s="24">
        <v>43593</v>
      </c>
      <c r="G429" s="22" t="s">
        <v>5357</v>
      </c>
      <c r="H429" s="22" t="s">
        <v>5358</v>
      </c>
      <c r="I429" s="22" t="s">
        <v>4431</v>
      </c>
      <c r="J429" s="22" t="s">
        <v>4401</v>
      </c>
      <c r="K429" s="22" t="s">
        <v>4433</v>
      </c>
      <c r="L429" s="22"/>
      <c r="M429" s="22"/>
      <c r="N429" s="22"/>
    </row>
    <row r="430" spans="1:14" x14ac:dyDescent="0.25">
      <c r="A430" s="22" t="s">
        <v>7712</v>
      </c>
      <c r="B430" s="22" t="s">
        <v>39</v>
      </c>
      <c r="C430" s="22" t="s">
        <v>5359</v>
      </c>
      <c r="D430" s="23">
        <v>-33100</v>
      </c>
      <c r="E430" s="22" t="s">
        <v>57</v>
      </c>
      <c r="F430" s="24">
        <v>43658</v>
      </c>
      <c r="G430" s="22" t="s">
        <v>5357</v>
      </c>
      <c r="H430" s="22" t="s">
        <v>4443</v>
      </c>
      <c r="I430" s="22" t="s">
        <v>5360</v>
      </c>
      <c r="J430" s="22" t="s">
        <v>4401</v>
      </c>
      <c r="K430" s="22" t="s">
        <v>4437</v>
      </c>
      <c r="L430" s="22"/>
      <c r="M430" s="22"/>
      <c r="N430" s="22"/>
    </row>
    <row r="431" spans="1:14" x14ac:dyDescent="0.25">
      <c r="A431" s="22" t="s">
        <v>7709</v>
      </c>
      <c r="B431" s="22" t="s">
        <v>39</v>
      </c>
      <c r="C431" s="22" t="s">
        <v>4442</v>
      </c>
      <c r="D431" s="23">
        <v>-168140</v>
      </c>
      <c r="E431" s="22" t="s">
        <v>2073</v>
      </c>
      <c r="F431" s="24">
        <v>43685</v>
      </c>
      <c r="G431" s="22" t="s">
        <v>5357</v>
      </c>
      <c r="H431" s="22" t="s">
        <v>4440</v>
      </c>
      <c r="I431" s="22" t="s">
        <v>4439</v>
      </c>
      <c r="J431" s="22" t="s">
        <v>4407</v>
      </c>
      <c r="K431" s="22" t="s">
        <v>4441</v>
      </c>
      <c r="L431" s="22"/>
      <c r="M431" s="22"/>
      <c r="N431" s="22"/>
    </row>
    <row r="432" spans="1:14" x14ac:dyDescent="0.25">
      <c r="A432" s="22" t="s">
        <v>5361</v>
      </c>
      <c r="B432" s="22" t="s">
        <v>39</v>
      </c>
      <c r="C432" s="22" t="s">
        <v>5111</v>
      </c>
      <c r="D432" s="23">
        <v>600786</v>
      </c>
      <c r="E432" s="22" t="s">
        <v>42</v>
      </c>
      <c r="F432" s="24">
        <v>43685</v>
      </c>
      <c r="G432" s="22" t="s">
        <v>5357</v>
      </c>
      <c r="H432" s="22" t="s">
        <v>5211</v>
      </c>
      <c r="I432" s="22" t="s">
        <v>5362</v>
      </c>
      <c r="J432" s="22" t="s">
        <v>4401</v>
      </c>
      <c r="K432" s="22" t="s">
        <v>3566</v>
      </c>
      <c r="L432" s="22"/>
      <c r="M432" s="22"/>
      <c r="N432" s="22"/>
    </row>
    <row r="433" spans="1:14" x14ac:dyDescent="0.25">
      <c r="A433" s="22" t="s">
        <v>5363</v>
      </c>
      <c r="B433" s="22" t="s">
        <v>39</v>
      </c>
      <c r="C433" s="22" t="s">
        <v>5298</v>
      </c>
      <c r="D433" s="23">
        <v>0</v>
      </c>
      <c r="E433" s="22" t="s">
        <v>45</v>
      </c>
      <c r="F433" s="24">
        <v>43707</v>
      </c>
      <c r="G433" s="22" t="s">
        <v>5364</v>
      </c>
      <c r="H433" s="22"/>
      <c r="I433" s="22" t="s">
        <v>5364</v>
      </c>
      <c r="J433" s="22" t="s">
        <v>4401</v>
      </c>
      <c r="K433" s="22" t="s">
        <v>5365</v>
      </c>
      <c r="L433" s="22"/>
      <c r="M433" s="22"/>
      <c r="N433" s="22"/>
    </row>
    <row r="434" spans="1:14" x14ac:dyDescent="0.25">
      <c r="A434" s="22" t="s">
        <v>7862</v>
      </c>
      <c r="B434" s="22" t="s">
        <v>39</v>
      </c>
      <c r="C434" s="22" t="s">
        <v>5366</v>
      </c>
      <c r="D434" s="23">
        <v>-100116</v>
      </c>
      <c r="E434" s="22" t="s">
        <v>57</v>
      </c>
      <c r="F434" s="24">
        <v>43558</v>
      </c>
      <c r="G434" s="22" t="s">
        <v>5364</v>
      </c>
      <c r="H434" s="22" t="s">
        <v>5367</v>
      </c>
      <c r="I434" s="22" t="s">
        <v>5368</v>
      </c>
      <c r="J434" s="22" t="s">
        <v>4401</v>
      </c>
      <c r="K434" s="22" t="s">
        <v>4992</v>
      </c>
      <c r="L434" s="22"/>
      <c r="M434" s="22"/>
      <c r="N434" s="22"/>
    </row>
    <row r="435" spans="1:14" x14ac:dyDescent="0.25">
      <c r="A435" s="22" t="s">
        <v>5370</v>
      </c>
      <c r="B435" s="22" t="s">
        <v>39</v>
      </c>
      <c r="C435" s="22" t="s">
        <v>5369</v>
      </c>
      <c r="D435" s="23">
        <v>-173254</v>
      </c>
      <c r="E435" s="22" t="s">
        <v>57</v>
      </c>
      <c r="F435" s="24">
        <v>43595</v>
      </c>
      <c r="G435" s="22" t="s">
        <v>5364</v>
      </c>
      <c r="H435" s="22" t="s">
        <v>5371</v>
      </c>
      <c r="I435" s="22" t="s">
        <v>5372</v>
      </c>
      <c r="J435" s="22" t="s">
        <v>4401</v>
      </c>
      <c r="K435" s="22" t="s">
        <v>4992</v>
      </c>
      <c r="L435" s="22"/>
      <c r="M435" s="22"/>
      <c r="N435" s="22"/>
    </row>
    <row r="436" spans="1:14" x14ac:dyDescent="0.25">
      <c r="A436" s="22" t="s">
        <v>5373</v>
      </c>
      <c r="B436" s="22" t="s">
        <v>39</v>
      </c>
      <c r="C436" s="22" t="s">
        <v>4402</v>
      </c>
      <c r="D436" s="23">
        <v>273370</v>
      </c>
      <c r="E436" s="22" t="s">
        <v>42</v>
      </c>
      <c r="F436" s="24">
        <v>43685</v>
      </c>
      <c r="G436" s="22" t="s">
        <v>5364</v>
      </c>
      <c r="H436" s="22" t="s">
        <v>5211</v>
      </c>
      <c r="I436" s="22" t="s">
        <v>5374</v>
      </c>
      <c r="J436" s="22" t="s">
        <v>4401</v>
      </c>
      <c r="K436" s="22" t="s">
        <v>4267</v>
      </c>
      <c r="L436" s="22"/>
      <c r="M436" s="22"/>
      <c r="N436" s="22"/>
    </row>
    <row r="437" spans="1:14" x14ac:dyDescent="0.25">
      <c r="A437" s="22" t="s">
        <v>5376</v>
      </c>
      <c r="B437" s="22" t="s">
        <v>39</v>
      </c>
      <c r="C437" s="22" t="s">
        <v>5375</v>
      </c>
      <c r="D437" s="23">
        <v>0</v>
      </c>
      <c r="E437" s="22" t="s">
        <v>45</v>
      </c>
      <c r="F437" s="24">
        <v>43738</v>
      </c>
      <c r="G437" s="22" t="s">
        <v>5377</v>
      </c>
      <c r="H437" s="22" t="s">
        <v>5378</v>
      </c>
      <c r="I437" s="22" t="s">
        <v>5377</v>
      </c>
      <c r="J437" s="22" t="s">
        <v>4401</v>
      </c>
      <c r="K437" s="22" t="s">
        <v>5378</v>
      </c>
      <c r="L437" s="22"/>
      <c r="M437" s="22"/>
      <c r="N437" s="22"/>
    </row>
    <row r="438" spans="1:14" x14ac:dyDescent="0.25">
      <c r="A438" s="22" t="s">
        <v>7863</v>
      </c>
      <c r="B438" s="22" t="s">
        <v>39</v>
      </c>
      <c r="C438" s="22" t="s">
        <v>4442</v>
      </c>
      <c r="D438" s="23">
        <v>-47800</v>
      </c>
      <c r="E438" s="22" t="s">
        <v>57</v>
      </c>
      <c r="F438" s="24">
        <v>43684</v>
      </c>
      <c r="G438" s="22" t="s">
        <v>5377</v>
      </c>
      <c r="H438" s="22" t="s">
        <v>5320</v>
      </c>
      <c r="I438" s="22" t="s">
        <v>5379</v>
      </c>
      <c r="J438" s="22" t="s">
        <v>4401</v>
      </c>
      <c r="K438" s="22" t="s">
        <v>83</v>
      </c>
      <c r="L438" s="22"/>
      <c r="M438" s="22"/>
      <c r="N438" s="22"/>
    </row>
    <row r="439" spans="1:14" x14ac:dyDescent="0.25">
      <c r="A439" s="22" t="s">
        <v>7864</v>
      </c>
      <c r="B439" s="22" t="s">
        <v>39</v>
      </c>
      <c r="C439" s="22" t="s">
        <v>4442</v>
      </c>
      <c r="D439" s="23">
        <v>-47800</v>
      </c>
      <c r="E439" s="22" t="s">
        <v>57</v>
      </c>
      <c r="F439" s="24">
        <v>43657</v>
      </c>
      <c r="G439" s="22" t="s">
        <v>5377</v>
      </c>
      <c r="H439" s="22" t="s">
        <v>5320</v>
      </c>
      <c r="I439" s="22" t="s">
        <v>5380</v>
      </c>
      <c r="J439" s="22" t="s">
        <v>4401</v>
      </c>
      <c r="K439" s="22" t="s">
        <v>83</v>
      </c>
      <c r="L439" s="22"/>
      <c r="M439" s="22"/>
      <c r="N439" s="22"/>
    </row>
    <row r="440" spans="1:14" x14ac:dyDescent="0.25">
      <c r="A440" s="22" t="s">
        <v>7865</v>
      </c>
      <c r="B440" s="22" t="s">
        <v>39</v>
      </c>
      <c r="C440" s="22" t="s">
        <v>4442</v>
      </c>
      <c r="D440" s="23">
        <v>-47800</v>
      </c>
      <c r="E440" s="22" t="s">
        <v>57</v>
      </c>
      <c r="F440" s="24">
        <v>43684</v>
      </c>
      <c r="G440" s="22" t="s">
        <v>5377</v>
      </c>
      <c r="H440" s="22" t="s">
        <v>5320</v>
      </c>
      <c r="I440" s="22" t="s">
        <v>5381</v>
      </c>
      <c r="J440" s="22" t="s">
        <v>4401</v>
      </c>
      <c r="K440" s="22" t="s">
        <v>83</v>
      </c>
      <c r="L440" s="22"/>
      <c r="M440" s="22"/>
      <c r="N440" s="22"/>
    </row>
    <row r="441" spans="1:14" x14ac:dyDescent="0.25">
      <c r="A441" s="22" t="s">
        <v>7713</v>
      </c>
      <c r="B441" s="22" t="s">
        <v>39</v>
      </c>
      <c r="C441" s="22" t="s">
        <v>4442</v>
      </c>
      <c r="D441" s="23">
        <v>-33100</v>
      </c>
      <c r="E441" s="22" t="s">
        <v>57</v>
      </c>
      <c r="F441" s="24">
        <v>43684</v>
      </c>
      <c r="G441" s="22" t="s">
        <v>5377</v>
      </c>
      <c r="H441" s="22" t="s">
        <v>5382</v>
      </c>
      <c r="I441" s="22" t="s">
        <v>5383</v>
      </c>
      <c r="J441" s="22" t="s">
        <v>4401</v>
      </c>
      <c r="K441" s="22" t="s">
        <v>83</v>
      </c>
      <c r="L441" s="22"/>
      <c r="M441" s="22"/>
      <c r="N441" s="22"/>
    </row>
    <row r="442" spans="1:14" x14ac:dyDescent="0.25">
      <c r="A442" s="22" t="s">
        <v>7714</v>
      </c>
      <c r="B442" s="22" t="s">
        <v>39</v>
      </c>
      <c r="C442" s="22" t="s">
        <v>4442</v>
      </c>
      <c r="D442" s="23">
        <v>-33100</v>
      </c>
      <c r="E442" s="22" t="s">
        <v>57</v>
      </c>
      <c r="F442" s="24">
        <v>43684</v>
      </c>
      <c r="G442" s="22" t="s">
        <v>5377</v>
      </c>
      <c r="H442" s="22" t="s">
        <v>5384</v>
      </c>
      <c r="I442" s="22" t="s">
        <v>5385</v>
      </c>
      <c r="J442" s="22" t="s">
        <v>4401</v>
      </c>
      <c r="K442" s="22" t="s">
        <v>83</v>
      </c>
      <c r="L442" s="22"/>
      <c r="M442" s="22"/>
      <c r="N442" s="22"/>
    </row>
    <row r="443" spans="1:14" x14ac:dyDescent="0.25">
      <c r="A443" s="22" t="s">
        <v>7715</v>
      </c>
      <c r="B443" s="22" t="s">
        <v>39</v>
      </c>
      <c r="C443" s="22" t="s">
        <v>4442</v>
      </c>
      <c r="D443" s="23">
        <v>-33100</v>
      </c>
      <c r="E443" s="22" t="s">
        <v>57</v>
      </c>
      <c r="F443" s="24">
        <v>43664</v>
      </c>
      <c r="G443" s="22" t="s">
        <v>5377</v>
      </c>
      <c r="H443" s="22" t="s">
        <v>5386</v>
      </c>
      <c r="I443" s="22" t="s">
        <v>5387</v>
      </c>
      <c r="J443" s="22" t="s">
        <v>4401</v>
      </c>
      <c r="K443" s="22" t="s">
        <v>83</v>
      </c>
      <c r="L443" s="22"/>
      <c r="M443" s="22"/>
      <c r="N443" s="22"/>
    </row>
    <row r="444" spans="1:14" x14ac:dyDescent="0.25">
      <c r="A444" s="22" t="s">
        <v>5388</v>
      </c>
      <c r="B444" s="22" t="s">
        <v>39</v>
      </c>
      <c r="C444" s="22" t="s">
        <v>4916</v>
      </c>
      <c r="D444" s="23">
        <v>242700</v>
      </c>
      <c r="E444" s="22" t="s">
        <v>42</v>
      </c>
      <c r="F444" s="24">
        <v>43735</v>
      </c>
      <c r="G444" s="22" t="s">
        <v>5377</v>
      </c>
      <c r="H444" s="22" t="s">
        <v>5389</v>
      </c>
      <c r="I444" s="22" t="s">
        <v>5390</v>
      </c>
      <c r="J444" s="22" t="s">
        <v>4401</v>
      </c>
      <c r="K444" s="22" t="s">
        <v>47</v>
      </c>
      <c r="L444" s="22"/>
      <c r="M444" s="22"/>
      <c r="N444" s="22"/>
    </row>
    <row r="445" spans="1:14" x14ac:dyDescent="0.25">
      <c r="A445" s="22" t="s">
        <v>4670</v>
      </c>
      <c r="B445" s="22" t="s">
        <v>39</v>
      </c>
      <c r="C445" s="22" t="s">
        <v>4672</v>
      </c>
      <c r="D445" s="23">
        <v>-50297</v>
      </c>
      <c r="E445" s="22" t="s">
        <v>57</v>
      </c>
      <c r="F445" s="24">
        <v>43593</v>
      </c>
      <c r="G445" s="22" t="s">
        <v>5391</v>
      </c>
      <c r="H445" s="22" t="s">
        <v>5392</v>
      </c>
      <c r="I445" s="22" t="s">
        <v>4671</v>
      </c>
      <c r="J445" s="22" t="s">
        <v>4401</v>
      </c>
      <c r="K445" s="22" t="s">
        <v>4424</v>
      </c>
      <c r="L445" s="22"/>
      <c r="M445" s="22"/>
      <c r="N445" s="22"/>
    </row>
    <row r="446" spans="1:14" x14ac:dyDescent="0.25">
      <c r="A446" s="22" t="s">
        <v>7866</v>
      </c>
      <c r="B446" s="22" t="s">
        <v>39</v>
      </c>
      <c r="C446" s="22" t="s">
        <v>4480</v>
      </c>
      <c r="D446" s="23">
        <v>-54767</v>
      </c>
      <c r="E446" s="22" t="s">
        <v>57</v>
      </c>
      <c r="F446" s="24">
        <v>43658</v>
      </c>
      <c r="G446" s="22" t="s">
        <v>5391</v>
      </c>
      <c r="H446" s="22" t="s">
        <v>5393</v>
      </c>
      <c r="I446" s="22" t="s">
        <v>5394</v>
      </c>
      <c r="J446" s="22" t="s">
        <v>4401</v>
      </c>
      <c r="K446" s="22" t="s">
        <v>4424</v>
      </c>
      <c r="L446" s="22"/>
      <c r="M446" s="22"/>
      <c r="N446" s="22"/>
    </row>
    <row r="447" spans="1:14" x14ac:dyDescent="0.25">
      <c r="A447" s="22" t="s">
        <v>5395</v>
      </c>
      <c r="B447" s="22" t="s">
        <v>39</v>
      </c>
      <c r="C447" s="22" t="s">
        <v>5101</v>
      </c>
      <c r="D447" s="23">
        <v>105064</v>
      </c>
      <c r="E447" s="22" t="s">
        <v>42</v>
      </c>
      <c r="F447" s="24">
        <v>43735</v>
      </c>
      <c r="G447" s="22" t="s">
        <v>5391</v>
      </c>
      <c r="H447" s="22" t="s">
        <v>5389</v>
      </c>
      <c r="I447" s="22" t="s">
        <v>5396</v>
      </c>
      <c r="J447" s="22" t="s">
        <v>4401</v>
      </c>
      <c r="K447" s="22" t="s">
        <v>3504</v>
      </c>
      <c r="L447" s="22"/>
      <c r="M447" s="22"/>
      <c r="N447" s="22"/>
    </row>
    <row r="448" spans="1:14" x14ac:dyDescent="0.25">
      <c r="A448" s="22" t="s">
        <v>2103</v>
      </c>
      <c r="B448" s="22" t="s">
        <v>39</v>
      </c>
      <c r="C448" s="22" t="s">
        <v>3504</v>
      </c>
      <c r="D448" s="23">
        <v>105064</v>
      </c>
      <c r="E448" s="22" t="s">
        <v>45</v>
      </c>
      <c r="F448" s="24">
        <v>43735</v>
      </c>
      <c r="G448" s="22" t="s">
        <v>5391</v>
      </c>
      <c r="H448" s="22" t="s">
        <v>5397</v>
      </c>
      <c r="I448" s="22" t="s">
        <v>5391</v>
      </c>
      <c r="J448" s="22" t="s">
        <v>4401</v>
      </c>
      <c r="K448" s="22" t="s">
        <v>5398</v>
      </c>
      <c r="L448" s="22"/>
      <c r="M448" s="22"/>
      <c r="N448" s="22"/>
    </row>
    <row r="449" spans="1:14" x14ac:dyDescent="0.25">
      <c r="A449" s="22" t="s">
        <v>2103</v>
      </c>
      <c r="B449" s="22" t="s">
        <v>39</v>
      </c>
      <c r="C449" s="22" t="s">
        <v>3504</v>
      </c>
      <c r="D449" s="23">
        <v>-105064</v>
      </c>
      <c r="E449" s="22" t="s">
        <v>45</v>
      </c>
      <c r="F449" s="24">
        <v>43735</v>
      </c>
      <c r="G449" s="22" t="s">
        <v>5391</v>
      </c>
      <c r="H449" s="22" t="s">
        <v>5397</v>
      </c>
      <c r="I449" s="22" t="s">
        <v>5391</v>
      </c>
      <c r="J449" s="22" t="s">
        <v>4401</v>
      </c>
      <c r="K449" s="22" t="s">
        <v>5398</v>
      </c>
      <c r="L449" s="22"/>
      <c r="M449" s="22"/>
      <c r="N449" s="22"/>
    </row>
    <row r="450" spans="1:14" x14ac:dyDescent="0.25">
      <c r="A450" s="22" t="s">
        <v>5400</v>
      </c>
      <c r="B450" s="22" t="s">
        <v>39</v>
      </c>
      <c r="C450" s="22" t="s">
        <v>5399</v>
      </c>
      <c r="D450" s="23">
        <v>33100</v>
      </c>
      <c r="E450" s="22" t="s">
        <v>45</v>
      </c>
      <c r="F450" s="24">
        <v>43735</v>
      </c>
      <c r="G450" s="22" t="s">
        <v>5401</v>
      </c>
      <c r="H450" s="22" t="s">
        <v>5389</v>
      </c>
      <c r="I450" s="22" t="s">
        <v>5401</v>
      </c>
      <c r="J450" s="22" t="s">
        <v>4401</v>
      </c>
      <c r="K450" s="22" t="s">
        <v>5389</v>
      </c>
      <c r="L450" s="22"/>
      <c r="M450" s="22"/>
      <c r="N450" s="22"/>
    </row>
    <row r="451" spans="1:14" x14ac:dyDescent="0.25">
      <c r="A451" s="22" t="s">
        <v>5400</v>
      </c>
      <c r="B451" s="22" t="s">
        <v>39</v>
      </c>
      <c r="C451" s="22" t="s">
        <v>5399</v>
      </c>
      <c r="D451" s="23">
        <v>-33100</v>
      </c>
      <c r="E451" s="22" t="s">
        <v>45</v>
      </c>
      <c r="F451" s="24">
        <v>43735</v>
      </c>
      <c r="G451" s="22" t="s">
        <v>5401</v>
      </c>
      <c r="H451" s="22" t="s">
        <v>5389</v>
      </c>
      <c r="I451" s="22" t="s">
        <v>5401</v>
      </c>
      <c r="J451" s="22" t="s">
        <v>4401</v>
      </c>
      <c r="K451" s="22" t="s">
        <v>5389</v>
      </c>
      <c r="L451" s="22"/>
      <c r="M451" s="22"/>
      <c r="N451" s="22"/>
    </row>
    <row r="452" spans="1:14" x14ac:dyDescent="0.25">
      <c r="A452" s="22" t="s">
        <v>7716</v>
      </c>
      <c r="B452" s="22" t="s">
        <v>39</v>
      </c>
      <c r="C452" s="22" t="s">
        <v>5402</v>
      </c>
      <c r="D452" s="23">
        <v>-33100</v>
      </c>
      <c r="E452" s="22" t="s">
        <v>57</v>
      </c>
      <c r="F452" s="24">
        <v>43662</v>
      </c>
      <c r="G452" s="22" t="s">
        <v>5401</v>
      </c>
      <c r="H452" s="22" t="s">
        <v>5403</v>
      </c>
      <c r="I452" s="22" t="s">
        <v>5404</v>
      </c>
      <c r="J452" s="22" t="s">
        <v>4401</v>
      </c>
      <c r="K452" s="22" t="s">
        <v>5038</v>
      </c>
      <c r="L452" s="22"/>
      <c r="M452" s="22"/>
      <c r="N452" s="22"/>
    </row>
    <row r="453" spans="1:14" x14ac:dyDescent="0.25">
      <c r="A453" s="22" t="s">
        <v>5400</v>
      </c>
      <c r="B453" s="22" t="s">
        <v>39</v>
      </c>
      <c r="C453" s="22" t="s">
        <v>5054</v>
      </c>
      <c r="D453" s="23">
        <v>33100</v>
      </c>
      <c r="E453" s="22" t="s">
        <v>42</v>
      </c>
      <c r="F453" s="24">
        <v>43735</v>
      </c>
      <c r="G453" s="22" t="s">
        <v>5401</v>
      </c>
      <c r="H453" s="22" t="s">
        <v>5389</v>
      </c>
      <c r="I453" s="22" t="s">
        <v>5405</v>
      </c>
      <c r="J453" s="22" t="s">
        <v>4401</v>
      </c>
      <c r="K453" s="22" t="s">
        <v>3553</v>
      </c>
      <c r="L453" s="22"/>
      <c r="M453" s="22"/>
      <c r="N453" s="22"/>
    </row>
    <row r="454" spans="1:14" x14ac:dyDescent="0.25">
      <c r="A454" s="22" t="s">
        <v>5406</v>
      </c>
      <c r="B454" s="22" t="s">
        <v>39</v>
      </c>
      <c r="C454" s="22" t="s">
        <v>4453</v>
      </c>
      <c r="D454" s="23">
        <v>-193849</v>
      </c>
      <c r="E454" s="22" t="s">
        <v>45</v>
      </c>
      <c r="F454" s="24">
        <v>43685</v>
      </c>
      <c r="G454" s="22" t="s">
        <v>5407</v>
      </c>
      <c r="H454" s="22" t="s">
        <v>2103</v>
      </c>
      <c r="I454" s="22" t="s">
        <v>5407</v>
      </c>
      <c r="J454" s="22" t="s">
        <v>4401</v>
      </c>
      <c r="K454" s="22" t="s">
        <v>2103</v>
      </c>
      <c r="L454" s="22"/>
      <c r="M454" s="22"/>
      <c r="N454" s="22"/>
    </row>
    <row r="455" spans="1:14" x14ac:dyDescent="0.25">
      <c r="A455" s="22" t="s">
        <v>5406</v>
      </c>
      <c r="B455" s="22" t="s">
        <v>39</v>
      </c>
      <c r="C455" s="22" t="s">
        <v>4453</v>
      </c>
      <c r="D455" s="23">
        <v>193849</v>
      </c>
      <c r="E455" s="22" t="s">
        <v>45</v>
      </c>
      <c r="F455" s="24">
        <v>43685</v>
      </c>
      <c r="G455" s="22" t="s">
        <v>5407</v>
      </c>
      <c r="H455" s="22" t="s">
        <v>2103</v>
      </c>
      <c r="I455" s="22" t="s">
        <v>5407</v>
      </c>
      <c r="J455" s="22" t="s">
        <v>4407</v>
      </c>
      <c r="K455" s="22" t="s">
        <v>2103</v>
      </c>
      <c r="L455" s="22"/>
      <c r="M455" s="22"/>
      <c r="N455" s="22"/>
    </row>
    <row r="456" spans="1:14" x14ac:dyDescent="0.25">
      <c r="A456" s="22" t="s">
        <v>7867</v>
      </c>
      <c r="B456" s="22" t="s">
        <v>39</v>
      </c>
      <c r="C456" s="22" t="s">
        <v>5408</v>
      </c>
      <c r="D456" s="23">
        <v>-193849</v>
      </c>
      <c r="E456" s="22" t="s">
        <v>57</v>
      </c>
      <c r="F456" s="24">
        <v>43564</v>
      </c>
      <c r="G456" s="22" t="s">
        <v>5407</v>
      </c>
      <c r="H456" s="22" t="s">
        <v>5409</v>
      </c>
      <c r="I456" s="22" t="s">
        <v>5410</v>
      </c>
      <c r="J456" s="22" t="s">
        <v>4407</v>
      </c>
      <c r="K456" s="22" t="s">
        <v>103</v>
      </c>
      <c r="L456" s="22"/>
      <c r="M456" s="22"/>
      <c r="N456" s="22"/>
    </row>
    <row r="457" spans="1:14" x14ac:dyDescent="0.25">
      <c r="A457" s="22" t="s">
        <v>5406</v>
      </c>
      <c r="B457" s="22" t="s">
        <v>39</v>
      </c>
      <c r="C457" s="22" t="s">
        <v>5411</v>
      </c>
      <c r="D457" s="23">
        <v>193849</v>
      </c>
      <c r="E457" s="22" t="s">
        <v>42</v>
      </c>
      <c r="F457" s="24">
        <v>43685</v>
      </c>
      <c r="G457" s="22" t="s">
        <v>5407</v>
      </c>
      <c r="H457" s="22" t="s">
        <v>5211</v>
      </c>
      <c r="I457" s="22" t="s">
        <v>5412</v>
      </c>
      <c r="J457" s="22" t="s">
        <v>4401</v>
      </c>
      <c r="K457" s="22" t="s">
        <v>5413</v>
      </c>
      <c r="L457" s="22"/>
      <c r="M457" s="22"/>
      <c r="N457" s="22"/>
    </row>
    <row r="458" spans="1:14" x14ac:dyDescent="0.25">
      <c r="A458" s="22" t="s">
        <v>7723</v>
      </c>
      <c r="B458" s="22" t="s">
        <v>39</v>
      </c>
      <c r="C458" s="22" t="s">
        <v>4448</v>
      </c>
      <c r="D458" s="23">
        <v>-112900</v>
      </c>
      <c r="E458" s="22" t="s">
        <v>2073</v>
      </c>
      <c r="F458" s="24">
        <v>43354</v>
      </c>
      <c r="G458" s="22" t="s">
        <v>5414</v>
      </c>
      <c r="H458" s="22" t="s">
        <v>4454</v>
      </c>
      <c r="I458" s="22" t="s">
        <v>4450</v>
      </c>
      <c r="J458" s="22" t="s">
        <v>4401</v>
      </c>
      <c r="K458" s="22" t="s">
        <v>4455</v>
      </c>
      <c r="L458" s="22"/>
      <c r="M458" s="22"/>
      <c r="N458" s="22"/>
    </row>
    <row r="459" spans="1:14" x14ac:dyDescent="0.25">
      <c r="A459" s="22" t="s">
        <v>5415</v>
      </c>
      <c r="B459" s="22" t="s">
        <v>39</v>
      </c>
      <c r="C459" s="22" t="s">
        <v>4453</v>
      </c>
      <c r="D459" s="23">
        <v>-112360</v>
      </c>
      <c r="E459" s="22" t="s">
        <v>45</v>
      </c>
      <c r="F459" s="24">
        <v>43735</v>
      </c>
      <c r="G459" s="22" t="s">
        <v>5414</v>
      </c>
      <c r="H459" s="22" t="s">
        <v>2103</v>
      </c>
      <c r="I459" s="22" t="s">
        <v>5414</v>
      </c>
      <c r="J459" s="22" t="s">
        <v>4401</v>
      </c>
      <c r="K459" s="22" t="s">
        <v>2103</v>
      </c>
      <c r="L459" s="22"/>
      <c r="M459" s="22"/>
      <c r="N459" s="22"/>
    </row>
    <row r="460" spans="1:14" x14ac:dyDescent="0.25">
      <c r="A460" s="22" t="s">
        <v>5415</v>
      </c>
      <c r="B460" s="22" t="s">
        <v>39</v>
      </c>
      <c r="C460" s="22" t="s">
        <v>4453</v>
      </c>
      <c r="D460" s="23">
        <v>112360</v>
      </c>
      <c r="E460" s="22" t="s">
        <v>45</v>
      </c>
      <c r="F460" s="24">
        <v>43735</v>
      </c>
      <c r="G460" s="22" t="s">
        <v>5414</v>
      </c>
      <c r="H460" s="22" t="s">
        <v>2103</v>
      </c>
      <c r="I460" s="22" t="s">
        <v>5414</v>
      </c>
      <c r="J460" s="22" t="s">
        <v>4407</v>
      </c>
      <c r="K460" s="22" t="s">
        <v>2103</v>
      </c>
      <c r="L460" s="22"/>
      <c r="M460" s="22"/>
      <c r="N460" s="22"/>
    </row>
    <row r="461" spans="1:14" x14ac:dyDescent="0.25">
      <c r="A461" s="22" t="s">
        <v>7868</v>
      </c>
      <c r="B461" s="22" t="s">
        <v>39</v>
      </c>
      <c r="C461" s="22" t="s">
        <v>5416</v>
      </c>
      <c r="D461" s="23">
        <v>-55240</v>
      </c>
      <c r="E461" s="22" t="s">
        <v>57</v>
      </c>
      <c r="F461" s="24">
        <v>43540</v>
      </c>
      <c r="G461" s="22" t="s">
        <v>5414</v>
      </c>
      <c r="H461" s="22" t="s">
        <v>5417</v>
      </c>
      <c r="I461" s="22" t="s">
        <v>5418</v>
      </c>
      <c r="J461" s="22" t="s">
        <v>4401</v>
      </c>
      <c r="K461" s="22" t="s">
        <v>4437</v>
      </c>
      <c r="L461" s="22"/>
      <c r="M461" s="22"/>
      <c r="N461" s="22"/>
    </row>
    <row r="462" spans="1:14" x14ac:dyDescent="0.25">
      <c r="A462" s="22" t="s">
        <v>7709</v>
      </c>
      <c r="B462" s="22" t="s">
        <v>39</v>
      </c>
      <c r="C462" s="22" t="s">
        <v>4442</v>
      </c>
      <c r="D462" s="23">
        <v>-112360</v>
      </c>
      <c r="E462" s="22" t="s">
        <v>2073</v>
      </c>
      <c r="F462" s="24">
        <v>43685</v>
      </c>
      <c r="G462" s="22" t="s">
        <v>5414</v>
      </c>
      <c r="H462" s="22" t="s">
        <v>5419</v>
      </c>
      <c r="I462" s="22" t="s">
        <v>4439</v>
      </c>
      <c r="J462" s="22" t="s">
        <v>4407</v>
      </c>
      <c r="K462" s="22" t="s">
        <v>4441</v>
      </c>
      <c r="L462" s="22"/>
      <c r="M462" s="22"/>
      <c r="N462" s="22"/>
    </row>
    <row r="463" spans="1:14" x14ac:dyDescent="0.25">
      <c r="A463" s="22" t="s">
        <v>5415</v>
      </c>
      <c r="B463" s="22" t="s">
        <v>39</v>
      </c>
      <c r="C463" s="22" t="s">
        <v>5111</v>
      </c>
      <c r="D463" s="23">
        <v>280500</v>
      </c>
      <c r="E463" s="22" t="s">
        <v>42</v>
      </c>
      <c r="F463" s="24">
        <v>43735</v>
      </c>
      <c r="G463" s="22" t="s">
        <v>5414</v>
      </c>
      <c r="H463" s="22" t="s">
        <v>5389</v>
      </c>
      <c r="I463" s="22" t="s">
        <v>5420</v>
      </c>
      <c r="J463" s="22" t="s">
        <v>4401</v>
      </c>
      <c r="K463" s="22" t="s">
        <v>3566</v>
      </c>
      <c r="L463" s="22"/>
      <c r="M463" s="22"/>
      <c r="N463" s="22"/>
    </row>
    <row r="464" spans="1:14" x14ac:dyDescent="0.25">
      <c r="A464" s="22" t="s">
        <v>7725</v>
      </c>
      <c r="B464" s="22" t="s">
        <v>39</v>
      </c>
      <c r="C464" s="22" t="s">
        <v>4456</v>
      </c>
      <c r="D464" s="23">
        <v>-86383</v>
      </c>
      <c r="E464" s="22" t="s">
        <v>2073</v>
      </c>
      <c r="F464" s="24">
        <v>43405</v>
      </c>
      <c r="G464" s="22" t="s">
        <v>5421</v>
      </c>
      <c r="H464" s="22" t="s">
        <v>4461</v>
      </c>
      <c r="I464" s="22" t="s">
        <v>4457</v>
      </c>
      <c r="J464" s="22" t="s">
        <v>4401</v>
      </c>
      <c r="K464" s="22" t="s">
        <v>4460</v>
      </c>
      <c r="L464" s="22"/>
      <c r="M464" s="22"/>
      <c r="N464" s="22"/>
    </row>
    <row r="465" spans="1:14" x14ac:dyDescent="0.25">
      <c r="A465" s="22" t="s">
        <v>7717</v>
      </c>
      <c r="B465" s="22" t="s">
        <v>39</v>
      </c>
      <c r="C465" s="22" t="s">
        <v>5422</v>
      </c>
      <c r="D465" s="23">
        <v>-19200</v>
      </c>
      <c r="E465" s="22" t="s">
        <v>57</v>
      </c>
      <c r="F465" s="24">
        <v>43411</v>
      </c>
      <c r="G465" s="22" t="s">
        <v>5421</v>
      </c>
      <c r="H465" s="22" t="s">
        <v>5423</v>
      </c>
      <c r="I465" s="22" t="s">
        <v>5424</v>
      </c>
      <c r="J465" s="22" t="s">
        <v>4401</v>
      </c>
      <c r="K465" s="22" t="s">
        <v>5264</v>
      </c>
      <c r="L465" s="22"/>
      <c r="M465" s="22"/>
      <c r="N465" s="22"/>
    </row>
    <row r="466" spans="1:14" x14ac:dyDescent="0.25">
      <c r="A466" s="22" t="s">
        <v>7785</v>
      </c>
      <c r="B466" s="22" t="s">
        <v>39</v>
      </c>
      <c r="C466" s="22" t="s">
        <v>5001</v>
      </c>
      <c r="D466" s="23">
        <v>-1600734</v>
      </c>
      <c r="E466" s="22" t="s">
        <v>57</v>
      </c>
      <c r="F466" s="24">
        <v>43397</v>
      </c>
      <c r="G466" s="22" t="s">
        <v>5421</v>
      </c>
      <c r="H466" s="22" t="s">
        <v>5425</v>
      </c>
      <c r="I466" s="22" t="s">
        <v>5004</v>
      </c>
      <c r="J466" s="22" t="s">
        <v>4401</v>
      </c>
      <c r="K466" s="22" t="s">
        <v>4744</v>
      </c>
      <c r="L466" s="22"/>
      <c r="M466" s="22"/>
      <c r="N466" s="22"/>
    </row>
    <row r="467" spans="1:14" x14ac:dyDescent="0.25">
      <c r="A467" s="22" t="s">
        <v>5426</v>
      </c>
      <c r="B467" s="22" t="s">
        <v>39</v>
      </c>
      <c r="C467" s="22" t="s">
        <v>4453</v>
      </c>
      <c r="D467" s="23">
        <v>323329</v>
      </c>
      <c r="E467" s="22" t="s">
        <v>45</v>
      </c>
      <c r="F467" s="24">
        <v>43488</v>
      </c>
      <c r="G467" s="22" t="s">
        <v>5421</v>
      </c>
      <c r="H467" s="22" t="s">
        <v>2103</v>
      </c>
      <c r="I467" s="22" t="s">
        <v>5421</v>
      </c>
      <c r="J467" s="22" t="s">
        <v>4466</v>
      </c>
      <c r="K467" s="22" t="s">
        <v>2103</v>
      </c>
      <c r="L467" s="22"/>
      <c r="M467" s="22"/>
      <c r="N467" s="22"/>
    </row>
    <row r="468" spans="1:14" x14ac:dyDescent="0.25">
      <c r="A468" s="22" t="s">
        <v>5426</v>
      </c>
      <c r="B468" s="22" t="s">
        <v>39</v>
      </c>
      <c r="C468" s="22" t="s">
        <v>4453</v>
      </c>
      <c r="D468" s="23">
        <v>-323329</v>
      </c>
      <c r="E468" s="22" t="s">
        <v>45</v>
      </c>
      <c r="F468" s="24">
        <v>43488</v>
      </c>
      <c r="G468" s="22" t="s">
        <v>5421</v>
      </c>
      <c r="H468" s="22" t="s">
        <v>2103</v>
      </c>
      <c r="I468" s="22" t="s">
        <v>5421</v>
      </c>
      <c r="J468" s="22" t="s">
        <v>4401</v>
      </c>
      <c r="K468" s="22" t="s">
        <v>2103</v>
      </c>
      <c r="L468" s="22"/>
      <c r="M468" s="22"/>
      <c r="N468" s="22"/>
    </row>
    <row r="469" spans="1:14" x14ac:dyDescent="0.25">
      <c r="A469" s="22" t="s">
        <v>7746</v>
      </c>
      <c r="B469" s="22" t="s">
        <v>39</v>
      </c>
      <c r="C469" s="22" t="s">
        <v>4658</v>
      </c>
      <c r="D469" s="23">
        <v>-85739</v>
      </c>
      <c r="E469" s="22" t="s">
        <v>57</v>
      </c>
      <c r="F469" s="24">
        <v>43455</v>
      </c>
      <c r="G469" s="22" t="s">
        <v>5421</v>
      </c>
      <c r="H469" s="22" t="s">
        <v>5427</v>
      </c>
      <c r="I469" s="22" t="s">
        <v>4657</v>
      </c>
      <c r="J469" s="22" t="s">
        <v>4401</v>
      </c>
      <c r="K469" s="22" t="s">
        <v>103</v>
      </c>
      <c r="L469" s="22"/>
      <c r="M469" s="22"/>
      <c r="N469" s="22"/>
    </row>
    <row r="470" spans="1:14" x14ac:dyDescent="0.25">
      <c r="A470" s="22" t="s">
        <v>7748</v>
      </c>
      <c r="B470" s="22" t="s">
        <v>39</v>
      </c>
      <c r="C470" s="22" t="s">
        <v>4662</v>
      </c>
      <c r="D470" s="23">
        <v>-159965</v>
      </c>
      <c r="E470" s="22" t="s">
        <v>57</v>
      </c>
      <c r="F470" s="24">
        <v>43468</v>
      </c>
      <c r="G470" s="22" t="s">
        <v>5421</v>
      </c>
      <c r="H470" s="22" t="s">
        <v>5428</v>
      </c>
      <c r="I470" s="22" t="s">
        <v>4661</v>
      </c>
      <c r="J470" s="22" t="s">
        <v>4466</v>
      </c>
      <c r="K470" s="22" t="s">
        <v>4424</v>
      </c>
      <c r="L470" s="22"/>
      <c r="M470" s="22"/>
      <c r="N470" s="22"/>
    </row>
    <row r="471" spans="1:14" x14ac:dyDescent="0.25">
      <c r="A471" s="22" t="s">
        <v>7869</v>
      </c>
      <c r="B471" s="22" t="s">
        <v>39</v>
      </c>
      <c r="C471" s="22" t="s">
        <v>5429</v>
      </c>
      <c r="D471" s="23">
        <v>-163364</v>
      </c>
      <c r="E471" s="22" t="s">
        <v>57</v>
      </c>
      <c r="F471" s="24">
        <v>43509</v>
      </c>
      <c r="G471" s="22" t="s">
        <v>5421</v>
      </c>
      <c r="H471" s="22" t="s">
        <v>5430</v>
      </c>
      <c r="I471" s="22" t="s">
        <v>5431</v>
      </c>
      <c r="J471" s="22" t="s">
        <v>4466</v>
      </c>
      <c r="K471" s="22" t="s">
        <v>5264</v>
      </c>
      <c r="L471" s="22"/>
      <c r="M471" s="22"/>
      <c r="N471" s="22"/>
    </row>
    <row r="472" spans="1:14" x14ac:dyDescent="0.25">
      <c r="A472" s="22" t="s">
        <v>7870</v>
      </c>
      <c r="B472" s="22" t="s">
        <v>39</v>
      </c>
      <c r="C472" s="22" t="s">
        <v>5432</v>
      </c>
      <c r="D472" s="23">
        <v>-173957</v>
      </c>
      <c r="E472" s="22" t="s">
        <v>57</v>
      </c>
      <c r="F472" s="24">
        <v>43140</v>
      </c>
      <c r="G472" s="22" t="s">
        <v>5421</v>
      </c>
      <c r="H472" s="22" t="s">
        <v>5433</v>
      </c>
      <c r="I472" s="22" t="s">
        <v>5434</v>
      </c>
      <c r="J472" s="22" t="s">
        <v>4401</v>
      </c>
      <c r="K472" s="22" t="s">
        <v>5264</v>
      </c>
      <c r="L472" s="22"/>
      <c r="M472" s="22"/>
      <c r="N472" s="22"/>
    </row>
    <row r="473" spans="1:14" x14ac:dyDescent="0.25">
      <c r="A473" s="22" t="s">
        <v>7736</v>
      </c>
      <c r="B473" s="22" t="s">
        <v>39</v>
      </c>
      <c r="C473" s="22" t="s">
        <v>4603</v>
      </c>
      <c r="D473" s="23">
        <v>-1044152</v>
      </c>
      <c r="E473" s="22" t="s">
        <v>57</v>
      </c>
      <c r="F473" s="24">
        <v>43307</v>
      </c>
      <c r="G473" s="22" t="s">
        <v>5421</v>
      </c>
      <c r="H473" s="22" t="s">
        <v>2079</v>
      </c>
      <c r="I473" s="22" t="s">
        <v>4601</v>
      </c>
      <c r="J473" s="22" t="s">
        <v>4401</v>
      </c>
      <c r="K473" s="22" t="s">
        <v>4602</v>
      </c>
      <c r="L473" s="22"/>
      <c r="M473" s="22"/>
      <c r="N473" s="22"/>
    </row>
    <row r="474" spans="1:14" x14ac:dyDescent="0.25">
      <c r="A474" s="22" t="s">
        <v>5426</v>
      </c>
      <c r="B474" s="22" t="s">
        <v>39</v>
      </c>
      <c r="C474" s="22" t="s">
        <v>5435</v>
      </c>
      <c r="D474" s="23">
        <v>3333494</v>
      </c>
      <c r="E474" s="22" t="s">
        <v>42</v>
      </c>
      <c r="F474" s="24">
        <v>43488</v>
      </c>
      <c r="G474" s="22" t="s">
        <v>5421</v>
      </c>
      <c r="H474" s="22" t="s">
        <v>5031</v>
      </c>
      <c r="I474" s="22" t="s">
        <v>4445</v>
      </c>
      <c r="J474" s="22" t="s">
        <v>4401</v>
      </c>
      <c r="K474" s="22" t="s">
        <v>5435</v>
      </c>
      <c r="L474" s="22"/>
      <c r="M474" s="22"/>
      <c r="N474" s="22"/>
    </row>
    <row r="475" spans="1:14" x14ac:dyDescent="0.25">
      <c r="A475" s="22" t="s">
        <v>7727</v>
      </c>
      <c r="B475" s="22" t="s">
        <v>39</v>
      </c>
      <c r="C475" s="22" t="s">
        <v>4462</v>
      </c>
      <c r="D475" s="23">
        <v>-68100</v>
      </c>
      <c r="E475" s="22" t="s">
        <v>2073</v>
      </c>
      <c r="F475" s="24">
        <v>43362</v>
      </c>
      <c r="G475" s="22" t="s">
        <v>5436</v>
      </c>
      <c r="H475" s="22" t="s">
        <v>4468</v>
      </c>
      <c r="I475" s="22" t="s">
        <v>4463</v>
      </c>
      <c r="J475" s="22" t="s">
        <v>4466</v>
      </c>
      <c r="K475" s="22" t="s">
        <v>4467</v>
      </c>
      <c r="L475" s="22"/>
      <c r="M475" s="22"/>
      <c r="N475" s="22"/>
    </row>
    <row r="476" spans="1:14" x14ac:dyDescent="0.25">
      <c r="A476" s="22" t="s">
        <v>5287</v>
      </c>
      <c r="B476" s="22" t="s">
        <v>39</v>
      </c>
      <c r="C476" s="22" t="s">
        <v>4453</v>
      </c>
      <c r="D476" s="23">
        <v>68100</v>
      </c>
      <c r="E476" s="22" t="s">
        <v>45</v>
      </c>
      <c r="F476" s="24">
        <v>43685</v>
      </c>
      <c r="G476" s="22" t="s">
        <v>5436</v>
      </c>
      <c r="H476" s="22" t="s">
        <v>2103</v>
      </c>
      <c r="I476" s="22" t="s">
        <v>5436</v>
      </c>
      <c r="J476" s="22" t="s">
        <v>4466</v>
      </c>
      <c r="K476" s="22" t="s">
        <v>2103</v>
      </c>
      <c r="L476" s="22"/>
      <c r="M476" s="22"/>
      <c r="N476" s="22"/>
    </row>
    <row r="477" spans="1:14" x14ac:dyDescent="0.25">
      <c r="A477" s="22" t="s">
        <v>5287</v>
      </c>
      <c r="B477" s="22" t="s">
        <v>39</v>
      </c>
      <c r="C477" s="22" t="s">
        <v>4453</v>
      </c>
      <c r="D477" s="23">
        <v>-68100</v>
      </c>
      <c r="E477" s="22" t="s">
        <v>45</v>
      </c>
      <c r="F477" s="24">
        <v>43685</v>
      </c>
      <c r="G477" s="22" t="s">
        <v>5436</v>
      </c>
      <c r="H477" s="22" t="s">
        <v>2103</v>
      </c>
      <c r="I477" s="22" t="s">
        <v>5436</v>
      </c>
      <c r="J477" s="22" t="s">
        <v>4401</v>
      </c>
      <c r="K477" s="22" t="s">
        <v>2103</v>
      </c>
      <c r="L477" s="22"/>
      <c r="M477" s="22"/>
      <c r="N477" s="22"/>
    </row>
    <row r="478" spans="1:14" x14ac:dyDescent="0.25">
      <c r="A478" s="22" t="s">
        <v>5287</v>
      </c>
      <c r="B478" s="22" t="s">
        <v>39</v>
      </c>
      <c r="C478" s="22" t="s">
        <v>5296</v>
      </c>
      <c r="D478" s="23">
        <v>68100</v>
      </c>
      <c r="E478" s="22" t="s">
        <v>45</v>
      </c>
      <c r="F478" s="24">
        <v>43685</v>
      </c>
      <c r="G478" s="22" t="s">
        <v>5436</v>
      </c>
      <c r="H478" s="22" t="s">
        <v>5437</v>
      </c>
      <c r="I478" s="22" t="s">
        <v>5288</v>
      </c>
      <c r="J478" s="22" t="s">
        <v>4401</v>
      </c>
      <c r="K478" s="22" t="s">
        <v>2103</v>
      </c>
      <c r="L478" s="22"/>
      <c r="M478" s="22"/>
      <c r="N478" s="22"/>
    </row>
    <row r="479" spans="1:14" x14ac:dyDescent="0.25">
      <c r="A479" s="22" t="s">
        <v>7727</v>
      </c>
      <c r="B479" s="22" t="s">
        <v>39</v>
      </c>
      <c r="C479" s="22" t="s">
        <v>4462</v>
      </c>
      <c r="D479" s="23">
        <v>-111083</v>
      </c>
      <c r="E479" s="22" t="s">
        <v>2073</v>
      </c>
      <c r="F479" s="24">
        <v>43362</v>
      </c>
      <c r="G479" s="22" t="s">
        <v>5438</v>
      </c>
      <c r="H479" s="22" t="s">
        <v>5439</v>
      </c>
      <c r="I479" s="22" t="s">
        <v>4463</v>
      </c>
      <c r="J479" s="22" t="s">
        <v>4466</v>
      </c>
      <c r="K479" s="22" t="s">
        <v>4467</v>
      </c>
      <c r="L479" s="22"/>
      <c r="M479" s="22"/>
      <c r="N479" s="22"/>
    </row>
    <row r="480" spans="1:14" x14ac:dyDescent="0.25">
      <c r="A480" s="22" t="s">
        <v>7723</v>
      </c>
      <c r="B480" s="22" t="s">
        <v>39</v>
      </c>
      <c r="C480" s="22" t="s">
        <v>4448</v>
      </c>
      <c r="D480" s="23">
        <v>-6772</v>
      </c>
      <c r="E480" s="22" t="s">
        <v>2073</v>
      </c>
      <c r="F480" s="24">
        <v>43354</v>
      </c>
      <c r="G480" s="22" t="s">
        <v>5438</v>
      </c>
      <c r="H480" s="22" t="s">
        <v>5440</v>
      </c>
      <c r="I480" s="22" t="s">
        <v>4450</v>
      </c>
      <c r="J480" s="22" t="s">
        <v>4401</v>
      </c>
      <c r="K480" s="22" t="s">
        <v>4455</v>
      </c>
      <c r="L480" s="22"/>
      <c r="M480" s="22"/>
      <c r="N480" s="22"/>
    </row>
    <row r="481" spans="1:14" x14ac:dyDescent="0.25">
      <c r="A481" s="22" t="s">
        <v>7725</v>
      </c>
      <c r="B481" s="22" t="s">
        <v>39</v>
      </c>
      <c r="C481" s="22" t="s">
        <v>4456</v>
      </c>
      <c r="D481" s="23">
        <v>-13725</v>
      </c>
      <c r="E481" s="22" t="s">
        <v>2073</v>
      </c>
      <c r="F481" s="24">
        <v>43405</v>
      </c>
      <c r="G481" s="22" t="s">
        <v>5438</v>
      </c>
      <c r="H481" s="22" t="s">
        <v>5441</v>
      </c>
      <c r="I481" s="22" t="s">
        <v>4457</v>
      </c>
      <c r="J481" s="22" t="s">
        <v>4401</v>
      </c>
      <c r="K481" s="22" t="s">
        <v>4460</v>
      </c>
      <c r="L481" s="22"/>
      <c r="M481" s="22"/>
      <c r="N481" s="22"/>
    </row>
    <row r="482" spans="1:14" x14ac:dyDescent="0.25">
      <c r="A482" s="22" t="s">
        <v>7871</v>
      </c>
      <c r="B482" s="22" t="s">
        <v>39</v>
      </c>
      <c r="C482" s="22" t="s">
        <v>4456</v>
      </c>
      <c r="D482" s="23">
        <v>-223692</v>
      </c>
      <c r="E482" s="22" t="s">
        <v>57</v>
      </c>
      <c r="F482" s="24">
        <v>43426</v>
      </c>
      <c r="G482" s="22" t="s">
        <v>5438</v>
      </c>
      <c r="H482" s="22" t="s">
        <v>5442</v>
      </c>
      <c r="I482" s="22" t="s">
        <v>5443</v>
      </c>
      <c r="J482" s="22" t="s">
        <v>4401</v>
      </c>
      <c r="K482" s="22" t="s">
        <v>4460</v>
      </c>
      <c r="L482" s="22"/>
      <c r="M482" s="22"/>
      <c r="N482" s="22"/>
    </row>
    <row r="483" spans="1:14" x14ac:dyDescent="0.25">
      <c r="A483" s="22" t="s">
        <v>7872</v>
      </c>
      <c r="B483" s="22" t="s">
        <v>39</v>
      </c>
      <c r="C483" s="22" t="s">
        <v>4456</v>
      </c>
      <c r="D483" s="23">
        <v>-52399</v>
      </c>
      <c r="E483" s="22" t="s">
        <v>57</v>
      </c>
      <c r="F483" s="24">
        <v>43413</v>
      </c>
      <c r="G483" s="22" t="s">
        <v>5438</v>
      </c>
      <c r="H483" s="22" t="s">
        <v>5444</v>
      </c>
      <c r="I483" s="22" t="s">
        <v>5445</v>
      </c>
      <c r="J483" s="22" t="s">
        <v>4401</v>
      </c>
      <c r="K483" s="22" t="s">
        <v>4460</v>
      </c>
      <c r="L483" s="22"/>
      <c r="M483" s="22"/>
      <c r="N483" s="22"/>
    </row>
    <row r="484" spans="1:14" x14ac:dyDescent="0.25">
      <c r="A484" s="22" t="s">
        <v>3209</v>
      </c>
      <c r="B484" s="22" t="s">
        <v>39</v>
      </c>
      <c r="C484" s="22" t="s">
        <v>100</v>
      </c>
      <c r="D484" s="23">
        <v>-2023303</v>
      </c>
      <c r="E484" s="22" t="s">
        <v>57</v>
      </c>
      <c r="F484" s="24">
        <v>43414</v>
      </c>
      <c r="G484" s="22" t="s">
        <v>5438</v>
      </c>
      <c r="H484" s="22" t="s">
        <v>5446</v>
      </c>
      <c r="I484" s="22" t="s">
        <v>102</v>
      </c>
      <c r="J484" s="22" t="s">
        <v>4401</v>
      </c>
      <c r="K484" s="22" t="s">
        <v>103</v>
      </c>
      <c r="L484" s="22"/>
      <c r="M484" s="22"/>
      <c r="N484" s="22"/>
    </row>
    <row r="485" spans="1:14" x14ac:dyDescent="0.25">
      <c r="A485" s="22" t="s">
        <v>3210</v>
      </c>
      <c r="B485" s="22" t="s">
        <v>39</v>
      </c>
      <c r="C485" s="22" t="s">
        <v>100</v>
      </c>
      <c r="D485" s="23">
        <v>-797379</v>
      </c>
      <c r="E485" s="22" t="s">
        <v>57</v>
      </c>
      <c r="F485" s="24">
        <v>43418</v>
      </c>
      <c r="G485" s="22" t="s">
        <v>5438</v>
      </c>
      <c r="H485" s="22" t="s">
        <v>5447</v>
      </c>
      <c r="I485" s="22" t="s">
        <v>105</v>
      </c>
      <c r="J485" s="22" t="s">
        <v>4401</v>
      </c>
      <c r="K485" s="22" t="s">
        <v>103</v>
      </c>
      <c r="L485" s="22"/>
      <c r="M485" s="22"/>
      <c r="N485" s="22"/>
    </row>
    <row r="486" spans="1:14" x14ac:dyDescent="0.25">
      <c r="A486" s="22" t="s">
        <v>7873</v>
      </c>
      <c r="B486" s="22" t="s">
        <v>39</v>
      </c>
      <c r="C486" s="22" t="s">
        <v>5448</v>
      </c>
      <c r="D486" s="23">
        <v>-1784220</v>
      </c>
      <c r="E486" s="22" t="s">
        <v>57</v>
      </c>
      <c r="F486" s="24">
        <v>43416</v>
      </c>
      <c r="G486" s="22" t="s">
        <v>5438</v>
      </c>
      <c r="H486" s="22" t="s">
        <v>5449</v>
      </c>
      <c r="I486" s="22" t="s">
        <v>5450</v>
      </c>
      <c r="J486" s="22" t="s">
        <v>4401</v>
      </c>
      <c r="K486" s="22" t="s">
        <v>5038</v>
      </c>
      <c r="L486" s="22"/>
      <c r="M486" s="22"/>
      <c r="N486" s="22"/>
    </row>
    <row r="487" spans="1:14" x14ac:dyDescent="0.25">
      <c r="A487" s="22" t="s">
        <v>7874</v>
      </c>
      <c r="B487" s="22" t="s">
        <v>39</v>
      </c>
      <c r="C487" s="22" t="s">
        <v>5451</v>
      </c>
      <c r="D487" s="23">
        <v>-51300</v>
      </c>
      <c r="E487" s="22" t="s">
        <v>57</v>
      </c>
      <c r="F487" s="24">
        <v>43374</v>
      </c>
      <c r="G487" s="22" t="s">
        <v>5438</v>
      </c>
      <c r="H487" s="22" t="s">
        <v>5452</v>
      </c>
      <c r="I487" s="22" t="s">
        <v>5453</v>
      </c>
      <c r="J487" s="22" t="s">
        <v>4401</v>
      </c>
      <c r="K487" s="22" t="s">
        <v>112</v>
      </c>
      <c r="L487" s="22"/>
      <c r="M487" s="22"/>
      <c r="N487" s="22"/>
    </row>
    <row r="488" spans="1:14" x14ac:dyDescent="0.25">
      <c r="A488" s="22" t="s">
        <v>3208</v>
      </c>
      <c r="B488" s="22" t="s">
        <v>39</v>
      </c>
      <c r="C488" s="22" t="s">
        <v>106</v>
      </c>
      <c r="D488" s="23">
        <v>-1431330</v>
      </c>
      <c r="E488" s="22" t="s">
        <v>57</v>
      </c>
      <c r="F488" s="24">
        <v>43378</v>
      </c>
      <c r="G488" s="22" t="s">
        <v>5438</v>
      </c>
      <c r="H488" s="22" t="s">
        <v>5077</v>
      </c>
      <c r="I488" s="22" t="s">
        <v>108</v>
      </c>
      <c r="J488" s="22" t="s">
        <v>4401</v>
      </c>
      <c r="K488" s="22" t="s">
        <v>103</v>
      </c>
      <c r="L488" s="22"/>
      <c r="M488" s="22"/>
      <c r="N488" s="22"/>
    </row>
    <row r="489" spans="1:14" x14ac:dyDescent="0.25">
      <c r="A489" s="22" t="s">
        <v>7875</v>
      </c>
      <c r="B489" s="22" t="s">
        <v>39</v>
      </c>
      <c r="C489" s="22" t="s">
        <v>5113</v>
      </c>
      <c r="D489" s="23">
        <v>-94000</v>
      </c>
      <c r="E489" s="22" t="s">
        <v>57</v>
      </c>
      <c r="F489" s="24">
        <v>43404</v>
      </c>
      <c r="G489" s="22" t="s">
        <v>5438</v>
      </c>
      <c r="H489" s="22" t="s">
        <v>5454</v>
      </c>
      <c r="I489" s="22" t="s">
        <v>5455</v>
      </c>
      <c r="J489" s="22" t="s">
        <v>4401</v>
      </c>
      <c r="K489" s="22" t="s">
        <v>4467</v>
      </c>
      <c r="L489" s="22"/>
      <c r="M489" s="22"/>
      <c r="N489" s="22"/>
    </row>
    <row r="490" spans="1:14" x14ac:dyDescent="0.25">
      <c r="A490" s="22" t="s">
        <v>7876</v>
      </c>
      <c r="B490" s="22" t="s">
        <v>39</v>
      </c>
      <c r="C490" s="22" t="s">
        <v>5456</v>
      </c>
      <c r="D490" s="23">
        <v>-142432</v>
      </c>
      <c r="E490" s="22" t="s">
        <v>57</v>
      </c>
      <c r="F490" s="24">
        <v>43393</v>
      </c>
      <c r="G490" s="22" t="s">
        <v>5438</v>
      </c>
      <c r="H490" s="22" t="s">
        <v>5457</v>
      </c>
      <c r="I490" s="22" t="s">
        <v>5458</v>
      </c>
      <c r="J490" s="22" t="s">
        <v>4401</v>
      </c>
      <c r="K490" s="22" t="s">
        <v>5038</v>
      </c>
      <c r="L490" s="22"/>
      <c r="M490" s="22"/>
      <c r="N490" s="22"/>
    </row>
    <row r="491" spans="1:14" x14ac:dyDescent="0.25">
      <c r="A491" s="22" t="s">
        <v>7718</v>
      </c>
      <c r="B491" s="22" t="s">
        <v>39</v>
      </c>
      <c r="C491" s="22" t="s">
        <v>5456</v>
      </c>
      <c r="D491" s="23">
        <v>-31200</v>
      </c>
      <c r="E491" s="22" t="s">
        <v>57</v>
      </c>
      <c r="F491" s="24">
        <v>43404</v>
      </c>
      <c r="G491" s="22" t="s">
        <v>5438</v>
      </c>
      <c r="H491" s="22" t="s">
        <v>4604</v>
      </c>
      <c r="I491" s="22" t="s">
        <v>5459</v>
      </c>
      <c r="J491" s="22" t="s">
        <v>4401</v>
      </c>
      <c r="K491" s="22" t="s">
        <v>5038</v>
      </c>
      <c r="L491" s="22"/>
      <c r="M491" s="22"/>
      <c r="N491" s="22"/>
    </row>
    <row r="492" spans="1:14" x14ac:dyDescent="0.25">
      <c r="A492" s="22" t="s">
        <v>7877</v>
      </c>
      <c r="B492" s="22" t="s">
        <v>39</v>
      </c>
      <c r="C492" s="22" t="s">
        <v>5456</v>
      </c>
      <c r="D492" s="23">
        <v>-51774</v>
      </c>
      <c r="E492" s="22" t="s">
        <v>57</v>
      </c>
      <c r="F492" s="24">
        <v>43396</v>
      </c>
      <c r="G492" s="22" t="s">
        <v>5438</v>
      </c>
      <c r="H492" s="22" t="s">
        <v>5457</v>
      </c>
      <c r="I492" s="22" t="s">
        <v>5460</v>
      </c>
      <c r="J492" s="22" t="s">
        <v>4401</v>
      </c>
      <c r="K492" s="22" t="s">
        <v>5038</v>
      </c>
      <c r="L492" s="22"/>
      <c r="M492" s="22"/>
      <c r="N492" s="22"/>
    </row>
    <row r="493" spans="1:14" x14ac:dyDescent="0.25">
      <c r="A493" s="22" t="s">
        <v>5328</v>
      </c>
      <c r="B493" s="22" t="s">
        <v>39</v>
      </c>
      <c r="C493" s="22" t="s">
        <v>4469</v>
      </c>
      <c r="D493" s="23">
        <v>1133036</v>
      </c>
      <c r="E493" s="22" t="s">
        <v>45</v>
      </c>
      <c r="F493" s="24">
        <v>43707</v>
      </c>
      <c r="G493" s="22" t="s">
        <v>5438</v>
      </c>
      <c r="H493" s="22" t="s">
        <v>2103</v>
      </c>
      <c r="I493" s="22" t="s">
        <v>5438</v>
      </c>
      <c r="J493" s="22" t="s">
        <v>4466</v>
      </c>
      <c r="K493" s="22" t="s">
        <v>2103</v>
      </c>
      <c r="L493" s="22"/>
      <c r="M493" s="22"/>
      <c r="N493" s="22"/>
    </row>
    <row r="494" spans="1:14" x14ac:dyDescent="0.25">
      <c r="A494" s="22" t="s">
        <v>5328</v>
      </c>
      <c r="B494" s="22" t="s">
        <v>39</v>
      </c>
      <c r="C494" s="22" t="s">
        <v>4469</v>
      </c>
      <c r="D494" s="23">
        <v>-4974317</v>
      </c>
      <c r="E494" s="22" t="s">
        <v>45</v>
      </c>
      <c r="F494" s="24">
        <v>43707</v>
      </c>
      <c r="G494" s="22" t="s">
        <v>5438</v>
      </c>
      <c r="H494" s="22" t="s">
        <v>2103</v>
      </c>
      <c r="I494" s="22" t="s">
        <v>5438</v>
      </c>
      <c r="J494" s="22" t="s">
        <v>4401</v>
      </c>
      <c r="K494" s="22" t="s">
        <v>2103</v>
      </c>
      <c r="L494" s="22"/>
      <c r="M494" s="22"/>
      <c r="N494" s="22"/>
    </row>
    <row r="495" spans="1:14" x14ac:dyDescent="0.25">
      <c r="A495" s="22" t="s">
        <v>5328</v>
      </c>
      <c r="B495" s="22" t="s">
        <v>39</v>
      </c>
      <c r="C495" s="22" t="s">
        <v>4469</v>
      </c>
      <c r="D495" s="23">
        <v>3841281</v>
      </c>
      <c r="E495" s="22" t="s">
        <v>45</v>
      </c>
      <c r="F495" s="24">
        <v>43707</v>
      </c>
      <c r="G495" s="22" t="s">
        <v>5438</v>
      </c>
      <c r="H495" s="22" t="s">
        <v>2103</v>
      </c>
      <c r="I495" s="22" t="s">
        <v>5438</v>
      </c>
      <c r="J495" s="22" t="s">
        <v>4407</v>
      </c>
      <c r="K495" s="22" t="s">
        <v>2103</v>
      </c>
      <c r="L495" s="22"/>
      <c r="M495" s="22"/>
      <c r="N495" s="22"/>
    </row>
    <row r="496" spans="1:14" x14ac:dyDescent="0.25">
      <c r="A496" s="22" t="s">
        <v>7878</v>
      </c>
      <c r="B496" s="22" t="s">
        <v>39</v>
      </c>
      <c r="C496" s="22" t="s">
        <v>5461</v>
      </c>
      <c r="D496" s="23">
        <v>-170021</v>
      </c>
      <c r="E496" s="22" t="s">
        <v>57</v>
      </c>
      <c r="F496" s="24">
        <v>43439</v>
      </c>
      <c r="G496" s="22" t="s">
        <v>5438</v>
      </c>
      <c r="H496" s="22" t="s">
        <v>5462</v>
      </c>
      <c r="I496" s="22" t="s">
        <v>5463</v>
      </c>
      <c r="J496" s="22" t="s">
        <v>4401</v>
      </c>
      <c r="K496" s="22" t="s">
        <v>5038</v>
      </c>
      <c r="L496" s="22"/>
      <c r="M496" s="22"/>
      <c r="N496" s="22"/>
    </row>
    <row r="497" spans="1:14" x14ac:dyDescent="0.25">
      <c r="A497" s="22" t="s">
        <v>7879</v>
      </c>
      <c r="B497" s="22" t="s">
        <v>39</v>
      </c>
      <c r="C497" s="22" t="s">
        <v>5464</v>
      </c>
      <c r="D497" s="23">
        <v>-645801</v>
      </c>
      <c r="E497" s="22" t="s">
        <v>57</v>
      </c>
      <c r="F497" s="24">
        <v>43441</v>
      </c>
      <c r="G497" s="22" t="s">
        <v>5438</v>
      </c>
      <c r="H497" s="22" t="s">
        <v>4962</v>
      </c>
      <c r="I497" s="22" t="s">
        <v>5465</v>
      </c>
      <c r="J497" s="22" t="s">
        <v>4401</v>
      </c>
      <c r="K497" s="22" t="s">
        <v>4992</v>
      </c>
      <c r="L497" s="22"/>
      <c r="M497" s="22"/>
      <c r="N497" s="22"/>
    </row>
    <row r="498" spans="1:14" x14ac:dyDescent="0.25">
      <c r="A498" s="22" t="s">
        <v>7880</v>
      </c>
      <c r="B498" s="22" t="s">
        <v>39</v>
      </c>
      <c r="C498" s="22" t="s">
        <v>4658</v>
      </c>
      <c r="D498" s="23">
        <v>-651233</v>
      </c>
      <c r="E498" s="22" t="s">
        <v>57</v>
      </c>
      <c r="F498" s="24">
        <v>43450</v>
      </c>
      <c r="G498" s="22" t="s">
        <v>5438</v>
      </c>
      <c r="H498" s="22" t="s">
        <v>5466</v>
      </c>
      <c r="I498" s="22" t="s">
        <v>5467</v>
      </c>
      <c r="J498" s="22" t="s">
        <v>4401</v>
      </c>
      <c r="K498" s="22" t="s">
        <v>103</v>
      </c>
      <c r="L498" s="22"/>
      <c r="M498" s="22"/>
      <c r="N498" s="22"/>
    </row>
    <row r="499" spans="1:14" x14ac:dyDescent="0.25">
      <c r="A499" s="22" t="s">
        <v>7728</v>
      </c>
      <c r="B499" s="22" t="s">
        <v>39</v>
      </c>
      <c r="C499" s="22" t="s">
        <v>4472</v>
      </c>
      <c r="D499" s="23">
        <v>-17388819</v>
      </c>
      <c r="E499" s="22" t="s">
        <v>2073</v>
      </c>
      <c r="F499" s="24">
        <v>43462</v>
      </c>
      <c r="G499" s="22" t="s">
        <v>5438</v>
      </c>
      <c r="H499" s="22" t="s">
        <v>4471</v>
      </c>
      <c r="I499" s="22" t="s">
        <v>4470</v>
      </c>
      <c r="J499" s="22" t="s">
        <v>4401</v>
      </c>
      <c r="K499" s="22" t="s">
        <v>103</v>
      </c>
      <c r="L499" s="22"/>
      <c r="M499" s="22"/>
      <c r="N499" s="22"/>
    </row>
    <row r="500" spans="1:14" x14ac:dyDescent="0.25">
      <c r="A500" s="22" t="s">
        <v>7881</v>
      </c>
      <c r="B500" s="22" t="s">
        <v>39</v>
      </c>
      <c r="C500" s="22" t="s">
        <v>5468</v>
      </c>
      <c r="D500" s="23">
        <v>-218563</v>
      </c>
      <c r="E500" s="22" t="s">
        <v>57</v>
      </c>
      <c r="F500" s="24">
        <v>43489</v>
      </c>
      <c r="G500" s="22" t="s">
        <v>5438</v>
      </c>
      <c r="H500" s="22" t="s">
        <v>5469</v>
      </c>
      <c r="I500" s="22" t="s">
        <v>5470</v>
      </c>
      <c r="J500" s="22" t="s">
        <v>4401</v>
      </c>
      <c r="K500" s="22" t="s">
        <v>112</v>
      </c>
      <c r="L500" s="22"/>
      <c r="M500" s="22"/>
      <c r="N500" s="22"/>
    </row>
    <row r="501" spans="1:14" x14ac:dyDescent="0.25">
      <c r="A501" s="22" t="s">
        <v>3212</v>
      </c>
      <c r="B501" s="22" t="s">
        <v>39</v>
      </c>
      <c r="C501" s="22" t="s">
        <v>4854</v>
      </c>
      <c r="D501" s="23">
        <v>-137099</v>
      </c>
      <c r="E501" s="22" t="s">
        <v>57</v>
      </c>
      <c r="F501" s="24">
        <v>43493</v>
      </c>
      <c r="G501" s="22" t="s">
        <v>5438</v>
      </c>
      <c r="H501" s="22" t="s">
        <v>5471</v>
      </c>
      <c r="I501" s="22" t="s">
        <v>4856</v>
      </c>
      <c r="J501" s="22" t="s">
        <v>4466</v>
      </c>
      <c r="K501" s="22" t="s">
        <v>112</v>
      </c>
      <c r="L501" s="22"/>
      <c r="M501" s="22"/>
      <c r="N501" s="22"/>
    </row>
    <row r="502" spans="1:14" x14ac:dyDescent="0.25">
      <c r="A502" s="22" t="s">
        <v>7882</v>
      </c>
      <c r="B502" s="22" t="s">
        <v>39</v>
      </c>
      <c r="C502" s="22" t="s">
        <v>5472</v>
      </c>
      <c r="D502" s="23">
        <v>-51300</v>
      </c>
      <c r="E502" s="22" t="s">
        <v>57</v>
      </c>
      <c r="F502" s="24">
        <v>43423</v>
      </c>
      <c r="G502" s="22" t="s">
        <v>5438</v>
      </c>
      <c r="H502" s="22" t="s">
        <v>5015</v>
      </c>
      <c r="I502" s="22" t="s">
        <v>5473</v>
      </c>
      <c r="J502" s="22" t="s">
        <v>4401</v>
      </c>
      <c r="K502" s="22" t="s">
        <v>4460</v>
      </c>
      <c r="L502" s="22"/>
      <c r="M502" s="22"/>
      <c r="N502" s="22"/>
    </row>
    <row r="503" spans="1:14" x14ac:dyDescent="0.25">
      <c r="A503" s="22" t="s">
        <v>7883</v>
      </c>
      <c r="B503" s="22" t="s">
        <v>39</v>
      </c>
      <c r="C503" s="22" t="s">
        <v>5474</v>
      </c>
      <c r="D503" s="23">
        <v>-105164</v>
      </c>
      <c r="E503" s="22" t="s">
        <v>57</v>
      </c>
      <c r="F503" s="24">
        <v>43505</v>
      </c>
      <c r="G503" s="22" t="s">
        <v>5438</v>
      </c>
      <c r="H503" s="22" t="s">
        <v>5475</v>
      </c>
      <c r="I503" s="22" t="s">
        <v>5476</v>
      </c>
      <c r="J503" s="22" t="s">
        <v>4401</v>
      </c>
      <c r="K503" s="22" t="s">
        <v>4690</v>
      </c>
      <c r="L503" s="22"/>
      <c r="M503" s="22"/>
      <c r="N503" s="22"/>
    </row>
    <row r="504" spans="1:14" x14ac:dyDescent="0.25">
      <c r="A504" s="22" t="s">
        <v>7884</v>
      </c>
      <c r="B504" s="22" t="s">
        <v>39</v>
      </c>
      <c r="C504" s="22" t="s">
        <v>5477</v>
      </c>
      <c r="D504" s="23">
        <v>-54871</v>
      </c>
      <c r="E504" s="22" t="s">
        <v>57</v>
      </c>
      <c r="F504" s="24">
        <v>43510</v>
      </c>
      <c r="G504" s="22" t="s">
        <v>5438</v>
      </c>
      <c r="H504" s="22" t="s">
        <v>5478</v>
      </c>
      <c r="I504" s="22" t="s">
        <v>5479</v>
      </c>
      <c r="J504" s="22" t="s">
        <v>4401</v>
      </c>
      <c r="K504" s="22" t="s">
        <v>4467</v>
      </c>
      <c r="L504" s="22"/>
      <c r="M504" s="22"/>
      <c r="N504" s="22"/>
    </row>
    <row r="505" spans="1:14" x14ac:dyDescent="0.25">
      <c r="A505" s="22" t="s">
        <v>7885</v>
      </c>
      <c r="B505" s="22" t="s">
        <v>39</v>
      </c>
      <c r="C505" s="22" t="s">
        <v>5480</v>
      </c>
      <c r="D505" s="23">
        <v>-294278</v>
      </c>
      <c r="E505" s="22" t="s">
        <v>57</v>
      </c>
      <c r="F505" s="24">
        <v>43523</v>
      </c>
      <c r="G505" s="22" t="s">
        <v>5438</v>
      </c>
      <c r="H505" s="22" t="s">
        <v>5481</v>
      </c>
      <c r="I505" s="22" t="s">
        <v>5482</v>
      </c>
      <c r="J505" s="22" t="s">
        <v>4401</v>
      </c>
      <c r="K505" s="22" t="s">
        <v>4467</v>
      </c>
      <c r="L505" s="22"/>
      <c r="M505" s="22"/>
      <c r="N505" s="22"/>
    </row>
    <row r="506" spans="1:14" x14ac:dyDescent="0.25">
      <c r="A506" s="22" t="s">
        <v>7886</v>
      </c>
      <c r="B506" s="22" t="s">
        <v>39</v>
      </c>
      <c r="C506" s="22" t="s">
        <v>5483</v>
      </c>
      <c r="D506" s="23">
        <v>-54442</v>
      </c>
      <c r="E506" s="22" t="s">
        <v>57</v>
      </c>
      <c r="F506" s="24">
        <v>43524</v>
      </c>
      <c r="G506" s="22" t="s">
        <v>5438</v>
      </c>
      <c r="H506" s="22" t="s">
        <v>5484</v>
      </c>
      <c r="I506" s="22" t="s">
        <v>5485</v>
      </c>
      <c r="J506" s="22" t="s">
        <v>4401</v>
      </c>
      <c r="K506" s="22" t="s">
        <v>4744</v>
      </c>
      <c r="L506" s="22"/>
      <c r="M506" s="22"/>
      <c r="N506" s="22"/>
    </row>
    <row r="507" spans="1:14" x14ac:dyDescent="0.25">
      <c r="A507" s="22" t="s">
        <v>7887</v>
      </c>
      <c r="B507" s="22" t="s">
        <v>39</v>
      </c>
      <c r="C507" s="22" t="s">
        <v>5486</v>
      </c>
      <c r="D507" s="23">
        <v>-108600</v>
      </c>
      <c r="E507" s="22" t="s">
        <v>57</v>
      </c>
      <c r="F507" s="24">
        <v>43457</v>
      </c>
      <c r="G507" s="22" t="s">
        <v>5438</v>
      </c>
      <c r="H507" s="22" t="s">
        <v>5487</v>
      </c>
      <c r="I507" s="22" t="s">
        <v>5488</v>
      </c>
      <c r="J507" s="22" t="s">
        <v>4401</v>
      </c>
      <c r="K507" s="22" t="s">
        <v>4460</v>
      </c>
      <c r="L507" s="22"/>
      <c r="M507" s="22"/>
      <c r="N507" s="22"/>
    </row>
    <row r="508" spans="1:14" x14ac:dyDescent="0.25">
      <c r="A508" s="22" t="s">
        <v>7888</v>
      </c>
      <c r="B508" s="22" t="s">
        <v>39</v>
      </c>
      <c r="C508" s="22" t="s">
        <v>5489</v>
      </c>
      <c r="D508" s="23">
        <v>-105640</v>
      </c>
      <c r="E508" s="22" t="s">
        <v>57</v>
      </c>
      <c r="F508" s="24">
        <v>43509</v>
      </c>
      <c r="G508" s="22" t="s">
        <v>5438</v>
      </c>
      <c r="H508" s="22" t="s">
        <v>5490</v>
      </c>
      <c r="I508" s="22" t="s">
        <v>5491</v>
      </c>
      <c r="J508" s="22" t="s">
        <v>4401</v>
      </c>
      <c r="K508" s="22" t="s">
        <v>4690</v>
      </c>
      <c r="L508" s="22"/>
      <c r="M508" s="22"/>
      <c r="N508" s="22"/>
    </row>
    <row r="509" spans="1:14" x14ac:dyDescent="0.25">
      <c r="A509" s="22" t="s">
        <v>7889</v>
      </c>
      <c r="B509" s="22" t="s">
        <v>39</v>
      </c>
      <c r="C509" s="22" t="s">
        <v>5492</v>
      </c>
      <c r="D509" s="23">
        <v>-193891</v>
      </c>
      <c r="E509" s="22" t="s">
        <v>57</v>
      </c>
      <c r="F509" s="24">
        <v>43506</v>
      </c>
      <c r="G509" s="22" t="s">
        <v>5438</v>
      </c>
      <c r="H509" s="22" t="s">
        <v>5493</v>
      </c>
      <c r="I509" s="22" t="s">
        <v>5494</v>
      </c>
      <c r="J509" s="22" t="s">
        <v>4401</v>
      </c>
      <c r="K509" s="22" t="s">
        <v>103</v>
      </c>
      <c r="L509" s="22"/>
      <c r="M509" s="22"/>
      <c r="N509" s="22"/>
    </row>
    <row r="510" spans="1:14" x14ac:dyDescent="0.25">
      <c r="A510" s="22" t="s">
        <v>7772</v>
      </c>
      <c r="B510" s="22" t="s">
        <v>39</v>
      </c>
      <c r="C510" s="22" t="s">
        <v>4982</v>
      </c>
      <c r="D510" s="23">
        <v>-262929</v>
      </c>
      <c r="E510" s="22" t="s">
        <v>45</v>
      </c>
      <c r="F510" s="24">
        <v>43465</v>
      </c>
      <c r="G510" s="22" t="s">
        <v>5438</v>
      </c>
      <c r="H510" s="22" t="s">
        <v>5495</v>
      </c>
      <c r="I510" s="22" t="s">
        <v>4956</v>
      </c>
      <c r="J510" s="22" t="s">
        <v>4401</v>
      </c>
      <c r="K510" s="22" t="s">
        <v>4964</v>
      </c>
      <c r="L510" s="22"/>
      <c r="M510" s="22"/>
      <c r="N510" s="22"/>
    </row>
    <row r="511" spans="1:14" x14ac:dyDescent="0.25">
      <c r="A511" s="22" t="s">
        <v>7890</v>
      </c>
      <c r="B511" s="22" t="s">
        <v>39</v>
      </c>
      <c r="C511" s="22" t="s">
        <v>5496</v>
      </c>
      <c r="D511" s="23">
        <v>-141800</v>
      </c>
      <c r="E511" s="22" t="s">
        <v>57</v>
      </c>
      <c r="F511" s="24">
        <v>43556</v>
      </c>
      <c r="G511" s="22" t="s">
        <v>5438</v>
      </c>
      <c r="H511" s="22" t="s">
        <v>5497</v>
      </c>
      <c r="I511" s="22" t="s">
        <v>5498</v>
      </c>
      <c r="J511" s="22" t="s">
        <v>4401</v>
      </c>
      <c r="K511" s="22" t="s">
        <v>4707</v>
      </c>
      <c r="L511" s="22"/>
      <c r="M511" s="22"/>
      <c r="N511" s="22"/>
    </row>
    <row r="512" spans="1:14" x14ac:dyDescent="0.25">
      <c r="A512" s="22" t="s">
        <v>7891</v>
      </c>
      <c r="B512" s="22" t="s">
        <v>39</v>
      </c>
      <c r="C512" s="22" t="s">
        <v>5499</v>
      </c>
      <c r="D512" s="23">
        <v>-51989</v>
      </c>
      <c r="E512" s="22" t="s">
        <v>57</v>
      </c>
      <c r="F512" s="24">
        <v>43173</v>
      </c>
      <c r="G512" s="22" t="s">
        <v>5438</v>
      </c>
      <c r="H512" s="22" t="s">
        <v>5500</v>
      </c>
      <c r="I512" s="22" t="s">
        <v>5501</v>
      </c>
      <c r="J512" s="22" t="s">
        <v>4401</v>
      </c>
      <c r="K512" s="22" t="s">
        <v>4467</v>
      </c>
      <c r="L512" s="22"/>
      <c r="M512" s="22"/>
      <c r="N512" s="22"/>
    </row>
    <row r="513" spans="1:14" x14ac:dyDescent="0.25">
      <c r="A513" s="22" t="s">
        <v>7892</v>
      </c>
      <c r="B513" s="22" t="s">
        <v>39</v>
      </c>
      <c r="C513" s="22" t="s">
        <v>5502</v>
      </c>
      <c r="D513" s="23">
        <v>-58700</v>
      </c>
      <c r="E513" s="22" t="s">
        <v>57</v>
      </c>
      <c r="F513" s="24">
        <v>43573</v>
      </c>
      <c r="G513" s="22" t="s">
        <v>5438</v>
      </c>
      <c r="H513" s="22" t="s">
        <v>5503</v>
      </c>
      <c r="I513" s="22" t="s">
        <v>5504</v>
      </c>
      <c r="J513" s="22" t="s">
        <v>4466</v>
      </c>
      <c r="K513" s="22" t="s">
        <v>4467</v>
      </c>
      <c r="L513" s="22"/>
      <c r="M513" s="22"/>
      <c r="N513" s="22"/>
    </row>
    <row r="514" spans="1:14" x14ac:dyDescent="0.25">
      <c r="A514" s="22" t="s">
        <v>7893</v>
      </c>
      <c r="B514" s="22" t="s">
        <v>39</v>
      </c>
      <c r="C514" s="22" t="s">
        <v>5502</v>
      </c>
      <c r="D514" s="23">
        <v>-214274</v>
      </c>
      <c r="E514" s="22" t="s">
        <v>57</v>
      </c>
      <c r="F514" s="24">
        <v>43574</v>
      </c>
      <c r="G514" s="22" t="s">
        <v>5438</v>
      </c>
      <c r="H514" s="22" t="s">
        <v>5505</v>
      </c>
      <c r="I514" s="22" t="s">
        <v>5506</v>
      </c>
      <c r="J514" s="22" t="s">
        <v>4401</v>
      </c>
      <c r="K514" s="22" t="s">
        <v>4467</v>
      </c>
      <c r="L514" s="22"/>
      <c r="M514" s="22"/>
      <c r="N514" s="22"/>
    </row>
    <row r="515" spans="1:14" x14ac:dyDescent="0.25">
      <c r="A515" s="22" t="s">
        <v>7894</v>
      </c>
      <c r="B515" s="22" t="s">
        <v>39</v>
      </c>
      <c r="C515" s="22" t="s">
        <v>5507</v>
      </c>
      <c r="D515" s="23">
        <v>-102992</v>
      </c>
      <c r="E515" s="22" t="s">
        <v>57</v>
      </c>
      <c r="F515" s="24">
        <v>43577</v>
      </c>
      <c r="G515" s="22" t="s">
        <v>5438</v>
      </c>
      <c r="H515" s="22" t="s">
        <v>5508</v>
      </c>
      <c r="I515" s="22" t="s">
        <v>5509</v>
      </c>
      <c r="J515" s="22" t="s">
        <v>4401</v>
      </c>
      <c r="K515" s="22" t="s">
        <v>4707</v>
      </c>
      <c r="L515" s="22"/>
      <c r="M515" s="22"/>
      <c r="N515" s="22"/>
    </row>
    <row r="516" spans="1:14" x14ac:dyDescent="0.25">
      <c r="A516" s="22" t="s">
        <v>7895</v>
      </c>
      <c r="B516" s="22" t="s">
        <v>39</v>
      </c>
      <c r="C516" s="22" t="s">
        <v>5510</v>
      </c>
      <c r="D516" s="23">
        <v>-56108</v>
      </c>
      <c r="E516" s="22" t="s">
        <v>57</v>
      </c>
      <c r="F516" s="24">
        <v>43582</v>
      </c>
      <c r="G516" s="22" t="s">
        <v>5438</v>
      </c>
      <c r="H516" s="22" t="s">
        <v>5511</v>
      </c>
      <c r="I516" s="22" t="s">
        <v>5512</v>
      </c>
      <c r="J516" s="22" t="s">
        <v>4401</v>
      </c>
      <c r="K516" s="22" t="s">
        <v>103</v>
      </c>
      <c r="L516" s="22"/>
      <c r="M516" s="22"/>
      <c r="N516" s="22"/>
    </row>
    <row r="517" spans="1:14" x14ac:dyDescent="0.25">
      <c r="A517" s="22" t="s">
        <v>5514</v>
      </c>
      <c r="B517" s="22" t="s">
        <v>39</v>
      </c>
      <c r="C517" s="22" t="s">
        <v>5513</v>
      </c>
      <c r="D517" s="23">
        <v>-104340</v>
      </c>
      <c r="E517" s="22" t="s">
        <v>57</v>
      </c>
      <c r="F517" s="24">
        <v>43615</v>
      </c>
      <c r="G517" s="22" t="s">
        <v>5438</v>
      </c>
      <c r="H517" s="22" t="s">
        <v>5515</v>
      </c>
      <c r="I517" s="22" t="s">
        <v>5516</v>
      </c>
      <c r="J517" s="22" t="s">
        <v>4401</v>
      </c>
      <c r="K517" s="22" t="s">
        <v>4690</v>
      </c>
      <c r="L517" s="22"/>
      <c r="M517" s="22"/>
      <c r="N517" s="22"/>
    </row>
    <row r="518" spans="1:14" x14ac:dyDescent="0.25">
      <c r="A518" s="22" t="s">
        <v>7733</v>
      </c>
      <c r="B518" s="22" t="s">
        <v>39</v>
      </c>
      <c r="C518" s="22" t="s">
        <v>4502</v>
      </c>
      <c r="D518" s="23">
        <v>-124527</v>
      </c>
      <c r="E518" s="22" t="s">
        <v>57</v>
      </c>
      <c r="F518" s="24">
        <v>43602</v>
      </c>
      <c r="G518" s="22" t="s">
        <v>5438</v>
      </c>
      <c r="H518" s="22" t="s">
        <v>5517</v>
      </c>
      <c r="I518" s="22" t="s">
        <v>4504</v>
      </c>
      <c r="J518" s="22" t="s">
        <v>4466</v>
      </c>
      <c r="K518" s="22" t="s">
        <v>103</v>
      </c>
      <c r="L518" s="22"/>
      <c r="M518" s="22"/>
      <c r="N518" s="22"/>
    </row>
    <row r="519" spans="1:14" x14ac:dyDescent="0.25">
      <c r="A519" s="22" t="s">
        <v>7896</v>
      </c>
      <c r="B519" s="22" t="s">
        <v>39</v>
      </c>
      <c r="C519" s="22" t="s">
        <v>5518</v>
      </c>
      <c r="D519" s="23">
        <v>-1674086</v>
      </c>
      <c r="E519" s="22" t="s">
        <v>57</v>
      </c>
      <c r="F519" s="24">
        <v>43208</v>
      </c>
      <c r="G519" s="22" t="s">
        <v>5438</v>
      </c>
      <c r="H519" s="22" t="s">
        <v>5519</v>
      </c>
      <c r="I519" s="22" t="s">
        <v>5520</v>
      </c>
      <c r="J519" s="22" t="s">
        <v>4401</v>
      </c>
      <c r="K519" s="22" t="s">
        <v>112</v>
      </c>
      <c r="L519" s="22"/>
      <c r="M519" s="22"/>
      <c r="N519" s="22"/>
    </row>
    <row r="520" spans="1:14" x14ac:dyDescent="0.25">
      <c r="A520" s="22" t="s">
        <v>7897</v>
      </c>
      <c r="B520" s="22" t="s">
        <v>39</v>
      </c>
      <c r="C520" s="22" t="s">
        <v>5521</v>
      </c>
      <c r="D520" s="23">
        <v>-51300</v>
      </c>
      <c r="E520" s="22" t="s">
        <v>57</v>
      </c>
      <c r="F520" s="24">
        <v>43276</v>
      </c>
      <c r="G520" s="22" t="s">
        <v>5438</v>
      </c>
      <c r="H520" s="22" t="s">
        <v>5522</v>
      </c>
      <c r="I520" s="22" t="s">
        <v>5523</v>
      </c>
      <c r="J520" s="22" t="s">
        <v>4401</v>
      </c>
      <c r="K520" s="22" t="s">
        <v>4467</v>
      </c>
      <c r="L520" s="22"/>
      <c r="M520" s="22"/>
      <c r="N520" s="22"/>
    </row>
    <row r="521" spans="1:14" x14ac:dyDescent="0.25">
      <c r="A521" s="22" t="s">
        <v>7898</v>
      </c>
      <c r="B521" s="22" t="s">
        <v>39</v>
      </c>
      <c r="C521" s="22" t="s">
        <v>5524</v>
      </c>
      <c r="D521" s="23">
        <v>-701627</v>
      </c>
      <c r="E521" s="22" t="s">
        <v>57</v>
      </c>
      <c r="F521" s="24">
        <v>43279</v>
      </c>
      <c r="G521" s="22" t="s">
        <v>5438</v>
      </c>
      <c r="H521" s="22" t="s">
        <v>5525</v>
      </c>
      <c r="I521" s="22" t="s">
        <v>5526</v>
      </c>
      <c r="J521" s="22" t="s">
        <v>4466</v>
      </c>
      <c r="K521" s="22" t="s">
        <v>4489</v>
      </c>
      <c r="L521" s="22"/>
      <c r="M521" s="22"/>
      <c r="N521" s="22"/>
    </row>
    <row r="522" spans="1:14" x14ac:dyDescent="0.25">
      <c r="A522" s="22" t="s">
        <v>7899</v>
      </c>
      <c r="B522" s="22" t="s">
        <v>39</v>
      </c>
      <c r="C522" s="22" t="s">
        <v>5527</v>
      </c>
      <c r="D522" s="23">
        <v>-2068600</v>
      </c>
      <c r="E522" s="22" t="s">
        <v>57</v>
      </c>
      <c r="F522" s="24">
        <v>43263</v>
      </c>
      <c r="G522" s="22" t="s">
        <v>5438</v>
      </c>
      <c r="H522" s="22" t="s">
        <v>5528</v>
      </c>
      <c r="I522" s="22" t="s">
        <v>5529</v>
      </c>
      <c r="J522" s="22" t="s">
        <v>4401</v>
      </c>
      <c r="K522" s="22" t="s">
        <v>4489</v>
      </c>
      <c r="L522" s="22"/>
      <c r="M522" s="22"/>
      <c r="N522" s="22"/>
    </row>
    <row r="523" spans="1:14" x14ac:dyDescent="0.25">
      <c r="A523" s="22" t="s">
        <v>7900</v>
      </c>
      <c r="B523" s="22" t="s">
        <v>39</v>
      </c>
      <c r="C523" s="22" t="s">
        <v>5408</v>
      </c>
      <c r="D523" s="23">
        <v>-278636</v>
      </c>
      <c r="E523" s="22" t="s">
        <v>57</v>
      </c>
      <c r="F523" s="24">
        <v>43652</v>
      </c>
      <c r="G523" s="22" t="s">
        <v>5438</v>
      </c>
      <c r="H523" s="22" t="s">
        <v>5530</v>
      </c>
      <c r="I523" s="22" t="s">
        <v>5531</v>
      </c>
      <c r="J523" s="22" t="s">
        <v>4401</v>
      </c>
      <c r="K523" s="22" t="s">
        <v>103</v>
      </c>
      <c r="L523" s="22"/>
      <c r="M523" s="22"/>
      <c r="N523" s="22"/>
    </row>
    <row r="524" spans="1:14" x14ac:dyDescent="0.25">
      <c r="A524" s="22" t="s">
        <v>7901</v>
      </c>
      <c r="B524" s="22" t="s">
        <v>39</v>
      </c>
      <c r="C524" s="22" t="s">
        <v>5408</v>
      </c>
      <c r="D524" s="23">
        <v>-55511</v>
      </c>
      <c r="E524" s="22" t="s">
        <v>57</v>
      </c>
      <c r="F524" s="24">
        <v>43652</v>
      </c>
      <c r="G524" s="22" t="s">
        <v>5438</v>
      </c>
      <c r="H524" s="22" t="s">
        <v>5532</v>
      </c>
      <c r="I524" s="22" t="s">
        <v>5533</v>
      </c>
      <c r="J524" s="22" t="s">
        <v>4401</v>
      </c>
      <c r="K524" s="22" t="s">
        <v>103</v>
      </c>
      <c r="L524" s="22"/>
      <c r="M524" s="22"/>
      <c r="N524" s="22"/>
    </row>
    <row r="525" spans="1:14" x14ac:dyDescent="0.25">
      <c r="A525" s="22" t="s">
        <v>7902</v>
      </c>
      <c r="B525" s="22" t="s">
        <v>39</v>
      </c>
      <c r="C525" s="22" t="s">
        <v>5408</v>
      </c>
      <c r="D525" s="23">
        <v>-565100</v>
      </c>
      <c r="E525" s="22" t="s">
        <v>57</v>
      </c>
      <c r="F525" s="24">
        <v>43585</v>
      </c>
      <c r="G525" s="22" t="s">
        <v>5438</v>
      </c>
      <c r="H525" s="22" t="s">
        <v>5534</v>
      </c>
      <c r="I525" s="22" t="s">
        <v>5535</v>
      </c>
      <c r="J525" s="22" t="s">
        <v>4401</v>
      </c>
      <c r="K525" s="22" t="s">
        <v>103</v>
      </c>
      <c r="L525" s="22"/>
      <c r="M525" s="22"/>
      <c r="N525" s="22"/>
    </row>
    <row r="526" spans="1:14" x14ac:dyDescent="0.25">
      <c r="A526" s="22" t="s">
        <v>7903</v>
      </c>
      <c r="B526" s="22" t="s">
        <v>39</v>
      </c>
      <c r="C526" s="22" t="s">
        <v>5536</v>
      </c>
      <c r="D526" s="23">
        <v>-300749</v>
      </c>
      <c r="E526" s="22" t="s">
        <v>57</v>
      </c>
      <c r="F526" s="24">
        <v>43566</v>
      </c>
      <c r="G526" s="22" t="s">
        <v>5438</v>
      </c>
      <c r="H526" s="22" t="s">
        <v>5537</v>
      </c>
      <c r="I526" s="22" t="s">
        <v>5538</v>
      </c>
      <c r="J526" s="22" t="s">
        <v>4401</v>
      </c>
      <c r="K526" s="22" t="s">
        <v>4424</v>
      </c>
      <c r="L526" s="22"/>
      <c r="M526" s="22"/>
      <c r="N526" s="22"/>
    </row>
    <row r="527" spans="1:14" x14ac:dyDescent="0.25">
      <c r="A527" s="22" t="s">
        <v>7731</v>
      </c>
      <c r="B527" s="22" t="s">
        <v>39</v>
      </c>
      <c r="C527" s="22" t="s">
        <v>4486</v>
      </c>
      <c r="D527" s="23">
        <v>-270377</v>
      </c>
      <c r="E527" s="22" t="s">
        <v>57</v>
      </c>
      <c r="F527" s="24">
        <v>43652</v>
      </c>
      <c r="G527" s="22" t="s">
        <v>5438</v>
      </c>
      <c r="H527" s="22" t="s">
        <v>5539</v>
      </c>
      <c r="I527" s="22" t="s">
        <v>4488</v>
      </c>
      <c r="J527" s="22" t="s">
        <v>4401</v>
      </c>
      <c r="K527" s="22" t="s">
        <v>4489</v>
      </c>
      <c r="L527" s="22"/>
      <c r="M527" s="22"/>
      <c r="N527" s="22"/>
    </row>
    <row r="528" spans="1:14" x14ac:dyDescent="0.25">
      <c r="A528" s="22" t="s">
        <v>7904</v>
      </c>
      <c r="B528" s="22" t="s">
        <v>39</v>
      </c>
      <c r="C528" s="22" t="s">
        <v>4486</v>
      </c>
      <c r="D528" s="23">
        <v>-68249</v>
      </c>
      <c r="E528" s="22" t="s">
        <v>57</v>
      </c>
      <c r="F528" s="24">
        <v>43652</v>
      </c>
      <c r="G528" s="22" t="s">
        <v>5438</v>
      </c>
      <c r="H528" s="22" t="s">
        <v>5540</v>
      </c>
      <c r="I528" s="22" t="s">
        <v>5541</v>
      </c>
      <c r="J528" s="22" t="s">
        <v>4401</v>
      </c>
      <c r="K528" s="22" t="s">
        <v>4489</v>
      </c>
      <c r="L528" s="22"/>
      <c r="M528" s="22"/>
      <c r="N528" s="22"/>
    </row>
    <row r="529" spans="1:14" x14ac:dyDescent="0.25">
      <c r="A529" s="22" t="s">
        <v>7905</v>
      </c>
      <c r="B529" s="22" t="s">
        <v>39</v>
      </c>
      <c r="C529" s="22" t="s">
        <v>5542</v>
      </c>
      <c r="D529" s="23">
        <v>-207446</v>
      </c>
      <c r="E529" s="22" t="s">
        <v>57</v>
      </c>
      <c r="F529" s="24">
        <v>43652</v>
      </c>
      <c r="G529" s="22" t="s">
        <v>5438</v>
      </c>
      <c r="H529" s="22" t="s">
        <v>5543</v>
      </c>
      <c r="I529" s="22" t="s">
        <v>5544</v>
      </c>
      <c r="J529" s="22" t="s">
        <v>4401</v>
      </c>
      <c r="K529" s="22" t="s">
        <v>5038</v>
      </c>
      <c r="L529" s="22"/>
      <c r="M529" s="22"/>
      <c r="N529" s="22"/>
    </row>
    <row r="530" spans="1:14" x14ac:dyDescent="0.25">
      <c r="A530" s="22" t="s">
        <v>7906</v>
      </c>
      <c r="B530" s="22" t="s">
        <v>39</v>
      </c>
      <c r="C530" s="22" t="s">
        <v>5545</v>
      </c>
      <c r="D530" s="23">
        <v>-218400</v>
      </c>
      <c r="E530" s="22" t="s">
        <v>57</v>
      </c>
      <c r="F530" s="24">
        <v>43580</v>
      </c>
      <c r="G530" s="22" t="s">
        <v>5438</v>
      </c>
      <c r="H530" s="22" t="s">
        <v>5515</v>
      </c>
      <c r="I530" s="22" t="s">
        <v>5546</v>
      </c>
      <c r="J530" s="22" t="s">
        <v>4401</v>
      </c>
      <c r="K530" s="22" t="s">
        <v>4690</v>
      </c>
      <c r="L530" s="22"/>
      <c r="M530" s="22"/>
      <c r="N530" s="22"/>
    </row>
    <row r="531" spans="1:14" x14ac:dyDescent="0.25">
      <c r="A531" s="22" t="s">
        <v>7907</v>
      </c>
      <c r="B531" s="22" t="s">
        <v>39</v>
      </c>
      <c r="C531" s="22" t="s">
        <v>5545</v>
      </c>
      <c r="D531" s="23">
        <v>-167800</v>
      </c>
      <c r="E531" s="22" t="s">
        <v>57</v>
      </c>
      <c r="F531" s="24">
        <v>43584</v>
      </c>
      <c r="G531" s="22" t="s">
        <v>5438</v>
      </c>
      <c r="H531" s="22" t="s">
        <v>5515</v>
      </c>
      <c r="I531" s="22" t="s">
        <v>5547</v>
      </c>
      <c r="J531" s="22" t="s">
        <v>4401</v>
      </c>
      <c r="K531" s="22" t="s">
        <v>4690</v>
      </c>
      <c r="L531" s="22"/>
      <c r="M531" s="22"/>
      <c r="N531" s="22"/>
    </row>
    <row r="532" spans="1:14" x14ac:dyDescent="0.25">
      <c r="A532" s="22" t="s">
        <v>4670</v>
      </c>
      <c r="B532" s="22" t="s">
        <v>39</v>
      </c>
      <c r="C532" s="22" t="s">
        <v>4672</v>
      </c>
      <c r="D532" s="23">
        <v>-4344</v>
      </c>
      <c r="E532" s="22" t="s">
        <v>57</v>
      </c>
      <c r="F532" s="24">
        <v>43593</v>
      </c>
      <c r="G532" s="22" t="s">
        <v>5438</v>
      </c>
      <c r="H532" s="22" t="s">
        <v>4674</v>
      </c>
      <c r="I532" s="22" t="s">
        <v>4671</v>
      </c>
      <c r="J532" s="22" t="s">
        <v>4401</v>
      </c>
      <c r="K532" s="22" t="s">
        <v>4424</v>
      </c>
      <c r="L532" s="22"/>
      <c r="M532" s="22"/>
      <c r="N532" s="22"/>
    </row>
    <row r="533" spans="1:14" x14ac:dyDescent="0.25">
      <c r="A533" s="22" t="s">
        <v>7730</v>
      </c>
      <c r="B533" s="22" t="s">
        <v>39</v>
      </c>
      <c r="C533" s="22" t="s">
        <v>4480</v>
      </c>
      <c r="D533" s="23">
        <v>-90690</v>
      </c>
      <c r="E533" s="22" t="s">
        <v>57</v>
      </c>
      <c r="F533" s="24">
        <v>43634</v>
      </c>
      <c r="G533" s="22" t="s">
        <v>5438</v>
      </c>
      <c r="H533" s="22" t="s">
        <v>5548</v>
      </c>
      <c r="I533" s="22" t="s">
        <v>4482</v>
      </c>
      <c r="J533" s="22" t="s">
        <v>4401</v>
      </c>
      <c r="K533" s="22" t="s">
        <v>4424</v>
      </c>
      <c r="L533" s="22"/>
      <c r="M533" s="22"/>
      <c r="N533" s="22"/>
    </row>
    <row r="534" spans="1:14" x14ac:dyDescent="0.25">
      <c r="A534" s="22" t="s">
        <v>7908</v>
      </c>
      <c r="B534" s="22" t="s">
        <v>39</v>
      </c>
      <c r="C534" s="22" t="s">
        <v>4654</v>
      </c>
      <c r="D534" s="23">
        <v>-96461</v>
      </c>
      <c r="E534" s="22" t="s">
        <v>57</v>
      </c>
      <c r="F534" s="24">
        <v>43315</v>
      </c>
      <c r="G534" s="22" t="s">
        <v>5438</v>
      </c>
      <c r="H534" s="22" t="s">
        <v>5049</v>
      </c>
      <c r="I534" s="22" t="s">
        <v>5549</v>
      </c>
      <c r="J534" s="22" t="s">
        <v>4401</v>
      </c>
      <c r="K534" s="22" t="s">
        <v>4606</v>
      </c>
      <c r="L534" s="22"/>
      <c r="M534" s="22"/>
      <c r="N534" s="22"/>
    </row>
    <row r="535" spans="1:14" x14ac:dyDescent="0.25">
      <c r="A535" s="22" t="s">
        <v>7909</v>
      </c>
      <c r="B535" s="22" t="s">
        <v>39</v>
      </c>
      <c r="C535" s="22" t="s">
        <v>4654</v>
      </c>
      <c r="D535" s="23">
        <v>-757222</v>
      </c>
      <c r="E535" s="22" t="s">
        <v>57</v>
      </c>
      <c r="F535" s="24">
        <v>43325</v>
      </c>
      <c r="G535" s="22" t="s">
        <v>5438</v>
      </c>
      <c r="H535" s="22" t="s">
        <v>5550</v>
      </c>
      <c r="I535" s="22" t="s">
        <v>5551</v>
      </c>
      <c r="J535" s="22" t="s">
        <v>4401</v>
      </c>
      <c r="K535" s="22" t="s">
        <v>4606</v>
      </c>
      <c r="L535" s="22"/>
      <c r="M535" s="22"/>
      <c r="N535" s="22"/>
    </row>
    <row r="536" spans="1:14" x14ac:dyDescent="0.25">
      <c r="A536" s="22" t="s">
        <v>7745</v>
      </c>
      <c r="B536" s="22" t="s">
        <v>39</v>
      </c>
      <c r="C536" s="22" t="s">
        <v>4654</v>
      </c>
      <c r="D536" s="23">
        <v>-121276</v>
      </c>
      <c r="E536" s="22" t="s">
        <v>57</v>
      </c>
      <c r="F536" s="24">
        <v>43317</v>
      </c>
      <c r="G536" s="22" t="s">
        <v>5438</v>
      </c>
      <c r="H536" s="22" t="s">
        <v>2079</v>
      </c>
      <c r="I536" s="22" t="s">
        <v>4653</v>
      </c>
      <c r="J536" s="22" t="s">
        <v>4401</v>
      </c>
      <c r="K536" s="22" t="s">
        <v>4602</v>
      </c>
      <c r="L536" s="22"/>
      <c r="M536" s="22"/>
      <c r="N536" s="22"/>
    </row>
    <row r="537" spans="1:14" x14ac:dyDescent="0.25">
      <c r="A537" s="22" t="s">
        <v>3206</v>
      </c>
      <c r="B537" s="22" t="s">
        <v>39</v>
      </c>
      <c r="C537" s="22" t="s">
        <v>195</v>
      </c>
      <c r="D537" s="23">
        <v>-3202967</v>
      </c>
      <c r="E537" s="22" t="s">
        <v>57</v>
      </c>
      <c r="F537" s="24">
        <v>43317</v>
      </c>
      <c r="G537" s="22" t="s">
        <v>5438</v>
      </c>
      <c r="H537" s="22" t="s">
        <v>5552</v>
      </c>
      <c r="I537" s="22" t="s">
        <v>197</v>
      </c>
      <c r="J537" s="22" t="s">
        <v>4401</v>
      </c>
      <c r="K537" s="22" t="s">
        <v>28</v>
      </c>
      <c r="L537" s="22"/>
      <c r="M537" s="22"/>
      <c r="N537" s="22"/>
    </row>
    <row r="538" spans="1:14" x14ac:dyDescent="0.25">
      <c r="A538" s="22" t="s">
        <v>7910</v>
      </c>
      <c r="B538" s="22" t="s">
        <v>39</v>
      </c>
      <c r="C538" s="22" t="s">
        <v>5553</v>
      </c>
      <c r="D538" s="23">
        <v>-51300</v>
      </c>
      <c r="E538" s="22" t="s">
        <v>57</v>
      </c>
      <c r="F538" s="24">
        <v>43297</v>
      </c>
      <c r="G538" s="22" t="s">
        <v>5438</v>
      </c>
      <c r="H538" s="22" t="s">
        <v>5554</v>
      </c>
      <c r="I538" s="22" t="s">
        <v>5555</v>
      </c>
      <c r="J538" s="22" t="s">
        <v>4401</v>
      </c>
      <c r="K538" s="22" t="s">
        <v>4606</v>
      </c>
      <c r="L538" s="22"/>
      <c r="M538" s="22"/>
      <c r="N538" s="22"/>
    </row>
    <row r="539" spans="1:14" x14ac:dyDescent="0.25">
      <c r="A539" s="22" t="s">
        <v>7720</v>
      </c>
      <c r="B539" s="22" t="s">
        <v>39</v>
      </c>
      <c r="C539" s="22" t="s">
        <v>5556</v>
      </c>
      <c r="D539" s="23">
        <v>-1082716</v>
      </c>
      <c r="E539" s="22" t="s">
        <v>2073</v>
      </c>
      <c r="F539" s="24">
        <v>43598</v>
      </c>
      <c r="G539" s="22" t="s">
        <v>5438</v>
      </c>
      <c r="H539" s="22" t="s">
        <v>5557</v>
      </c>
      <c r="I539" s="22" t="s">
        <v>4420</v>
      </c>
      <c r="J539" s="22" t="s">
        <v>4407</v>
      </c>
      <c r="K539" s="22" t="s">
        <v>4415</v>
      </c>
      <c r="L539" s="22"/>
      <c r="M539" s="22"/>
      <c r="N539" s="22"/>
    </row>
    <row r="540" spans="1:14" x14ac:dyDescent="0.25">
      <c r="A540" s="22" t="s">
        <v>7719</v>
      </c>
      <c r="B540" s="22" t="s">
        <v>39</v>
      </c>
      <c r="C540" s="22" t="s">
        <v>5558</v>
      </c>
      <c r="D540" s="23">
        <v>-2719565</v>
      </c>
      <c r="E540" s="22" t="s">
        <v>2073</v>
      </c>
      <c r="F540" s="24">
        <v>43598</v>
      </c>
      <c r="G540" s="22" t="s">
        <v>5438</v>
      </c>
      <c r="H540" s="22" t="s">
        <v>5559</v>
      </c>
      <c r="I540" s="22" t="s">
        <v>4413</v>
      </c>
      <c r="J540" s="22" t="s">
        <v>4407</v>
      </c>
      <c r="K540" s="22" t="s">
        <v>4415</v>
      </c>
      <c r="L540" s="22"/>
      <c r="M540" s="22"/>
      <c r="N540" s="22"/>
    </row>
    <row r="541" spans="1:14" x14ac:dyDescent="0.25">
      <c r="A541" s="22" t="s">
        <v>7721</v>
      </c>
      <c r="B541" s="22" t="s">
        <v>39</v>
      </c>
      <c r="C541" s="22" t="s">
        <v>5560</v>
      </c>
      <c r="D541" s="23">
        <v>-39000</v>
      </c>
      <c r="E541" s="22" t="s">
        <v>2073</v>
      </c>
      <c r="F541" s="24">
        <v>43598</v>
      </c>
      <c r="G541" s="22" t="s">
        <v>5438</v>
      </c>
      <c r="H541" s="22" t="s">
        <v>5561</v>
      </c>
      <c r="I541" s="22" t="s">
        <v>4425</v>
      </c>
      <c r="J541" s="22" t="s">
        <v>4407</v>
      </c>
      <c r="K541" s="22" t="s">
        <v>4415</v>
      </c>
      <c r="L541" s="22"/>
      <c r="M541" s="22"/>
      <c r="N541" s="22"/>
    </row>
    <row r="542" spans="1:14" x14ac:dyDescent="0.25">
      <c r="A542" s="22" t="s">
        <v>5299</v>
      </c>
      <c r="B542" s="22" t="s">
        <v>39</v>
      </c>
      <c r="C542" s="22" t="s">
        <v>4916</v>
      </c>
      <c r="D542" s="23">
        <v>42918151</v>
      </c>
      <c r="E542" s="22" t="s">
        <v>45</v>
      </c>
      <c r="F542" s="24">
        <v>43707</v>
      </c>
      <c r="G542" s="22" t="s">
        <v>5438</v>
      </c>
      <c r="H542" s="22" t="s">
        <v>5562</v>
      </c>
      <c r="I542" s="22" t="s">
        <v>5300</v>
      </c>
      <c r="J542" s="22" t="s">
        <v>4401</v>
      </c>
      <c r="K542" s="22" t="s">
        <v>5301</v>
      </c>
      <c r="L542" s="22"/>
      <c r="M542" s="22"/>
      <c r="N542" s="22"/>
    </row>
    <row r="543" spans="1:14" x14ac:dyDescent="0.25">
      <c r="A543" s="22" t="s">
        <v>7859</v>
      </c>
      <c r="B543" s="22" t="s">
        <v>39</v>
      </c>
      <c r="C543" s="22" t="s">
        <v>5563</v>
      </c>
      <c r="D543" s="23">
        <v>-12739</v>
      </c>
      <c r="E543" s="22" t="s">
        <v>57</v>
      </c>
      <c r="F543" s="24">
        <v>43585</v>
      </c>
      <c r="G543" s="22" t="s">
        <v>5438</v>
      </c>
      <c r="H543" s="22" t="s">
        <v>5564</v>
      </c>
      <c r="I543" s="22" t="s">
        <v>5339</v>
      </c>
      <c r="J543" s="22" t="s">
        <v>4401</v>
      </c>
      <c r="K543" s="22" t="s">
        <v>4489</v>
      </c>
      <c r="L543" s="22"/>
      <c r="M543" s="22"/>
      <c r="N543" s="22"/>
    </row>
    <row r="544" spans="1:14" x14ac:dyDescent="0.25">
      <c r="A544" s="22" t="s">
        <v>5565</v>
      </c>
      <c r="B544" s="22" t="s">
        <v>39</v>
      </c>
      <c r="C544" s="22" t="s">
        <v>4509</v>
      </c>
      <c r="D544" s="23">
        <v>-2776808</v>
      </c>
      <c r="E544" s="22" t="s">
        <v>45</v>
      </c>
      <c r="F544" s="24">
        <v>43937</v>
      </c>
      <c r="G544" s="22" t="s">
        <v>5566</v>
      </c>
      <c r="H544" s="22" t="s">
        <v>2103</v>
      </c>
      <c r="I544" s="22" t="s">
        <v>5566</v>
      </c>
      <c r="J544" s="22" t="s">
        <v>4401</v>
      </c>
      <c r="K544" s="22" t="s">
        <v>2103</v>
      </c>
      <c r="L544" s="22"/>
      <c r="M544" s="22"/>
      <c r="N544" s="22"/>
    </row>
    <row r="545" spans="1:14" x14ac:dyDescent="0.25">
      <c r="A545" s="22" t="s">
        <v>5565</v>
      </c>
      <c r="B545" s="22" t="s">
        <v>39</v>
      </c>
      <c r="C545" s="22" t="s">
        <v>4509</v>
      </c>
      <c r="D545" s="23">
        <v>2776808</v>
      </c>
      <c r="E545" s="22" t="s">
        <v>45</v>
      </c>
      <c r="F545" s="24">
        <v>43937</v>
      </c>
      <c r="G545" s="22" t="s">
        <v>5566</v>
      </c>
      <c r="H545" s="22" t="s">
        <v>2103</v>
      </c>
      <c r="I545" s="22" t="s">
        <v>5566</v>
      </c>
      <c r="J545" s="22" t="s">
        <v>4407</v>
      </c>
      <c r="K545" s="22" t="s">
        <v>2103</v>
      </c>
      <c r="L545" s="22"/>
      <c r="M545" s="22"/>
      <c r="N545" s="22"/>
    </row>
    <row r="546" spans="1:14" x14ac:dyDescent="0.25">
      <c r="A546" s="22" t="s">
        <v>7728</v>
      </c>
      <c r="B546" s="22" t="s">
        <v>39</v>
      </c>
      <c r="C546" s="22" t="s">
        <v>4472</v>
      </c>
      <c r="D546" s="23">
        <v>-4045470</v>
      </c>
      <c r="E546" s="22" t="s">
        <v>2073</v>
      </c>
      <c r="F546" s="24">
        <v>43462</v>
      </c>
      <c r="G546" s="22" t="s">
        <v>5566</v>
      </c>
      <c r="H546" s="22" t="s">
        <v>5567</v>
      </c>
      <c r="I546" s="22" t="s">
        <v>4470</v>
      </c>
      <c r="J546" s="22" t="s">
        <v>4401</v>
      </c>
      <c r="K546" s="22" t="s">
        <v>103</v>
      </c>
      <c r="L546" s="22"/>
      <c r="M546" s="22"/>
      <c r="N546" s="22"/>
    </row>
    <row r="547" spans="1:14" x14ac:dyDescent="0.25">
      <c r="A547" s="22" t="s">
        <v>5565</v>
      </c>
      <c r="B547" s="22" t="s">
        <v>39</v>
      </c>
      <c r="C547" s="22" t="s">
        <v>5568</v>
      </c>
      <c r="D547" s="23">
        <v>7003278</v>
      </c>
      <c r="E547" s="22" t="s">
        <v>42</v>
      </c>
      <c r="F547" s="24">
        <v>43937</v>
      </c>
      <c r="G547" s="22" t="s">
        <v>5566</v>
      </c>
      <c r="H547" s="22" t="s">
        <v>5569</v>
      </c>
      <c r="I547" s="22" t="s">
        <v>5570</v>
      </c>
      <c r="J547" s="22" t="s">
        <v>4401</v>
      </c>
      <c r="K547" s="22" t="s">
        <v>4403</v>
      </c>
      <c r="L547" s="22"/>
      <c r="M547" s="22"/>
      <c r="N547" s="22"/>
    </row>
    <row r="548" spans="1:14" x14ac:dyDescent="0.25">
      <c r="A548" s="22" t="s">
        <v>7730</v>
      </c>
      <c r="B548" s="22" t="s">
        <v>39</v>
      </c>
      <c r="C548" s="22" t="s">
        <v>4513</v>
      </c>
      <c r="D548" s="23">
        <v>-106082</v>
      </c>
      <c r="E548" s="22" t="s">
        <v>2073</v>
      </c>
      <c r="F548" s="24">
        <v>43937</v>
      </c>
      <c r="G548" s="22" t="s">
        <v>5566</v>
      </c>
      <c r="H548" s="22" t="s">
        <v>5571</v>
      </c>
      <c r="I548" s="22" t="s">
        <v>4510</v>
      </c>
      <c r="J548" s="22" t="s">
        <v>4407</v>
      </c>
      <c r="K548" s="22" t="s">
        <v>4512</v>
      </c>
      <c r="L548" s="22"/>
      <c r="M548" s="22"/>
      <c r="N548" s="22"/>
    </row>
    <row r="549" spans="1:14" x14ac:dyDescent="0.25">
      <c r="A549" s="22" t="s">
        <v>3218</v>
      </c>
      <c r="B549" s="22" t="s">
        <v>39</v>
      </c>
      <c r="C549" s="22" t="s">
        <v>5572</v>
      </c>
      <c r="D549" s="23">
        <v>-112900</v>
      </c>
      <c r="E549" s="22" t="s">
        <v>2073</v>
      </c>
      <c r="F549" s="24">
        <v>43817</v>
      </c>
      <c r="G549" s="22" t="s">
        <v>5566</v>
      </c>
      <c r="H549" s="22" t="s">
        <v>5573</v>
      </c>
      <c r="I549" s="22" t="s">
        <v>4483</v>
      </c>
      <c r="J549" s="22" t="s">
        <v>4401</v>
      </c>
      <c r="K549" s="22" t="s">
        <v>4479</v>
      </c>
      <c r="L549" s="22"/>
      <c r="M549" s="22"/>
      <c r="N549" s="22"/>
    </row>
    <row r="550" spans="1:14" x14ac:dyDescent="0.25">
      <c r="A550" s="22" t="s">
        <v>7731</v>
      </c>
      <c r="B550" s="22" t="s">
        <v>39</v>
      </c>
      <c r="C550" s="22" t="s">
        <v>5574</v>
      </c>
      <c r="D550" s="23">
        <v>-66452</v>
      </c>
      <c r="E550" s="22" t="s">
        <v>2073</v>
      </c>
      <c r="F550" s="24">
        <v>43817</v>
      </c>
      <c r="G550" s="22" t="s">
        <v>5566</v>
      </c>
      <c r="H550" s="22" t="s">
        <v>5575</v>
      </c>
      <c r="I550" s="22" t="s">
        <v>4485</v>
      </c>
      <c r="J550" s="22" t="s">
        <v>4407</v>
      </c>
      <c r="K550" s="22" t="s">
        <v>4479</v>
      </c>
      <c r="L550" s="22"/>
      <c r="M550" s="22"/>
      <c r="N550" s="22"/>
    </row>
    <row r="551" spans="1:14" x14ac:dyDescent="0.25">
      <c r="A551" s="22" t="s">
        <v>7732</v>
      </c>
      <c r="B551" s="22" t="s">
        <v>39</v>
      </c>
      <c r="C551" s="22" t="s">
        <v>5576</v>
      </c>
      <c r="D551" s="23">
        <v>-68100</v>
      </c>
      <c r="E551" s="22" t="s">
        <v>2073</v>
      </c>
      <c r="F551" s="24">
        <v>43817</v>
      </c>
      <c r="G551" s="22" t="s">
        <v>5566</v>
      </c>
      <c r="H551" s="22" t="s">
        <v>5577</v>
      </c>
      <c r="I551" s="22" t="s">
        <v>4496</v>
      </c>
      <c r="J551" s="22" t="s">
        <v>4401</v>
      </c>
      <c r="K551" s="22" t="s">
        <v>4479</v>
      </c>
      <c r="L551" s="22"/>
      <c r="M551" s="22"/>
      <c r="N551" s="22"/>
    </row>
    <row r="552" spans="1:14" x14ac:dyDescent="0.25">
      <c r="A552" s="22" t="s">
        <v>7734</v>
      </c>
      <c r="B552" s="22" t="s">
        <v>39</v>
      </c>
      <c r="C552" s="22" t="s">
        <v>5578</v>
      </c>
      <c r="D552" s="23">
        <v>-1012618</v>
      </c>
      <c r="E552" s="22" t="s">
        <v>2073</v>
      </c>
      <c r="F552" s="24">
        <v>43817</v>
      </c>
      <c r="G552" s="22" t="s">
        <v>5566</v>
      </c>
      <c r="H552" s="22" t="s">
        <v>5579</v>
      </c>
      <c r="I552" s="22" t="s">
        <v>4505</v>
      </c>
      <c r="J552" s="22" t="s">
        <v>4407</v>
      </c>
      <c r="K552" s="22" t="s">
        <v>4479</v>
      </c>
      <c r="L552" s="22"/>
      <c r="M552" s="22"/>
      <c r="N552" s="22"/>
    </row>
    <row r="553" spans="1:14" x14ac:dyDescent="0.25">
      <c r="A553" s="22" t="s">
        <v>4490</v>
      </c>
      <c r="B553" s="22" t="s">
        <v>39</v>
      </c>
      <c r="C553" s="22" t="s">
        <v>5580</v>
      </c>
      <c r="D553" s="23">
        <v>-1591656</v>
      </c>
      <c r="E553" s="22" t="s">
        <v>2073</v>
      </c>
      <c r="F553" s="24">
        <v>43817</v>
      </c>
      <c r="G553" s="22" t="s">
        <v>5566</v>
      </c>
      <c r="H553" s="22" t="s">
        <v>5581</v>
      </c>
      <c r="I553" s="22" t="s">
        <v>4491</v>
      </c>
      <c r="J553" s="22" t="s">
        <v>4407</v>
      </c>
      <c r="K553" s="22" t="s">
        <v>4479</v>
      </c>
      <c r="L553" s="22"/>
      <c r="M553" s="22"/>
      <c r="N553" s="22"/>
    </row>
    <row r="554" spans="1:14" x14ac:dyDescent="0.25">
      <c r="A554" s="22" t="s">
        <v>5583</v>
      </c>
      <c r="B554" s="22" t="s">
        <v>39</v>
      </c>
      <c r="C554" s="22" t="s">
        <v>5582</v>
      </c>
      <c r="D554" s="23">
        <v>421500</v>
      </c>
      <c r="E554" s="22" t="s">
        <v>45</v>
      </c>
      <c r="F554" s="24">
        <v>43987</v>
      </c>
      <c r="G554" s="22" t="s">
        <v>5584</v>
      </c>
      <c r="H554" s="22" t="s">
        <v>2103</v>
      </c>
      <c r="I554" s="22" t="s">
        <v>5584</v>
      </c>
      <c r="J554" s="22" t="s">
        <v>4466</v>
      </c>
      <c r="K554" s="22" t="s">
        <v>2103</v>
      </c>
      <c r="L554" s="22"/>
      <c r="M554" s="22"/>
      <c r="N554" s="22"/>
    </row>
    <row r="555" spans="1:14" x14ac:dyDescent="0.25">
      <c r="A555" s="22" t="s">
        <v>5583</v>
      </c>
      <c r="B555" s="22" t="s">
        <v>39</v>
      </c>
      <c r="C555" s="22" t="s">
        <v>5582</v>
      </c>
      <c r="D555" s="23">
        <v>-428300</v>
      </c>
      <c r="E555" s="22" t="s">
        <v>45</v>
      </c>
      <c r="F555" s="24">
        <v>43987</v>
      </c>
      <c r="G555" s="22" t="s">
        <v>5584</v>
      </c>
      <c r="H555" s="22" t="s">
        <v>2103</v>
      </c>
      <c r="I555" s="22" t="s">
        <v>5584</v>
      </c>
      <c r="J555" s="22" t="s">
        <v>4401</v>
      </c>
      <c r="K555" s="22" t="s">
        <v>2103</v>
      </c>
      <c r="L555" s="22"/>
      <c r="M555" s="22"/>
      <c r="N555" s="22"/>
    </row>
    <row r="556" spans="1:14" x14ac:dyDescent="0.25">
      <c r="A556" s="22" t="s">
        <v>5586</v>
      </c>
      <c r="B556" s="22" t="s">
        <v>39</v>
      </c>
      <c r="C556" s="22" t="s">
        <v>5585</v>
      </c>
      <c r="D556" s="23">
        <v>-399678</v>
      </c>
      <c r="E556" s="22" t="s">
        <v>57</v>
      </c>
      <c r="F556" s="24">
        <v>43916</v>
      </c>
      <c r="G556" s="22" t="s">
        <v>5584</v>
      </c>
      <c r="H556" s="22" t="s">
        <v>5587</v>
      </c>
      <c r="I556" s="22" t="s">
        <v>5588</v>
      </c>
      <c r="J556" s="22" t="s">
        <v>4401</v>
      </c>
      <c r="K556" s="22" t="s">
        <v>4489</v>
      </c>
      <c r="L556" s="22"/>
      <c r="M556" s="22"/>
      <c r="N556" s="22"/>
    </row>
    <row r="557" spans="1:14" x14ac:dyDescent="0.25">
      <c r="A557" s="22" t="s">
        <v>5590</v>
      </c>
      <c r="B557" s="22" t="s">
        <v>39</v>
      </c>
      <c r="C557" s="22" t="s">
        <v>5589</v>
      </c>
      <c r="D557" s="23">
        <v>-31700</v>
      </c>
      <c r="E557" s="22" t="s">
        <v>57</v>
      </c>
      <c r="F557" s="24">
        <v>43909</v>
      </c>
      <c r="G557" s="22" t="s">
        <v>5584</v>
      </c>
      <c r="H557" s="22" t="s">
        <v>5591</v>
      </c>
      <c r="I557" s="22" t="s">
        <v>5592</v>
      </c>
      <c r="J557" s="22" t="s">
        <v>4466</v>
      </c>
      <c r="K557" s="22" t="s">
        <v>4489</v>
      </c>
      <c r="L557" s="22"/>
      <c r="M557" s="22"/>
      <c r="N557" s="22"/>
    </row>
    <row r="558" spans="1:14" x14ac:dyDescent="0.25">
      <c r="A558" s="22" t="s">
        <v>5594</v>
      </c>
      <c r="B558" s="22" t="s">
        <v>39</v>
      </c>
      <c r="C558" s="22" t="s">
        <v>5593</v>
      </c>
      <c r="D558" s="23">
        <v>-122615</v>
      </c>
      <c r="E558" s="22" t="s">
        <v>57</v>
      </c>
      <c r="F558" s="24">
        <v>43945</v>
      </c>
      <c r="G558" s="22" t="s">
        <v>5584</v>
      </c>
      <c r="H558" s="22" t="s">
        <v>5595</v>
      </c>
      <c r="I558" s="22" t="s">
        <v>5596</v>
      </c>
      <c r="J558" s="22" t="s">
        <v>4401</v>
      </c>
      <c r="K558" s="22" t="s">
        <v>4489</v>
      </c>
      <c r="L558" s="22"/>
      <c r="M558" s="22"/>
      <c r="N558" s="22"/>
    </row>
    <row r="559" spans="1:14" x14ac:dyDescent="0.25">
      <c r="A559" s="22" t="s">
        <v>5598</v>
      </c>
      <c r="B559" s="22" t="s">
        <v>39</v>
      </c>
      <c r="C559" s="22" t="s">
        <v>5597</v>
      </c>
      <c r="D559" s="23">
        <v>-389800</v>
      </c>
      <c r="E559" s="22" t="s">
        <v>57</v>
      </c>
      <c r="F559" s="24">
        <v>43929</v>
      </c>
      <c r="G559" s="22" t="s">
        <v>5584</v>
      </c>
      <c r="H559" s="22" t="s">
        <v>5591</v>
      </c>
      <c r="I559" s="22" t="s">
        <v>5599</v>
      </c>
      <c r="J559" s="22" t="s">
        <v>4466</v>
      </c>
      <c r="K559" s="22" t="s">
        <v>4489</v>
      </c>
      <c r="L559" s="22"/>
      <c r="M559" s="22"/>
      <c r="N559" s="22"/>
    </row>
    <row r="560" spans="1:14" x14ac:dyDescent="0.25">
      <c r="A560" s="22" t="s">
        <v>5583</v>
      </c>
      <c r="B560" s="22" t="s">
        <v>39</v>
      </c>
      <c r="C560" s="22" t="s">
        <v>5128</v>
      </c>
      <c r="D560" s="23">
        <v>950593</v>
      </c>
      <c r="E560" s="22" t="s">
        <v>42</v>
      </c>
      <c r="F560" s="24">
        <v>43987</v>
      </c>
      <c r="G560" s="22" t="s">
        <v>5584</v>
      </c>
      <c r="H560" s="22" t="s">
        <v>5600</v>
      </c>
      <c r="I560" s="22" t="s">
        <v>5601</v>
      </c>
      <c r="J560" s="22" t="s">
        <v>4401</v>
      </c>
      <c r="K560" s="22" t="s">
        <v>5128</v>
      </c>
      <c r="L560" s="22"/>
      <c r="M560" s="22"/>
      <c r="N560" s="22"/>
    </row>
    <row r="561" spans="1:14" x14ac:dyDescent="0.25">
      <c r="A561" s="22" t="s">
        <v>2115</v>
      </c>
      <c r="B561" s="22" t="s">
        <v>39</v>
      </c>
      <c r="C561" s="22" t="s">
        <v>5602</v>
      </c>
      <c r="D561" s="23">
        <v>-175277</v>
      </c>
      <c r="E561" s="22" t="s">
        <v>45</v>
      </c>
      <c r="F561" s="24">
        <v>44012</v>
      </c>
      <c r="G561" s="22" t="s">
        <v>5603</v>
      </c>
      <c r="H561" s="22" t="s">
        <v>5604</v>
      </c>
      <c r="I561" s="22" t="s">
        <v>5603</v>
      </c>
      <c r="J561" s="22" t="s">
        <v>4401</v>
      </c>
      <c r="K561" s="22" t="s">
        <v>5605</v>
      </c>
      <c r="L561" s="22"/>
      <c r="M561" s="22"/>
      <c r="N561" s="22"/>
    </row>
    <row r="562" spans="1:14" x14ac:dyDescent="0.25">
      <c r="A562" s="22" t="s">
        <v>2115</v>
      </c>
      <c r="B562" s="22" t="s">
        <v>39</v>
      </c>
      <c r="C562" s="22" t="s">
        <v>5602</v>
      </c>
      <c r="D562" s="23">
        <v>175277</v>
      </c>
      <c r="E562" s="22" t="s">
        <v>45</v>
      </c>
      <c r="F562" s="24">
        <v>44012</v>
      </c>
      <c r="G562" s="22" t="s">
        <v>5603</v>
      </c>
      <c r="H562" s="22" t="s">
        <v>5604</v>
      </c>
      <c r="I562" s="22" t="s">
        <v>5603</v>
      </c>
      <c r="J562" s="22" t="s">
        <v>4407</v>
      </c>
      <c r="K562" s="22" t="s">
        <v>5605</v>
      </c>
      <c r="L562" s="22"/>
      <c r="M562" s="22"/>
      <c r="N562" s="22"/>
    </row>
    <row r="563" spans="1:14" x14ac:dyDescent="0.25">
      <c r="A563" s="22" t="s">
        <v>5607</v>
      </c>
      <c r="B563" s="22" t="s">
        <v>39</v>
      </c>
      <c r="C563" s="22" t="s">
        <v>5606</v>
      </c>
      <c r="D563" s="23">
        <v>-113890</v>
      </c>
      <c r="E563" s="22" t="s">
        <v>57</v>
      </c>
      <c r="F563" s="24">
        <v>43900</v>
      </c>
      <c r="G563" s="22" t="s">
        <v>5603</v>
      </c>
      <c r="H563" s="22" t="s">
        <v>5608</v>
      </c>
      <c r="I563" s="22" t="s">
        <v>5609</v>
      </c>
      <c r="J563" s="22" t="s">
        <v>4401</v>
      </c>
      <c r="K563" s="22" t="s">
        <v>4759</v>
      </c>
      <c r="L563" s="22"/>
      <c r="M563" s="22"/>
      <c r="N563" s="22"/>
    </row>
    <row r="564" spans="1:14" x14ac:dyDescent="0.25">
      <c r="A564" s="22" t="s">
        <v>5611</v>
      </c>
      <c r="B564" s="22" t="s">
        <v>39</v>
      </c>
      <c r="C564" s="22" t="s">
        <v>5610</v>
      </c>
      <c r="D564" s="23">
        <v>-231400</v>
      </c>
      <c r="E564" s="22" t="s">
        <v>57</v>
      </c>
      <c r="F564" s="24">
        <v>43909</v>
      </c>
      <c r="G564" s="22" t="s">
        <v>5603</v>
      </c>
      <c r="H564" s="22" t="s">
        <v>5612</v>
      </c>
      <c r="I564" s="22" t="s">
        <v>5613</v>
      </c>
      <c r="J564" s="22" t="s">
        <v>4401</v>
      </c>
      <c r="K564" s="22" t="s">
        <v>4690</v>
      </c>
      <c r="L564" s="22"/>
      <c r="M564" s="22"/>
      <c r="N564" s="22"/>
    </row>
    <row r="565" spans="1:14" x14ac:dyDescent="0.25">
      <c r="A565" s="22" t="s">
        <v>5614</v>
      </c>
      <c r="B565" s="22" t="s">
        <v>39</v>
      </c>
      <c r="C565" s="22" t="s">
        <v>5135</v>
      </c>
      <c r="D565" s="23">
        <v>520567</v>
      </c>
      <c r="E565" s="22" t="s">
        <v>42</v>
      </c>
      <c r="F565" s="24">
        <v>43987</v>
      </c>
      <c r="G565" s="22" t="s">
        <v>5603</v>
      </c>
      <c r="H565" s="22" t="s">
        <v>5600</v>
      </c>
      <c r="I565" s="22" t="s">
        <v>5615</v>
      </c>
      <c r="J565" s="22" t="s">
        <v>4401</v>
      </c>
      <c r="K565" s="22" t="s">
        <v>5135</v>
      </c>
      <c r="L565" s="22"/>
      <c r="M565" s="22"/>
      <c r="N565" s="22"/>
    </row>
    <row r="566" spans="1:14" x14ac:dyDescent="0.25">
      <c r="A566" s="22" t="s">
        <v>7730</v>
      </c>
      <c r="B566" s="22" t="s">
        <v>39</v>
      </c>
      <c r="C566" s="22" t="s">
        <v>4513</v>
      </c>
      <c r="D566" s="23">
        <v>-17427</v>
      </c>
      <c r="E566" s="22" t="s">
        <v>2073</v>
      </c>
      <c r="F566" s="24">
        <v>43937</v>
      </c>
      <c r="G566" s="22" t="s">
        <v>5603</v>
      </c>
      <c r="H566" s="22" t="s">
        <v>5616</v>
      </c>
      <c r="I566" s="22" t="s">
        <v>4510</v>
      </c>
      <c r="J566" s="22" t="s">
        <v>4407</v>
      </c>
      <c r="K566" s="22" t="s">
        <v>4512</v>
      </c>
      <c r="L566" s="22"/>
      <c r="M566" s="22"/>
      <c r="N566" s="22"/>
    </row>
    <row r="567" spans="1:14" x14ac:dyDescent="0.25">
      <c r="A567" s="22" t="s">
        <v>7733</v>
      </c>
      <c r="B567" s="22" t="s">
        <v>39</v>
      </c>
      <c r="C567" s="22" t="s">
        <v>5617</v>
      </c>
      <c r="D567" s="23">
        <v>-157850</v>
      </c>
      <c r="E567" s="22" t="s">
        <v>2073</v>
      </c>
      <c r="F567" s="24">
        <v>43817</v>
      </c>
      <c r="G567" s="22" t="s">
        <v>5603</v>
      </c>
      <c r="H567" s="22" t="s">
        <v>5618</v>
      </c>
      <c r="I567" s="22" t="s">
        <v>4501</v>
      </c>
      <c r="J567" s="22" t="s">
        <v>4407</v>
      </c>
      <c r="K567" s="22" t="s">
        <v>4479</v>
      </c>
      <c r="L567" s="22"/>
      <c r="M567" s="22"/>
      <c r="N567" s="22"/>
    </row>
    <row r="568" spans="1:14" x14ac:dyDescent="0.25">
      <c r="A568" s="22" t="s">
        <v>5619</v>
      </c>
      <c r="B568" s="22" t="s">
        <v>39</v>
      </c>
      <c r="C568" s="22" t="s">
        <v>5135</v>
      </c>
      <c r="D568" s="23">
        <v>45900</v>
      </c>
      <c r="E568" s="22" t="s">
        <v>42</v>
      </c>
      <c r="F568" s="24">
        <v>44019</v>
      </c>
      <c r="G568" s="22" t="s">
        <v>5620</v>
      </c>
      <c r="H568" s="22" t="s">
        <v>5600</v>
      </c>
      <c r="I568" s="22" t="s">
        <v>5621</v>
      </c>
      <c r="J568" s="22" t="s">
        <v>4401</v>
      </c>
      <c r="K568" s="22" t="s">
        <v>5135</v>
      </c>
      <c r="L568" s="22"/>
      <c r="M568" s="22"/>
      <c r="N568" s="22"/>
    </row>
    <row r="569" spans="1:14" x14ac:dyDescent="0.25">
      <c r="A569" s="22" t="s">
        <v>5619</v>
      </c>
      <c r="B569" s="22" t="s">
        <v>39</v>
      </c>
      <c r="C569" s="22" t="s">
        <v>5135</v>
      </c>
      <c r="D569" s="23">
        <v>-45900</v>
      </c>
      <c r="E569" s="22" t="s">
        <v>5622</v>
      </c>
      <c r="F569" s="24">
        <v>44019</v>
      </c>
      <c r="G569" s="22" t="s">
        <v>5620</v>
      </c>
      <c r="H569" s="22" t="s">
        <v>5600</v>
      </c>
      <c r="I569" s="22" t="s">
        <v>5620</v>
      </c>
      <c r="J569" s="22" t="s">
        <v>4401</v>
      </c>
      <c r="K569" s="22" t="s">
        <v>5135</v>
      </c>
      <c r="L569" s="22"/>
      <c r="M569" s="22"/>
      <c r="N569" s="22"/>
    </row>
    <row r="570" spans="1:14" x14ac:dyDescent="0.25">
      <c r="A570" s="22" t="s">
        <v>5623</v>
      </c>
      <c r="B570" s="22" t="s">
        <v>39</v>
      </c>
      <c r="C570" s="22" t="s">
        <v>5101</v>
      </c>
      <c r="D570" s="23">
        <v>479722</v>
      </c>
      <c r="E570" s="22" t="s">
        <v>42</v>
      </c>
      <c r="F570" s="24">
        <v>44019</v>
      </c>
      <c r="G570" s="22" t="s">
        <v>5624</v>
      </c>
      <c r="H570" s="22" t="s">
        <v>5600</v>
      </c>
      <c r="I570" s="22" t="s">
        <v>5625</v>
      </c>
      <c r="J570" s="22" t="s">
        <v>4401</v>
      </c>
      <c r="K570" s="22" t="s">
        <v>5101</v>
      </c>
      <c r="L570" s="22"/>
      <c r="M570" s="22"/>
      <c r="N570" s="22"/>
    </row>
    <row r="571" spans="1:14" x14ac:dyDescent="0.25">
      <c r="A571" s="22" t="s">
        <v>5623</v>
      </c>
      <c r="B571" s="22" t="s">
        <v>39</v>
      </c>
      <c r="C571" s="22" t="s">
        <v>5101</v>
      </c>
      <c r="D571" s="23">
        <v>-479722</v>
      </c>
      <c r="E571" s="22" t="s">
        <v>5622</v>
      </c>
      <c r="F571" s="24">
        <v>44019</v>
      </c>
      <c r="G571" s="22" t="s">
        <v>5624</v>
      </c>
      <c r="H571" s="22" t="s">
        <v>5600</v>
      </c>
      <c r="I571" s="22" t="s">
        <v>5624</v>
      </c>
      <c r="J571" s="22" t="s">
        <v>4401</v>
      </c>
      <c r="K571" s="22" t="s">
        <v>5101</v>
      </c>
      <c r="L571" s="22"/>
      <c r="M571" s="22"/>
      <c r="N571" s="22"/>
    </row>
    <row r="572" spans="1:14" x14ac:dyDescent="0.25">
      <c r="A572" s="22" t="s">
        <v>5626</v>
      </c>
      <c r="B572" s="22" t="s">
        <v>39</v>
      </c>
      <c r="C572" s="22" t="s">
        <v>5054</v>
      </c>
      <c r="D572" s="23">
        <v>454050</v>
      </c>
      <c r="E572" s="22" t="s">
        <v>42</v>
      </c>
      <c r="F572" s="24">
        <v>44019</v>
      </c>
      <c r="G572" s="22" t="s">
        <v>5627</v>
      </c>
      <c r="H572" s="22" t="s">
        <v>5600</v>
      </c>
      <c r="I572" s="22" t="s">
        <v>5628</v>
      </c>
      <c r="J572" s="22" t="s">
        <v>4401</v>
      </c>
      <c r="K572" s="22" t="s">
        <v>5054</v>
      </c>
      <c r="L572" s="22"/>
      <c r="M572" s="22"/>
      <c r="N572" s="22"/>
    </row>
    <row r="573" spans="1:14" x14ac:dyDescent="0.25">
      <c r="A573" s="22" t="s">
        <v>5626</v>
      </c>
      <c r="B573" s="22" t="s">
        <v>39</v>
      </c>
      <c r="C573" s="22" t="s">
        <v>5054</v>
      </c>
      <c r="D573" s="23">
        <v>-454050</v>
      </c>
      <c r="E573" s="22" t="s">
        <v>5622</v>
      </c>
      <c r="F573" s="24">
        <v>44019</v>
      </c>
      <c r="G573" s="22" t="s">
        <v>5627</v>
      </c>
      <c r="H573" s="22" t="s">
        <v>5600</v>
      </c>
      <c r="I573" s="22" t="s">
        <v>5627</v>
      </c>
      <c r="J573" s="22" t="s">
        <v>4401</v>
      </c>
      <c r="K573" s="22" t="s">
        <v>5054</v>
      </c>
      <c r="L573" s="22"/>
      <c r="M573" s="22"/>
      <c r="N573" s="22"/>
    </row>
    <row r="574" spans="1:14" x14ac:dyDescent="0.25">
      <c r="A574" s="22" t="s">
        <v>5629</v>
      </c>
      <c r="B574" s="22" t="s">
        <v>39</v>
      </c>
      <c r="C574" s="22" t="s">
        <v>5128</v>
      </c>
      <c r="D574" s="23">
        <v>599412</v>
      </c>
      <c r="E574" s="22" t="s">
        <v>42</v>
      </c>
      <c r="F574" s="24">
        <v>44019</v>
      </c>
      <c r="G574" s="22" t="s">
        <v>5630</v>
      </c>
      <c r="H574" s="22" t="s">
        <v>5600</v>
      </c>
      <c r="I574" s="22" t="s">
        <v>5631</v>
      </c>
      <c r="J574" s="22" t="s">
        <v>4401</v>
      </c>
      <c r="K574" s="22" t="s">
        <v>5128</v>
      </c>
      <c r="L574" s="22"/>
      <c r="M574" s="22"/>
      <c r="N574" s="22"/>
    </row>
    <row r="575" spans="1:14" x14ac:dyDescent="0.25">
      <c r="A575" s="22" t="s">
        <v>5629</v>
      </c>
      <c r="B575" s="22" t="s">
        <v>39</v>
      </c>
      <c r="C575" s="22" t="s">
        <v>5128</v>
      </c>
      <c r="D575" s="23">
        <v>-599412</v>
      </c>
      <c r="E575" s="22" t="s">
        <v>5622</v>
      </c>
      <c r="F575" s="24">
        <v>44019</v>
      </c>
      <c r="G575" s="22" t="s">
        <v>5630</v>
      </c>
      <c r="H575" s="22" t="s">
        <v>5600</v>
      </c>
      <c r="I575" s="22" t="s">
        <v>5630</v>
      </c>
      <c r="J575" s="22" t="s">
        <v>4401</v>
      </c>
      <c r="K575" s="22" t="s">
        <v>5128</v>
      </c>
      <c r="L575" s="22"/>
      <c r="M575" s="22"/>
      <c r="N575" s="22"/>
    </row>
    <row r="576" spans="1:14" x14ac:dyDescent="0.25">
      <c r="A576" s="22" t="s">
        <v>5632</v>
      </c>
      <c r="B576" s="22" t="s">
        <v>39</v>
      </c>
      <c r="C576" s="22" t="s">
        <v>5351</v>
      </c>
      <c r="D576" s="23">
        <v>164307</v>
      </c>
      <c r="E576" s="22" t="s">
        <v>42</v>
      </c>
      <c r="F576" s="24">
        <v>44019</v>
      </c>
      <c r="G576" s="22" t="s">
        <v>5633</v>
      </c>
      <c r="H576" s="22" t="s">
        <v>5600</v>
      </c>
      <c r="I576" s="22" t="s">
        <v>5634</v>
      </c>
      <c r="J576" s="22" t="s">
        <v>4401</v>
      </c>
      <c r="K576" s="22" t="s">
        <v>5351</v>
      </c>
      <c r="L576" s="22"/>
      <c r="M576" s="22"/>
      <c r="N576" s="22"/>
    </row>
    <row r="577" spans="1:14" x14ac:dyDescent="0.25">
      <c r="A577" s="22" t="s">
        <v>5632</v>
      </c>
      <c r="B577" s="22" t="s">
        <v>39</v>
      </c>
      <c r="C577" s="22" t="s">
        <v>5351</v>
      </c>
      <c r="D577" s="23">
        <v>-164307</v>
      </c>
      <c r="E577" s="22" t="s">
        <v>5622</v>
      </c>
      <c r="F577" s="24">
        <v>44019</v>
      </c>
      <c r="G577" s="22" t="s">
        <v>5633</v>
      </c>
      <c r="H577" s="22" t="s">
        <v>5600</v>
      </c>
      <c r="I577" s="22" t="s">
        <v>5633</v>
      </c>
      <c r="J577" s="22" t="s">
        <v>4401</v>
      </c>
      <c r="K577" s="22" t="s">
        <v>5351</v>
      </c>
      <c r="L577" s="22"/>
      <c r="M577" s="22"/>
      <c r="N577" s="22"/>
    </row>
    <row r="578" spans="1:14" x14ac:dyDescent="0.25">
      <c r="A578" s="22" t="s">
        <v>5635</v>
      </c>
      <c r="B578" s="22" t="s">
        <v>39</v>
      </c>
      <c r="C578" s="22" t="s">
        <v>5296</v>
      </c>
      <c r="D578" s="23">
        <v>595684</v>
      </c>
      <c r="E578" s="22" t="s">
        <v>42</v>
      </c>
      <c r="F578" s="24">
        <v>44019</v>
      </c>
      <c r="G578" s="22" t="s">
        <v>5636</v>
      </c>
      <c r="H578" s="22" t="s">
        <v>5600</v>
      </c>
      <c r="I578" s="22" t="s">
        <v>5637</v>
      </c>
      <c r="J578" s="22" t="s">
        <v>4401</v>
      </c>
      <c r="K578" s="22" t="s">
        <v>5296</v>
      </c>
      <c r="L578" s="22"/>
      <c r="M578" s="22"/>
      <c r="N578" s="22"/>
    </row>
    <row r="579" spans="1:14" x14ac:dyDescent="0.25">
      <c r="A579" s="22" t="s">
        <v>5635</v>
      </c>
      <c r="B579" s="22" t="s">
        <v>39</v>
      </c>
      <c r="C579" s="22" t="s">
        <v>5296</v>
      </c>
      <c r="D579" s="23">
        <v>-595684</v>
      </c>
      <c r="E579" s="22" t="s">
        <v>5622</v>
      </c>
      <c r="F579" s="24">
        <v>44019</v>
      </c>
      <c r="G579" s="22" t="s">
        <v>5636</v>
      </c>
      <c r="H579" s="22" t="s">
        <v>5600</v>
      </c>
      <c r="I579" s="22" t="s">
        <v>5636</v>
      </c>
      <c r="J579" s="22" t="s">
        <v>4401</v>
      </c>
      <c r="K579" s="22" t="s">
        <v>5296</v>
      </c>
      <c r="L579" s="22"/>
      <c r="M579" s="22"/>
      <c r="N579" s="22"/>
    </row>
    <row r="580" spans="1:14" x14ac:dyDescent="0.25">
      <c r="A580" s="22" t="s">
        <v>5638</v>
      </c>
      <c r="B580" s="22" t="s">
        <v>39</v>
      </c>
      <c r="C580" s="22" t="s">
        <v>4916</v>
      </c>
      <c r="D580" s="23">
        <v>576727</v>
      </c>
      <c r="E580" s="22" t="s">
        <v>42</v>
      </c>
      <c r="F580" s="24">
        <v>44019</v>
      </c>
      <c r="G580" s="22" t="s">
        <v>5639</v>
      </c>
      <c r="H580" s="22" t="s">
        <v>5600</v>
      </c>
      <c r="I580" s="22" t="s">
        <v>5640</v>
      </c>
      <c r="J580" s="22" t="s">
        <v>4401</v>
      </c>
      <c r="K580" s="22" t="s">
        <v>4916</v>
      </c>
      <c r="L580" s="22"/>
      <c r="M580" s="22"/>
      <c r="N580" s="22"/>
    </row>
    <row r="581" spans="1:14" x14ac:dyDescent="0.25">
      <c r="A581" s="22" t="s">
        <v>5638</v>
      </c>
      <c r="B581" s="22" t="s">
        <v>39</v>
      </c>
      <c r="C581" s="22" t="s">
        <v>4916</v>
      </c>
      <c r="D581" s="23">
        <v>-576727</v>
      </c>
      <c r="E581" s="22" t="s">
        <v>5622</v>
      </c>
      <c r="F581" s="24">
        <v>44019</v>
      </c>
      <c r="G581" s="22" t="s">
        <v>5639</v>
      </c>
      <c r="H581" s="22" t="s">
        <v>5600</v>
      </c>
      <c r="I581" s="22" t="s">
        <v>5639</v>
      </c>
      <c r="J581" s="22" t="s">
        <v>4401</v>
      </c>
      <c r="K581" s="22" t="s">
        <v>4916</v>
      </c>
      <c r="L581" s="22"/>
      <c r="M581" s="22"/>
      <c r="N581" s="22"/>
    </row>
    <row r="582" spans="1:14" x14ac:dyDescent="0.25">
      <c r="A582" s="22" t="s">
        <v>5641</v>
      </c>
      <c r="B582" s="22" t="s">
        <v>39</v>
      </c>
      <c r="C582" s="22" t="s">
        <v>5119</v>
      </c>
      <c r="D582" s="23">
        <v>1019317</v>
      </c>
      <c r="E582" s="22" t="s">
        <v>42</v>
      </c>
      <c r="F582" s="24">
        <v>44019</v>
      </c>
      <c r="G582" s="22" t="s">
        <v>5642</v>
      </c>
      <c r="H582" s="22" t="s">
        <v>5600</v>
      </c>
      <c r="I582" s="22" t="s">
        <v>5643</v>
      </c>
      <c r="J582" s="22" t="s">
        <v>4401</v>
      </c>
      <c r="K582" s="22" t="s">
        <v>5119</v>
      </c>
      <c r="L582" s="22"/>
      <c r="M582" s="22"/>
      <c r="N582" s="22"/>
    </row>
    <row r="583" spans="1:14" x14ac:dyDescent="0.25">
      <c r="A583" s="22" t="s">
        <v>5641</v>
      </c>
      <c r="B583" s="22" t="s">
        <v>39</v>
      </c>
      <c r="C583" s="22" t="s">
        <v>5119</v>
      </c>
      <c r="D583" s="23">
        <v>-1019317</v>
      </c>
      <c r="E583" s="22" t="s">
        <v>5622</v>
      </c>
      <c r="F583" s="24">
        <v>44019</v>
      </c>
      <c r="G583" s="22" t="s">
        <v>5642</v>
      </c>
      <c r="H583" s="22" t="s">
        <v>5600</v>
      </c>
      <c r="I583" s="22" t="s">
        <v>5642</v>
      </c>
      <c r="J583" s="22" t="s">
        <v>4401</v>
      </c>
      <c r="K583" s="22" t="s">
        <v>5119</v>
      </c>
      <c r="L583" s="22"/>
      <c r="M583" s="22"/>
      <c r="N583" s="22"/>
    </row>
    <row r="584" spans="1:14" x14ac:dyDescent="0.25">
      <c r="A584" s="22" t="s">
        <v>5644</v>
      </c>
      <c r="B584" s="22" t="s">
        <v>39</v>
      </c>
      <c r="C584" s="22" t="s">
        <v>5081</v>
      </c>
      <c r="D584" s="23">
        <v>266664</v>
      </c>
      <c r="E584" s="22" t="s">
        <v>42</v>
      </c>
      <c r="F584" s="24">
        <v>44019</v>
      </c>
      <c r="G584" s="22" t="s">
        <v>5645</v>
      </c>
      <c r="H584" s="22" t="s">
        <v>5600</v>
      </c>
      <c r="I584" s="22" t="s">
        <v>5646</v>
      </c>
      <c r="J584" s="22" t="s">
        <v>4401</v>
      </c>
      <c r="K584" s="22" t="s">
        <v>5081</v>
      </c>
      <c r="L584" s="22"/>
      <c r="M584" s="22"/>
      <c r="N584" s="22"/>
    </row>
    <row r="585" spans="1:14" x14ac:dyDescent="0.25">
      <c r="A585" s="22" t="s">
        <v>5644</v>
      </c>
      <c r="B585" s="22" t="s">
        <v>39</v>
      </c>
      <c r="C585" s="22" t="s">
        <v>5081</v>
      </c>
      <c r="D585" s="23">
        <v>-266664</v>
      </c>
      <c r="E585" s="22" t="s">
        <v>5622</v>
      </c>
      <c r="F585" s="24">
        <v>44019</v>
      </c>
      <c r="G585" s="22" t="s">
        <v>5645</v>
      </c>
      <c r="H585" s="22" t="s">
        <v>5600</v>
      </c>
      <c r="I585" s="22" t="s">
        <v>5645</v>
      </c>
      <c r="J585" s="22" t="s">
        <v>4401</v>
      </c>
      <c r="K585" s="22" t="s">
        <v>5081</v>
      </c>
      <c r="L585" s="22"/>
      <c r="M585" s="22"/>
      <c r="N585" s="22"/>
    </row>
    <row r="586" spans="1:14" x14ac:dyDescent="0.25">
      <c r="A586" s="22" t="s">
        <v>5607</v>
      </c>
      <c r="B586" s="22" t="s">
        <v>39</v>
      </c>
      <c r="C586" s="22" t="s">
        <v>5647</v>
      </c>
      <c r="D586" s="23">
        <v>-49710</v>
      </c>
      <c r="E586" s="22" t="s">
        <v>57</v>
      </c>
      <c r="F586" s="24">
        <v>43900</v>
      </c>
      <c r="G586" s="22" t="s">
        <v>5648</v>
      </c>
      <c r="H586" s="22" t="s">
        <v>5649</v>
      </c>
      <c r="I586" s="22" t="s">
        <v>5609</v>
      </c>
      <c r="J586" s="22" t="s">
        <v>4401</v>
      </c>
      <c r="K586" s="22" t="s">
        <v>4759</v>
      </c>
      <c r="L586" s="22"/>
      <c r="M586" s="22"/>
      <c r="N586" s="22"/>
    </row>
    <row r="587" spans="1:14" x14ac:dyDescent="0.25">
      <c r="A587" s="22" t="s">
        <v>5650</v>
      </c>
      <c r="B587" s="22" t="s">
        <v>39</v>
      </c>
      <c r="C587" s="22" t="s">
        <v>5606</v>
      </c>
      <c r="D587" s="23">
        <v>-111200</v>
      </c>
      <c r="E587" s="22" t="s">
        <v>57</v>
      </c>
      <c r="F587" s="24">
        <v>43902</v>
      </c>
      <c r="G587" s="22" t="s">
        <v>5648</v>
      </c>
      <c r="H587" s="22" t="s">
        <v>5651</v>
      </c>
      <c r="I587" s="22" t="s">
        <v>5652</v>
      </c>
      <c r="J587" s="22" t="s">
        <v>4401</v>
      </c>
      <c r="K587" s="22" t="s">
        <v>4759</v>
      </c>
      <c r="L587" s="22"/>
      <c r="M587" s="22"/>
      <c r="N587" s="22"/>
    </row>
    <row r="588" spans="1:14" x14ac:dyDescent="0.25">
      <c r="A588" s="22" t="s">
        <v>5653</v>
      </c>
      <c r="B588" s="22" t="s">
        <v>39</v>
      </c>
      <c r="C588" s="22" t="s">
        <v>4687</v>
      </c>
      <c r="D588" s="23">
        <v>-113890</v>
      </c>
      <c r="E588" s="22" t="s">
        <v>57</v>
      </c>
      <c r="F588" s="24">
        <v>43943</v>
      </c>
      <c r="G588" s="22" t="s">
        <v>5648</v>
      </c>
      <c r="H588" s="22" t="s">
        <v>5654</v>
      </c>
      <c r="I588" s="22" t="s">
        <v>5655</v>
      </c>
      <c r="J588" s="22" t="s">
        <v>4401</v>
      </c>
      <c r="K588" s="22" t="s">
        <v>4690</v>
      </c>
      <c r="L588" s="22"/>
      <c r="M588" s="22"/>
      <c r="N588" s="22"/>
    </row>
    <row r="589" spans="1:14" x14ac:dyDescent="0.25">
      <c r="A589" s="22" t="s">
        <v>5657</v>
      </c>
      <c r="B589" s="22" t="s">
        <v>39</v>
      </c>
      <c r="C589" s="22" t="s">
        <v>5656</v>
      </c>
      <c r="D589" s="23">
        <v>-62203</v>
      </c>
      <c r="E589" s="22" t="s">
        <v>57</v>
      </c>
      <c r="F589" s="24">
        <v>43937</v>
      </c>
      <c r="G589" s="22" t="s">
        <v>5648</v>
      </c>
      <c r="H589" s="22" t="s">
        <v>5658</v>
      </c>
      <c r="I589" s="22" t="s">
        <v>5659</v>
      </c>
      <c r="J589" s="22" t="s">
        <v>4466</v>
      </c>
      <c r="K589" s="22" t="s">
        <v>4424</v>
      </c>
      <c r="L589" s="22"/>
      <c r="M589" s="22"/>
      <c r="N589" s="22"/>
    </row>
    <row r="590" spans="1:14" x14ac:dyDescent="0.25">
      <c r="A590" s="22" t="s">
        <v>5660</v>
      </c>
      <c r="B590" s="22" t="s">
        <v>39</v>
      </c>
      <c r="C590" s="22" t="s">
        <v>5101</v>
      </c>
      <c r="D590" s="23">
        <v>337003</v>
      </c>
      <c r="E590" s="22" t="s">
        <v>42</v>
      </c>
      <c r="F590" s="24">
        <v>43987</v>
      </c>
      <c r="G590" s="22" t="s">
        <v>5648</v>
      </c>
      <c r="H590" s="22" t="s">
        <v>5600</v>
      </c>
      <c r="I590" s="22" t="s">
        <v>5661</v>
      </c>
      <c r="J590" s="22" t="s">
        <v>4401</v>
      </c>
      <c r="K590" s="22" t="s">
        <v>5101</v>
      </c>
      <c r="L590" s="22"/>
      <c r="M590" s="22"/>
      <c r="N590" s="22"/>
    </row>
    <row r="591" spans="1:14" x14ac:dyDescent="0.25">
      <c r="A591" s="22" t="s">
        <v>2103</v>
      </c>
      <c r="B591" s="22" t="s">
        <v>39</v>
      </c>
      <c r="C591" s="22" t="s">
        <v>5101</v>
      </c>
      <c r="D591" s="23">
        <v>62203</v>
      </c>
      <c r="E591" s="22" t="s">
        <v>45</v>
      </c>
      <c r="F591" s="24">
        <v>43987</v>
      </c>
      <c r="G591" s="22" t="s">
        <v>5648</v>
      </c>
      <c r="H591" s="22" t="s">
        <v>5662</v>
      </c>
      <c r="I591" s="22" t="s">
        <v>5648</v>
      </c>
      <c r="J591" s="22" t="s">
        <v>4466</v>
      </c>
      <c r="K591" s="22" t="s">
        <v>5663</v>
      </c>
      <c r="L591" s="22"/>
      <c r="M591" s="22"/>
      <c r="N591" s="22"/>
    </row>
    <row r="592" spans="1:14" x14ac:dyDescent="0.25">
      <c r="A592" s="22" t="s">
        <v>2103</v>
      </c>
      <c r="B592" s="22" t="s">
        <v>39</v>
      </c>
      <c r="C592" s="22" t="s">
        <v>5101</v>
      </c>
      <c r="D592" s="23">
        <v>-62203</v>
      </c>
      <c r="E592" s="22" t="s">
        <v>45</v>
      </c>
      <c r="F592" s="24">
        <v>43987</v>
      </c>
      <c r="G592" s="22" t="s">
        <v>5648</v>
      </c>
      <c r="H592" s="22" t="s">
        <v>5662</v>
      </c>
      <c r="I592" s="22" t="s">
        <v>5648</v>
      </c>
      <c r="J592" s="22" t="s">
        <v>4401</v>
      </c>
      <c r="K592" s="22" t="s">
        <v>5663</v>
      </c>
      <c r="L592" s="22"/>
      <c r="M592" s="22"/>
      <c r="N592" s="22"/>
    </row>
    <row r="593" spans="1:14" x14ac:dyDescent="0.25">
      <c r="A593" s="22" t="s">
        <v>5664</v>
      </c>
      <c r="B593" s="22" t="s">
        <v>39</v>
      </c>
      <c r="C593" s="22" t="s">
        <v>4515</v>
      </c>
      <c r="D593" s="23">
        <v>354859</v>
      </c>
      <c r="E593" s="22" t="s">
        <v>45</v>
      </c>
      <c r="F593" s="24">
        <v>43987</v>
      </c>
      <c r="G593" s="22" t="s">
        <v>5665</v>
      </c>
      <c r="H593" s="22" t="s">
        <v>2103</v>
      </c>
      <c r="I593" s="22" t="s">
        <v>5665</v>
      </c>
      <c r="J593" s="22" t="s">
        <v>4552</v>
      </c>
      <c r="K593" s="22" t="s">
        <v>2103</v>
      </c>
      <c r="L593" s="22"/>
      <c r="M593" s="22"/>
      <c r="N593" s="22"/>
    </row>
    <row r="594" spans="1:14" x14ac:dyDescent="0.25">
      <c r="A594" s="22" t="s">
        <v>5664</v>
      </c>
      <c r="B594" s="22" t="s">
        <v>39</v>
      </c>
      <c r="C594" s="22" t="s">
        <v>4515</v>
      </c>
      <c r="D594" s="23">
        <v>-365659</v>
      </c>
      <c r="E594" s="22" t="s">
        <v>45</v>
      </c>
      <c r="F594" s="24">
        <v>43987</v>
      </c>
      <c r="G594" s="22" t="s">
        <v>5665</v>
      </c>
      <c r="H594" s="22" t="s">
        <v>2103</v>
      </c>
      <c r="I594" s="22" t="s">
        <v>5665</v>
      </c>
      <c r="J594" s="22" t="s">
        <v>4401</v>
      </c>
      <c r="K594" s="22" t="s">
        <v>2103</v>
      </c>
      <c r="L594" s="22"/>
      <c r="M594" s="22"/>
      <c r="N594" s="22"/>
    </row>
    <row r="595" spans="1:14" x14ac:dyDescent="0.25">
      <c r="A595" s="22" t="s">
        <v>5664</v>
      </c>
      <c r="B595" s="22" t="s">
        <v>39</v>
      </c>
      <c r="C595" s="22" t="s">
        <v>4515</v>
      </c>
      <c r="D595" s="23">
        <v>10800</v>
      </c>
      <c r="E595" s="22" t="s">
        <v>45</v>
      </c>
      <c r="F595" s="24">
        <v>43987</v>
      </c>
      <c r="G595" s="22" t="s">
        <v>5665</v>
      </c>
      <c r="H595" s="22" t="s">
        <v>2103</v>
      </c>
      <c r="I595" s="22" t="s">
        <v>5665</v>
      </c>
      <c r="J595" s="22" t="s">
        <v>4407</v>
      </c>
      <c r="K595" s="22" t="s">
        <v>2103</v>
      </c>
      <c r="L595" s="22"/>
      <c r="M595" s="22"/>
      <c r="N595" s="22"/>
    </row>
    <row r="596" spans="1:14" x14ac:dyDescent="0.25">
      <c r="A596" s="22" t="s">
        <v>4524</v>
      </c>
      <c r="B596" s="22" t="s">
        <v>39</v>
      </c>
      <c r="C596" s="22" t="s">
        <v>4528</v>
      </c>
      <c r="D596" s="23">
        <v>-10800</v>
      </c>
      <c r="E596" s="22" t="s">
        <v>57</v>
      </c>
      <c r="F596" s="24">
        <v>43908</v>
      </c>
      <c r="G596" s="22" t="s">
        <v>5665</v>
      </c>
      <c r="H596" s="22" t="s">
        <v>740</v>
      </c>
      <c r="I596" s="22" t="s">
        <v>4530</v>
      </c>
      <c r="J596" s="22" t="s">
        <v>4407</v>
      </c>
      <c r="K596" s="22" t="s">
        <v>4531</v>
      </c>
      <c r="L596" s="22"/>
      <c r="M596" s="22"/>
      <c r="N596" s="22"/>
    </row>
    <row r="597" spans="1:14" x14ac:dyDescent="0.25">
      <c r="A597" s="22" t="s">
        <v>5667</v>
      </c>
      <c r="B597" s="22" t="s">
        <v>39</v>
      </c>
      <c r="C597" s="22" t="s">
        <v>5666</v>
      </c>
      <c r="D597" s="23">
        <v>-77800</v>
      </c>
      <c r="E597" s="22" t="s">
        <v>57</v>
      </c>
      <c r="F597" s="24">
        <v>43899</v>
      </c>
      <c r="G597" s="22" t="s">
        <v>5665</v>
      </c>
      <c r="H597" s="22" t="s">
        <v>836</v>
      </c>
      <c r="I597" s="22" t="s">
        <v>5668</v>
      </c>
      <c r="J597" s="22" t="s">
        <v>4552</v>
      </c>
      <c r="K597" s="22" t="s">
        <v>5669</v>
      </c>
      <c r="L597" s="22"/>
      <c r="M597" s="22"/>
      <c r="N597" s="22"/>
    </row>
    <row r="598" spans="1:14" x14ac:dyDescent="0.25">
      <c r="A598" s="22" t="s">
        <v>5670</v>
      </c>
      <c r="B598" s="22" t="s">
        <v>39</v>
      </c>
      <c r="C598" s="22" t="s">
        <v>5666</v>
      </c>
      <c r="D598" s="23">
        <v>-47300</v>
      </c>
      <c r="E598" s="22" t="s">
        <v>57</v>
      </c>
      <c r="F598" s="24">
        <v>43907</v>
      </c>
      <c r="G598" s="22" t="s">
        <v>5665</v>
      </c>
      <c r="H598" s="22" t="s">
        <v>5671</v>
      </c>
      <c r="I598" s="22" t="s">
        <v>5672</v>
      </c>
      <c r="J598" s="22" t="s">
        <v>4552</v>
      </c>
      <c r="K598" s="22" t="s">
        <v>5669</v>
      </c>
      <c r="L598" s="22"/>
      <c r="M598" s="22"/>
      <c r="N598" s="22"/>
    </row>
    <row r="599" spans="1:14" x14ac:dyDescent="0.25">
      <c r="A599" s="22" t="s">
        <v>5674</v>
      </c>
      <c r="B599" s="22" t="s">
        <v>39</v>
      </c>
      <c r="C599" s="22" t="s">
        <v>5673</v>
      </c>
      <c r="D599" s="23">
        <v>-58159</v>
      </c>
      <c r="E599" s="22" t="s">
        <v>57</v>
      </c>
      <c r="F599" s="24">
        <v>43912</v>
      </c>
      <c r="G599" s="22" t="s">
        <v>5665</v>
      </c>
      <c r="H599" s="22" t="s">
        <v>1285</v>
      </c>
      <c r="I599" s="22" t="s">
        <v>5675</v>
      </c>
      <c r="J599" s="22" t="s">
        <v>4552</v>
      </c>
      <c r="K599" s="22" t="s">
        <v>5669</v>
      </c>
      <c r="L599" s="22"/>
      <c r="M599" s="22"/>
      <c r="N599" s="22"/>
    </row>
    <row r="600" spans="1:14" x14ac:dyDescent="0.25">
      <c r="A600" s="22" t="s">
        <v>3423</v>
      </c>
      <c r="B600" s="22" t="s">
        <v>39</v>
      </c>
      <c r="C600" s="22" t="s">
        <v>5673</v>
      </c>
      <c r="D600" s="23">
        <v>-171600</v>
      </c>
      <c r="E600" s="22" t="s">
        <v>57</v>
      </c>
      <c r="F600" s="24">
        <v>43919</v>
      </c>
      <c r="G600" s="22" t="s">
        <v>5665</v>
      </c>
      <c r="H600" s="22" t="s">
        <v>5676</v>
      </c>
      <c r="I600" s="22" t="s">
        <v>5677</v>
      </c>
      <c r="J600" s="22" t="s">
        <v>4552</v>
      </c>
      <c r="K600" s="22" t="s">
        <v>5669</v>
      </c>
      <c r="L600" s="22"/>
      <c r="M600" s="22"/>
      <c r="N600" s="22"/>
    </row>
    <row r="601" spans="1:14" x14ac:dyDescent="0.25">
      <c r="A601" s="22" t="s">
        <v>5664</v>
      </c>
      <c r="B601" s="22" t="s">
        <v>39</v>
      </c>
      <c r="C601" s="22" t="s">
        <v>5296</v>
      </c>
      <c r="D601" s="23">
        <v>365659</v>
      </c>
      <c r="E601" s="22" t="s">
        <v>42</v>
      </c>
      <c r="F601" s="24">
        <v>43987</v>
      </c>
      <c r="G601" s="22" t="s">
        <v>5665</v>
      </c>
      <c r="H601" s="22" t="s">
        <v>5600</v>
      </c>
      <c r="I601" s="22" t="s">
        <v>5678</v>
      </c>
      <c r="J601" s="22" t="s">
        <v>4401</v>
      </c>
      <c r="K601" s="22" t="s">
        <v>5296</v>
      </c>
      <c r="L601" s="22"/>
      <c r="M601" s="22"/>
      <c r="N601" s="22"/>
    </row>
    <row r="602" spans="1:14" x14ac:dyDescent="0.25">
      <c r="A602" s="22" t="s">
        <v>5679</v>
      </c>
      <c r="B602" s="22" t="s">
        <v>39</v>
      </c>
      <c r="C602" s="22" t="s">
        <v>4515</v>
      </c>
      <c r="D602" s="23">
        <v>36500</v>
      </c>
      <c r="E602" s="22" t="s">
        <v>45</v>
      </c>
      <c r="F602" s="24">
        <v>43987</v>
      </c>
      <c r="G602" s="22" t="s">
        <v>5680</v>
      </c>
      <c r="H602" s="22" t="s">
        <v>2103</v>
      </c>
      <c r="I602" s="22" t="s">
        <v>5680</v>
      </c>
      <c r="J602" s="22" t="s">
        <v>4466</v>
      </c>
      <c r="K602" s="22" t="s">
        <v>2103</v>
      </c>
      <c r="L602" s="22"/>
      <c r="M602" s="22"/>
      <c r="N602" s="22"/>
    </row>
    <row r="603" spans="1:14" x14ac:dyDescent="0.25">
      <c r="A603" s="22" t="s">
        <v>5679</v>
      </c>
      <c r="B603" s="22" t="s">
        <v>39</v>
      </c>
      <c r="C603" s="22" t="s">
        <v>4515</v>
      </c>
      <c r="D603" s="23">
        <v>35700</v>
      </c>
      <c r="E603" s="22" t="s">
        <v>45</v>
      </c>
      <c r="F603" s="24">
        <v>43987</v>
      </c>
      <c r="G603" s="22" t="s">
        <v>5680</v>
      </c>
      <c r="H603" s="22" t="s">
        <v>2103</v>
      </c>
      <c r="I603" s="22" t="s">
        <v>5680</v>
      </c>
      <c r="J603" s="22" t="s">
        <v>4552</v>
      </c>
      <c r="K603" s="22" t="s">
        <v>2103</v>
      </c>
      <c r="L603" s="22"/>
      <c r="M603" s="22"/>
      <c r="N603" s="22"/>
    </row>
    <row r="604" spans="1:14" x14ac:dyDescent="0.25">
      <c r="A604" s="22" t="s">
        <v>5679</v>
      </c>
      <c r="B604" s="22" t="s">
        <v>39</v>
      </c>
      <c r="C604" s="22" t="s">
        <v>4515</v>
      </c>
      <c r="D604" s="23">
        <v>-378400</v>
      </c>
      <c r="E604" s="22" t="s">
        <v>45</v>
      </c>
      <c r="F604" s="24">
        <v>43987</v>
      </c>
      <c r="G604" s="22" t="s">
        <v>5680</v>
      </c>
      <c r="H604" s="22" t="s">
        <v>2103</v>
      </c>
      <c r="I604" s="22" t="s">
        <v>5680</v>
      </c>
      <c r="J604" s="22" t="s">
        <v>4401</v>
      </c>
      <c r="K604" s="22" t="s">
        <v>2103</v>
      </c>
      <c r="L604" s="22"/>
      <c r="M604" s="22"/>
      <c r="N604" s="22"/>
    </row>
    <row r="605" spans="1:14" x14ac:dyDescent="0.25">
      <c r="A605" s="22" t="s">
        <v>5679</v>
      </c>
      <c r="B605" s="22" t="s">
        <v>39</v>
      </c>
      <c r="C605" s="22" t="s">
        <v>4515</v>
      </c>
      <c r="D605" s="23">
        <v>306200</v>
      </c>
      <c r="E605" s="22" t="s">
        <v>45</v>
      </c>
      <c r="F605" s="24">
        <v>43987</v>
      </c>
      <c r="G605" s="22" t="s">
        <v>5680</v>
      </c>
      <c r="H605" s="22" t="s">
        <v>2103</v>
      </c>
      <c r="I605" s="22" t="s">
        <v>5680</v>
      </c>
      <c r="J605" s="22" t="s">
        <v>4407</v>
      </c>
      <c r="K605" s="22" t="s">
        <v>2103</v>
      </c>
      <c r="L605" s="22"/>
      <c r="M605" s="22"/>
      <c r="N605" s="22"/>
    </row>
    <row r="606" spans="1:14" x14ac:dyDescent="0.25">
      <c r="A606" s="22" t="s">
        <v>5681</v>
      </c>
      <c r="B606" s="22" t="s">
        <v>39</v>
      </c>
      <c r="C606" s="22" t="s">
        <v>4528</v>
      </c>
      <c r="D606" s="23">
        <v>-136200</v>
      </c>
      <c r="E606" s="22" t="s">
        <v>57</v>
      </c>
      <c r="F606" s="24">
        <v>43899</v>
      </c>
      <c r="G606" s="22" t="s">
        <v>5680</v>
      </c>
      <c r="H606" s="22" t="s">
        <v>2031</v>
      </c>
      <c r="I606" s="22" t="s">
        <v>5682</v>
      </c>
      <c r="J606" s="22" t="s">
        <v>4407</v>
      </c>
      <c r="K606" s="22" t="s">
        <v>4531</v>
      </c>
      <c r="L606" s="22"/>
      <c r="M606" s="22"/>
      <c r="N606" s="22"/>
    </row>
    <row r="607" spans="1:14" x14ac:dyDescent="0.25">
      <c r="A607" s="22" t="s">
        <v>5683</v>
      </c>
      <c r="B607" s="22" t="s">
        <v>39</v>
      </c>
      <c r="C607" s="22" t="s">
        <v>4528</v>
      </c>
      <c r="D607" s="23">
        <v>-85000</v>
      </c>
      <c r="E607" s="22" t="s">
        <v>57</v>
      </c>
      <c r="F607" s="24">
        <v>43906</v>
      </c>
      <c r="G607" s="22" t="s">
        <v>5680</v>
      </c>
      <c r="H607" s="22" t="s">
        <v>2031</v>
      </c>
      <c r="I607" s="22" t="s">
        <v>5684</v>
      </c>
      <c r="J607" s="22" t="s">
        <v>4407</v>
      </c>
      <c r="K607" s="22" t="s">
        <v>4531</v>
      </c>
      <c r="L607" s="22"/>
      <c r="M607" s="22"/>
      <c r="N607" s="22"/>
    </row>
    <row r="608" spans="1:14" x14ac:dyDescent="0.25">
      <c r="A608" s="22" t="s">
        <v>5685</v>
      </c>
      <c r="B608" s="22" t="s">
        <v>39</v>
      </c>
      <c r="C608" s="22" t="s">
        <v>4528</v>
      </c>
      <c r="D608" s="23">
        <v>-85000</v>
      </c>
      <c r="E608" s="22" t="s">
        <v>57</v>
      </c>
      <c r="F608" s="24">
        <v>43906</v>
      </c>
      <c r="G608" s="22" t="s">
        <v>5680</v>
      </c>
      <c r="H608" s="22" t="s">
        <v>2092</v>
      </c>
      <c r="I608" s="22" t="s">
        <v>5686</v>
      </c>
      <c r="J608" s="22" t="s">
        <v>4407</v>
      </c>
      <c r="K608" s="22" t="s">
        <v>4531</v>
      </c>
      <c r="L608" s="22"/>
      <c r="M608" s="22"/>
      <c r="N608" s="22"/>
    </row>
    <row r="609" spans="1:14" x14ac:dyDescent="0.25">
      <c r="A609" s="22" t="s">
        <v>5687</v>
      </c>
      <c r="B609" s="22" t="s">
        <v>39</v>
      </c>
      <c r="C609" s="22" t="s">
        <v>4528</v>
      </c>
      <c r="D609" s="23">
        <v>-123500</v>
      </c>
      <c r="E609" s="22" t="s">
        <v>57</v>
      </c>
      <c r="F609" s="24">
        <v>43895</v>
      </c>
      <c r="G609" s="22" t="s">
        <v>5680</v>
      </c>
      <c r="H609" s="22" t="s">
        <v>2092</v>
      </c>
      <c r="I609" s="22" t="s">
        <v>5688</v>
      </c>
      <c r="J609" s="22" t="s">
        <v>4401</v>
      </c>
      <c r="K609" s="22" t="s">
        <v>4531</v>
      </c>
      <c r="L609" s="22"/>
      <c r="M609" s="22"/>
      <c r="N609" s="22"/>
    </row>
    <row r="610" spans="1:14" x14ac:dyDescent="0.25">
      <c r="A610" s="22" t="s">
        <v>5689</v>
      </c>
      <c r="B610" s="22" t="s">
        <v>39</v>
      </c>
      <c r="C610" s="22" t="s">
        <v>4528</v>
      </c>
      <c r="D610" s="23">
        <v>-25700</v>
      </c>
      <c r="E610" s="22" t="s">
        <v>57</v>
      </c>
      <c r="F610" s="24">
        <v>43903</v>
      </c>
      <c r="G610" s="22" t="s">
        <v>5680</v>
      </c>
      <c r="H610" s="22" t="s">
        <v>2031</v>
      </c>
      <c r="I610" s="22" t="s">
        <v>5690</v>
      </c>
      <c r="J610" s="22" t="s">
        <v>4401</v>
      </c>
      <c r="K610" s="22" t="s">
        <v>4531</v>
      </c>
      <c r="L610" s="22"/>
      <c r="M610" s="22"/>
      <c r="N610" s="22"/>
    </row>
    <row r="611" spans="1:14" x14ac:dyDescent="0.25">
      <c r="A611" s="22" t="s">
        <v>5691</v>
      </c>
      <c r="B611" s="22" t="s">
        <v>39</v>
      </c>
      <c r="C611" s="22" t="s">
        <v>4528</v>
      </c>
      <c r="D611" s="23">
        <v>-227300</v>
      </c>
      <c r="E611" s="22" t="s">
        <v>57</v>
      </c>
      <c r="F611" s="24">
        <v>43914</v>
      </c>
      <c r="G611" s="22" t="s">
        <v>5680</v>
      </c>
      <c r="H611" s="22" t="s">
        <v>2127</v>
      </c>
      <c r="I611" s="22" t="s">
        <v>5692</v>
      </c>
      <c r="J611" s="22" t="s">
        <v>4401</v>
      </c>
      <c r="K611" s="22" t="s">
        <v>4531</v>
      </c>
      <c r="L611" s="22"/>
      <c r="M611" s="22"/>
      <c r="N611" s="22"/>
    </row>
    <row r="612" spans="1:14" x14ac:dyDescent="0.25">
      <c r="A612" s="22" t="s">
        <v>5693</v>
      </c>
      <c r="B612" s="22" t="s">
        <v>39</v>
      </c>
      <c r="C612" s="22" t="s">
        <v>5666</v>
      </c>
      <c r="D612" s="23">
        <v>-31700</v>
      </c>
      <c r="E612" s="22" t="s">
        <v>57</v>
      </c>
      <c r="F612" s="24">
        <v>43921</v>
      </c>
      <c r="G612" s="22" t="s">
        <v>5680</v>
      </c>
      <c r="H612" s="22" t="s">
        <v>5694</v>
      </c>
      <c r="I612" s="22" t="s">
        <v>5695</v>
      </c>
      <c r="J612" s="22" t="s">
        <v>4552</v>
      </c>
      <c r="K612" s="22" t="s">
        <v>5669</v>
      </c>
      <c r="L612" s="22"/>
      <c r="M612" s="22"/>
      <c r="N612" s="22"/>
    </row>
    <row r="613" spans="1:14" x14ac:dyDescent="0.25">
      <c r="A613" s="22" t="s">
        <v>3423</v>
      </c>
      <c r="B613" s="22" t="s">
        <v>39</v>
      </c>
      <c r="C613" s="22" t="s">
        <v>5673</v>
      </c>
      <c r="D613" s="23">
        <v>-4000</v>
      </c>
      <c r="E613" s="22" t="s">
        <v>57</v>
      </c>
      <c r="F613" s="24">
        <v>43919</v>
      </c>
      <c r="G613" s="22" t="s">
        <v>5680</v>
      </c>
      <c r="H613" s="22" t="s">
        <v>5696</v>
      </c>
      <c r="I613" s="22" t="s">
        <v>5677</v>
      </c>
      <c r="J613" s="22" t="s">
        <v>4552</v>
      </c>
      <c r="K613" s="22" t="s">
        <v>5669</v>
      </c>
      <c r="L613" s="22"/>
      <c r="M613" s="22"/>
      <c r="N613" s="22"/>
    </row>
    <row r="614" spans="1:14" x14ac:dyDescent="0.25">
      <c r="A614" s="22" t="s">
        <v>4516</v>
      </c>
      <c r="B614" s="22" t="s">
        <v>39</v>
      </c>
      <c r="C614" s="22" t="s">
        <v>4520</v>
      </c>
      <c r="D614" s="23">
        <v>-36500</v>
      </c>
      <c r="E614" s="22" t="s">
        <v>2073</v>
      </c>
      <c r="F614" s="24">
        <v>43937</v>
      </c>
      <c r="G614" s="22" t="s">
        <v>5680</v>
      </c>
      <c r="H614" s="22" t="s">
        <v>4518</v>
      </c>
      <c r="I614" s="22" t="s">
        <v>4517</v>
      </c>
      <c r="J614" s="22" t="s">
        <v>4466</v>
      </c>
      <c r="K614" s="22" t="s">
        <v>4519</v>
      </c>
      <c r="L614" s="22"/>
      <c r="M614" s="22"/>
      <c r="N614" s="22"/>
    </row>
    <row r="615" spans="1:14" x14ac:dyDescent="0.25">
      <c r="A615" s="22" t="s">
        <v>5698</v>
      </c>
      <c r="B615" s="22" t="s">
        <v>39</v>
      </c>
      <c r="C615" s="22" t="s">
        <v>5697</v>
      </c>
      <c r="D615" s="23">
        <v>-105000</v>
      </c>
      <c r="E615" s="22" t="s">
        <v>57</v>
      </c>
      <c r="F615" s="24">
        <v>43958</v>
      </c>
      <c r="G615" s="22" t="s">
        <v>5680</v>
      </c>
      <c r="H615" s="22" t="s">
        <v>5699</v>
      </c>
      <c r="I615" s="22" t="s">
        <v>5700</v>
      </c>
      <c r="J615" s="22" t="s">
        <v>4401</v>
      </c>
      <c r="K615" s="22" t="s">
        <v>112</v>
      </c>
      <c r="L615" s="22"/>
      <c r="M615" s="22"/>
      <c r="N615" s="22"/>
    </row>
    <row r="616" spans="1:14" x14ac:dyDescent="0.25">
      <c r="A616" s="22" t="s">
        <v>5679</v>
      </c>
      <c r="B616" s="22" t="s">
        <v>39</v>
      </c>
      <c r="C616" s="22" t="s">
        <v>5568</v>
      </c>
      <c r="D616" s="23">
        <v>859900</v>
      </c>
      <c r="E616" s="22" t="s">
        <v>42</v>
      </c>
      <c r="F616" s="24">
        <v>43987</v>
      </c>
      <c r="G616" s="22" t="s">
        <v>5680</v>
      </c>
      <c r="H616" s="22" t="s">
        <v>5600</v>
      </c>
      <c r="I616" s="22" t="s">
        <v>5701</v>
      </c>
      <c r="J616" s="22" t="s">
        <v>4401</v>
      </c>
      <c r="K616" s="22" t="s">
        <v>5568</v>
      </c>
      <c r="L616" s="22"/>
      <c r="M616" s="22"/>
      <c r="N616" s="22"/>
    </row>
    <row r="617" spans="1:14" x14ac:dyDescent="0.25">
      <c r="A617" s="22" t="s">
        <v>5702</v>
      </c>
      <c r="B617" s="22" t="s">
        <v>39</v>
      </c>
      <c r="C617" s="22" t="s">
        <v>4515</v>
      </c>
      <c r="D617" s="23">
        <v>-35100</v>
      </c>
      <c r="E617" s="22" t="s">
        <v>45</v>
      </c>
      <c r="F617" s="24">
        <v>43987</v>
      </c>
      <c r="G617" s="22" t="s">
        <v>5703</v>
      </c>
      <c r="H617" s="22" t="s">
        <v>2103</v>
      </c>
      <c r="I617" s="22" t="s">
        <v>5703</v>
      </c>
      <c r="J617" s="22" t="s">
        <v>4401</v>
      </c>
      <c r="K617" s="22" t="s">
        <v>2103</v>
      </c>
      <c r="L617" s="22"/>
      <c r="M617" s="22"/>
      <c r="N617" s="22"/>
    </row>
    <row r="618" spans="1:14" x14ac:dyDescent="0.25">
      <c r="A618" s="22" t="s">
        <v>5702</v>
      </c>
      <c r="B618" s="22" t="s">
        <v>39</v>
      </c>
      <c r="C618" s="22" t="s">
        <v>4515</v>
      </c>
      <c r="D618" s="23">
        <v>35100</v>
      </c>
      <c r="E618" s="22" t="s">
        <v>45</v>
      </c>
      <c r="F618" s="24">
        <v>43987</v>
      </c>
      <c r="G618" s="22" t="s">
        <v>5703</v>
      </c>
      <c r="H618" s="22" t="s">
        <v>2103</v>
      </c>
      <c r="I618" s="22" t="s">
        <v>5703</v>
      </c>
      <c r="J618" s="22" t="s">
        <v>4407</v>
      </c>
      <c r="K618" s="22" t="s">
        <v>2103</v>
      </c>
      <c r="L618" s="22"/>
      <c r="M618" s="22"/>
      <c r="N618" s="22"/>
    </row>
    <row r="619" spans="1:14" x14ac:dyDescent="0.25">
      <c r="A619" s="22" t="s">
        <v>5704</v>
      </c>
      <c r="B619" s="22" t="s">
        <v>39</v>
      </c>
      <c r="C619" s="22" t="s">
        <v>4528</v>
      </c>
      <c r="D619" s="23">
        <v>-35100</v>
      </c>
      <c r="E619" s="22" t="s">
        <v>57</v>
      </c>
      <c r="F619" s="24">
        <v>43920</v>
      </c>
      <c r="G619" s="22" t="s">
        <v>5703</v>
      </c>
      <c r="H619" s="22" t="s">
        <v>5705</v>
      </c>
      <c r="I619" s="22" t="s">
        <v>5706</v>
      </c>
      <c r="J619" s="22" t="s">
        <v>4407</v>
      </c>
      <c r="K619" s="22" t="s">
        <v>4531</v>
      </c>
      <c r="L619" s="22"/>
      <c r="M619" s="22"/>
      <c r="N619" s="22"/>
    </row>
    <row r="620" spans="1:14" x14ac:dyDescent="0.25">
      <c r="A620" s="22" t="s">
        <v>5702</v>
      </c>
      <c r="B620" s="22" t="s">
        <v>39</v>
      </c>
      <c r="C620" s="22" t="s">
        <v>5111</v>
      </c>
      <c r="D620" s="23">
        <v>35100</v>
      </c>
      <c r="E620" s="22" t="s">
        <v>42</v>
      </c>
      <c r="F620" s="24">
        <v>43987</v>
      </c>
      <c r="G620" s="22" t="s">
        <v>5703</v>
      </c>
      <c r="H620" s="22" t="s">
        <v>5600</v>
      </c>
      <c r="I620" s="22" t="s">
        <v>5707</v>
      </c>
      <c r="J620" s="22" t="s">
        <v>4401</v>
      </c>
      <c r="K620" s="22" t="s">
        <v>5111</v>
      </c>
      <c r="L620" s="22"/>
      <c r="M620" s="22"/>
      <c r="N620" s="22"/>
    </row>
    <row r="621" spans="1:14" x14ac:dyDescent="0.25">
      <c r="A621" s="22" t="s">
        <v>4677</v>
      </c>
      <c r="B621" s="22" t="s">
        <v>39</v>
      </c>
      <c r="C621" s="22" t="s">
        <v>4676</v>
      </c>
      <c r="D621" s="23">
        <v>-1564</v>
      </c>
      <c r="E621" s="22" t="s">
        <v>57</v>
      </c>
      <c r="F621" s="24">
        <v>44035</v>
      </c>
      <c r="G621" s="22" t="s">
        <v>5708</v>
      </c>
      <c r="H621" s="22" t="s">
        <v>4679</v>
      </c>
      <c r="I621" s="22" t="s">
        <v>4678</v>
      </c>
      <c r="J621" s="22" t="s">
        <v>4401</v>
      </c>
      <c r="K621" s="22" t="s">
        <v>4680</v>
      </c>
      <c r="L621" s="22"/>
      <c r="M621" s="22"/>
      <c r="N621" s="22"/>
    </row>
    <row r="622" spans="1:14" x14ac:dyDescent="0.25">
      <c r="A622" s="22" t="s">
        <v>5709</v>
      </c>
      <c r="B622" s="22" t="s">
        <v>39</v>
      </c>
      <c r="C622" s="22" t="s">
        <v>4676</v>
      </c>
      <c r="D622" s="23">
        <v>203164</v>
      </c>
      <c r="E622" s="22" t="s">
        <v>45</v>
      </c>
      <c r="F622" s="24">
        <v>44012</v>
      </c>
      <c r="G622" s="22" t="s">
        <v>5708</v>
      </c>
      <c r="H622" s="22" t="s">
        <v>5710</v>
      </c>
      <c r="I622" s="22" t="s">
        <v>5708</v>
      </c>
      <c r="J622" s="22" t="s">
        <v>4401</v>
      </c>
      <c r="K622" s="22" t="s">
        <v>5710</v>
      </c>
      <c r="L622" s="22"/>
      <c r="M622" s="22"/>
      <c r="N622" s="22"/>
    </row>
    <row r="623" spans="1:14" x14ac:dyDescent="0.25">
      <c r="A623" s="22" t="s">
        <v>5709</v>
      </c>
      <c r="B623" s="22" t="s">
        <v>39</v>
      </c>
      <c r="C623" s="22" t="s">
        <v>4676</v>
      </c>
      <c r="D623" s="23">
        <v>-203164</v>
      </c>
      <c r="E623" s="22" t="s">
        <v>45</v>
      </c>
      <c r="F623" s="24">
        <v>44012</v>
      </c>
      <c r="G623" s="22" t="s">
        <v>5708</v>
      </c>
      <c r="H623" s="22" t="s">
        <v>5710</v>
      </c>
      <c r="I623" s="22" t="s">
        <v>5708</v>
      </c>
      <c r="J623" s="22" t="s">
        <v>4401</v>
      </c>
      <c r="K623" s="22" t="s">
        <v>5710</v>
      </c>
      <c r="L623" s="22"/>
      <c r="M623" s="22"/>
      <c r="N623" s="22"/>
    </row>
    <row r="624" spans="1:14" x14ac:dyDescent="0.25">
      <c r="A624" s="22" t="s">
        <v>5712</v>
      </c>
      <c r="B624" s="22" t="s">
        <v>39</v>
      </c>
      <c r="C624" s="22" t="s">
        <v>5711</v>
      </c>
      <c r="D624" s="23">
        <v>-201600</v>
      </c>
      <c r="E624" s="22" t="s">
        <v>57</v>
      </c>
      <c r="F624" s="24">
        <v>43969</v>
      </c>
      <c r="G624" s="22" t="s">
        <v>5708</v>
      </c>
      <c r="H624" s="22" t="s">
        <v>5713</v>
      </c>
      <c r="I624" s="22" t="s">
        <v>5714</v>
      </c>
      <c r="J624" s="22" t="s">
        <v>4401</v>
      </c>
      <c r="K624" s="22" t="s">
        <v>4519</v>
      </c>
      <c r="L624" s="22"/>
      <c r="M624" s="22"/>
      <c r="N624" s="22"/>
    </row>
    <row r="625" spans="1:14" x14ac:dyDescent="0.25">
      <c r="A625" s="22" t="s">
        <v>5715</v>
      </c>
      <c r="B625" s="22" t="s">
        <v>39</v>
      </c>
      <c r="C625" s="22" t="s">
        <v>4916</v>
      </c>
      <c r="D625" s="23">
        <v>203164</v>
      </c>
      <c r="E625" s="22" t="s">
        <v>42</v>
      </c>
      <c r="F625" s="24">
        <v>43987</v>
      </c>
      <c r="G625" s="22" t="s">
        <v>5708</v>
      </c>
      <c r="H625" s="22" t="s">
        <v>5600</v>
      </c>
      <c r="I625" s="22" t="s">
        <v>5716</v>
      </c>
      <c r="J625" s="22" t="s">
        <v>4401</v>
      </c>
      <c r="K625" s="22" t="s">
        <v>4916</v>
      </c>
      <c r="L625" s="22"/>
      <c r="M625" s="22"/>
      <c r="N625" s="22"/>
    </row>
    <row r="626" spans="1:14" x14ac:dyDescent="0.25">
      <c r="A626" s="22" t="s">
        <v>3425</v>
      </c>
      <c r="B626" s="22" t="s">
        <v>39</v>
      </c>
      <c r="C626" s="22" t="s">
        <v>4684</v>
      </c>
      <c r="D626" s="23">
        <v>-45900</v>
      </c>
      <c r="E626" s="22" t="s">
        <v>57</v>
      </c>
      <c r="F626" s="24">
        <v>43923</v>
      </c>
      <c r="G626" s="22" t="s">
        <v>5717</v>
      </c>
      <c r="H626" s="22" t="s">
        <v>5718</v>
      </c>
      <c r="I626" s="22" t="s">
        <v>4685</v>
      </c>
      <c r="J626" s="22" t="s">
        <v>4401</v>
      </c>
      <c r="K626" s="22" t="s">
        <v>3425</v>
      </c>
      <c r="L626" s="22"/>
      <c r="M626" s="22"/>
      <c r="N626" s="22"/>
    </row>
    <row r="627" spans="1:14" x14ac:dyDescent="0.25">
      <c r="A627" s="22" t="s">
        <v>2115</v>
      </c>
      <c r="B627" s="22" t="s">
        <v>39</v>
      </c>
      <c r="C627" s="22" t="s">
        <v>4684</v>
      </c>
      <c r="D627" s="23">
        <v>45900</v>
      </c>
      <c r="E627" s="22" t="s">
        <v>45</v>
      </c>
      <c r="F627" s="24">
        <v>44036</v>
      </c>
      <c r="G627" s="22" t="s">
        <v>5717</v>
      </c>
      <c r="H627" s="22" t="s">
        <v>5719</v>
      </c>
      <c r="I627" s="22" t="s">
        <v>5717</v>
      </c>
      <c r="J627" s="22" t="s">
        <v>4401</v>
      </c>
      <c r="K627" s="22" t="s">
        <v>5720</v>
      </c>
      <c r="L627" s="22"/>
      <c r="M627" s="22"/>
      <c r="N627" s="22"/>
    </row>
    <row r="628" spans="1:14" x14ac:dyDescent="0.25">
      <c r="A628" s="22" t="s">
        <v>2115</v>
      </c>
      <c r="B628" s="22" t="s">
        <v>39</v>
      </c>
      <c r="C628" s="22" t="s">
        <v>4684</v>
      </c>
      <c r="D628" s="23">
        <v>-45900</v>
      </c>
      <c r="E628" s="22" t="s">
        <v>45</v>
      </c>
      <c r="F628" s="24">
        <v>44036</v>
      </c>
      <c r="G628" s="22" t="s">
        <v>5717</v>
      </c>
      <c r="H628" s="22" t="s">
        <v>5719</v>
      </c>
      <c r="I628" s="22" t="s">
        <v>5717</v>
      </c>
      <c r="J628" s="22" t="s">
        <v>4401</v>
      </c>
      <c r="K628" s="22" t="s">
        <v>5720</v>
      </c>
      <c r="L628" s="22"/>
      <c r="M628" s="22"/>
      <c r="N628" s="22"/>
    </row>
    <row r="629" spans="1:14" x14ac:dyDescent="0.25">
      <c r="A629" s="22" t="s">
        <v>5619</v>
      </c>
      <c r="B629" s="22" t="s">
        <v>39</v>
      </c>
      <c r="C629" s="22" t="s">
        <v>5135</v>
      </c>
      <c r="D629" s="23">
        <v>45900</v>
      </c>
      <c r="E629" s="22" t="s">
        <v>42</v>
      </c>
      <c r="F629" s="24">
        <v>44019</v>
      </c>
      <c r="G629" s="22" t="s">
        <v>5717</v>
      </c>
      <c r="H629" s="22" t="s">
        <v>5721</v>
      </c>
      <c r="I629" s="22" t="s">
        <v>5722</v>
      </c>
      <c r="J629" s="22" t="s">
        <v>4401</v>
      </c>
      <c r="K629" s="22" t="s">
        <v>5135</v>
      </c>
      <c r="L629" s="22"/>
      <c r="M629" s="22"/>
      <c r="N629" s="22"/>
    </row>
    <row r="630" spans="1:14" x14ac:dyDescent="0.25">
      <c r="A630" s="22" t="s">
        <v>5724</v>
      </c>
      <c r="B630" s="22" t="s">
        <v>39</v>
      </c>
      <c r="C630" s="22" t="s">
        <v>5723</v>
      </c>
      <c r="D630" s="23">
        <v>181527</v>
      </c>
      <c r="E630" s="22" t="s">
        <v>45</v>
      </c>
      <c r="F630" s="24">
        <v>44041</v>
      </c>
      <c r="G630" s="22" t="s">
        <v>5725</v>
      </c>
      <c r="H630" s="22" t="s">
        <v>5726</v>
      </c>
      <c r="I630" s="22" t="s">
        <v>5725</v>
      </c>
      <c r="J630" s="22" t="s">
        <v>4466</v>
      </c>
      <c r="K630" s="22" t="s">
        <v>5726</v>
      </c>
      <c r="L630" s="22"/>
      <c r="M630" s="22"/>
      <c r="N630" s="22"/>
    </row>
    <row r="631" spans="1:14" x14ac:dyDescent="0.25">
      <c r="A631" s="22" t="s">
        <v>5724</v>
      </c>
      <c r="B631" s="22" t="s">
        <v>39</v>
      </c>
      <c r="C631" s="22" t="s">
        <v>5723</v>
      </c>
      <c r="D631" s="23">
        <v>-543191</v>
      </c>
      <c r="E631" s="22" t="s">
        <v>45</v>
      </c>
      <c r="F631" s="24">
        <v>44041</v>
      </c>
      <c r="G631" s="22" t="s">
        <v>5725</v>
      </c>
      <c r="H631" s="22" t="s">
        <v>5726</v>
      </c>
      <c r="I631" s="22" t="s">
        <v>5725</v>
      </c>
      <c r="J631" s="22" t="s">
        <v>4401</v>
      </c>
      <c r="K631" s="22" t="s">
        <v>5726</v>
      </c>
      <c r="L631" s="22"/>
      <c r="M631" s="22"/>
      <c r="N631" s="22"/>
    </row>
    <row r="632" spans="1:14" x14ac:dyDescent="0.25">
      <c r="A632" s="22" t="s">
        <v>5727</v>
      </c>
      <c r="B632" s="22" t="s">
        <v>39</v>
      </c>
      <c r="C632" s="22" t="s">
        <v>4520</v>
      </c>
      <c r="D632" s="23">
        <v>-111298</v>
      </c>
      <c r="E632" s="22" t="s">
        <v>57</v>
      </c>
      <c r="F632" s="24">
        <v>43944</v>
      </c>
      <c r="G632" s="22" t="s">
        <v>5725</v>
      </c>
      <c r="H632" s="22" t="s">
        <v>1131</v>
      </c>
      <c r="I632" s="22" t="s">
        <v>5728</v>
      </c>
      <c r="J632" s="22" t="s">
        <v>4466</v>
      </c>
      <c r="K632" s="22" t="s">
        <v>4519</v>
      </c>
      <c r="L632" s="22"/>
      <c r="M632" s="22"/>
      <c r="N632" s="22"/>
    </row>
    <row r="633" spans="1:14" x14ac:dyDescent="0.25">
      <c r="A633" s="22" t="s">
        <v>5729</v>
      </c>
      <c r="B633" s="22" t="s">
        <v>39</v>
      </c>
      <c r="C633" s="22" t="s">
        <v>4520</v>
      </c>
      <c r="D633" s="23">
        <v>-70229</v>
      </c>
      <c r="E633" s="22" t="s">
        <v>57</v>
      </c>
      <c r="F633" s="24">
        <v>43948</v>
      </c>
      <c r="G633" s="22" t="s">
        <v>5725</v>
      </c>
      <c r="H633" s="22" t="s">
        <v>5730</v>
      </c>
      <c r="I633" s="22" t="s">
        <v>5731</v>
      </c>
      <c r="J633" s="22" t="s">
        <v>4466</v>
      </c>
      <c r="K633" s="22" t="s">
        <v>4519</v>
      </c>
      <c r="L633" s="22"/>
      <c r="M633" s="22"/>
      <c r="N633" s="22"/>
    </row>
    <row r="634" spans="1:14" x14ac:dyDescent="0.25">
      <c r="A634" s="22" t="s">
        <v>4677</v>
      </c>
      <c r="B634" s="22" t="s">
        <v>39</v>
      </c>
      <c r="C634" s="22" t="s">
        <v>4681</v>
      </c>
      <c r="D634" s="23">
        <v>-33536</v>
      </c>
      <c r="E634" s="22" t="s">
        <v>57</v>
      </c>
      <c r="F634" s="24">
        <v>44035</v>
      </c>
      <c r="G634" s="22" t="s">
        <v>5725</v>
      </c>
      <c r="H634" s="22" t="s">
        <v>5732</v>
      </c>
      <c r="I634" s="22" t="s">
        <v>4678</v>
      </c>
      <c r="J634" s="22" t="s">
        <v>4401</v>
      </c>
      <c r="K634" s="22" t="s">
        <v>4680</v>
      </c>
      <c r="L634" s="22"/>
      <c r="M634" s="22"/>
      <c r="N634" s="22"/>
    </row>
    <row r="635" spans="1:14" x14ac:dyDescent="0.25">
      <c r="A635" s="22" t="s">
        <v>5638</v>
      </c>
      <c r="B635" s="22" t="s">
        <v>39</v>
      </c>
      <c r="C635" s="22" t="s">
        <v>4916</v>
      </c>
      <c r="D635" s="23">
        <v>576727</v>
      </c>
      <c r="E635" s="22" t="s">
        <v>42</v>
      </c>
      <c r="F635" s="24">
        <v>44019</v>
      </c>
      <c r="G635" s="22" t="s">
        <v>5725</v>
      </c>
      <c r="H635" s="22" t="s">
        <v>5721</v>
      </c>
      <c r="I635" s="22" t="s">
        <v>5733</v>
      </c>
      <c r="J635" s="22" t="s">
        <v>4401</v>
      </c>
      <c r="K635" s="22" t="s">
        <v>4916</v>
      </c>
      <c r="L635" s="22"/>
      <c r="M635" s="22"/>
      <c r="N635" s="22"/>
    </row>
    <row r="636" spans="1:14" x14ac:dyDescent="0.25">
      <c r="A636" s="22" t="s">
        <v>5735</v>
      </c>
      <c r="B636" s="22" t="s">
        <v>39</v>
      </c>
      <c r="C636" s="22" t="s">
        <v>5734</v>
      </c>
      <c r="D636" s="23">
        <v>31700</v>
      </c>
      <c r="E636" s="22" t="s">
        <v>45</v>
      </c>
      <c r="F636" s="24">
        <v>44043</v>
      </c>
      <c r="G636" s="22" t="s">
        <v>5736</v>
      </c>
      <c r="H636" s="22" t="s">
        <v>5737</v>
      </c>
      <c r="I636" s="22" t="s">
        <v>5736</v>
      </c>
      <c r="J636" s="22" t="s">
        <v>4466</v>
      </c>
      <c r="K636" s="22" t="s">
        <v>5738</v>
      </c>
      <c r="L636" s="22"/>
      <c r="M636" s="22"/>
      <c r="N636" s="22"/>
    </row>
    <row r="637" spans="1:14" x14ac:dyDescent="0.25">
      <c r="A637" s="22" t="s">
        <v>5735</v>
      </c>
      <c r="B637" s="22" t="s">
        <v>39</v>
      </c>
      <c r="C637" s="22" t="s">
        <v>5734</v>
      </c>
      <c r="D637" s="23">
        <v>-153507</v>
      </c>
      <c r="E637" s="22" t="s">
        <v>45</v>
      </c>
      <c r="F637" s="24">
        <v>44043</v>
      </c>
      <c r="G637" s="22" t="s">
        <v>5736</v>
      </c>
      <c r="H637" s="22" t="s">
        <v>5737</v>
      </c>
      <c r="I637" s="22" t="s">
        <v>5736</v>
      </c>
      <c r="J637" s="22" t="s">
        <v>4401</v>
      </c>
      <c r="K637" s="22" t="s">
        <v>5738</v>
      </c>
      <c r="L637" s="22"/>
      <c r="M637" s="22"/>
      <c r="N637" s="22"/>
    </row>
    <row r="638" spans="1:14" x14ac:dyDescent="0.25">
      <c r="A638" s="22" t="s">
        <v>5735</v>
      </c>
      <c r="B638" s="22" t="s">
        <v>39</v>
      </c>
      <c r="C638" s="22" t="s">
        <v>5734</v>
      </c>
      <c r="D638" s="23">
        <v>123500</v>
      </c>
      <c r="E638" s="22" t="s">
        <v>45</v>
      </c>
      <c r="F638" s="24">
        <v>44043</v>
      </c>
      <c r="G638" s="22" t="s">
        <v>5736</v>
      </c>
      <c r="H638" s="22" t="s">
        <v>5737</v>
      </c>
      <c r="I638" s="22" t="s">
        <v>5736</v>
      </c>
      <c r="J638" s="22" t="s">
        <v>4407</v>
      </c>
      <c r="K638" s="22" t="s">
        <v>5738</v>
      </c>
      <c r="L638" s="22"/>
      <c r="M638" s="22"/>
      <c r="N638" s="22"/>
    </row>
    <row r="639" spans="1:14" x14ac:dyDescent="0.25">
      <c r="A639" s="22" t="s">
        <v>5740</v>
      </c>
      <c r="B639" s="22" t="s">
        <v>39</v>
      </c>
      <c r="C639" s="22" t="s">
        <v>5739</v>
      </c>
      <c r="D639" s="23">
        <v>-123500</v>
      </c>
      <c r="E639" s="22" t="s">
        <v>57</v>
      </c>
      <c r="F639" s="24">
        <v>43948</v>
      </c>
      <c r="G639" s="22" t="s">
        <v>5736</v>
      </c>
      <c r="H639" s="22" t="s">
        <v>2031</v>
      </c>
      <c r="I639" s="22" t="s">
        <v>5741</v>
      </c>
      <c r="J639" s="22" t="s">
        <v>4407</v>
      </c>
      <c r="K639" s="22" t="s">
        <v>103</v>
      </c>
      <c r="L639" s="22"/>
      <c r="M639" s="22"/>
      <c r="N639" s="22"/>
    </row>
    <row r="640" spans="1:14" x14ac:dyDescent="0.25">
      <c r="A640" s="22" t="s">
        <v>5743</v>
      </c>
      <c r="B640" s="22" t="s">
        <v>39</v>
      </c>
      <c r="C640" s="22" t="s">
        <v>5742</v>
      </c>
      <c r="D640" s="23">
        <v>-31700</v>
      </c>
      <c r="E640" s="22" t="s">
        <v>57</v>
      </c>
      <c r="F640" s="24">
        <v>43980</v>
      </c>
      <c r="G640" s="22" t="s">
        <v>5736</v>
      </c>
      <c r="H640" s="22" t="s">
        <v>2202</v>
      </c>
      <c r="I640" s="22" t="s">
        <v>5744</v>
      </c>
      <c r="J640" s="22" t="s">
        <v>4466</v>
      </c>
      <c r="K640" s="22" t="s">
        <v>4489</v>
      </c>
      <c r="L640" s="22"/>
      <c r="M640" s="22"/>
      <c r="N640" s="22"/>
    </row>
    <row r="641" spans="1:14" x14ac:dyDescent="0.25">
      <c r="A641" s="22" t="s">
        <v>5735</v>
      </c>
      <c r="B641" s="22" t="s">
        <v>39</v>
      </c>
      <c r="C641" s="22" t="s">
        <v>5745</v>
      </c>
      <c r="D641" s="23">
        <v>-10800</v>
      </c>
      <c r="E641" s="22" t="s">
        <v>57</v>
      </c>
      <c r="F641" s="24">
        <v>43979</v>
      </c>
      <c r="G641" s="22" t="s">
        <v>5736</v>
      </c>
      <c r="H641" s="22" t="s">
        <v>5746</v>
      </c>
      <c r="I641" s="22" t="s">
        <v>5747</v>
      </c>
      <c r="J641" s="22" t="s">
        <v>4401</v>
      </c>
      <c r="K641" s="22" t="s">
        <v>5748</v>
      </c>
      <c r="L641" s="22"/>
      <c r="M641" s="22"/>
      <c r="N641" s="22"/>
    </row>
    <row r="642" spans="1:14" x14ac:dyDescent="0.25">
      <c r="A642" s="22" t="s">
        <v>5632</v>
      </c>
      <c r="B642" s="22" t="s">
        <v>39</v>
      </c>
      <c r="C642" s="22" t="s">
        <v>5351</v>
      </c>
      <c r="D642" s="23">
        <v>164307</v>
      </c>
      <c r="E642" s="22" t="s">
        <v>42</v>
      </c>
      <c r="F642" s="24">
        <v>44019</v>
      </c>
      <c r="G642" s="22" t="s">
        <v>5736</v>
      </c>
      <c r="H642" s="22" t="s">
        <v>5721</v>
      </c>
      <c r="I642" s="22" t="s">
        <v>5749</v>
      </c>
      <c r="J642" s="22" t="s">
        <v>4401</v>
      </c>
      <c r="K642" s="22" t="s">
        <v>5351</v>
      </c>
      <c r="L642" s="22"/>
      <c r="M642" s="22"/>
      <c r="N642" s="22"/>
    </row>
    <row r="643" spans="1:14" x14ac:dyDescent="0.25">
      <c r="A643" s="22" t="s">
        <v>5751</v>
      </c>
      <c r="B643" s="22" t="s">
        <v>39</v>
      </c>
      <c r="C643" s="22" t="s">
        <v>5750</v>
      </c>
      <c r="D643" s="23">
        <v>0</v>
      </c>
      <c r="E643" s="22" t="s">
        <v>45</v>
      </c>
      <c r="F643" s="24">
        <v>43987</v>
      </c>
      <c r="G643" s="22" t="s">
        <v>5752</v>
      </c>
      <c r="H643" s="22" t="s">
        <v>5600</v>
      </c>
      <c r="I643" s="22" t="s">
        <v>5752</v>
      </c>
      <c r="J643" s="22" t="s">
        <v>4401</v>
      </c>
      <c r="K643" s="22" t="s">
        <v>5600</v>
      </c>
      <c r="L643" s="22"/>
      <c r="M643" s="22"/>
      <c r="N643" s="22"/>
    </row>
    <row r="644" spans="1:14" x14ac:dyDescent="0.25">
      <c r="A644" s="22" t="s">
        <v>5754</v>
      </c>
      <c r="B644" s="22" t="s">
        <v>39</v>
      </c>
      <c r="C644" s="22" t="s">
        <v>5753</v>
      </c>
      <c r="D644" s="23">
        <v>-209700</v>
      </c>
      <c r="E644" s="22" t="s">
        <v>57</v>
      </c>
      <c r="F644" s="24">
        <v>43901</v>
      </c>
      <c r="G644" s="22" t="s">
        <v>5752</v>
      </c>
      <c r="H644" s="22" t="s">
        <v>5755</v>
      </c>
      <c r="I644" s="22" t="s">
        <v>5756</v>
      </c>
      <c r="J644" s="22" t="s">
        <v>4401</v>
      </c>
      <c r="K644" s="22" t="s">
        <v>5038</v>
      </c>
      <c r="L644" s="22"/>
      <c r="M644" s="22"/>
      <c r="N644" s="22"/>
    </row>
    <row r="645" spans="1:14" x14ac:dyDescent="0.25">
      <c r="A645" s="22" t="s">
        <v>5757</v>
      </c>
      <c r="B645" s="22" t="s">
        <v>39</v>
      </c>
      <c r="C645" s="22" t="s">
        <v>5753</v>
      </c>
      <c r="D645" s="23">
        <v>-68414</v>
      </c>
      <c r="E645" s="22" t="s">
        <v>57</v>
      </c>
      <c r="F645" s="24">
        <v>43916</v>
      </c>
      <c r="G645" s="22" t="s">
        <v>5752</v>
      </c>
      <c r="H645" s="22" t="s">
        <v>5758</v>
      </c>
      <c r="I645" s="22" t="s">
        <v>5759</v>
      </c>
      <c r="J645" s="22" t="s">
        <v>4401</v>
      </c>
      <c r="K645" s="22" t="s">
        <v>5038</v>
      </c>
      <c r="L645" s="22"/>
      <c r="M645" s="22"/>
      <c r="N645" s="22"/>
    </row>
    <row r="646" spans="1:14" x14ac:dyDescent="0.25">
      <c r="A646" s="22" t="s">
        <v>5751</v>
      </c>
      <c r="B646" s="22" t="s">
        <v>39</v>
      </c>
      <c r="C646" s="22" t="s">
        <v>5054</v>
      </c>
      <c r="D646" s="23">
        <v>278114</v>
      </c>
      <c r="E646" s="22" t="s">
        <v>42</v>
      </c>
      <c r="F646" s="24">
        <v>43987</v>
      </c>
      <c r="G646" s="22" t="s">
        <v>5752</v>
      </c>
      <c r="H646" s="22" t="s">
        <v>5600</v>
      </c>
      <c r="I646" s="22" t="s">
        <v>5760</v>
      </c>
      <c r="J646" s="22" t="s">
        <v>4401</v>
      </c>
      <c r="K646" s="22" t="s">
        <v>5054</v>
      </c>
      <c r="L646" s="22"/>
      <c r="M646" s="22"/>
      <c r="N646" s="22"/>
    </row>
    <row r="647" spans="1:14" x14ac:dyDescent="0.25">
      <c r="A647" s="22" t="s">
        <v>2115</v>
      </c>
      <c r="B647" s="22" t="s">
        <v>39</v>
      </c>
      <c r="C647" s="22" t="s">
        <v>5761</v>
      </c>
      <c r="D647" s="23">
        <v>1398402</v>
      </c>
      <c r="E647" s="22" t="s">
        <v>45</v>
      </c>
      <c r="F647" s="24">
        <v>44062</v>
      </c>
      <c r="G647" s="22" t="s">
        <v>5762</v>
      </c>
      <c r="H647" s="22" t="s">
        <v>5763</v>
      </c>
      <c r="I647" s="22" t="s">
        <v>5762</v>
      </c>
      <c r="J647" s="22" t="s">
        <v>4466</v>
      </c>
      <c r="K647" s="22" t="s">
        <v>5764</v>
      </c>
      <c r="L647" s="22"/>
      <c r="M647" s="22"/>
      <c r="N647" s="22"/>
    </row>
    <row r="648" spans="1:14" x14ac:dyDescent="0.25">
      <c r="A648" s="22" t="s">
        <v>2115</v>
      </c>
      <c r="B648" s="22" t="s">
        <v>39</v>
      </c>
      <c r="C648" s="22" t="s">
        <v>5761</v>
      </c>
      <c r="D648" s="23">
        <v>-1398402</v>
      </c>
      <c r="E648" s="22" t="s">
        <v>45</v>
      </c>
      <c r="F648" s="24">
        <v>44062</v>
      </c>
      <c r="G648" s="22" t="s">
        <v>5762</v>
      </c>
      <c r="H648" s="22" t="s">
        <v>5763</v>
      </c>
      <c r="I648" s="22" t="s">
        <v>5762</v>
      </c>
      <c r="J648" s="22" t="s">
        <v>4401</v>
      </c>
      <c r="K648" s="22" t="s">
        <v>5764</v>
      </c>
      <c r="L648" s="22"/>
      <c r="M648" s="22"/>
      <c r="N648" s="22"/>
    </row>
    <row r="649" spans="1:14" x14ac:dyDescent="0.25">
      <c r="A649" s="22" t="s">
        <v>5653</v>
      </c>
      <c r="B649" s="22" t="s">
        <v>39</v>
      </c>
      <c r="C649" s="22" t="s">
        <v>4687</v>
      </c>
      <c r="D649" s="23">
        <v>-117677</v>
      </c>
      <c r="E649" s="22" t="s">
        <v>57</v>
      </c>
      <c r="F649" s="24">
        <v>43943</v>
      </c>
      <c r="G649" s="22" t="s">
        <v>5762</v>
      </c>
      <c r="H649" s="22" t="s">
        <v>5654</v>
      </c>
      <c r="I649" s="22" t="s">
        <v>5655</v>
      </c>
      <c r="J649" s="22" t="s">
        <v>4401</v>
      </c>
      <c r="K649" s="22" t="s">
        <v>4690</v>
      </c>
      <c r="L649" s="22"/>
      <c r="M649" s="22"/>
      <c r="N649" s="22"/>
    </row>
    <row r="650" spans="1:14" x14ac:dyDescent="0.25">
      <c r="A650" s="22" t="s">
        <v>5765</v>
      </c>
      <c r="B650" s="22" t="s">
        <v>39</v>
      </c>
      <c r="C650" s="22" t="s">
        <v>5745</v>
      </c>
      <c r="D650" s="23">
        <v>-35100</v>
      </c>
      <c r="E650" s="22" t="s">
        <v>57</v>
      </c>
      <c r="F650" s="24">
        <v>43969</v>
      </c>
      <c r="G650" s="22" t="s">
        <v>5762</v>
      </c>
      <c r="H650" s="22" t="s">
        <v>5746</v>
      </c>
      <c r="I650" s="22" t="s">
        <v>5766</v>
      </c>
      <c r="J650" s="22" t="s">
        <v>4401</v>
      </c>
      <c r="K650" s="22" t="s">
        <v>5748</v>
      </c>
      <c r="L650" s="22"/>
      <c r="M650" s="22"/>
      <c r="N650" s="22"/>
    </row>
    <row r="651" spans="1:14" x14ac:dyDescent="0.25">
      <c r="A651" s="22" t="s">
        <v>5768</v>
      </c>
      <c r="B651" s="22" t="s">
        <v>39</v>
      </c>
      <c r="C651" s="22" t="s">
        <v>5767</v>
      </c>
      <c r="D651" s="23">
        <v>-1398402</v>
      </c>
      <c r="E651" s="22" t="s">
        <v>57</v>
      </c>
      <c r="F651" s="24">
        <v>43945</v>
      </c>
      <c r="G651" s="22" t="s">
        <v>5762</v>
      </c>
      <c r="H651" s="22" t="s">
        <v>5769</v>
      </c>
      <c r="I651" s="22" t="s">
        <v>5770</v>
      </c>
      <c r="J651" s="22" t="s">
        <v>4466</v>
      </c>
      <c r="K651" s="22" t="s">
        <v>4489</v>
      </c>
      <c r="L651" s="22"/>
      <c r="M651" s="22"/>
      <c r="N651" s="22"/>
    </row>
    <row r="652" spans="1:14" x14ac:dyDescent="0.25">
      <c r="A652" s="22" t="s">
        <v>5772</v>
      </c>
      <c r="B652" s="22" t="s">
        <v>39</v>
      </c>
      <c r="C652" s="22" t="s">
        <v>5771</v>
      </c>
      <c r="D652" s="23">
        <v>-808600</v>
      </c>
      <c r="E652" s="22" t="s">
        <v>57</v>
      </c>
      <c r="F652" s="24">
        <v>43984</v>
      </c>
      <c r="G652" s="22" t="s">
        <v>5762</v>
      </c>
      <c r="H652" s="22" t="s">
        <v>5746</v>
      </c>
      <c r="I652" s="22" t="s">
        <v>5773</v>
      </c>
      <c r="J652" s="22" t="s">
        <v>4401</v>
      </c>
      <c r="K652" s="22" t="s">
        <v>5748</v>
      </c>
      <c r="L652" s="22"/>
      <c r="M652" s="22"/>
      <c r="N652" s="22"/>
    </row>
    <row r="653" spans="1:14" x14ac:dyDescent="0.25">
      <c r="A653" s="22" t="s">
        <v>5774</v>
      </c>
      <c r="B653" s="22" t="s">
        <v>39</v>
      </c>
      <c r="C653" s="22" t="s">
        <v>5771</v>
      </c>
      <c r="D653" s="23">
        <v>-25500</v>
      </c>
      <c r="E653" s="22" t="s">
        <v>57</v>
      </c>
      <c r="F653" s="24">
        <v>43985</v>
      </c>
      <c r="G653" s="22" t="s">
        <v>5762</v>
      </c>
      <c r="H653" s="22" t="s">
        <v>5746</v>
      </c>
      <c r="I653" s="22" t="s">
        <v>5775</v>
      </c>
      <c r="J653" s="22" t="s">
        <v>4401</v>
      </c>
      <c r="K653" s="22" t="s">
        <v>5748</v>
      </c>
      <c r="L653" s="22"/>
      <c r="M653" s="22"/>
      <c r="N653" s="22"/>
    </row>
    <row r="654" spans="1:14" x14ac:dyDescent="0.25">
      <c r="A654" s="22" t="s">
        <v>5776</v>
      </c>
      <c r="B654" s="22" t="s">
        <v>39</v>
      </c>
      <c r="C654" s="22" t="s">
        <v>5771</v>
      </c>
      <c r="D654" s="23">
        <v>-77000</v>
      </c>
      <c r="E654" s="22" t="s">
        <v>57</v>
      </c>
      <c r="F654" s="24">
        <v>43994</v>
      </c>
      <c r="G654" s="22" t="s">
        <v>5762</v>
      </c>
      <c r="H654" s="22" t="s">
        <v>5746</v>
      </c>
      <c r="I654" s="22" t="s">
        <v>5777</v>
      </c>
      <c r="J654" s="22" t="s">
        <v>4401</v>
      </c>
      <c r="K654" s="22" t="s">
        <v>5748</v>
      </c>
      <c r="L654" s="22"/>
      <c r="M654" s="22"/>
      <c r="N654" s="22"/>
    </row>
    <row r="655" spans="1:14" x14ac:dyDescent="0.25">
      <c r="A655" s="22" t="s">
        <v>5778</v>
      </c>
      <c r="B655" s="22" t="s">
        <v>39</v>
      </c>
      <c r="C655" s="22" t="s">
        <v>5135</v>
      </c>
      <c r="D655" s="23">
        <v>2462279</v>
      </c>
      <c r="E655" s="22" t="s">
        <v>42</v>
      </c>
      <c r="F655" s="24">
        <v>44053</v>
      </c>
      <c r="G655" s="22" t="s">
        <v>5762</v>
      </c>
      <c r="H655" s="22" t="s">
        <v>292</v>
      </c>
      <c r="I655" s="22" t="s">
        <v>5779</v>
      </c>
      <c r="J655" s="22" t="s">
        <v>4401</v>
      </c>
      <c r="K655" s="22" t="s">
        <v>5135</v>
      </c>
      <c r="L655" s="22"/>
      <c r="M655" s="22"/>
      <c r="N655" s="22"/>
    </row>
    <row r="656" spans="1:14" x14ac:dyDescent="0.25">
      <c r="A656" s="22" t="s">
        <v>4783</v>
      </c>
      <c r="B656" s="22" t="s">
        <v>39</v>
      </c>
      <c r="C656" s="22" t="s">
        <v>5780</v>
      </c>
      <c r="D656" s="23">
        <v>2782625</v>
      </c>
      <c r="E656" s="22" t="s">
        <v>45</v>
      </c>
      <c r="F656" s="24">
        <v>44070</v>
      </c>
      <c r="G656" s="22" t="s">
        <v>5781</v>
      </c>
      <c r="H656" s="22" t="s">
        <v>5782</v>
      </c>
      <c r="I656" s="22" t="s">
        <v>5781</v>
      </c>
      <c r="J656" s="22" t="s">
        <v>4466</v>
      </c>
      <c r="K656" s="22" t="s">
        <v>5783</v>
      </c>
      <c r="L656" s="22"/>
      <c r="M656" s="22"/>
      <c r="N656" s="22"/>
    </row>
    <row r="657" spans="1:14" x14ac:dyDescent="0.25">
      <c r="A657" s="22" t="s">
        <v>4783</v>
      </c>
      <c r="B657" s="22" t="s">
        <v>39</v>
      </c>
      <c r="C657" s="22" t="s">
        <v>5780</v>
      </c>
      <c r="D657" s="23">
        <v>120685</v>
      </c>
      <c r="E657" s="22" t="s">
        <v>45</v>
      </c>
      <c r="F657" s="24">
        <v>44070</v>
      </c>
      <c r="G657" s="22" t="s">
        <v>5781</v>
      </c>
      <c r="H657" s="22" t="s">
        <v>5782</v>
      </c>
      <c r="I657" s="22" t="s">
        <v>5781</v>
      </c>
      <c r="J657" s="22" t="s">
        <v>4552</v>
      </c>
      <c r="K657" s="22" t="s">
        <v>5783</v>
      </c>
      <c r="L657" s="22"/>
      <c r="M657" s="22"/>
      <c r="N657" s="22"/>
    </row>
    <row r="658" spans="1:14" x14ac:dyDescent="0.25">
      <c r="A658" s="22" t="s">
        <v>4783</v>
      </c>
      <c r="B658" s="22" t="s">
        <v>39</v>
      </c>
      <c r="C658" s="22" t="s">
        <v>5780</v>
      </c>
      <c r="D658" s="23">
        <v>-2928952</v>
      </c>
      <c r="E658" s="22" t="s">
        <v>45</v>
      </c>
      <c r="F658" s="24">
        <v>44070</v>
      </c>
      <c r="G658" s="22" t="s">
        <v>5781</v>
      </c>
      <c r="H658" s="22" t="s">
        <v>5782</v>
      </c>
      <c r="I658" s="22" t="s">
        <v>5781</v>
      </c>
      <c r="J658" s="22" t="s">
        <v>4401</v>
      </c>
      <c r="K658" s="22" t="s">
        <v>5783</v>
      </c>
      <c r="L658" s="22"/>
      <c r="M658" s="22"/>
      <c r="N658" s="22"/>
    </row>
    <row r="659" spans="1:14" x14ac:dyDescent="0.25">
      <c r="A659" s="22" t="s">
        <v>4783</v>
      </c>
      <c r="B659" s="22" t="s">
        <v>39</v>
      </c>
      <c r="C659" s="22" t="s">
        <v>5780</v>
      </c>
      <c r="D659" s="23">
        <v>35100</v>
      </c>
      <c r="E659" s="22" t="s">
        <v>45</v>
      </c>
      <c r="F659" s="24">
        <v>44070</v>
      </c>
      <c r="G659" s="22" t="s">
        <v>5781</v>
      </c>
      <c r="H659" s="22" t="s">
        <v>5782</v>
      </c>
      <c r="I659" s="22" t="s">
        <v>5781</v>
      </c>
      <c r="J659" s="22" t="s">
        <v>4407</v>
      </c>
      <c r="K659" s="22" t="s">
        <v>5783</v>
      </c>
      <c r="L659" s="22"/>
      <c r="M659" s="22"/>
      <c r="N659" s="22"/>
    </row>
    <row r="660" spans="1:14" x14ac:dyDescent="0.25">
      <c r="A660" s="22" t="s">
        <v>5785</v>
      </c>
      <c r="B660" s="22" t="s">
        <v>39</v>
      </c>
      <c r="C660" s="22" t="s">
        <v>5784</v>
      </c>
      <c r="D660" s="23">
        <v>-59307</v>
      </c>
      <c r="E660" s="22" t="s">
        <v>57</v>
      </c>
      <c r="F660" s="24">
        <v>43949</v>
      </c>
      <c r="G660" s="22" t="s">
        <v>5781</v>
      </c>
      <c r="H660" s="22" t="s">
        <v>5786</v>
      </c>
      <c r="I660" s="22" t="s">
        <v>5787</v>
      </c>
      <c r="J660" s="22" t="s">
        <v>4466</v>
      </c>
      <c r="K660" s="22" t="s">
        <v>112</v>
      </c>
      <c r="L660" s="22"/>
      <c r="M660" s="22"/>
      <c r="N660" s="22"/>
    </row>
    <row r="661" spans="1:14" x14ac:dyDescent="0.25">
      <c r="A661" s="22" t="s">
        <v>5789</v>
      </c>
      <c r="B661" s="22" t="s">
        <v>39</v>
      </c>
      <c r="C661" s="22" t="s">
        <v>5788</v>
      </c>
      <c r="D661" s="23">
        <v>-35100</v>
      </c>
      <c r="E661" s="22" t="s">
        <v>57</v>
      </c>
      <c r="F661" s="24">
        <v>43964</v>
      </c>
      <c r="G661" s="22" t="s">
        <v>5781</v>
      </c>
      <c r="H661" s="22" t="s">
        <v>5790</v>
      </c>
      <c r="I661" s="22" t="s">
        <v>5791</v>
      </c>
      <c r="J661" s="22" t="s">
        <v>4407</v>
      </c>
      <c r="K661" s="22" t="s">
        <v>5669</v>
      </c>
      <c r="L661" s="22"/>
      <c r="M661" s="22"/>
      <c r="N661" s="22"/>
    </row>
    <row r="662" spans="1:14" x14ac:dyDescent="0.25">
      <c r="A662" s="22" t="s">
        <v>5735</v>
      </c>
      <c r="B662" s="22" t="s">
        <v>39</v>
      </c>
      <c r="C662" s="22" t="s">
        <v>5745</v>
      </c>
      <c r="D662" s="23">
        <v>-1693</v>
      </c>
      <c r="E662" s="22" t="s">
        <v>45</v>
      </c>
      <c r="F662" s="24">
        <v>44043</v>
      </c>
      <c r="G662" s="22" t="s">
        <v>5781</v>
      </c>
      <c r="H662" s="22" t="s">
        <v>5738</v>
      </c>
      <c r="I662" s="22" t="s">
        <v>5736</v>
      </c>
      <c r="J662" s="22" t="s">
        <v>4401</v>
      </c>
      <c r="K662" s="22" t="s">
        <v>5738</v>
      </c>
      <c r="L662" s="22"/>
      <c r="M662" s="22"/>
      <c r="N662" s="22"/>
    </row>
    <row r="663" spans="1:14" x14ac:dyDescent="0.25">
      <c r="A663" s="22" t="s">
        <v>4766</v>
      </c>
      <c r="B663" s="22" t="s">
        <v>39</v>
      </c>
      <c r="C663" s="22" t="s">
        <v>4768</v>
      </c>
      <c r="D663" s="23">
        <v>-255661</v>
      </c>
      <c r="E663" s="22" t="s">
        <v>57</v>
      </c>
      <c r="F663" s="24">
        <v>43964</v>
      </c>
      <c r="G663" s="22" t="s">
        <v>5781</v>
      </c>
      <c r="H663" s="22" t="s">
        <v>5792</v>
      </c>
      <c r="I663" s="22" t="s">
        <v>4770</v>
      </c>
      <c r="J663" s="22" t="s">
        <v>4466</v>
      </c>
      <c r="K663" s="22" t="s">
        <v>4539</v>
      </c>
      <c r="L663" s="22"/>
      <c r="M663" s="22"/>
      <c r="N663" s="22"/>
    </row>
    <row r="664" spans="1:14" x14ac:dyDescent="0.25">
      <c r="A664" s="22" t="s">
        <v>5794</v>
      </c>
      <c r="B664" s="22" t="s">
        <v>39</v>
      </c>
      <c r="C664" s="22" t="s">
        <v>5793</v>
      </c>
      <c r="D664" s="23">
        <v>-120685</v>
      </c>
      <c r="E664" s="22" t="s">
        <v>57</v>
      </c>
      <c r="F664" s="24">
        <v>43974</v>
      </c>
      <c r="G664" s="22" t="s">
        <v>5781</v>
      </c>
      <c r="H664" s="22" t="s">
        <v>5795</v>
      </c>
      <c r="I664" s="22" t="s">
        <v>5796</v>
      </c>
      <c r="J664" s="22" t="s">
        <v>4552</v>
      </c>
      <c r="K664" s="22" t="s">
        <v>5669</v>
      </c>
      <c r="L664" s="22"/>
      <c r="M664" s="22"/>
      <c r="N664" s="22"/>
    </row>
    <row r="665" spans="1:14" x14ac:dyDescent="0.25">
      <c r="A665" s="22" t="s">
        <v>4799</v>
      </c>
      <c r="B665" s="22" t="s">
        <v>39</v>
      </c>
      <c r="C665" s="22" t="s">
        <v>4802</v>
      </c>
      <c r="D665" s="23">
        <v>-2467657</v>
      </c>
      <c r="E665" s="22" t="s">
        <v>57</v>
      </c>
      <c r="F665" s="24">
        <v>43863</v>
      </c>
      <c r="G665" s="22" t="s">
        <v>5781</v>
      </c>
      <c r="H665" s="22" t="s">
        <v>5797</v>
      </c>
      <c r="I665" s="22" t="s">
        <v>4804</v>
      </c>
      <c r="J665" s="22" t="s">
        <v>4466</v>
      </c>
      <c r="K665" s="22" t="s">
        <v>112</v>
      </c>
      <c r="L665" s="22"/>
      <c r="M665" s="22"/>
      <c r="N665" s="22"/>
    </row>
    <row r="666" spans="1:14" x14ac:dyDescent="0.25">
      <c r="A666" s="22" t="s">
        <v>4783</v>
      </c>
      <c r="B666" s="22" t="s">
        <v>39</v>
      </c>
      <c r="C666" s="22" t="s">
        <v>4785</v>
      </c>
      <c r="D666" s="23">
        <v>-795919</v>
      </c>
      <c r="E666" s="22" t="s">
        <v>57</v>
      </c>
      <c r="F666" s="24">
        <v>43871</v>
      </c>
      <c r="G666" s="22" t="s">
        <v>5781</v>
      </c>
      <c r="H666" s="22" t="s">
        <v>5798</v>
      </c>
      <c r="I666" s="22" t="s">
        <v>4787</v>
      </c>
      <c r="J666" s="22" t="s">
        <v>4401</v>
      </c>
      <c r="K666" s="22" t="s">
        <v>112</v>
      </c>
      <c r="L666" s="22"/>
      <c r="M666" s="22"/>
      <c r="N666" s="22"/>
    </row>
    <row r="667" spans="1:14" x14ac:dyDescent="0.25">
      <c r="A667" s="22" t="s">
        <v>5799</v>
      </c>
      <c r="B667" s="22" t="s">
        <v>39</v>
      </c>
      <c r="C667" s="22" t="s">
        <v>5351</v>
      </c>
      <c r="D667" s="23">
        <v>3726564</v>
      </c>
      <c r="E667" s="22" t="s">
        <v>42</v>
      </c>
      <c r="F667" s="24">
        <v>44053</v>
      </c>
      <c r="G667" s="22" t="s">
        <v>5781</v>
      </c>
      <c r="H667" s="22" t="s">
        <v>292</v>
      </c>
      <c r="I667" s="22" t="s">
        <v>5800</v>
      </c>
      <c r="J667" s="22" t="s">
        <v>4401</v>
      </c>
      <c r="K667" s="22" t="s">
        <v>5351</v>
      </c>
      <c r="L667" s="22"/>
      <c r="M667" s="22"/>
      <c r="N667" s="22"/>
    </row>
    <row r="668" spans="1:14" x14ac:dyDescent="0.25">
      <c r="A668" s="22"/>
      <c r="B668" s="22" t="s">
        <v>39</v>
      </c>
      <c r="C668" s="22" t="s">
        <v>5750</v>
      </c>
      <c r="D668" s="23">
        <v>6800</v>
      </c>
      <c r="E668" s="22" t="s">
        <v>45</v>
      </c>
      <c r="F668" s="24">
        <v>44057</v>
      </c>
      <c r="G668" s="22" t="s">
        <v>5801</v>
      </c>
      <c r="H668" s="22" t="s">
        <v>2103</v>
      </c>
      <c r="I668" s="22" t="s">
        <v>5801</v>
      </c>
      <c r="J668" s="22" t="s">
        <v>4466</v>
      </c>
      <c r="K668" s="22" t="s">
        <v>2103</v>
      </c>
      <c r="L668" s="22"/>
      <c r="M668" s="22"/>
      <c r="N668" s="22"/>
    </row>
    <row r="669" spans="1:14" x14ac:dyDescent="0.25">
      <c r="A669" s="22"/>
      <c r="B669" s="22" t="s">
        <v>39</v>
      </c>
      <c r="C669" s="22" t="s">
        <v>5750</v>
      </c>
      <c r="D669" s="23">
        <v>-6800</v>
      </c>
      <c r="E669" s="22" t="s">
        <v>45</v>
      </c>
      <c r="F669" s="24">
        <v>44057</v>
      </c>
      <c r="G669" s="22" t="s">
        <v>5801</v>
      </c>
      <c r="H669" s="22" t="s">
        <v>2103</v>
      </c>
      <c r="I669" s="22" t="s">
        <v>5801</v>
      </c>
      <c r="J669" s="22" t="s">
        <v>4401</v>
      </c>
      <c r="K669" s="22" t="s">
        <v>2103</v>
      </c>
      <c r="L669" s="22"/>
      <c r="M669" s="22"/>
      <c r="N669" s="22"/>
    </row>
    <row r="670" spans="1:14" x14ac:dyDescent="0.25">
      <c r="A670" s="22" t="s">
        <v>3428</v>
      </c>
      <c r="B670" s="22" t="s">
        <v>39</v>
      </c>
      <c r="C670" s="22" t="s">
        <v>5802</v>
      </c>
      <c r="D670" s="23">
        <v>-6800</v>
      </c>
      <c r="E670" s="22" t="s">
        <v>57</v>
      </c>
      <c r="F670" s="24">
        <v>43994</v>
      </c>
      <c r="G670" s="22" t="s">
        <v>5801</v>
      </c>
      <c r="H670" s="22" t="s">
        <v>2202</v>
      </c>
      <c r="I670" s="22" t="s">
        <v>5803</v>
      </c>
      <c r="J670" s="22" t="s">
        <v>4466</v>
      </c>
      <c r="K670" s="22" t="s">
        <v>4489</v>
      </c>
      <c r="L670" s="22"/>
      <c r="M670" s="22"/>
      <c r="N670" s="22"/>
    </row>
    <row r="671" spans="1:14" x14ac:dyDescent="0.25">
      <c r="A671" s="22" t="s">
        <v>5583</v>
      </c>
      <c r="B671" s="22" t="s">
        <v>39</v>
      </c>
      <c r="C671" s="22" t="s">
        <v>5128</v>
      </c>
      <c r="D671" s="23">
        <v>6800</v>
      </c>
      <c r="E671" s="22" t="s">
        <v>45</v>
      </c>
      <c r="F671" s="24">
        <v>43987</v>
      </c>
      <c r="G671" s="22" t="s">
        <v>5801</v>
      </c>
      <c r="H671" s="22" t="s">
        <v>5804</v>
      </c>
      <c r="I671" s="22" t="s">
        <v>5584</v>
      </c>
      <c r="J671" s="22" t="s">
        <v>4401</v>
      </c>
      <c r="K671" s="22" t="s">
        <v>2103</v>
      </c>
      <c r="L671" s="22"/>
      <c r="M671" s="22"/>
      <c r="N671" s="22"/>
    </row>
    <row r="672" spans="1:14" x14ac:dyDescent="0.25">
      <c r="A672" s="22"/>
      <c r="B672" s="22" t="s">
        <v>39</v>
      </c>
      <c r="C672" s="22" t="s">
        <v>5750</v>
      </c>
      <c r="D672" s="23">
        <v>563712</v>
      </c>
      <c r="E672" s="22" t="s">
        <v>45</v>
      </c>
      <c r="F672" s="24">
        <v>44057</v>
      </c>
      <c r="G672" s="22" t="s">
        <v>5805</v>
      </c>
      <c r="H672" s="22" t="s">
        <v>2103</v>
      </c>
      <c r="I672" s="22" t="s">
        <v>5805</v>
      </c>
      <c r="J672" s="22" t="s">
        <v>4466</v>
      </c>
      <c r="K672" s="22" t="s">
        <v>2103</v>
      </c>
      <c r="L672" s="22"/>
      <c r="M672" s="22"/>
      <c r="N672" s="22"/>
    </row>
    <row r="673" spans="1:14" x14ac:dyDescent="0.25">
      <c r="A673" s="22"/>
      <c r="B673" s="22" t="s">
        <v>39</v>
      </c>
      <c r="C673" s="22" t="s">
        <v>5750</v>
      </c>
      <c r="D673" s="23">
        <v>-563712</v>
      </c>
      <c r="E673" s="22" t="s">
        <v>45</v>
      </c>
      <c r="F673" s="24">
        <v>44057</v>
      </c>
      <c r="G673" s="22" t="s">
        <v>5805</v>
      </c>
      <c r="H673" s="22" t="s">
        <v>2103</v>
      </c>
      <c r="I673" s="22" t="s">
        <v>5805</v>
      </c>
      <c r="J673" s="22" t="s">
        <v>4401</v>
      </c>
      <c r="K673" s="22" t="s">
        <v>2103</v>
      </c>
      <c r="L673" s="22"/>
      <c r="M673" s="22"/>
      <c r="N673" s="22"/>
    </row>
    <row r="674" spans="1:14" x14ac:dyDescent="0.25">
      <c r="A674" s="22" t="s">
        <v>5807</v>
      </c>
      <c r="B674" s="22" t="s">
        <v>39</v>
      </c>
      <c r="C674" s="22" t="s">
        <v>5806</v>
      </c>
      <c r="D674" s="23">
        <v>-87160</v>
      </c>
      <c r="E674" s="22" t="s">
        <v>57</v>
      </c>
      <c r="F674" s="24">
        <v>43955</v>
      </c>
      <c r="G674" s="22" t="s">
        <v>5805</v>
      </c>
      <c r="H674" s="22" t="s">
        <v>5808</v>
      </c>
      <c r="I674" s="22" t="s">
        <v>5809</v>
      </c>
      <c r="J674" s="22" t="s">
        <v>4466</v>
      </c>
      <c r="K674" s="22" t="s">
        <v>4489</v>
      </c>
      <c r="L674" s="22"/>
      <c r="M674" s="22"/>
      <c r="N674" s="22"/>
    </row>
    <row r="675" spans="1:14" x14ac:dyDescent="0.25">
      <c r="A675" s="22" t="s">
        <v>5810</v>
      </c>
      <c r="B675" s="22" t="s">
        <v>39</v>
      </c>
      <c r="C675" s="22" t="s">
        <v>5806</v>
      </c>
      <c r="D675" s="23">
        <v>-111597</v>
      </c>
      <c r="E675" s="22" t="s">
        <v>57</v>
      </c>
      <c r="F675" s="24">
        <v>43978</v>
      </c>
      <c r="G675" s="22" t="s">
        <v>5805</v>
      </c>
      <c r="H675" s="22" t="s">
        <v>2202</v>
      </c>
      <c r="I675" s="22" t="s">
        <v>5811</v>
      </c>
      <c r="J675" s="22" t="s">
        <v>4466</v>
      </c>
      <c r="K675" s="22" t="s">
        <v>4489</v>
      </c>
      <c r="L675" s="22"/>
      <c r="M675" s="22"/>
      <c r="N675" s="22"/>
    </row>
    <row r="676" spans="1:14" x14ac:dyDescent="0.25">
      <c r="A676" s="22" t="s">
        <v>5813</v>
      </c>
      <c r="B676" s="22" t="s">
        <v>39</v>
      </c>
      <c r="C676" s="22" t="s">
        <v>5812</v>
      </c>
      <c r="D676" s="23">
        <v>-35100</v>
      </c>
      <c r="E676" s="22" t="s">
        <v>57</v>
      </c>
      <c r="F676" s="24">
        <v>44005</v>
      </c>
      <c r="G676" s="22" t="s">
        <v>5805</v>
      </c>
      <c r="H676" s="22" t="s">
        <v>5814</v>
      </c>
      <c r="I676" s="22" t="s">
        <v>5815</v>
      </c>
      <c r="J676" s="22" t="s">
        <v>4401</v>
      </c>
      <c r="K676" s="22" t="s">
        <v>4489</v>
      </c>
      <c r="L676" s="22"/>
      <c r="M676" s="22"/>
      <c r="N676" s="22"/>
    </row>
    <row r="677" spans="1:14" x14ac:dyDescent="0.25">
      <c r="A677" s="22" t="s">
        <v>5816</v>
      </c>
      <c r="B677" s="22" t="s">
        <v>39</v>
      </c>
      <c r="C677" s="22" t="s">
        <v>5802</v>
      </c>
      <c r="D677" s="23">
        <v>-73600</v>
      </c>
      <c r="E677" s="22" t="s">
        <v>57</v>
      </c>
      <c r="F677" s="24">
        <v>44006</v>
      </c>
      <c r="G677" s="22" t="s">
        <v>5805</v>
      </c>
      <c r="H677" s="22" t="s">
        <v>2202</v>
      </c>
      <c r="I677" s="22" t="s">
        <v>5817</v>
      </c>
      <c r="J677" s="22" t="s">
        <v>4466</v>
      </c>
      <c r="K677" s="22" t="s">
        <v>4489</v>
      </c>
      <c r="L677" s="22"/>
      <c r="M677" s="22"/>
      <c r="N677" s="22"/>
    </row>
    <row r="678" spans="1:14" x14ac:dyDescent="0.25">
      <c r="A678" s="22" t="s">
        <v>5818</v>
      </c>
      <c r="B678" s="22" t="s">
        <v>39</v>
      </c>
      <c r="C678" s="22" t="s">
        <v>4763</v>
      </c>
      <c r="D678" s="23">
        <v>-175074</v>
      </c>
      <c r="E678" s="22" t="s">
        <v>57</v>
      </c>
      <c r="F678" s="24">
        <v>43987</v>
      </c>
      <c r="G678" s="22" t="s">
        <v>5805</v>
      </c>
      <c r="H678" s="22" t="s">
        <v>5819</v>
      </c>
      <c r="I678" s="22" t="s">
        <v>5820</v>
      </c>
      <c r="J678" s="22" t="s">
        <v>4466</v>
      </c>
      <c r="K678" s="22" t="s">
        <v>4489</v>
      </c>
      <c r="L678" s="22"/>
      <c r="M678" s="22"/>
      <c r="N678" s="22"/>
    </row>
    <row r="679" spans="1:14" x14ac:dyDescent="0.25">
      <c r="A679" s="22" t="s">
        <v>5821</v>
      </c>
      <c r="B679" s="22" t="s">
        <v>39</v>
      </c>
      <c r="C679" s="22" t="s">
        <v>4763</v>
      </c>
      <c r="D679" s="23">
        <v>-58681</v>
      </c>
      <c r="E679" s="22" t="s">
        <v>57</v>
      </c>
      <c r="F679" s="24">
        <v>44001</v>
      </c>
      <c r="G679" s="22" t="s">
        <v>5805</v>
      </c>
      <c r="H679" s="22" t="s">
        <v>2190</v>
      </c>
      <c r="I679" s="22" t="s">
        <v>5822</v>
      </c>
      <c r="J679" s="22" t="s">
        <v>4466</v>
      </c>
      <c r="K679" s="22" t="s">
        <v>4489</v>
      </c>
      <c r="L679" s="22"/>
      <c r="M679" s="22"/>
      <c r="N679" s="22"/>
    </row>
    <row r="680" spans="1:14" x14ac:dyDescent="0.25">
      <c r="A680" s="22" t="s">
        <v>5824</v>
      </c>
      <c r="B680" s="22" t="s">
        <v>39</v>
      </c>
      <c r="C680" s="22" t="s">
        <v>5823</v>
      </c>
      <c r="D680" s="23">
        <v>-57600</v>
      </c>
      <c r="E680" s="22" t="s">
        <v>57</v>
      </c>
      <c r="F680" s="24">
        <v>43871</v>
      </c>
      <c r="G680" s="22" t="s">
        <v>5805</v>
      </c>
      <c r="H680" s="22" t="s">
        <v>5825</v>
      </c>
      <c r="I680" s="22" t="s">
        <v>5826</v>
      </c>
      <c r="J680" s="22" t="s">
        <v>4466</v>
      </c>
      <c r="K680" s="22" t="s">
        <v>4489</v>
      </c>
      <c r="L680" s="22"/>
      <c r="M680" s="22"/>
      <c r="N680" s="22"/>
    </row>
    <row r="681" spans="1:14" x14ac:dyDescent="0.25">
      <c r="A681" s="22" t="s">
        <v>5629</v>
      </c>
      <c r="B681" s="22" t="s">
        <v>39</v>
      </c>
      <c r="C681" s="22" t="s">
        <v>5128</v>
      </c>
      <c r="D681" s="23">
        <v>599412</v>
      </c>
      <c r="E681" s="22" t="s">
        <v>42</v>
      </c>
      <c r="F681" s="24">
        <v>44019</v>
      </c>
      <c r="G681" s="22" t="s">
        <v>5805</v>
      </c>
      <c r="H681" s="22" t="s">
        <v>5721</v>
      </c>
      <c r="I681" s="22" t="s">
        <v>5827</v>
      </c>
      <c r="J681" s="22" t="s">
        <v>4401</v>
      </c>
      <c r="K681" s="22" t="s">
        <v>5128</v>
      </c>
      <c r="L681" s="22"/>
      <c r="M681" s="22"/>
      <c r="N681" s="22"/>
    </row>
    <row r="682" spans="1:14" x14ac:dyDescent="0.25">
      <c r="A682" s="22" t="s">
        <v>3428</v>
      </c>
      <c r="B682" s="22" t="s">
        <v>39</v>
      </c>
      <c r="C682" s="22" t="s">
        <v>5828</v>
      </c>
      <c r="D682" s="23">
        <v>-600</v>
      </c>
      <c r="E682" s="22" t="s">
        <v>57</v>
      </c>
      <c r="F682" s="24">
        <v>43994</v>
      </c>
      <c r="G682" s="22" t="s">
        <v>5805</v>
      </c>
      <c r="H682" s="22" t="s">
        <v>5828</v>
      </c>
      <c r="I682" s="22" t="s">
        <v>5803</v>
      </c>
      <c r="J682" s="22" t="s">
        <v>4401</v>
      </c>
      <c r="K682" s="22" t="s">
        <v>4489</v>
      </c>
      <c r="L682" s="22"/>
      <c r="M682" s="22"/>
      <c r="N682" s="22"/>
    </row>
    <row r="683" spans="1:14" x14ac:dyDescent="0.25">
      <c r="A683" s="22" t="s">
        <v>2103</v>
      </c>
      <c r="B683" s="22" t="s">
        <v>39</v>
      </c>
      <c r="C683" s="22" t="s">
        <v>5829</v>
      </c>
      <c r="D683" s="23">
        <v>290622</v>
      </c>
      <c r="E683" s="22" t="s">
        <v>45</v>
      </c>
      <c r="F683" s="24">
        <v>44071</v>
      </c>
      <c r="G683" s="22" t="s">
        <v>5830</v>
      </c>
      <c r="H683" s="22" t="s">
        <v>5831</v>
      </c>
      <c r="I683" s="22" t="s">
        <v>5830</v>
      </c>
      <c r="J683" s="22" t="s">
        <v>4466</v>
      </c>
      <c r="K683" s="22" t="s">
        <v>5832</v>
      </c>
      <c r="L683" s="22"/>
      <c r="M683" s="22"/>
      <c r="N683" s="22"/>
    </row>
    <row r="684" spans="1:14" x14ac:dyDescent="0.25">
      <c r="A684" s="22" t="s">
        <v>2103</v>
      </c>
      <c r="B684" s="22" t="s">
        <v>39</v>
      </c>
      <c r="C684" s="22" t="s">
        <v>5829</v>
      </c>
      <c r="D684" s="23">
        <v>-290622</v>
      </c>
      <c r="E684" s="22" t="s">
        <v>45</v>
      </c>
      <c r="F684" s="24">
        <v>44071</v>
      </c>
      <c r="G684" s="22" t="s">
        <v>5830</v>
      </c>
      <c r="H684" s="22" t="s">
        <v>5831</v>
      </c>
      <c r="I684" s="22" t="s">
        <v>5830</v>
      </c>
      <c r="J684" s="22" t="s">
        <v>4401</v>
      </c>
      <c r="K684" s="22" t="s">
        <v>5832</v>
      </c>
      <c r="L684" s="22"/>
      <c r="M684" s="22"/>
      <c r="N684" s="22"/>
    </row>
    <row r="685" spans="1:14" x14ac:dyDescent="0.25">
      <c r="A685" s="22" t="s">
        <v>4533</v>
      </c>
      <c r="B685" s="22" t="s">
        <v>39</v>
      </c>
      <c r="C685" s="22" t="s">
        <v>4536</v>
      </c>
      <c r="D685" s="23">
        <v>-409667</v>
      </c>
      <c r="E685" s="22" t="s">
        <v>57</v>
      </c>
      <c r="F685" s="24">
        <v>43976</v>
      </c>
      <c r="G685" s="22" t="s">
        <v>5830</v>
      </c>
      <c r="H685" s="22" t="s">
        <v>5833</v>
      </c>
      <c r="I685" s="22" t="s">
        <v>4538</v>
      </c>
      <c r="J685" s="22" t="s">
        <v>4401</v>
      </c>
      <c r="K685" s="22" t="s">
        <v>4539</v>
      </c>
      <c r="L685" s="22"/>
      <c r="M685" s="22"/>
      <c r="N685" s="22"/>
    </row>
    <row r="686" spans="1:14" x14ac:dyDescent="0.25">
      <c r="A686" s="22" t="s">
        <v>5835</v>
      </c>
      <c r="B686" s="22" t="s">
        <v>39</v>
      </c>
      <c r="C686" s="22" t="s">
        <v>5834</v>
      </c>
      <c r="D686" s="23">
        <v>-290622</v>
      </c>
      <c r="E686" s="22" t="s">
        <v>57</v>
      </c>
      <c r="F686" s="24">
        <v>43885</v>
      </c>
      <c r="G686" s="22" t="s">
        <v>5830</v>
      </c>
      <c r="H686" s="22" t="s">
        <v>5836</v>
      </c>
      <c r="I686" s="22" t="s">
        <v>5837</v>
      </c>
      <c r="J686" s="22" t="s">
        <v>4466</v>
      </c>
      <c r="K686" s="22" t="s">
        <v>4539</v>
      </c>
      <c r="L686" s="22"/>
      <c r="M686" s="22"/>
      <c r="N686" s="22"/>
    </row>
    <row r="687" spans="1:14" x14ac:dyDescent="0.25">
      <c r="A687" s="22" t="s">
        <v>4792</v>
      </c>
      <c r="B687" s="22" t="s">
        <v>39</v>
      </c>
      <c r="C687" s="22" t="s">
        <v>4794</v>
      </c>
      <c r="D687" s="23">
        <v>-319028</v>
      </c>
      <c r="E687" s="22" t="s">
        <v>57</v>
      </c>
      <c r="F687" s="24">
        <v>43875</v>
      </c>
      <c r="G687" s="22" t="s">
        <v>5830</v>
      </c>
      <c r="H687" s="22" t="s">
        <v>5838</v>
      </c>
      <c r="I687" s="22" t="s">
        <v>4796</v>
      </c>
      <c r="J687" s="22" t="s">
        <v>4401</v>
      </c>
      <c r="K687" s="22" t="s">
        <v>4539</v>
      </c>
      <c r="L687" s="22"/>
      <c r="M687" s="22"/>
      <c r="N687" s="22"/>
    </row>
    <row r="688" spans="1:14" x14ac:dyDescent="0.25">
      <c r="A688" s="22" t="s">
        <v>5641</v>
      </c>
      <c r="B688" s="22" t="s">
        <v>39</v>
      </c>
      <c r="C688" s="22" t="s">
        <v>5119</v>
      </c>
      <c r="D688" s="23">
        <v>1019317</v>
      </c>
      <c r="E688" s="22" t="s">
        <v>42</v>
      </c>
      <c r="F688" s="24">
        <v>44019</v>
      </c>
      <c r="G688" s="22" t="s">
        <v>5830</v>
      </c>
      <c r="H688" s="22" t="s">
        <v>5721</v>
      </c>
      <c r="I688" s="22" t="s">
        <v>5839</v>
      </c>
      <c r="J688" s="22" t="s">
        <v>4401</v>
      </c>
      <c r="K688" s="22" t="s">
        <v>5119</v>
      </c>
      <c r="L688" s="22"/>
      <c r="M688" s="22"/>
      <c r="N688" s="22"/>
    </row>
    <row r="689" spans="1:14" x14ac:dyDescent="0.25">
      <c r="A689" s="22" t="s">
        <v>5841</v>
      </c>
      <c r="B689" s="22" t="s">
        <v>39</v>
      </c>
      <c r="C689" s="22" t="s">
        <v>5840</v>
      </c>
      <c r="D689" s="23">
        <v>266664</v>
      </c>
      <c r="E689" s="22" t="s">
        <v>45</v>
      </c>
      <c r="F689" s="24">
        <v>44044</v>
      </c>
      <c r="G689" s="22" t="s">
        <v>5842</v>
      </c>
      <c r="H689" s="22" t="s">
        <v>5841</v>
      </c>
      <c r="I689" s="22" t="s">
        <v>5842</v>
      </c>
      <c r="J689" s="22" t="s">
        <v>4401</v>
      </c>
      <c r="K689" s="22" t="s">
        <v>5841</v>
      </c>
      <c r="L689" s="22"/>
      <c r="M689" s="22"/>
      <c r="N689" s="22"/>
    </row>
    <row r="690" spans="1:14" x14ac:dyDescent="0.25">
      <c r="A690" s="22" t="s">
        <v>5841</v>
      </c>
      <c r="B690" s="22" t="s">
        <v>39</v>
      </c>
      <c r="C690" s="22" t="s">
        <v>5840</v>
      </c>
      <c r="D690" s="23">
        <v>-266664</v>
      </c>
      <c r="E690" s="22" t="s">
        <v>45</v>
      </c>
      <c r="F690" s="24">
        <v>44044</v>
      </c>
      <c r="G690" s="22" t="s">
        <v>5842</v>
      </c>
      <c r="H690" s="22" t="s">
        <v>5841</v>
      </c>
      <c r="I690" s="22" t="s">
        <v>5842</v>
      </c>
      <c r="J690" s="22" t="s">
        <v>4401</v>
      </c>
      <c r="K690" s="22" t="s">
        <v>5841</v>
      </c>
      <c r="L690" s="22"/>
      <c r="M690" s="22"/>
      <c r="N690" s="22"/>
    </row>
    <row r="691" spans="1:14" x14ac:dyDescent="0.25">
      <c r="A691" s="22" t="s">
        <v>5844</v>
      </c>
      <c r="B691" s="22" t="s">
        <v>39</v>
      </c>
      <c r="C691" s="22" t="s">
        <v>5843</v>
      </c>
      <c r="D691" s="23">
        <v>-35100</v>
      </c>
      <c r="E691" s="22" t="s">
        <v>57</v>
      </c>
      <c r="F691" s="24">
        <v>43977</v>
      </c>
      <c r="G691" s="22" t="s">
        <v>5842</v>
      </c>
      <c r="H691" s="22" t="s">
        <v>5845</v>
      </c>
      <c r="I691" s="22" t="s">
        <v>5846</v>
      </c>
      <c r="J691" s="22" t="s">
        <v>4401</v>
      </c>
      <c r="K691" s="22" t="s">
        <v>103</v>
      </c>
      <c r="L691" s="22"/>
      <c r="M691" s="22"/>
      <c r="N691" s="22"/>
    </row>
    <row r="692" spans="1:14" x14ac:dyDescent="0.25">
      <c r="A692" s="22" t="s">
        <v>5848</v>
      </c>
      <c r="B692" s="22" t="s">
        <v>39</v>
      </c>
      <c r="C692" s="22" t="s">
        <v>5847</v>
      </c>
      <c r="D692" s="23">
        <v>-231564</v>
      </c>
      <c r="E692" s="22" t="s">
        <v>57</v>
      </c>
      <c r="F692" s="24">
        <v>43960</v>
      </c>
      <c r="G692" s="22" t="s">
        <v>5842</v>
      </c>
      <c r="H692" s="22" t="s">
        <v>2098</v>
      </c>
      <c r="I692" s="22" t="s">
        <v>5849</v>
      </c>
      <c r="J692" s="22" t="s">
        <v>4401</v>
      </c>
      <c r="K692" s="22" t="s">
        <v>103</v>
      </c>
      <c r="L692" s="22"/>
      <c r="M692" s="22"/>
      <c r="N692" s="22"/>
    </row>
    <row r="693" spans="1:14" x14ac:dyDescent="0.25">
      <c r="A693" s="22" t="s">
        <v>5644</v>
      </c>
      <c r="B693" s="22" t="s">
        <v>39</v>
      </c>
      <c r="C693" s="22" t="s">
        <v>5081</v>
      </c>
      <c r="D693" s="23">
        <v>266664</v>
      </c>
      <c r="E693" s="22" t="s">
        <v>42</v>
      </c>
      <c r="F693" s="24">
        <v>44019</v>
      </c>
      <c r="G693" s="22" t="s">
        <v>5842</v>
      </c>
      <c r="H693" s="22" t="s">
        <v>5721</v>
      </c>
      <c r="I693" s="22" t="s">
        <v>5850</v>
      </c>
      <c r="J693" s="22" t="s">
        <v>4401</v>
      </c>
      <c r="K693" s="22" t="s">
        <v>5081</v>
      </c>
      <c r="L693" s="22"/>
      <c r="M693" s="22"/>
      <c r="N693" s="22"/>
    </row>
    <row r="694" spans="1:14" x14ac:dyDescent="0.25">
      <c r="A694" s="22" t="s">
        <v>2081</v>
      </c>
      <c r="B694" s="22" t="s">
        <v>39</v>
      </c>
      <c r="C694" s="22" t="s">
        <v>4756</v>
      </c>
      <c r="D694" s="23">
        <v>-165677</v>
      </c>
      <c r="E694" s="22" t="s">
        <v>57</v>
      </c>
      <c r="F694" s="24">
        <v>43941</v>
      </c>
      <c r="G694" s="22" t="s">
        <v>5851</v>
      </c>
      <c r="H694" s="22" t="s">
        <v>5852</v>
      </c>
      <c r="I694" s="22" t="s">
        <v>4758</v>
      </c>
      <c r="J694" s="22" t="s">
        <v>4466</v>
      </c>
      <c r="K694" s="22" t="s">
        <v>4759</v>
      </c>
      <c r="L694" s="22"/>
      <c r="M694" s="22"/>
      <c r="N694" s="22"/>
    </row>
    <row r="695" spans="1:14" x14ac:dyDescent="0.25">
      <c r="A695" s="22" t="s">
        <v>5854</v>
      </c>
      <c r="B695" s="22" t="s">
        <v>39</v>
      </c>
      <c r="C695" s="22" t="s">
        <v>5853</v>
      </c>
      <c r="D695" s="23">
        <v>-2235654</v>
      </c>
      <c r="E695" s="22" t="s">
        <v>57</v>
      </c>
      <c r="F695" s="24">
        <v>43909</v>
      </c>
      <c r="G695" s="22" t="s">
        <v>5851</v>
      </c>
      <c r="H695" s="22" t="s">
        <v>5855</v>
      </c>
      <c r="I695" s="22" t="s">
        <v>5856</v>
      </c>
      <c r="J695" s="22" t="s">
        <v>4466</v>
      </c>
      <c r="K695" s="22" t="s">
        <v>4759</v>
      </c>
      <c r="L695" s="22"/>
      <c r="M695" s="22"/>
      <c r="N695" s="22"/>
    </row>
    <row r="696" spans="1:14" x14ac:dyDescent="0.25">
      <c r="A696" s="22" t="s">
        <v>5858</v>
      </c>
      <c r="B696" s="22" t="s">
        <v>39</v>
      </c>
      <c r="C696" s="22" t="s">
        <v>5857</v>
      </c>
      <c r="D696" s="23">
        <v>-108380</v>
      </c>
      <c r="E696" s="22" t="s">
        <v>57</v>
      </c>
      <c r="F696" s="24">
        <v>43878</v>
      </c>
      <c r="G696" s="22" t="s">
        <v>5851</v>
      </c>
      <c r="H696" s="22" t="s">
        <v>5859</v>
      </c>
      <c r="I696" s="22" t="s">
        <v>5860</v>
      </c>
      <c r="J696" s="22" t="s">
        <v>4401</v>
      </c>
      <c r="K696" s="22" t="s">
        <v>4424</v>
      </c>
      <c r="L696" s="22"/>
      <c r="M696" s="22"/>
      <c r="N696" s="22"/>
    </row>
    <row r="697" spans="1:14" x14ac:dyDescent="0.25">
      <c r="A697" s="22" t="s">
        <v>5861</v>
      </c>
      <c r="B697" s="22" t="s">
        <v>39</v>
      </c>
      <c r="C697" s="22" t="s">
        <v>5857</v>
      </c>
      <c r="D697" s="23">
        <v>-122466</v>
      </c>
      <c r="E697" s="22" t="s">
        <v>57</v>
      </c>
      <c r="F697" s="24">
        <v>43879</v>
      </c>
      <c r="G697" s="22" t="s">
        <v>5851</v>
      </c>
      <c r="H697" s="22" t="s">
        <v>5862</v>
      </c>
      <c r="I697" s="22" t="s">
        <v>5863</v>
      </c>
      <c r="J697" s="22" t="s">
        <v>4401</v>
      </c>
      <c r="K697" s="22" t="s">
        <v>4424</v>
      </c>
      <c r="L697" s="22"/>
      <c r="M697" s="22"/>
      <c r="N697" s="22"/>
    </row>
    <row r="698" spans="1:14" x14ac:dyDescent="0.25">
      <c r="A698" s="22" t="s">
        <v>5623</v>
      </c>
      <c r="B698" s="22" t="s">
        <v>39</v>
      </c>
      <c r="C698" s="22" t="s">
        <v>5101</v>
      </c>
      <c r="D698" s="23">
        <v>479722</v>
      </c>
      <c r="E698" s="22" t="s">
        <v>42</v>
      </c>
      <c r="F698" s="24">
        <v>44019</v>
      </c>
      <c r="G698" s="22" t="s">
        <v>5851</v>
      </c>
      <c r="H698" s="22" t="s">
        <v>5721</v>
      </c>
      <c r="I698" s="22" t="s">
        <v>5864</v>
      </c>
      <c r="J698" s="22" t="s">
        <v>4401</v>
      </c>
      <c r="K698" s="22" t="s">
        <v>5101</v>
      </c>
      <c r="L698" s="22"/>
      <c r="M698" s="22"/>
      <c r="N698" s="22"/>
    </row>
    <row r="699" spans="1:14" x14ac:dyDescent="0.25">
      <c r="A699" s="22" t="s">
        <v>5865</v>
      </c>
      <c r="B699" s="22" t="s">
        <v>39</v>
      </c>
      <c r="C699" s="22" t="s">
        <v>5101</v>
      </c>
      <c r="D699" s="23">
        <v>10288709</v>
      </c>
      <c r="E699" s="22" t="s">
        <v>42</v>
      </c>
      <c r="F699" s="24">
        <v>44053</v>
      </c>
      <c r="G699" s="22" t="s">
        <v>5851</v>
      </c>
      <c r="H699" s="22" t="s">
        <v>292</v>
      </c>
      <c r="I699" s="22" t="s">
        <v>5866</v>
      </c>
      <c r="J699" s="22" t="s">
        <v>4401</v>
      </c>
      <c r="K699" s="22" t="s">
        <v>5101</v>
      </c>
      <c r="L699" s="22"/>
      <c r="M699" s="22"/>
      <c r="N699" s="22"/>
    </row>
    <row r="700" spans="1:14" x14ac:dyDescent="0.25">
      <c r="A700" s="22" t="s">
        <v>5865</v>
      </c>
      <c r="B700" s="22" t="s">
        <v>39</v>
      </c>
      <c r="C700" s="22" t="s">
        <v>5101</v>
      </c>
      <c r="D700" s="23">
        <v>2401331</v>
      </c>
      <c r="E700" s="22" t="s">
        <v>45</v>
      </c>
      <c r="F700" s="24">
        <v>44053</v>
      </c>
      <c r="G700" s="22" t="s">
        <v>5851</v>
      </c>
      <c r="H700" s="22" t="s">
        <v>292</v>
      </c>
      <c r="I700" s="22" t="s">
        <v>5851</v>
      </c>
      <c r="J700" s="22" t="s">
        <v>4466</v>
      </c>
      <c r="K700" s="22" t="s">
        <v>5101</v>
      </c>
      <c r="L700" s="22"/>
      <c r="M700" s="22"/>
      <c r="N700" s="22"/>
    </row>
    <row r="701" spans="1:14" x14ac:dyDescent="0.25">
      <c r="A701" s="22" t="s">
        <v>5865</v>
      </c>
      <c r="B701" s="22" t="s">
        <v>39</v>
      </c>
      <c r="C701" s="22" t="s">
        <v>5101</v>
      </c>
      <c r="D701" s="23">
        <v>-10537585</v>
      </c>
      <c r="E701" s="22" t="s">
        <v>45</v>
      </c>
      <c r="F701" s="24">
        <v>44053</v>
      </c>
      <c r="G701" s="22" t="s">
        <v>5851</v>
      </c>
      <c r="H701" s="22" t="s">
        <v>292</v>
      </c>
      <c r="I701" s="22" t="s">
        <v>5851</v>
      </c>
      <c r="J701" s="22" t="s">
        <v>4401</v>
      </c>
      <c r="K701" s="22" t="s">
        <v>5101</v>
      </c>
      <c r="L701" s="22"/>
      <c r="M701" s="22"/>
      <c r="N701" s="22"/>
    </row>
    <row r="702" spans="1:14" x14ac:dyDescent="0.25">
      <c r="A702" s="22" t="s">
        <v>4692</v>
      </c>
      <c r="B702" s="22" t="s">
        <v>39</v>
      </c>
      <c r="C702" s="22" t="s">
        <v>4691</v>
      </c>
      <c r="D702" s="23">
        <v>-30102</v>
      </c>
      <c r="E702" s="22" t="s">
        <v>57</v>
      </c>
      <c r="F702" s="24">
        <v>44074</v>
      </c>
      <c r="G702" s="22" t="s">
        <v>5867</v>
      </c>
      <c r="H702" s="22" t="s">
        <v>4694</v>
      </c>
      <c r="I702" s="22" t="s">
        <v>4693</v>
      </c>
      <c r="J702" s="22" t="s">
        <v>4401</v>
      </c>
      <c r="K702" s="22" t="s">
        <v>4695</v>
      </c>
      <c r="L702" s="22"/>
      <c r="M702" s="22"/>
      <c r="N702" s="22"/>
    </row>
    <row r="703" spans="1:14" x14ac:dyDescent="0.25">
      <c r="A703" s="22" t="s">
        <v>5724</v>
      </c>
      <c r="B703" s="22" t="s">
        <v>39</v>
      </c>
      <c r="C703" s="22" t="s">
        <v>4691</v>
      </c>
      <c r="D703" s="23">
        <v>217798</v>
      </c>
      <c r="E703" s="22" t="s">
        <v>45</v>
      </c>
      <c r="F703" s="24">
        <v>44019</v>
      </c>
      <c r="G703" s="22" t="s">
        <v>5867</v>
      </c>
      <c r="H703" s="22" t="s">
        <v>5726</v>
      </c>
      <c r="I703" s="22" t="s">
        <v>5867</v>
      </c>
      <c r="J703" s="22" t="s">
        <v>4466</v>
      </c>
      <c r="K703" s="22" t="s">
        <v>5726</v>
      </c>
      <c r="L703" s="22"/>
      <c r="M703" s="22"/>
      <c r="N703" s="22"/>
    </row>
    <row r="704" spans="1:14" x14ac:dyDescent="0.25">
      <c r="A704" s="22" t="s">
        <v>5724</v>
      </c>
      <c r="B704" s="22" t="s">
        <v>39</v>
      </c>
      <c r="C704" s="22" t="s">
        <v>4691</v>
      </c>
      <c r="D704" s="23">
        <v>-217798</v>
      </c>
      <c r="E704" s="22" t="s">
        <v>45</v>
      </c>
      <c r="F704" s="24">
        <v>44019</v>
      </c>
      <c r="G704" s="22" t="s">
        <v>5867</v>
      </c>
      <c r="H704" s="22" t="s">
        <v>5726</v>
      </c>
      <c r="I704" s="22" t="s">
        <v>5867</v>
      </c>
      <c r="J704" s="22" t="s">
        <v>4401</v>
      </c>
      <c r="K704" s="22" t="s">
        <v>5726</v>
      </c>
      <c r="L704" s="22"/>
      <c r="M704" s="22"/>
      <c r="N704" s="22"/>
    </row>
    <row r="705" spans="1:14" x14ac:dyDescent="0.25">
      <c r="A705" s="22" t="s">
        <v>5869</v>
      </c>
      <c r="B705" s="22" t="s">
        <v>39</v>
      </c>
      <c r="C705" s="22" t="s">
        <v>5868</v>
      </c>
      <c r="D705" s="23">
        <v>-113764</v>
      </c>
      <c r="E705" s="22" t="s">
        <v>57</v>
      </c>
      <c r="F705" s="24">
        <v>43926</v>
      </c>
      <c r="G705" s="22" t="s">
        <v>5867</v>
      </c>
      <c r="H705" s="22" t="s">
        <v>5713</v>
      </c>
      <c r="I705" s="22" t="s">
        <v>5870</v>
      </c>
      <c r="J705" s="22" t="s">
        <v>4401</v>
      </c>
      <c r="K705" s="22" t="s">
        <v>4519</v>
      </c>
      <c r="L705" s="22"/>
      <c r="M705" s="22"/>
      <c r="N705" s="22"/>
    </row>
    <row r="706" spans="1:14" x14ac:dyDescent="0.25">
      <c r="A706" s="22" t="s">
        <v>5872</v>
      </c>
      <c r="B706" s="22" t="s">
        <v>39</v>
      </c>
      <c r="C706" s="22" t="s">
        <v>5871</v>
      </c>
      <c r="D706" s="23">
        <v>-100900</v>
      </c>
      <c r="E706" s="22" t="s">
        <v>57</v>
      </c>
      <c r="F706" s="24">
        <v>43957</v>
      </c>
      <c r="G706" s="22" t="s">
        <v>5867</v>
      </c>
      <c r="H706" s="22" t="s">
        <v>1250</v>
      </c>
      <c r="I706" s="22" t="s">
        <v>5873</v>
      </c>
      <c r="J706" s="22" t="s">
        <v>4466</v>
      </c>
      <c r="K706" s="22" t="s">
        <v>83</v>
      </c>
      <c r="L706" s="22"/>
      <c r="M706" s="22"/>
      <c r="N706" s="22"/>
    </row>
    <row r="707" spans="1:14" x14ac:dyDescent="0.25">
      <c r="A707" s="22" t="s">
        <v>5875</v>
      </c>
      <c r="B707" s="22" t="s">
        <v>39</v>
      </c>
      <c r="C707" s="22" t="s">
        <v>5874</v>
      </c>
      <c r="D707" s="23">
        <v>-31700</v>
      </c>
      <c r="E707" s="22" t="s">
        <v>57</v>
      </c>
      <c r="F707" s="24">
        <v>43986</v>
      </c>
      <c r="G707" s="22" t="s">
        <v>5867</v>
      </c>
      <c r="H707" s="22" t="s">
        <v>5876</v>
      </c>
      <c r="I707" s="22" t="s">
        <v>5877</v>
      </c>
      <c r="J707" s="22" t="s">
        <v>4466</v>
      </c>
      <c r="K707" s="22" t="s">
        <v>4519</v>
      </c>
      <c r="L707" s="22"/>
      <c r="M707" s="22"/>
      <c r="N707" s="22"/>
    </row>
    <row r="708" spans="1:14" x14ac:dyDescent="0.25">
      <c r="A708" s="22" t="s">
        <v>5879</v>
      </c>
      <c r="B708" s="22" t="s">
        <v>39</v>
      </c>
      <c r="C708" s="22" t="s">
        <v>5878</v>
      </c>
      <c r="D708" s="23">
        <v>-85198</v>
      </c>
      <c r="E708" s="22" t="s">
        <v>57</v>
      </c>
      <c r="F708" s="24">
        <v>44011</v>
      </c>
      <c r="G708" s="22" t="s">
        <v>5867</v>
      </c>
      <c r="H708" s="22" t="s">
        <v>1131</v>
      </c>
      <c r="I708" s="22" t="s">
        <v>5880</v>
      </c>
      <c r="J708" s="22" t="s">
        <v>4466</v>
      </c>
      <c r="K708" s="22" t="s">
        <v>4519</v>
      </c>
      <c r="L708" s="22"/>
      <c r="M708" s="22"/>
      <c r="N708" s="22"/>
    </row>
    <row r="709" spans="1:14" x14ac:dyDescent="0.25">
      <c r="A709" s="22" t="s">
        <v>5724</v>
      </c>
      <c r="B709" s="22" t="s">
        <v>39</v>
      </c>
      <c r="C709" s="22" t="s">
        <v>4916</v>
      </c>
      <c r="D709" s="23">
        <v>361664</v>
      </c>
      <c r="E709" s="22" t="s">
        <v>45</v>
      </c>
      <c r="F709" s="24">
        <v>44041</v>
      </c>
      <c r="G709" s="22" t="s">
        <v>5867</v>
      </c>
      <c r="H709" s="22" t="s">
        <v>5881</v>
      </c>
      <c r="I709" s="22" t="s">
        <v>5725</v>
      </c>
      <c r="J709" s="22" t="s">
        <v>4401</v>
      </c>
      <c r="K709" s="22" t="s">
        <v>5726</v>
      </c>
      <c r="L709" s="22"/>
      <c r="M709" s="22"/>
      <c r="N709" s="22"/>
    </row>
    <row r="710" spans="1:14" x14ac:dyDescent="0.25">
      <c r="A710" s="22" t="s">
        <v>5882</v>
      </c>
      <c r="B710" s="22" t="s">
        <v>39</v>
      </c>
      <c r="C710" s="22" t="s">
        <v>4691</v>
      </c>
      <c r="D710" s="23">
        <v>-4273049</v>
      </c>
      <c r="E710" s="22" t="s">
        <v>45</v>
      </c>
      <c r="F710" s="24">
        <v>44074</v>
      </c>
      <c r="G710" s="22" t="s">
        <v>5883</v>
      </c>
      <c r="H710" s="22" t="s">
        <v>5884</v>
      </c>
      <c r="I710" s="22" t="s">
        <v>5883</v>
      </c>
      <c r="J710" s="22" t="s">
        <v>4401</v>
      </c>
      <c r="K710" s="22" t="s">
        <v>5884</v>
      </c>
      <c r="L710" s="22"/>
      <c r="M710" s="22"/>
      <c r="N710" s="22"/>
    </row>
    <row r="711" spans="1:14" x14ac:dyDescent="0.25">
      <c r="A711" s="22" t="s">
        <v>4692</v>
      </c>
      <c r="B711" s="22" t="s">
        <v>39</v>
      </c>
      <c r="C711" s="22" t="s">
        <v>4696</v>
      </c>
      <c r="D711" s="23">
        <v>-101198</v>
      </c>
      <c r="E711" s="22" t="s">
        <v>57</v>
      </c>
      <c r="F711" s="24">
        <v>44074</v>
      </c>
      <c r="G711" s="22" t="s">
        <v>5883</v>
      </c>
      <c r="H711" s="22" t="s">
        <v>5885</v>
      </c>
      <c r="I711" s="22" t="s">
        <v>4693</v>
      </c>
      <c r="J711" s="22" t="s">
        <v>4401</v>
      </c>
      <c r="K711" s="22" t="s">
        <v>4695</v>
      </c>
      <c r="L711" s="22"/>
      <c r="M711" s="22"/>
      <c r="N711" s="22"/>
    </row>
    <row r="712" spans="1:14" x14ac:dyDescent="0.25">
      <c r="A712" s="22" t="s">
        <v>5886</v>
      </c>
      <c r="B712" s="22" t="s">
        <v>39</v>
      </c>
      <c r="C712" s="22" t="s">
        <v>4916</v>
      </c>
      <c r="D712" s="23">
        <v>4374247</v>
      </c>
      <c r="E712" s="22" t="s">
        <v>42</v>
      </c>
      <c r="F712" s="24">
        <v>44053</v>
      </c>
      <c r="G712" s="22" t="s">
        <v>5883</v>
      </c>
      <c r="H712" s="22" t="s">
        <v>292</v>
      </c>
      <c r="I712" s="22" t="s">
        <v>5887</v>
      </c>
      <c r="J712" s="22" t="s">
        <v>4401</v>
      </c>
      <c r="K712" s="22" t="s">
        <v>4916</v>
      </c>
      <c r="L712" s="22"/>
      <c r="M712" s="22"/>
      <c r="N712" s="22"/>
    </row>
    <row r="713" spans="1:14" x14ac:dyDescent="0.25">
      <c r="A713" s="22" t="s">
        <v>4700</v>
      </c>
      <c r="B713" s="22" t="s">
        <v>39</v>
      </c>
      <c r="C713" s="22" t="s">
        <v>4699</v>
      </c>
      <c r="D713" s="23">
        <v>-34200</v>
      </c>
      <c r="E713" s="22" t="s">
        <v>57</v>
      </c>
      <c r="F713" s="24">
        <v>44020</v>
      </c>
      <c r="G713" s="22" t="s">
        <v>5888</v>
      </c>
      <c r="H713" s="22" t="s">
        <v>5889</v>
      </c>
      <c r="I713" s="22" t="s">
        <v>4701</v>
      </c>
      <c r="J713" s="22" t="s">
        <v>4401</v>
      </c>
      <c r="K713" s="22" t="s">
        <v>4703</v>
      </c>
      <c r="L713" s="22"/>
      <c r="M713" s="22"/>
      <c r="N713" s="22"/>
    </row>
    <row r="714" spans="1:14" x14ac:dyDescent="0.25">
      <c r="A714" s="22" t="s">
        <v>2115</v>
      </c>
      <c r="B714" s="22" t="s">
        <v>39</v>
      </c>
      <c r="C714" s="22" t="s">
        <v>4699</v>
      </c>
      <c r="D714" s="23">
        <v>45900</v>
      </c>
      <c r="E714" s="22" t="s">
        <v>45</v>
      </c>
      <c r="F714" s="24">
        <v>44088</v>
      </c>
      <c r="G714" s="22" t="s">
        <v>5888</v>
      </c>
      <c r="H714" s="22" t="s">
        <v>5890</v>
      </c>
      <c r="I714" s="22" t="s">
        <v>5888</v>
      </c>
      <c r="J714" s="22" t="s">
        <v>4401</v>
      </c>
      <c r="K714" s="22" t="s">
        <v>5891</v>
      </c>
      <c r="L714" s="22"/>
      <c r="M714" s="22"/>
      <c r="N714" s="22"/>
    </row>
    <row r="715" spans="1:14" x14ac:dyDescent="0.25">
      <c r="A715" s="22" t="s">
        <v>2115</v>
      </c>
      <c r="B715" s="22" t="s">
        <v>39</v>
      </c>
      <c r="C715" s="22" t="s">
        <v>4699</v>
      </c>
      <c r="D715" s="23">
        <v>-45900</v>
      </c>
      <c r="E715" s="22" t="s">
        <v>45</v>
      </c>
      <c r="F715" s="24">
        <v>44088</v>
      </c>
      <c r="G715" s="22" t="s">
        <v>5888</v>
      </c>
      <c r="H715" s="22" t="s">
        <v>5890</v>
      </c>
      <c r="I715" s="22" t="s">
        <v>5888</v>
      </c>
      <c r="J715" s="22" t="s">
        <v>4401</v>
      </c>
      <c r="K715" s="22" t="s">
        <v>5891</v>
      </c>
      <c r="L715" s="22"/>
      <c r="M715" s="22"/>
      <c r="N715" s="22"/>
    </row>
    <row r="716" spans="1:14" x14ac:dyDescent="0.25">
      <c r="A716" s="22" t="s">
        <v>3425</v>
      </c>
      <c r="B716" s="22" t="s">
        <v>39</v>
      </c>
      <c r="C716" s="22" t="s">
        <v>4687</v>
      </c>
      <c r="D716" s="23">
        <v>-11700</v>
      </c>
      <c r="E716" s="22" t="s">
        <v>57</v>
      </c>
      <c r="F716" s="24">
        <v>43923</v>
      </c>
      <c r="G716" s="22" t="s">
        <v>5888</v>
      </c>
      <c r="H716" s="22" t="s">
        <v>4686</v>
      </c>
      <c r="I716" s="22" t="s">
        <v>4685</v>
      </c>
      <c r="J716" s="22" t="s">
        <v>4401</v>
      </c>
      <c r="K716" s="22" t="s">
        <v>3425</v>
      </c>
      <c r="L716" s="22"/>
      <c r="M716" s="22"/>
      <c r="N716" s="22"/>
    </row>
    <row r="717" spans="1:14" x14ac:dyDescent="0.25">
      <c r="A717" s="22" t="s">
        <v>5892</v>
      </c>
      <c r="B717" s="22" t="s">
        <v>39</v>
      </c>
      <c r="C717" s="22" t="s">
        <v>5135</v>
      </c>
      <c r="D717" s="23">
        <v>45900</v>
      </c>
      <c r="E717" s="22" t="s">
        <v>42</v>
      </c>
      <c r="F717" s="24">
        <v>44081</v>
      </c>
      <c r="G717" s="22" t="s">
        <v>5888</v>
      </c>
      <c r="H717" s="22" t="s">
        <v>5893</v>
      </c>
      <c r="I717" s="22" t="s">
        <v>5894</v>
      </c>
      <c r="J717" s="22" t="s">
        <v>4401</v>
      </c>
      <c r="K717" s="22" t="s">
        <v>292</v>
      </c>
      <c r="L717" s="22"/>
      <c r="M717" s="22"/>
      <c r="N717" s="22"/>
    </row>
    <row r="718" spans="1:14" x14ac:dyDescent="0.25">
      <c r="A718" s="22" t="s">
        <v>5896</v>
      </c>
      <c r="B718" s="22" t="s">
        <v>39</v>
      </c>
      <c r="C718" s="22" t="s">
        <v>5895</v>
      </c>
      <c r="D718" s="23">
        <v>-135633</v>
      </c>
      <c r="E718" s="22" t="s">
        <v>57</v>
      </c>
      <c r="F718" s="24">
        <v>43876</v>
      </c>
      <c r="G718" s="22" t="s">
        <v>5897</v>
      </c>
      <c r="H718" s="22" t="s">
        <v>5898</v>
      </c>
      <c r="I718" s="22" t="s">
        <v>5899</v>
      </c>
      <c r="J718" s="22" t="s">
        <v>4466</v>
      </c>
      <c r="K718" s="22" t="s">
        <v>4759</v>
      </c>
      <c r="L718" s="22"/>
      <c r="M718" s="22"/>
      <c r="N718" s="22"/>
    </row>
    <row r="719" spans="1:14" x14ac:dyDescent="0.25">
      <c r="A719" s="22" t="s">
        <v>5900</v>
      </c>
      <c r="B719" s="22" t="s">
        <v>39</v>
      </c>
      <c r="C719" s="22" t="s">
        <v>5895</v>
      </c>
      <c r="D719" s="23">
        <v>-57600</v>
      </c>
      <c r="E719" s="22" t="s">
        <v>57</v>
      </c>
      <c r="F719" s="24">
        <v>43887</v>
      </c>
      <c r="G719" s="22" t="s">
        <v>5897</v>
      </c>
      <c r="H719" s="22" t="s">
        <v>5901</v>
      </c>
      <c r="I719" s="22" t="s">
        <v>5902</v>
      </c>
      <c r="J719" s="22" t="s">
        <v>4466</v>
      </c>
      <c r="K719" s="22" t="s">
        <v>4759</v>
      </c>
      <c r="L719" s="22"/>
      <c r="M719" s="22"/>
      <c r="N719" s="22"/>
    </row>
    <row r="720" spans="1:14" x14ac:dyDescent="0.25">
      <c r="A720" s="22" t="s">
        <v>5865</v>
      </c>
      <c r="B720" s="22" t="s">
        <v>39</v>
      </c>
      <c r="C720" s="22" t="s">
        <v>5101</v>
      </c>
      <c r="D720" s="23">
        <v>8136254</v>
      </c>
      <c r="E720" s="22" t="s">
        <v>45</v>
      </c>
      <c r="F720" s="24">
        <v>44053</v>
      </c>
      <c r="G720" s="22" t="s">
        <v>5897</v>
      </c>
      <c r="H720" s="22" t="s">
        <v>5903</v>
      </c>
      <c r="I720" s="22" t="s">
        <v>5851</v>
      </c>
      <c r="J720" s="22" t="s">
        <v>4401</v>
      </c>
      <c r="K720" s="22" t="s">
        <v>5101</v>
      </c>
      <c r="L720" s="22"/>
      <c r="M720" s="22"/>
      <c r="N720" s="22"/>
    </row>
    <row r="721" spans="1:14" x14ac:dyDescent="0.25">
      <c r="A721" s="22" t="s">
        <v>5865</v>
      </c>
      <c r="B721" s="22" t="s">
        <v>39</v>
      </c>
      <c r="C721" s="22" t="s">
        <v>5101</v>
      </c>
      <c r="D721" s="23">
        <v>193233</v>
      </c>
      <c r="E721" s="22" t="s">
        <v>45</v>
      </c>
      <c r="F721" s="24">
        <v>44053</v>
      </c>
      <c r="G721" s="22" t="s">
        <v>5897</v>
      </c>
      <c r="H721" s="22" t="s">
        <v>5903</v>
      </c>
      <c r="I721" s="22" t="s">
        <v>5897</v>
      </c>
      <c r="J721" s="22" t="s">
        <v>4466</v>
      </c>
      <c r="K721" s="22" t="s">
        <v>5101</v>
      </c>
      <c r="L721" s="22"/>
      <c r="M721" s="22"/>
      <c r="N721" s="22"/>
    </row>
    <row r="722" spans="1:14" x14ac:dyDescent="0.25">
      <c r="A722" s="22" t="s">
        <v>5865</v>
      </c>
      <c r="B722" s="22" t="s">
        <v>39</v>
      </c>
      <c r="C722" s="22" t="s">
        <v>5101</v>
      </c>
      <c r="D722" s="23">
        <v>-8136254</v>
      </c>
      <c r="E722" s="22" t="s">
        <v>45</v>
      </c>
      <c r="F722" s="24">
        <v>44053</v>
      </c>
      <c r="G722" s="22" t="s">
        <v>5897</v>
      </c>
      <c r="H722" s="22" t="s">
        <v>5903</v>
      </c>
      <c r="I722" s="22" t="s">
        <v>5897</v>
      </c>
      <c r="J722" s="22" t="s">
        <v>4401</v>
      </c>
      <c r="K722" s="22" t="s">
        <v>5101</v>
      </c>
      <c r="L722" s="22"/>
      <c r="M722" s="22"/>
      <c r="N722" s="22"/>
    </row>
    <row r="723" spans="1:14" x14ac:dyDescent="0.25">
      <c r="A723" s="22" t="s">
        <v>2103</v>
      </c>
      <c r="B723" s="22" t="s">
        <v>39</v>
      </c>
      <c r="C723" s="22" t="s">
        <v>5904</v>
      </c>
      <c r="D723" s="23">
        <v>109273</v>
      </c>
      <c r="E723" s="22" t="s">
        <v>45</v>
      </c>
      <c r="F723" s="24">
        <v>44104</v>
      </c>
      <c r="G723" s="22" t="s">
        <v>5905</v>
      </c>
      <c r="H723" s="22" t="s">
        <v>5906</v>
      </c>
      <c r="I723" s="22" t="s">
        <v>5905</v>
      </c>
      <c r="J723" s="22" t="s">
        <v>4401</v>
      </c>
      <c r="K723" s="22" t="s">
        <v>5907</v>
      </c>
      <c r="L723" s="22"/>
      <c r="M723" s="22"/>
      <c r="N723" s="22"/>
    </row>
    <row r="724" spans="1:14" x14ac:dyDescent="0.25">
      <c r="A724" s="22" t="s">
        <v>2103</v>
      </c>
      <c r="B724" s="22" t="s">
        <v>39</v>
      </c>
      <c r="C724" s="22" t="s">
        <v>5904</v>
      </c>
      <c r="D724" s="23">
        <v>-109273</v>
      </c>
      <c r="E724" s="22" t="s">
        <v>45</v>
      </c>
      <c r="F724" s="24">
        <v>44104</v>
      </c>
      <c r="G724" s="22" t="s">
        <v>5905</v>
      </c>
      <c r="H724" s="22" t="s">
        <v>5906</v>
      </c>
      <c r="I724" s="22" t="s">
        <v>5905</v>
      </c>
      <c r="J724" s="22" t="s">
        <v>4401</v>
      </c>
      <c r="K724" s="22" t="s">
        <v>5907</v>
      </c>
      <c r="L724" s="22"/>
      <c r="M724" s="22"/>
      <c r="N724" s="22"/>
    </row>
    <row r="725" spans="1:14" x14ac:dyDescent="0.25">
      <c r="A725" s="22" t="s">
        <v>4533</v>
      </c>
      <c r="B725" s="22" t="s">
        <v>39</v>
      </c>
      <c r="C725" s="22" t="s">
        <v>4536</v>
      </c>
      <c r="D725" s="23">
        <v>-109273</v>
      </c>
      <c r="E725" s="22" t="s">
        <v>2073</v>
      </c>
      <c r="F725" s="24">
        <v>44105</v>
      </c>
      <c r="G725" s="22" t="s">
        <v>5905</v>
      </c>
      <c r="H725" s="22" t="s">
        <v>5908</v>
      </c>
      <c r="I725" s="22" t="s">
        <v>4534</v>
      </c>
      <c r="J725" s="22" t="s">
        <v>4401</v>
      </c>
      <c r="K725" s="22" t="s">
        <v>4535</v>
      </c>
      <c r="L725" s="22"/>
      <c r="M725" s="22"/>
      <c r="N725" s="22"/>
    </row>
    <row r="726" spans="1:14" x14ac:dyDescent="0.25">
      <c r="A726" s="22" t="s">
        <v>5909</v>
      </c>
      <c r="B726" s="22" t="s">
        <v>39</v>
      </c>
      <c r="C726" s="22" t="s">
        <v>5119</v>
      </c>
      <c r="D726" s="23">
        <v>109273</v>
      </c>
      <c r="E726" s="22" t="s">
        <v>42</v>
      </c>
      <c r="F726" s="24">
        <v>44081</v>
      </c>
      <c r="G726" s="22" t="s">
        <v>5905</v>
      </c>
      <c r="H726" s="22" t="s">
        <v>5893</v>
      </c>
      <c r="I726" s="22" t="s">
        <v>5910</v>
      </c>
      <c r="J726" s="22" t="s">
        <v>4401</v>
      </c>
      <c r="K726" s="22" t="s">
        <v>292</v>
      </c>
      <c r="L726" s="22"/>
      <c r="M726" s="22"/>
      <c r="N726" s="22"/>
    </row>
    <row r="727" spans="1:14" x14ac:dyDescent="0.25">
      <c r="A727" s="22" t="s">
        <v>2103</v>
      </c>
      <c r="B727" s="22" t="s">
        <v>39</v>
      </c>
      <c r="C727" s="22" t="s">
        <v>5904</v>
      </c>
      <c r="D727" s="23">
        <v>58673</v>
      </c>
      <c r="E727" s="22" t="s">
        <v>45</v>
      </c>
      <c r="F727" s="24">
        <v>44104</v>
      </c>
      <c r="G727" s="22" t="s">
        <v>5911</v>
      </c>
      <c r="H727" s="22" t="s">
        <v>5912</v>
      </c>
      <c r="I727" s="22" t="s">
        <v>5911</v>
      </c>
      <c r="J727" s="22" t="s">
        <v>4466</v>
      </c>
      <c r="K727" s="22" t="s">
        <v>5913</v>
      </c>
      <c r="L727" s="22"/>
      <c r="M727" s="22"/>
      <c r="N727" s="22"/>
    </row>
    <row r="728" spans="1:14" x14ac:dyDescent="0.25">
      <c r="A728" s="22" t="s">
        <v>2103</v>
      </c>
      <c r="B728" s="22" t="s">
        <v>39</v>
      </c>
      <c r="C728" s="22" t="s">
        <v>5904</v>
      </c>
      <c r="D728" s="23">
        <v>-3241769</v>
      </c>
      <c r="E728" s="22" t="s">
        <v>45</v>
      </c>
      <c r="F728" s="24">
        <v>44104</v>
      </c>
      <c r="G728" s="22" t="s">
        <v>5911</v>
      </c>
      <c r="H728" s="22" t="s">
        <v>5912</v>
      </c>
      <c r="I728" s="22" t="s">
        <v>5911</v>
      </c>
      <c r="J728" s="22" t="s">
        <v>4401</v>
      </c>
      <c r="K728" s="22" t="s">
        <v>5913</v>
      </c>
      <c r="L728" s="22"/>
      <c r="M728" s="22"/>
      <c r="N728" s="22"/>
    </row>
    <row r="729" spans="1:14" x14ac:dyDescent="0.25">
      <c r="A729" s="22" t="s">
        <v>4533</v>
      </c>
      <c r="B729" s="22" t="s">
        <v>39</v>
      </c>
      <c r="C729" s="22" t="s">
        <v>4536</v>
      </c>
      <c r="D729" s="23">
        <v>-50244</v>
      </c>
      <c r="E729" s="22" t="s">
        <v>2073</v>
      </c>
      <c r="F729" s="24">
        <v>44105</v>
      </c>
      <c r="G729" s="22" t="s">
        <v>5911</v>
      </c>
      <c r="H729" s="22" t="s">
        <v>5914</v>
      </c>
      <c r="I729" s="22" t="s">
        <v>4534</v>
      </c>
      <c r="J729" s="22" t="s">
        <v>4401</v>
      </c>
      <c r="K729" s="22" t="s">
        <v>4535</v>
      </c>
      <c r="L729" s="22"/>
      <c r="M729" s="22"/>
      <c r="N729" s="22"/>
    </row>
    <row r="730" spans="1:14" x14ac:dyDescent="0.25">
      <c r="A730" s="22" t="s">
        <v>5916</v>
      </c>
      <c r="B730" s="22" t="s">
        <v>39</v>
      </c>
      <c r="C730" s="22" t="s">
        <v>5915</v>
      </c>
      <c r="D730" s="23">
        <v>-58673</v>
      </c>
      <c r="E730" s="22" t="s">
        <v>57</v>
      </c>
      <c r="F730" s="24">
        <v>44028</v>
      </c>
      <c r="G730" s="22" t="s">
        <v>5911</v>
      </c>
      <c r="H730" s="22" t="s">
        <v>5917</v>
      </c>
      <c r="I730" s="22" t="s">
        <v>5918</v>
      </c>
      <c r="J730" s="22" t="s">
        <v>4466</v>
      </c>
      <c r="K730" s="22" t="s">
        <v>4539</v>
      </c>
      <c r="L730" s="22"/>
      <c r="M730" s="22"/>
      <c r="N730" s="22"/>
    </row>
    <row r="731" spans="1:14" x14ac:dyDescent="0.25">
      <c r="A731" s="22" t="s">
        <v>5919</v>
      </c>
      <c r="B731" s="22" t="s">
        <v>39</v>
      </c>
      <c r="C731" s="22" t="s">
        <v>5119</v>
      </c>
      <c r="D731" s="23">
        <v>3292013</v>
      </c>
      <c r="E731" s="22" t="s">
        <v>42</v>
      </c>
      <c r="F731" s="24">
        <v>44053</v>
      </c>
      <c r="G731" s="22" t="s">
        <v>5911</v>
      </c>
      <c r="H731" s="22" t="s">
        <v>292</v>
      </c>
      <c r="I731" s="22" t="s">
        <v>5920</v>
      </c>
      <c r="J731" s="22" t="s">
        <v>4401</v>
      </c>
      <c r="K731" s="22" t="s">
        <v>5119</v>
      </c>
      <c r="L731" s="22"/>
      <c r="M731" s="22"/>
      <c r="N731" s="22"/>
    </row>
    <row r="732" spans="1:14" x14ac:dyDescent="0.25">
      <c r="A732" s="22" t="s">
        <v>5635</v>
      </c>
      <c r="B732" s="22" t="s">
        <v>39</v>
      </c>
      <c r="C732" s="22" t="s">
        <v>5921</v>
      </c>
      <c r="D732" s="23">
        <v>286507</v>
      </c>
      <c r="E732" s="22" t="s">
        <v>45</v>
      </c>
      <c r="F732" s="24">
        <v>44019</v>
      </c>
      <c r="G732" s="22" t="s">
        <v>5922</v>
      </c>
      <c r="H732" s="22" t="s">
        <v>2103</v>
      </c>
      <c r="I732" s="22" t="s">
        <v>5922</v>
      </c>
      <c r="J732" s="22" t="s">
        <v>4552</v>
      </c>
      <c r="K732" s="22" t="s">
        <v>2103</v>
      </c>
      <c r="L732" s="22"/>
      <c r="M732" s="22"/>
      <c r="N732" s="22"/>
    </row>
    <row r="733" spans="1:14" x14ac:dyDescent="0.25">
      <c r="A733" s="22" t="s">
        <v>5635</v>
      </c>
      <c r="B733" s="22" t="s">
        <v>39</v>
      </c>
      <c r="C733" s="22" t="s">
        <v>5921</v>
      </c>
      <c r="D733" s="23">
        <v>-595684</v>
      </c>
      <c r="E733" s="22" t="s">
        <v>45</v>
      </c>
      <c r="F733" s="24">
        <v>44019</v>
      </c>
      <c r="G733" s="22" t="s">
        <v>5922</v>
      </c>
      <c r="H733" s="22" t="s">
        <v>2103</v>
      </c>
      <c r="I733" s="22" t="s">
        <v>5922</v>
      </c>
      <c r="J733" s="22" t="s">
        <v>4401</v>
      </c>
      <c r="K733" s="22" t="s">
        <v>2103</v>
      </c>
      <c r="L733" s="22"/>
      <c r="M733" s="22"/>
      <c r="N733" s="22"/>
    </row>
    <row r="734" spans="1:14" x14ac:dyDescent="0.25">
      <c r="A734" s="22" t="s">
        <v>5635</v>
      </c>
      <c r="B734" s="22" t="s">
        <v>39</v>
      </c>
      <c r="C734" s="22" t="s">
        <v>5921</v>
      </c>
      <c r="D734" s="23">
        <v>309177</v>
      </c>
      <c r="E734" s="22" t="s">
        <v>45</v>
      </c>
      <c r="F734" s="24">
        <v>44019</v>
      </c>
      <c r="G734" s="22" t="s">
        <v>5922</v>
      </c>
      <c r="H734" s="22" t="s">
        <v>2103</v>
      </c>
      <c r="I734" s="22" t="s">
        <v>5922</v>
      </c>
      <c r="J734" s="22" t="s">
        <v>4407</v>
      </c>
      <c r="K734" s="22" t="s">
        <v>2103</v>
      </c>
      <c r="L734" s="22"/>
      <c r="M734" s="22"/>
      <c r="N734" s="22"/>
    </row>
    <row r="735" spans="1:14" x14ac:dyDescent="0.25">
      <c r="A735" s="22" t="s">
        <v>5923</v>
      </c>
      <c r="B735" s="22" t="s">
        <v>39</v>
      </c>
      <c r="C735" s="22" t="s">
        <v>5788</v>
      </c>
      <c r="D735" s="23">
        <v>-205500</v>
      </c>
      <c r="E735" s="22" t="s">
        <v>57</v>
      </c>
      <c r="F735" s="24">
        <v>43978</v>
      </c>
      <c r="G735" s="22" t="s">
        <v>5922</v>
      </c>
      <c r="H735" s="22" t="s">
        <v>5790</v>
      </c>
      <c r="I735" s="22" t="s">
        <v>5924</v>
      </c>
      <c r="J735" s="22" t="s">
        <v>4407</v>
      </c>
      <c r="K735" s="22" t="s">
        <v>5669</v>
      </c>
      <c r="L735" s="22"/>
      <c r="M735" s="22"/>
      <c r="N735" s="22"/>
    </row>
    <row r="736" spans="1:14" x14ac:dyDescent="0.25">
      <c r="A736" s="22" t="s">
        <v>5925</v>
      </c>
      <c r="B736" s="22" t="s">
        <v>39</v>
      </c>
      <c r="C736" s="22" t="s">
        <v>5788</v>
      </c>
      <c r="D736" s="23">
        <v>-70200</v>
      </c>
      <c r="E736" s="22" t="s">
        <v>57</v>
      </c>
      <c r="F736" s="24">
        <v>43978</v>
      </c>
      <c r="G736" s="22" t="s">
        <v>5922</v>
      </c>
      <c r="H736" s="22" t="s">
        <v>5790</v>
      </c>
      <c r="I736" s="22" t="s">
        <v>5926</v>
      </c>
      <c r="J736" s="22" t="s">
        <v>4407</v>
      </c>
      <c r="K736" s="22" t="s">
        <v>5669</v>
      </c>
      <c r="L736" s="22"/>
      <c r="M736" s="22"/>
      <c r="N736" s="22"/>
    </row>
    <row r="737" spans="1:14" x14ac:dyDescent="0.25">
      <c r="A737" s="22" t="s">
        <v>5927</v>
      </c>
      <c r="B737" s="22" t="s">
        <v>39</v>
      </c>
      <c r="C737" s="22" t="s">
        <v>5793</v>
      </c>
      <c r="D737" s="23">
        <v>-164199</v>
      </c>
      <c r="E737" s="22" t="s">
        <v>57</v>
      </c>
      <c r="F737" s="24">
        <v>43979</v>
      </c>
      <c r="G737" s="22" t="s">
        <v>5922</v>
      </c>
      <c r="H737" s="22" t="s">
        <v>5928</v>
      </c>
      <c r="I737" s="22" t="s">
        <v>5929</v>
      </c>
      <c r="J737" s="22" t="s">
        <v>4552</v>
      </c>
      <c r="K737" s="22" t="s">
        <v>5669</v>
      </c>
      <c r="L737" s="22"/>
      <c r="M737" s="22"/>
      <c r="N737" s="22"/>
    </row>
    <row r="738" spans="1:14" x14ac:dyDescent="0.25">
      <c r="A738" s="22" t="s">
        <v>5931</v>
      </c>
      <c r="B738" s="22" t="s">
        <v>39</v>
      </c>
      <c r="C738" s="22" t="s">
        <v>5930</v>
      </c>
      <c r="D738" s="23">
        <v>-122308</v>
      </c>
      <c r="E738" s="22" t="s">
        <v>57</v>
      </c>
      <c r="F738" s="24">
        <v>43992</v>
      </c>
      <c r="G738" s="22" t="s">
        <v>5922</v>
      </c>
      <c r="H738" s="22" t="s">
        <v>5932</v>
      </c>
      <c r="I738" s="22" t="s">
        <v>5933</v>
      </c>
      <c r="J738" s="22" t="s">
        <v>4552</v>
      </c>
      <c r="K738" s="22" t="s">
        <v>4557</v>
      </c>
      <c r="L738" s="22"/>
      <c r="M738" s="22"/>
      <c r="N738" s="22"/>
    </row>
    <row r="739" spans="1:14" x14ac:dyDescent="0.25">
      <c r="A739" s="22" t="s">
        <v>5935</v>
      </c>
      <c r="B739" s="22" t="s">
        <v>39</v>
      </c>
      <c r="C739" s="22" t="s">
        <v>5934</v>
      </c>
      <c r="D739" s="23">
        <v>-33477</v>
      </c>
      <c r="E739" s="22" t="s">
        <v>57</v>
      </c>
      <c r="F739" s="24">
        <v>43990</v>
      </c>
      <c r="G739" s="22" t="s">
        <v>5922</v>
      </c>
      <c r="H739" s="22" t="s">
        <v>5936</v>
      </c>
      <c r="I739" s="22" t="s">
        <v>5937</v>
      </c>
      <c r="J739" s="22" t="s">
        <v>4407</v>
      </c>
      <c r="K739" s="22" t="s">
        <v>4557</v>
      </c>
      <c r="L739" s="22"/>
      <c r="M739" s="22"/>
      <c r="N739" s="22"/>
    </row>
    <row r="740" spans="1:14" x14ac:dyDescent="0.25">
      <c r="A740" s="22" t="s">
        <v>5635</v>
      </c>
      <c r="B740" s="22" t="s">
        <v>39</v>
      </c>
      <c r="C740" s="22" t="s">
        <v>5296</v>
      </c>
      <c r="D740" s="23">
        <v>595684</v>
      </c>
      <c r="E740" s="22" t="s">
        <v>42</v>
      </c>
      <c r="F740" s="24">
        <v>44019</v>
      </c>
      <c r="G740" s="22" t="s">
        <v>5922</v>
      </c>
      <c r="H740" s="22" t="s">
        <v>5721</v>
      </c>
      <c r="I740" s="22" t="s">
        <v>5938</v>
      </c>
      <c r="J740" s="22" t="s">
        <v>4401</v>
      </c>
      <c r="K740" s="22" t="s">
        <v>5296</v>
      </c>
      <c r="L740" s="22"/>
      <c r="M740" s="22"/>
      <c r="N740" s="22"/>
    </row>
    <row r="741" spans="1:14" x14ac:dyDescent="0.25">
      <c r="A741" s="22" t="s">
        <v>5939</v>
      </c>
      <c r="B741" s="22" t="s">
        <v>39</v>
      </c>
      <c r="C741" s="22" t="s">
        <v>5921</v>
      </c>
      <c r="D741" s="23">
        <v>131200</v>
      </c>
      <c r="E741" s="22" t="s">
        <v>45</v>
      </c>
      <c r="F741" s="24">
        <v>44081</v>
      </c>
      <c r="G741" s="22" t="s">
        <v>5940</v>
      </c>
      <c r="H741" s="22" t="s">
        <v>2103</v>
      </c>
      <c r="I741" s="22" t="s">
        <v>5940</v>
      </c>
      <c r="J741" s="22" t="s">
        <v>4552</v>
      </c>
      <c r="K741" s="22" t="s">
        <v>2103</v>
      </c>
      <c r="L741" s="22"/>
      <c r="M741" s="22"/>
      <c r="N741" s="22"/>
    </row>
    <row r="742" spans="1:14" x14ac:dyDescent="0.25">
      <c r="A742" s="22" t="s">
        <v>5939</v>
      </c>
      <c r="B742" s="22" t="s">
        <v>39</v>
      </c>
      <c r="C742" s="22" t="s">
        <v>5921</v>
      </c>
      <c r="D742" s="23">
        <v>-604673</v>
      </c>
      <c r="E742" s="22" t="s">
        <v>45</v>
      </c>
      <c r="F742" s="24">
        <v>44081</v>
      </c>
      <c r="G742" s="22" t="s">
        <v>5940</v>
      </c>
      <c r="H742" s="22" t="s">
        <v>2103</v>
      </c>
      <c r="I742" s="22" t="s">
        <v>5940</v>
      </c>
      <c r="J742" s="22" t="s">
        <v>4401</v>
      </c>
      <c r="K742" s="22" t="s">
        <v>2103</v>
      </c>
      <c r="L742" s="22"/>
      <c r="M742" s="22"/>
      <c r="N742" s="22"/>
    </row>
    <row r="743" spans="1:14" x14ac:dyDescent="0.25">
      <c r="A743" s="22" t="s">
        <v>5939</v>
      </c>
      <c r="B743" s="22" t="s">
        <v>39</v>
      </c>
      <c r="C743" s="22" t="s">
        <v>5921</v>
      </c>
      <c r="D743" s="23">
        <v>473473</v>
      </c>
      <c r="E743" s="22" t="s">
        <v>45</v>
      </c>
      <c r="F743" s="24">
        <v>44081</v>
      </c>
      <c r="G743" s="22" t="s">
        <v>5940</v>
      </c>
      <c r="H743" s="22" t="s">
        <v>2103</v>
      </c>
      <c r="I743" s="22" t="s">
        <v>5940</v>
      </c>
      <c r="J743" s="22" t="s">
        <v>4407</v>
      </c>
      <c r="K743" s="22" t="s">
        <v>2103</v>
      </c>
      <c r="L743" s="22"/>
      <c r="M743" s="22"/>
      <c r="N743" s="22"/>
    </row>
    <row r="744" spans="1:14" x14ac:dyDescent="0.25">
      <c r="A744" s="22" t="s">
        <v>5941</v>
      </c>
      <c r="B744" s="22" t="s">
        <v>39</v>
      </c>
      <c r="C744" s="22" t="s">
        <v>5934</v>
      </c>
      <c r="D744" s="23">
        <v>-231964</v>
      </c>
      <c r="E744" s="22" t="s">
        <v>57</v>
      </c>
      <c r="F744" s="24">
        <v>43985</v>
      </c>
      <c r="G744" s="22" t="s">
        <v>5940</v>
      </c>
      <c r="H744" s="22" t="s">
        <v>2211</v>
      </c>
      <c r="I744" s="22" t="s">
        <v>5942</v>
      </c>
      <c r="J744" s="22" t="s">
        <v>4407</v>
      </c>
      <c r="K744" s="22" t="s">
        <v>4557</v>
      </c>
      <c r="L744" s="22"/>
      <c r="M744" s="22"/>
      <c r="N744" s="22"/>
    </row>
    <row r="745" spans="1:14" x14ac:dyDescent="0.25">
      <c r="A745" s="22" t="s">
        <v>5935</v>
      </c>
      <c r="B745" s="22" t="s">
        <v>39</v>
      </c>
      <c r="C745" s="22" t="s">
        <v>5934</v>
      </c>
      <c r="D745" s="23">
        <v>-24738</v>
      </c>
      <c r="E745" s="22" t="s">
        <v>57</v>
      </c>
      <c r="F745" s="24">
        <v>43990</v>
      </c>
      <c r="G745" s="22" t="s">
        <v>5940</v>
      </c>
      <c r="H745" s="22" t="s">
        <v>5943</v>
      </c>
      <c r="I745" s="22" t="s">
        <v>5937</v>
      </c>
      <c r="J745" s="22" t="s">
        <v>4407</v>
      </c>
      <c r="K745" s="22" t="s">
        <v>4557</v>
      </c>
      <c r="L745" s="22"/>
      <c r="M745" s="22"/>
      <c r="N745" s="22"/>
    </row>
    <row r="746" spans="1:14" x14ac:dyDescent="0.25">
      <c r="A746" s="22" t="s">
        <v>5944</v>
      </c>
      <c r="B746" s="22" t="s">
        <v>39</v>
      </c>
      <c r="C746" s="22" t="s">
        <v>5934</v>
      </c>
      <c r="D746" s="23">
        <v>-134600</v>
      </c>
      <c r="E746" s="22" t="s">
        <v>57</v>
      </c>
      <c r="F746" s="24">
        <v>44003</v>
      </c>
      <c r="G746" s="22" t="s">
        <v>5940</v>
      </c>
      <c r="H746" s="22" t="s">
        <v>2211</v>
      </c>
      <c r="I746" s="22" t="s">
        <v>5945</v>
      </c>
      <c r="J746" s="22" t="s">
        <v>4407</v>
      </c>
      <c r="K746" s="22" t="s">
        <v>4557</v>
      </c>
      <c r="L746" s="22"/>
      <c r="M746" s="22"/>
      <c r="N746" s="22"/>
    </row>
    <row r="747" spans="1:14" x14ac:dyDescent="0.25">
      <c r="A747" s="22" t="s">
        <v>5947</v>
      </c>
      <c r="B747" s="22" t="s">
        <v>39</v>
      </c>
      <c r="C747" s="22" t="s">
        <v>5946</v>
      </c>
      <c r="D747" s="23">
        <v>-57600</v>
      </c>
      <c r="E747" s="22" t="s">
        <v>57</v>
      </c>
      <c r="F747" s="24">
        <v>43868</v>
      </c>
      <c r="G747" s="22" t="s">
        <v>5940</v>
      </c>
      <c r="H747" s="22" t="s">
        <v>5948</v>
      </c>
      <c r="I747" s="22" t="s">
        <v>5949</v>
      </c>
      <c r="J747" s="22" t="s">
        <v>4552</v>
      </c>
      <c r="K747" s="22" t="s">
        <v>4557</v>
      </c>
      <c r="L747" s="22"/>
      <c r="M747" s="22"/>
      <c r="N747" s="22"/>
    </row>
    <row r="748" spans="1:14" x14ac:dyDescent="0.25">
      <c r="A748" s="22" t="s">
        <v>3411</v>
      </c>
      <c r="B748" s="22" t="s">
        <v>39</v>
      </c>
      <c r="C748" s="22" t="s">
        <v>5946</v>
      </c>
      <c r="D748" s="23">
        <v>-47300</v>
      </c>
      <c r="E748" s="22" t="s">
        <v>57</v>
      </c>
      <c r="F748" s="24">
        <v>43882</v>
      </c>
      <c r="G748" s="22" t="s">
        <v>5940</v>
      </c>
      <c r="H748" s="22" t="s">
        <v>491</v>
      </c>
      <c r="I748" s="22" t="s">
        <v>5950</v>
      </c>
      <c r="J748" s="22" t="s">
        <v>4552</v>
      </c>
      <c r="K748" s="22" t="s">
        <v>4557</v>
      </c>
      <c r="L748" s="22"/>
      <c r="M748" s="22"/>
      <c r="N748" s="22"/>
    </row>
    <row r="749" spans="1:14" x14ac:dyDescent="0.25">
      <c r="A749" s="22" t="s">
        <v>5951</v>
      </c>
      <c r="B749" s="22" t="s">
        <v>39</v>
      </c>
      <c r="C749" s="22" t="s">
        <v>5946</v>
      </c>
      <c r="D749" s="23">
        <v>-26300</v>
      </c>
      <c r="E749" s="22" t="s">
        <v>57</v>
      </c>
      <c r="F749" s="24">
        <v>43882</v>
      </c>
      <c r="G749" s="22" t="s">
        <v>5940</v>
      </c>
      <c r="H749" s="22" t="s">
        <v>491</v>
      </c>
      <c r="I749" s="22" t="s">
        <v>5952</v>
      </c>
      <c r="J749" s="22" t="s">
        <v>4552</v>
      </c>
      <c r="K749" s="22" t="s">
        <v>4557</v>
      </c>
      <c r="L749" s="22"/>
      <c r="M749" s="22"/>
      <c r="N749" s="22"/>
    </row>
    <row r="750" spans="1:14" x14ac:dyDescent="0.25">
      <c r="A750" s="22" t="s">
        <v>5953</v>
      </c>
      <c r="B750" s="22" t="s">
        <v>39</v>
      </c>
      <c r="C750" s="22" t="s">
        <v>5946</v>
      </c>
      <c r="D750" s="23">
        <v>-82171</v>
      </c>
      <c r="E750" s="22" t="s">
        <v>57</v>
      </c>
      <c r="F750" s="24">
        <v>43889</v>
      </c>
      <c r="G750" s="22" t="s">
        <v>5940</v>
      </c>
      <c r="H750" s="22" t="s">
        <v>5954</v>
      </c>
      <c r="I750" s="22" t="s">
        <v>5955</v>
      </c>
      <c r="J750" s="22" t="s">
        <v>4407</v>
      </c>
      <c r="K750" s="22" t="s">
        <v>4557</v>
      </c>
      <c r="L750" s="22"/>
      <c r="M750" s="22"/>
      <c r="N750" s="22"/>
    </row>
    <row r="751" spans="1:14" x14ac:dyDescent="0.25">
      <c r="A751" s="22" t="s">
        <v>5939</v>
      </c>
      <c r="B751" s="22" t="s">
        <v>39</v>
      </c>
      <c r="C751" s="22" t="s">
        <v>5296</v>
      </c>
      <c r="D751" s="23">
        <v>604673</v>
      </c>
      <c r="E751" s="22" t="s">
        <v>42</v>
      </c>
      <c r="F751" s="24">
        <v>44081</v>
      </c>
      <c r="G751" s="22" t="s">
        <v>5940</v>
      </c>
      <c r="H751" s="22" t="s">
        <v>5893</v>
      </c>
      <c r="I751" s="22" t="s">
        <v>5956</v>
      </c>
      <c r="J751" s="22" t="s">
        <v>4401</v>
      </c>
      <c r="K751" s="22" t="s">
        <v>292</v>
      </c>
      <c r="L751" s="22"/>
      <c r="M751" s="22"/>
      <c r="N751" s="22"/>
    </row>
    <row r="752" spans="1:14" x14ac:dyDescent="0.25">
      <c r="A752" s="22" t="s">
        <v>5768</v>
      </c>
      <c r="B752" s="22" t="s">
        <v>39</v>
      </c>
      <c r="C752" s="22" t="s">
        <v>5957</v>
      </c>
      <c r="D752" s="23">
        <v>-42382</v>
      </c>
      <c r="E752" s="22" t="s">
        <v>57</v>
      </c>
      <c r="F752" s="24">
        <v>43945</v>
      </c>
      <c r="G752" s="22" t="s">
        <v>5958</v>
      </c>
      <c r="H752" s="22" t="s">
        <v>5959</v>
      </c>
      <c r="I752" s="22" t="s">
        <v>5770</v>
      </c>
      <c r="J752" s="22" t="s">
        <v>4466</v>
      </c>
      <c r="K752" s="22" t="s">
        <v>4489</v>
      </c>
      <c r="L752" s="22"/>
      <c r="M752" s="22"/>
      <c r="N752" s="22"/>
    </row>
    <row r="753" spans="1:14" x14ac:dyDescent="0.25">
      <c r="A753" s="22"/>
      <c r="B753" s="22" t="s">
        <v>39</v>
      </c>
      <c r="C753" s="22" t="s">
        <v>5960</v>
      </c>
      <c r="D753" s="23">
        <v>1036282</v>
      </c>
      <c r="E753" s="22" t="s">
        <v>45</v>
      </c>
      <c r="F753" s="24">
        <v>44106</v>
      </c>
      <c r="G753" s="22" t="s">
        <v>5958</v>
      </c>
      <c r="H753" s="22" t="s">
        <v>2103</v>
      </c>
      <c r="I753" s="22" t="s">
        <v>5958</v>
      </c>
      <c r="J753" s="22" t="s">
        <v>4466</v>
      </c>
      <c r="K753" s="22" t="s">
        <v>2103</v>
      </c>
      <c r="L753" s="22"/>
      <c r="M753" s="22"/>
      <c r="N753" s="22"/>
    </row>
    <row r="754" spans="1:14" x14ac:dyDescent="0.25">
      <c r="A754" s="22"/>
      <c r="B754" s="22" t="s">
        <v>39</v>
      </c>
      <c r="C754" s="22" t="s">
        <v>5960</v>
      </c>
      <c r="D754" s="23">
        <v>-1036282</v>
      </c>
      <c r="E754" s="22" t="s">
        <v>45</v>
      </c>
      <c r="F754" s="24">
        <v>44106</v>
      </c>
      <c r="G754" s="22" t="s">
        <v>5958</v>
      </c>
      <c r="H754" s="22" t="s">
        <v>2103</v>
      </c>
      <c r="I754" s="22" t="s">
        <v>5958</v>
      </c>
      <c r="J754" s="22" t="s">
        <v>4401</v>
      </c>
      <c r="K754" s="22" t="s">
        <v>2103</v>
      </c>
      <c r="L754" s="22"/>
      <c r="M754" s="22"/>
      <c r="N754" s="22"/>
    </row>
    <row r="755" spans="1:14" x14ac:dyDescent="0.25">
      <c r="A755" s="22" t="s">
        <v>5961</v>
      </c>
      <c r="B755" s="22" t="s">
        <v>39</v>
      </c>
      <c r="C755" s="22" t="s">
        <v>5802</v>
      </c>
      <c r="D755" s="23">
        <v>-631600</v>
      </c>
      <c r="E755" s="22" t="s">
        <v>57</v>
      </c>
      <c r="F755" s="24">
        <v>43994</v>
      </c>
      <c r="G755" s="22" t="s">
        <v>5958</v>
      </c>
      <c r="H755" s="22" t="s">
        <v>2202</v>
      </c>
      <c r="I755" s="22" t="s">
        <v>5962</v>
      </c>
      <c r="J755" s="22" t="s">
        <v>4466</v>
      </c>
      <c r="K755" s="22" t="s">
        <v>4489</v>
      </c>
      <c r="L755" s="22"/>
      <c r="M755" s="22"/>
      <c r="N755" s="22"/>
    </row>
    <row r="756" spans="1:14" x14ac:dyDescent="0.25">
      <c r="A756" s="22" t="s">
        <v>5963</v>
      </c>
      <c r="B756" s="22" t="s">
        <v>39</v>
      </c>
      <c r="C756" s="22" t="s">
        <v>5802</v>
      </c>
      <c r="D756" s="23">
        <v>-22100</v>
      </c>
      <c r="E756" s="22" t="s">
        <v>57</v>
      </c>
      <c r="F756" s="24">
        <v>43994</v>
      </c>
      <c r="G756" s="22" t="s">
        <v>5958</v>
      </c>
      <c r="H756" s="22" t="s">
        <v>2202</v>
      </c>
      <c r="I756" s="22" t="s">
        <v>5964</v>
      </c>
      <c r="J756" s="22" t="s">
        <v>4466</v>
      </c>
      <c r="K756" s="22" t="s">
        <v>4489</v>
      </c>
      <c r="L756" s="22"/>
      <c r="M756" s="22"/>
      <c r="N756" s="22"/>
    </row>
    <row r="757" spans="1:14" x14ac:dyDescent="0.25">
      <c r="A757" s="22" t="s">
        <v>4760</v>
      </c>
      <c r="B757" s="22" t="s">
        <v>39</v>
      </c>
      <c r="C757" s="22" t="s">
        <v>4763</v>
      </c>
      <c r="D757" s="23">
        <v>-80100</v>
      </c>
      <c r="E757" s="22" t="s">
        <v>57</v>
      </c>
      <c r="F757" s="24">
        <v>44008</v>
      </c>
      <c r="G757" s="22" t="s">
        <v>5958</v>
      </c>
      <c r="H757" s="22" t="s">
        <v>5819</v>
      </c>
      <c r="I757" s="22" t="s">
        <v>4765</v>
      </c>
      <c r="J757" s="22" t="s">
        <v>4466</v>
      </c>
      <c r="K757" s="22" t="s">
        <v>4489</v>
      </c>
      <c r="L757" s="22"/>
      <c r="M757" s="22"/>
      <c r="N757" s="22"/>
    </row>
    <row r="758" spans="1:14" x14ac:dyDescent="0.25">
      <c r="A758" s="22" t="s">
        <v>5966</v>
      </c>
      <c r="B758" s="22" t="s">
        <v>39</v>
      </c>
      <c r="C758" s="22" t="s">
        <v>5965</v>
      </c>
      <c r="D758" s="23">
        <v>-57600</v>
      </c>
      <c r="E758" s="22" t="s">
        <v>57</v>
      </c>
      <c r="F758" s="24">
        <v>44029</v>
      </c>
      <c r="G758" s="22" t="s">
        <v>5958</v>
      </c>
      <c r="H758" s="22" t="s">
        <v>2190</v>
      </c>
      <c r="I758" s="22" t="s">
        <v>5967</v>
      </c>
      <c r="J758" s="22" t="s">
        <v>4466</v>
      </c>
      <c r="K758" s="22" t="s">
        <v>4489</v>
      </c>
      <c r="L758" s="22"/>
      <c r="M758" s="22"/>
      <c r="N758" s="22"/>
    </row>
    <row r="759" spans="1:14" x14ac:dyDescent="0.25">
      <c r="A759" s="22" t="s">
        <v>5969</v>
      </c>
      <c r="B759" s="22" t="s">
        <v>39</v>
      </c>
      <c r="C759" s="22" t="s">
        <v>5968</v>
      </c>
      <c r="D759" s="23">
        <v>-58964</v>
      </c>
      <c r="E759" s="22" t="s">
        <v>57</v>
      </c>
      <c r="F759" s="24">
        <v>44025</v>
      </c>
      <c r="G759" s="22" t="s">
        <v>5958</v>
      </c>
      <c r="H759" s="22" t="s">
        <v>5970</v>
      </c>
      <c r="I759" s="22" t="s">
        <v>5971</v>
      </c>
      <c r="J759" s="22" t="s">
        <v>4401</v>
      </c>
      <c r="K759" s="22" t="s">
        <v>4489</v>
      </c>
      <c r="L759" s="22"/>
      <c r="M759" s="22"/>
      <c r="N759" s="22"/>
    </row>
    <row r="760" spans="1:14" x14ac:dyDescent="0.25">
      <c r="A760" s="22" t="s">
        <v>5973</v>
      </c>
      <c r="B760" s="22" t="s">
        <v>39</v>
      </c>
      <c r="C760" s="22" t="s">
        <v>5972</v>
      </c>
      <c r="D760" s="23">
        <v>-10800</v>
      </c>
      <c r="E760" s="22" t="s">
        <v>57</v>
      </c>
      <c r="F760" s="24">
        <v>44014</v>
      </c>
      <c r="G760" s="22" t="s">
        <v>5958</v>
      </c>
      <c r="H760" s="22" t="s">
        <v>5814</v>
      </c>
      <c r="I760" s="22" t="s">
        <v>5974</v>
      </c>
      <c r="J760" s="22" t="s">
        <v>4401</v>
      </c>
      <c r="K760" s="22" t="s">
        <v>4489</v>
      </c>
      <c r="L760" s="22"/>
      <c r="M760" s="22"/>
      <c r="N760" s="22"/>
    </row>
    <row r="761" spans="1:14" x14ac:dyDescent="0.25">
      <c r="A761" s="22" t="s">
        <v>5975</v>
      </c>
      <c r="B761" s="22" t="s">
        <v>39</v>
      </c>
      <c r="C761" s="22" t="s">
        <v>5972</v>
      </c>
      <c r="D761" s="23">
        <v>-25500</v>
      </c>
      <c r="E761" s="22" t="s">
        <v>57</v>
      </c>
      <c r="F761" s="24">
        <v>44014</v>
      </c>
      <c r="G761" s="22" t="s">
        <v>5958</v>
      </c>
      <c r="H761" s="22" t="s">
        <v>5814</v>
      </c>
      <c r="I761" s="22" t="s">
        <v>5976</v>
      </c>
      <c r="J761" s="22" t="s">
        <v>4401</v>
      </c>
      <c r="K761" s="22" t="s">
        <v>4489</v>
      </c>
      <c r="L761" s="22"/>
      <c r="M761" s="22"/>
      <c r="N761" s="22"/>
    </row>
    <row r="762" spans="1:14" x14ac:dyDescent="0.25">
      <c r="A762" s="22" t="s">
        <v>5977</v>
      </c>
      <c r="B762" s="22" t="s">
        <v>39</v>
      </c>
      <c r="C762" s="22" t="s">
        <v>5972</v>
      </c>
      <c r="D762" s="23">
        <v>-62002</v>
      </c>
      <c r="E762" s="22" t="s">
        <v>57</v>
      </c>
      <c r="F762" s="24">
        <v>44015</v>
      </c>
      <c r="G762" s="22" t="s">
        <v>5958</v>
      </c>
      <c r="H762" s="22" t="s">
        <v>5814</v>
      </c>
      <c r="I762" s="22" t="s">
        <v>5978</v>
      </c>
      <c r="J762" s="22" t="s">
        <v>4401</v>
      </c>
      <c r="K762" s="22" t="s">
        <v>4489</v>
      </c>
      <c r="L762" s="22"/>
      <c r="M762" s="22"/>
      <c r="N762" s="22"/>
    </row>
    <row r="763" spans="1:14" x14ac:dyDescent="0.25">
      <c r="A763" s="22" t="s">
        <v>5979</v>
      </c>
      <c r="B763" s="22" t="s">
        <v>39</v>
      </c>
      <c r="C763" s="22" t="s">
        <v>5972</v>
      </c>
      <c r="D763" s="23">
        <v>-120200</v>
      </c>
      <c r="E763" s="22" t="s">
        <v>57</v>
      </c>
      <c r="F763" s="24">
        <v>44015</v>
      </c>
      <c r="G763" s="22" t="s">
        <v>5958</v>
      </c>
      <c r="H763" s="22" t="s">
        <v>5814</v>
      </c>
      <c r="I763" s="22" t="s">
        <v>5980</v>
      </c>
      <c r="J763" s="22" t="s">
        <v>4401</v>
      </c>
      <c r="K763" s="22" t="s">
        <v>4489</v>
      </c>
      <c r="L763" s="22"/>
      <c r="M763" s="22"/>
      <c r="N763" s="22"/>
    </row>
    <row r="764" spans="1:14" x14ac:dyDescent="0.25">
      <c r="A764" s="22" t="s">
        <v>5982</v>
      </c>
      <c r="B764" s="22" t="s">
        <v>39</v>
      </c>
      <c r="C764" s="22" t="s">
        <v>5981</v>
      </c>
      <c r="D764" s="23">
        <v>-31700</v>
      </c>
      <c r="E764" s="22" t="s">
        <v>57</v>
      </c>
      <c r="F764" s="24">
        <v>44019</v>
      </c>
      <c r="G764" s="22" t="s">
        <v>5958</v>
      </c>
      <c r="H764" s="22" t="s">
        <v>2202</v>
      </c>
      <c r="I764" s="22" t="s">
        <v>5983</v>
      </c>
      <c r="J764" s="22" t="s">
        <v>4466</v>
      </c>
      <c r="K764" s="22" t="s">
        <v>4489</v>
      </c>
      <c r="L764" s="22"/>
      <c r="M764" s="22"/>
      <c r="N764" s="22"/>
    </row>
    <row r="765" spans="1:14" x14ac:dyDescent="0.25">
      <c r="A765" s="22" t="s">
        <v>5984</v>
      </c>
      <c r="B765" s="22" t="s">
        <v>39</v>
      </c>
      <c r="C765" s="22" t="s">
        <v>5981</v>
      </c>
      <c r="D765" s="23">
        <v>-170800</v>
      </c>
      <c r="E765" s="22" t="s">
        <v>57</v>
      </c>
      <c r="F765" s="24">
        <v>44034</v>
      </c>
      <c r="G765" s="22" t="s">
        <v>5958</v>
      </c>
      <c r="H765" s="22" t="s">
        <v>2202</v>
      </c>
      <c r="I765" s="22" t="s">
        <v>5985</v>
      </c>
      <c r="J765" s="22" t="s">
        <v>4466</v>
      </c>
      <c r="K765" s="22" t="s">
        <v>4489</v>
      </c>
      <c r="L765" s="22"/>
      <c r="M765" s="22"/>
      <c r="N765" s="22"/>
    </row>
    <row r="766" spans="1:14" x14ac:dyDescent="0.25">
      <c r="A766" s="22" t="s">
        <v>5986</v>
      </c>
      <c r="B766" s="22" t="s">
        <v>39</v>
      </c>
      <c r="C766" s="22" t="s">
        <v>5128</v>
      </c>
      <c r="D766" s="23">
        <v>1316664</v>
      </c>
      <c r="E766" s="22" t="s">
        <v>42</v>
      </c>
      <c r="F766" s="24">
        <v>44081</v>
      </c>
      <c r="G766" s="22" t="s">
        <v>5958</v>
      </c>
      <c r="H766" s="22" t="s">
        <v>5893</v>
      </c>
      <c r="I766" s="22" t="s">
        <v>5987</v>
      </c>
      <c r="J766" s="22" t="s">
        <v>4401</v>
      </c>
      <c r="K766" s="22" t="s">
        <v>292</v>
      </c>
      <c r="L766" s="22"/>
      <c r="M766" s="22"/>
      <c r="N766" s="22"/>
    </row>
    <row r="767" spans="1:14" x14ac:dyDescent="0.25">
      <c r="A767" s="22" t="s">
        <v>5807</v>
      </c>
      <c r="B767" s="22" t="s">
        <v>39</v>
      </c>
      <c r="C767" s="22" t="s">
        <v>5828</v>
      </c>
      <c r="D767" s="23">
        <v>-2916</v>
      </c>
      <c r="E767" s="22" t="s">
        <v>57</v>
      </c>
      <c r="F767" s="24">
        <v>43955</v>
      </c>
      <c r="G767" s="22" t="s">
        <v>5958</v>
      </c>
      <c r="H767" s="22" t="s">
        <v>5828</v>
      </c>
      <c r="I767" s="22" t="s">
        <v>5809</v>
      </c>
      <c r="J767" s="22" t="s">
        <v>4401</v>
      </c>
      <c r="K767" s="22" t="s">
        <v>4489</v>
      </c>
      <c r="L767" s="22"/>
      <c r="M767" s="22"/>
      <c r="N767" s="22"/>
    </row>
    <row r="768" spans="1:14" x14ac:dyDescent="0.25">
      <c r="A768" s="22" t="s">
        <v>5988</v>
      </c>
      <c r="B768" s="22" t="s">
        <v>39</v>
      </c>
      <c r="C768" s="22" t="s">
        <v>5904</v>
      </c>
      <c r="D768" s="23">
        <v>115200</v>
      </c>
      <c r="E768" s="22" t="s">
        <v>45</v>
      </c>
      <c r="F768" s="24">
        <v>44104</v>
      </c>
      <c r="G768" s="22" t="s">
        <v>5989</v>
      </c>
      <c r="H768" s="22" t="s">
        <v>5988</v>
      </c>
      <c r="I768" s="22" t="s">
        <v>5989</v>
      </c>
      <c r="J768" s="22" t="s">
        <v>4401</v>
      </c>
      <c r="K768" s="22" t="s">
        <v>5988</v>
      </c>
      <c r="L768" s="22"/>
      <c r="M768" s="22"/>
      <c r="N768" s="22"/>
    </row>
    <row r="769" spans="1:14" x14ac:dyDescent="0.25">
      <c r="A769" s="22" t="s">
        <v>5988</v>
      </c>
      <c r="B769" s="22" t="s">
        <v>39</v>
      </c>
      <c r="C769" s="22" t="s">
        <v>5904</v>
      </c>
      <c r="D769" s="23">
        <v>-115200</v>
      </c>
      <c r="E769" s="22" t="s">
        <v>45</v>
      </c>
      <c r="F769" s="24">
        <v>44104</v>
      </c>
      <c r="G769" s="22" t="s">
        <v>5989</v>
      </c>
      <c r="H769" s="22" t="s">
        <v>5988</v>
      </c>
      <c r="I769" s="22" t="s">
        <v>5989</v>
      </c>
      <c r="J769" s="22" t="s">
        <v>4401</v>
      </c>
      <c r="K769" s="22" t="s">
        <v>5988</v>
      </c>
      <c r="L769" s="22"/>
      <c r="M769" s="22"/>
      <c r="N769" s="22"/>
    </row>
    <row r="770" spans="1:14" x14ac:dyDescent="0.25">
      <c r="A770" s="22" t="s">
        <v>5991</v>
      </c>
      <c r="B770" s="22" t="s">
        <v>39</v>
      </c>
      <c r="C770" s="22" t="s">
        <v>5990</v>
      </c>
      <c r="D770" s="23">
        <v>-115200</v>
      </c>
      <c r="E770" s="22" t="s">
        <v>57</v>
      </c>
      <c r="F770" s="24">
        <v>44006</v>
      </c>
      <c r="G770" s="22" t="s">
        <v>5989</v>
      </c>
      <c r="H770" s="22" t="s">
        <v>5992</v>
      </c>
      <c r="I770" s="22" t="s">
        <v>5993</v>
      </c>
      <c r="J770" s="22" t="s">
        <v>4401</v>
      </c>
      <c r="K770" s="22" t="s">
        <v>103</v>
      </c>
      <c r="L770" s="22"/>
      <c r="M770" s="22"/>
      <c r="N770" s="22"/>
    </row>
    <row r="771" spans="1:14" x14ac:dyDescent="0.25">
      <c r="A771" s="22" t="s">
        <v>5994</v>
      </c>
      <c r="B771" s="22" t="s">
        <v>39</v>
      </c>
      <c r="C771" s="22" t="s">
        <v>5081</v>
      </c>
      <c r="D771" s="23">
        <v>115200</v>
      </c>
      <c r="E771" s="22" t="s">
        <v>42</v>
      </c>
      <c r="F771" s="24">
        <v>44081</v>
      </c>
      <c r="G771" s="22" t="s">
        <v>5989</v>
      </c>
      <c r="H771" s="22" t="s">
        <v>5893</v>
      </c>
      <c r="I771" s="22" t="s">
        <v>5995</v>
      </c>
      <c r="J771" s="22" t="s">
        <v>4401</v>
      </c>
      <c r="K771" s="22" t="s">
        <v>292</v>
      </c>
      <c r="L771" s="22"/>
      <c r="M771" s="22"/>
      <c r="N771" s="22"/>
    </row>
    <row r="772" spans="1:14" x14ac:dyDescent="0.25">
      <c r="A772" s="22" t="s">
        <v>5882</v>
      </c>
      <c r="B772" s="22" t="s">
        <v>39</v>
      </c>
      <c r="C772" s="22" t="s">
        <v>5904</v>
      </c>
      <c r="D772" s="23">
        <v>1332990</v>
      </c>
      <c r="E772" s="22" t="s">
        <v>45</v>
      </c>
      <c r="F772" s="24">
        <v>44074</v>
      </c>
      <c r="G772" s="22" t="s">
        <v>5996</v>
      </c>
      <c r="H772" s="22" t="s">
        <v>5884</v>
      </c>
      <c r="I772" s="22" t="s">
        <v>5996</v>
      </c>
      <c r="J772" s="22" t="s">
        <v>4466</v>
      </c>
      <c r="K772" s="22" t="s">
        <v>5884</v>
      </c>
      <c r="L772" s="22"/>
      <c r="M772" s="22"/>
      <c r="N772" s="22"/>
    </row>
    <row r="773" spans="1:14" x14ac:dyDescent="0.25">
      <c r="A773" s="22" t="s">
        <v>5882</v>
      </c>
      <c r="B773" s="22" t="s">
        <v>39</v>
      </c>
      <c r="C773" s="22" t="s">
        <v>5904</v>
      </c>
      <c r="D773" s="23">
        <v>665215</v>
      </c>
      <c r="E773" s="22" t="s">
        <v>45</v>
      </c>
      <c r="F773" s="24">
        <v>44074</v>
      </c>
      <c r="G773" s="22" t="s">
        <v>5996</v>
      </c>
      <c r="H773" s="22" t="s">
        <v>5884</v>
      </c>
      <c r="I773" s="22" t="s">
        <v>5996</v>
      </c>
      <c r="J773" s="22" t="s">
        <v>4552</v>
      </c>
      <c r="K773" s="22" t="s">
        <v>5884</v>
      </c>
      <c r="L773" s="22"/>
      <c r="M773" s="22"/>
      <c r="N773" s="22"/>
    </row>
    <row r="774" spans="1:14" x14ac:dyDescent="0.25">
      <c r="A774" s="22" t="s">
        <v>5882</v>
      </c>
      <c r="B774" s="22" t="s">
        <v>39</v>
      </c>
      <c r="C774" s="22" t="s">
        <v>5904</v>
      </c>
      <c r="D774" s="23">
        <v>-4137249</v>
      </c>
      <c r="E774" s="22" t="s">
        <v>45</v>
      </c>
      <c r="F774" s="24">
        <v>44074</v>
      </c>
      <c r="G774" s="22" t="s">
        <v>5996</v>
      </c>
      <c r="H774" s="22" t="s">
        <v>5884</v>
      </c>
      <c r="I774" s="22" t="s">
        <v>5996</v>
      </c>
      <c r="J774" s="22" t="s">
        <v>4401</v>
      </c>
      <c r="K774" s="22" t="s">
        <v>5884</v>
      </c>
      <c r="L774" s="22"/>
      <c r="M774" s="22"/>
      <c r="N774" s="22"/>
    </row>
    <row r="775" spans="1:14" x14ac:dyDescent="0.25">
      <c r="A775" s="22" t="s">
        <v>4516</v>
      </c>
      <c r="B775" s="22" t="s">
        <v>39</v>
      </c>
      <c r="C775" s="22" t="s">
        <v>4520</v>
      </c>
      <c r="D775" s="23">
        <v>-21100</v>
      </c>
      <c r="E775" s="22" t="s">
        <v>2073</v>
      </c>
      <c r="F775" s="24">
        <v>43937</v>
      </c>
      <c r="G775" s="22" t="s">
        <v>5996</v>
      </c>
      <c r="H775" s="22" t="s">
        <v>5997</v>
      </c>
      <c r="I775" s="22" t="s">
        <v>4517</v>
      </c>
      <c r="J775" s="22" t="s">
        <v>4466</v>
      </c>
      <c r="K775" s="22" t="s">
        <v>4519</v>
      </c>
      <c r="L775" s="22"/>
      <c r="M775" s="22"/>
      <c r="N775" s="22"/>
    </row>
    <row r="776" spans="1:14" x14ac:dyDescent="0.25">
      <c r="A776" s="22" t="s">
        <v>5999</v>
      </c>
      <c r="B776" s="22" t="s">
        <v>39</v>
      </c>
      <c r="C776" s="22" t="s">
        <v>5998</v>
      </c>
      <c r="D776" s="23">
        <v>-665215</v>
      </c>
      <c r="E776" s="22" t="s">
        <v>57</v>
      </c>
      <c r="F776" s="24">
        <v>43984</v>
      </c>
      <c r="G776" s="22" t="s">
        <v>5996</v>
      </c>
      <c r="H776" s="22" t="s">
        <v>6000</v>
      </c>
      <c r="I776" s="22" t="s">
        <v>6001</v>
      </c>
      <c r="J776" s="22" t="s">
        <v>4552</v>
      </c>
      <c r="K776" s="22" t="s">
        <v>4557</v>
      </c>
      <c r="L776" s="22"/>
      <c r="M776" s="22"/>
      <c r="N776" s="22"/>
    </row>
    <row r="777" spans="1:14" x14ac:dyDescent="0.25">
      <c r="A777" s="22" t="s">
        <v>6003</v>
      </c>
      <c r="B777" s="22" t="s">
        <v>39</v>
      </c>
      <c r="C777" s="22" t="s">
        <v>6002</v>
      </c>
      <c r="D777" s="23">
        <v>-98020</v>
      </c>
      <c r="E777" s="22" t="s">
        <v>57</v>
      </c>
      <c r="F777" s="24">
        <v>44018</v>
      </c>
      <c r="G777" s="22" t="s">
        <v>5996</v>
      </c>
      <c r="H777" s="22" t="s">
        <v>6004</v>
      </c>
      <c r="I777" s="22" t="s">
        <v>6005</v>
      </c>
      <c r="J777" s="22" t="s">
        <v>4466</v>
      </c>
      <c r="K777" s="22" t="s">
        <v>83</v>
      </c>
      <c r="L777" s="22"/>
      <c r="M777" s="22"/>
      <c r="N777" s="22"/>
    </row>
    <row r="778" spans="1:14" x14ac:dyDescent="0.25">
      <c r="A778" s="22" t="s">
        <v>6006</v>
      </c>
      <c r="B778" s="22" t="s">
        <v>39</v>
      </c>
      <c r="C778" s="22" t="s">
        <v>6002</v>
      </c>
      <c r="D778" s="23">
        <v>-84474</v>
      </c>
      <c r="E778" s="22" t="s">
        <v>57</v>
      </c>
      <c r="F778" s="24">
        <v>44018</v>
      </c>
      <c r="G778" s="22" t="s">
        <v>5996</v>
      </c>
      <c r="H778" s="22" t="s">
        <v>1131</v>
      </c>
      <c r="I778" s="22" t="s">
        <v>6007</v>
      </c>
      <c r="J778" s="22" t="s">
        <v>4466</v>
      </c>
      <c r="K778" s="22" t="s">
        <v>83</v>
      </c>
      <c r="L778" s="22"/>
      <c r="M778" s="22"/>
      <c r="N778" s="22"/>
    </row>
    <row r="779" spans="1:14" x14ac:dyDescent="0.25">
      <c r="A779" s="22" t="s">
        <v>6008</v>
      </c>
      <c r="B779" s="22" t="s">
        <v>39</v>
      </c>
      <c r="C779" s="22" t="s">
        <v>6002</v>
      </c>
      <c r="D779" s="23">
        <v>-236340</v>
      </c>
      <c r="E779" s="22" t="s">
        <v>57</v>
      </c>
      <c r="F779" s="24">
        <v>44034</v>
      </c>
      <c r="G779" s="22" t="s">
        <v>5996</v>
      </c>
      <c r="H779" s="22" t="s">
        <v>1131</v>
      </c>
      <c r="I779" s="22" t="s">
        <v>6009</v>
      </c>
      <c r="J779" s="22" t="s">
        <v>4466</v>
      </c>
      <c r="K779" s="22" t="s">
        <v>83</v>
      </c>
      <c r="L779" s="22"/>
      <c r="M779" s="22"/>
      <c r="N779" s="22"/>
    </row>
    <row r="780" spans="1:14" x14ac:dyDescent="0.25">
      <c r="A780" s="22" t="s">
        <v>6010</v>
      </c>
      <c r="B780" s="22" t="s">
        <v>39</v>
      </c>
      <c r="C780" s="22" t="s">
        <v>6002</v>
      </c>
      <c r="D780" s="23">
        <v>-123548</v>
      </c>
      <c r="E780" s="22" t="s">
        <v>57</v>
      </c>
      <c r="F780" s="24">
        <v>44034</v>
      </c>
      <c r="G780" s="22" t="s">
        <v>5996</v>
      </c>
      <c r="H780" s="22" t="s">
        <v>6011</v>
      </c>
      <c r="I780" s="22" t="s">
        <v>6012</v>
      </c>
      <c r="J780" s="22" t="s">
        <v>4466</v>
      </c>
      <c r="K780" s="22" t="s">
        <v>83</v>
      </c>
      <c r="L780" s="22"/>
      <c r="M780" s="22"/>
      <c r="N780" s="22"/>
    </row>
    <row r="781" spans="1:14" x14ac:dyDescent="0.25">
      <c r="A781" s="22" t="s">
        <v>6013</v>
      </c>
      <c r="B781" s="22" t="s">
        <v>39</v>
      </c>
      <c r="C781" s="22" t="s">
        <v>6002</v>
      </c>
      <c r="D781" s="23">
        <v>-58008</v>
      </c>
      <c r="E781" s="22" t="s">
        <v>57</v>
      </c>
      <c r="F781" s="24">
        <v>44015</v>
      </c>
      <c r="G781" s="22" t="s">
        <v>5996</v>
      </c>
      <c r="H781" s="22" t="s">
        <v>1250</v>
      </c>
      <c r="I781" s="22" t="s">
        <v>6014</v>
      </c>
      <c r="J781" s="22" t="s">
        <v>4466</v>
      </c>
      <c r="K781" s="22" t="s">
        <v>83</v>
      </c>
      <c r="L781" s="22"/>
      <c r="M781" s="22"/>
      <c r="N781" s="22"/>
    </row>
    <row r="782" spans="1:14" x14ac:dyDescent="0.25">
      <c r="A782" s="22" t="s">
        <v>6016</v>
      </c>
      <c r="B782" s="22" t="s">
        <v>39</v>
      </c>
      <c r="C782" s="22" t="s">
        <v>6015</v>
      </c>
      <c r="D782" s="23">
        <v>-53600</v>
      </c>
      <c r="E782" s="22" t="s">
        <v>57</v>
      </c>
      <c r="F782" s="24">
        <v>44027</v>
      </c>
      <c r="G782" s="22" t="s">
        <v>5996</v>
      </c>
      <c r="H782" s="22" t="s">
        <v>6017</v>
      </c>
      <c r="I782" s="22" t="s">
        <v>6018</v>
      </c>
      <c r="J782" s="22" t="s">
        <v>4401</v>
      </c>
      <c r="K782" s="22" t="s">
        <v>83</v>
      </c>
      <c r="L782" s="22"/>
      <c r="M782" s="22"/>
      <c r="N782" s="22"/>
    </row>
    <row r="783" spans="1:14" x14ac:dyDescent="0.25">
      <c r="A783" s="22" t="s">
        <v>6019</v>
      </c>
      <c r="B783" s="22" t="s">
        <v>39</v>
      </c>
      <c r="C783" s="22" t="s">
        <v>6015</v>
      </c>
      <c r="D783" s="23">
        <v>-52100</v>
      </c>
      <c r="E783" s="22" t="s">
        <v>57</v>
      </c>
      <c r="F783" s="24">
        <v>44027</v>
      </c>
      <c r="G783" s="22" t="s">
        <v>5996</v>
      </c>
      <c r="H783" s="22" t="s">
        <v>6020</v>
      </c>
      <c r="I783" s="22" t="s">
        <v>6021</v>
      </c>
      <c r="J783" s="22" t="s">
        <v>4401</v>
      </c>
      <c r="K783" s="22" t="s">
        <v>83</v>
      </c>
      <c r="L783" s="22"/>
      <c r="M783" s="22"/>
      <c r="N783" s="22"/>
    </row>
    <row r="784" spans="1:14" x14ac:dyDescent="0.25">
      <c r="A784" s="22" t="s">
        <v>6022</v>
      </c>
      <c r="B784" s="22" t="s">
        <v>39</v>
      </c>
      <c r="C784" s="22" t="s">
        <v>6015</v>
      </c>
      <c r="D784" s="23">
        <v>-30100</v>
      </c>
      <c r="E784" s="22" t="s">
        <v>57</v>
      </c>
      <c r="F784" s="24">
        <v>44027</v>
      </c>
      <c r="G784" s="22" t="s">
        <v>5996</v>
      </c>
      <c r="H784" s="22" t="s">
        <v>6020</v>
      </c>
      <c r="I784" s="22" t="s">
        <v>6023</v>
      </c>
      <c r="J784" s="22" t="s">
        <v>4401</v>
      </c>
      <c r="K784" s="22" t="s">
        <v>83</v>
      </c>
      <c r="L784" s="22"/>
      <c r="M784" s="22"/>
      <c r="N784" s="22"/>
    </row>
    <row r="785" spans="1:14" x14ac:dyDescent="0.25">
      <c r="A785" s="22" t="s">
        <v>6025</v>
      </c>
      <c r="B785" s="22" t="s">
        <v>39</v>
      </c>
      <c r="C785" s="22" t="s">
        <v>6024</v>
      </c>
      <c r="D785" s="23">
        <v>-116900</v>
      </c>
      <c r="E785" s="22" t="s">
        <v>57</v>
      </c>
      <c r="F785" s="24">
        <v>44023</v>
      </c>
      <c r="G785" s="22" t="s">
        <v>5996</v>
      </c>
      <c r="H785" s="22" t="s">
        <v>2279</v>
      </c>
      <c r="I785" s="22" t="s">
        <v>6026</v>
      </c>
      <c r="J785" s="22" t="s">
        <v>4466</v>
      </c>
      <c r="K785" s="22" t="s">
        <v>83</v>
      </c>
      <c r="L785" s="22"/>
      <c r="M785" s="22"/>
      <c r="N785" s="22"/>
    </row>
    <row r="786" spans="1:14" x14ac:dyDescent="0.25">
      <c r="A786" s="22" t="s">
        <v>6027</v>
      </c>
      <c r="B786" s="22" t="s">
        <v>39</v>
      </c>
      <c r="C786" s="22" t="s">
        <v>6024</v>
      </c>
      <c r="D786" s="23">
        <v>-594600</v>
      </c>
      <c r="E786" s="22" t="s">
        <v>57</v>
      </c>
      <c r="F786" s="24">
        <v>44034</v>
      </c>
      <c r="G786" s="22" t="s">
        <v>5996</v>
      </c>
      <c r="H786" s="22" t="s">
        <v>1131</v>
      </c>
      <c r="I786" s="22" t="s">
        <v>6028</v>
      </c>
      <c r="J786" s="22" t="s">
        <v>4466</v>
      </c>
      <c r="K786" s="22" t="s">
        <v>83</v>
      </c>
      <c r="L786" s="22"/>
      <c r="M786" s="22"/>
      <c r="N786" s="22"/>
    </row>
    <row r="787" spans="1:14" x14ac:dyDescent="0.25">
      <c r="A787" s="22" t="s">
        <v>5882</v>
      </c>
      <c r="B787" s="22" t="s">
        <v>39</v>
      </c>
      <c r="C787" s="22" t="s">
        <v>4916</v>
      </c>
      <c r="D787" s="23">
        <v>4273049</v>
      </c>
      <c r="E787" s="22" t="s">
        <v>45</v>
      </c>
      <c r="F787" s="24">
        <v>44074</v>
      </c>
      <c r="G787" s="22" t="s">
        <v>5996</v>
      </c>
      <c r="H787" s="22" t="s">
        <v>6029</v>
      </c>
      <c r="I787" s="22" t="s">
        <v>5883</v>
      </c>
      <c r="J787" s="22" t="s">
        <v>4401</v>
      </c>
      <c r="K787" s="22" t="s">
        <v>5884</v>
      </c>
      <c r="L787" s="22"/>
      <c r="M787" s="22"/>
      <c r="N787" s="22"/>
    </row>
    <row r="788" spans="1:14" x14ac:dyDescent="0.25">
      <c r="A788" s="22" t="s">
        <v>6030</v>
      </c>
      <c r="B788" s="22" t="s">
        <v>39</v>
      </c>
      <c r="C788" s="22" t="s">
        <v>4540</v>
      </c>
      <c r="D788" s="23">
        <v>126121</v>
      </c>
      <c r="E788" s="22" t="s">
        <v>45</v>
      </c>
      <c r="F788" s="24">
        <v>44053</v>
      </c>
      <c r="G788" s="22" t="s">
        <v>6031</v>
      </c>
      <c r="H788" s="22" t="s">
        <v>2103</v>
      </c>
      <c r="I788" s="22" t="s">
        <v>6031</v>
      </c>
      <c r="J788" s="22" t="s">
        <v>4466</v>
      </c>
      <c r="K788" s="22" t="s">
        <v>2103</v>
      </c>
      <c r="L788" s="22"/>
      <c r="M788" s="22"/>
      <c r="N788" s="22"/>
    </row>
    <row r="789" spans="1:14" x14ac:dyDescent="0.25">
      <c r="A789" s="22" t="s">
        <v>6030</v>
      </c>
      <c r="B789" s="22" t="s">
        <v>39</v>
      </c>
      <c r="C789" s="22" t="s">
        <v>4540</v>
      </c>
      <c r="D789" s="23">
        <v>-188572</v>
      </c>
      <c r="E789" s="22" t="s">
        <v>45</v>
      </c>
      <c r="F789" s="24">
        <v>44053</v>
      </c>
      <c r="G789" s="22" t="s">
        <v>6031</v>
      </c>
      <c r="H789" s="22" t="s">
        <v>2103</v>
      </c>
      <c r="I789" s="22" t="s">
        <v>6031</v>
      </c>
      <c r="J789" s="22" t="s">
        <v>4401</v>
      </c>
      <c r="K789" s="22" t="s">
        <v>2103</v>
      </c>
      <c r="L789" s="22"/>
      <c r="M789" s="22"/>
      <c r="N789" s="22"/>
    </row>
    <row r="790" spans="1:14" x14ac:dyDescent="0.25">
      <c r="A790" s="22" t="s">
        <v>6030</v>
      </c>
      <c r="B790" s="22" t="s">
        <v>39</v>
      </c>
      <c r="C790" s="22" t="s">
        <v>4540</v>
      </c>
      <c r="D790" s="23">
        <v>62451</v>
      </c>
      <c r="E790" s="22" t="s">
        <v>45</v>
      </c>
      <c r="F790" s="24">
        <v>44053</v>
      </c>
      <c r="G790" s="22" t="s">
        <v>6031</v>
      </c>
      <c r="H790" s="22" t="s">
        <v>2103</v>
      </c>
      <c r="I790" s="22" t="s">
        <v>6031</v>
      </c>
      <c r="J790" s="22" t="s">
        <v>4407</v>
      </c>
      <c r="K790" s="22" t="s">
        <v>2103</v>
      </c>
      <c r="L790" s="22"/>
      <c r="M790" s="22"/>
      <c r="N790" s="22"/>
    </row>
    <row r="791" spans="1:14" x14ac:dyDescent="0.25">
      <c r="A791" s="22" t="s">
        <v>6033</v>
      </c>
      <c r="B791" s="22" t="s">
        <v>39</v>
      </c>
      <c r="C791" s="22" t="s">
        <v>6032</v>
      </c>
      <c r="D791" s="23">
        <v>-54400</v>
      </c>
      <c r="E791" s="22" t="s">
        <v>57</v>
      </c>
      <c r="F791" s="24">
        <v>43999</v>
      </c>
      <c r="G791" s="22" t="s">
        <v>6031</v>
      </c>
      <c r="H791" s="22" t="s">
        <v>2034</v>
      </c>
      <c r="I791" s="22" t="s">
        <v>6034</v>
      </c>
      <c r="J791" s="22" t="s">
        <v>4401</v>
      </c>
      <c r="K791" s="22" t="s">
        <v>78</v>
      </c>
      <c r="L791" s="22"/>
      <c r="M791" s="22"/>
      <c r="N791" s="22"/>
    </row>
    <row r="792" spans="1:14" x14ac:dyDescent="0.25">
      <c r="A792" s="22" t="s">
        <v>4541</v>
      </c>
      <c r="B792" s="22" t="s">
        <v>39</v>
      </c>
      <c r="C792" s="22" t="s">
        <v>4544</v>
      </c>
      <c r="D792" s="23">
        <v>-62451</v>
      </c>
      <c r="E792" s="22" t="s">
        <v>2073</v>
      </c>
      <c r="F792" s="24">
        <v>43872</v>
      </c>
      <c r="G792" s="22" t="s">
        <v>6031</v>
      </c>
      <c r="H792" s="22" t="s">
        <v>4543</v>
      </c>
      <c r="I792" s="22" t="s">
        <v>4542</v>
      </c>
      <c r="J792" s="22" t="s">
        <v>4407</v>
      </c>
      <c r="K792" s="22" t="s">
        <v>103</v>
      </c>
      <c r="L792" s="22"/>
      <c r="M792" s="22"/>
      <c r="N792" s="22"/>
    </row>
    <row r="793" spans="1:14" x14ac:dyDescent="0.25">
      <c r="A793" s="22" t="s">
        <v>6036</v>
      </c>
      <c r="B793" s="22" t="s">
        <v>39</v>
      </c>
      <c r="C793" s="22" t="s">
        <v>6035</v>
      </c>
      <c r="D793" s="23">
        <v>-126121</v>
      </c>
      <c r="E793" s="22" t="s">
        <v>57</v>
      </c>
      <c r="F793" s="24">
        <v>44021</v>
      </c>
      <c r="G793" s="22" t="s">
        <v>6031</v>
      </c>
      <c r="H793" s="22" t="s">
        <v>6037</v>
      </c>
      <c r="I793" s="22" t="s">
        <v>6038</v>
      </c>
      <c r="J793" s="22" t="s">
        <v>4466</v>
      </c>
      <c r="K793" s="22" t="s">
        <v>78</v>
      </c>
      <c r="L793" s="22"/>
      <c r="M793" s="22"/>
      <c r="N793" s="22"/>
    </row>
    <row r="794" spans="1:14" x14ac:dyDescent="0.25">
      <c r="A794" s="22" t="s">
        <v>6030</v>
      </c>
      <c r="B794" s="22" t="s">
        <v>39</v>
      </c>
      <c r="C794" s="22" t="s">
        <v>5568</v>
      </c>
      <c r="D794" s="23">
        <v>242972</v>
      </c>
      <c r="E794" s="22" t="s">
        <v>42</v>
      </c>
      <c r="F794" s="24">
        <v>44053</v>
      </c>
      <c r="G794" s="22" t="s">
        <v>6031</v>
      </c>
      <c r="H794" s="22" t="s">
        <v>292</v>
      </c>
      <c r="I794" s="22" t="s">
        <v>6039</v>
      </c>
      <c r="J794" s="22" t="s">
        <v>4401</v>
      </c>
      <c r="K794" s="22" t="s">
        <v>5568</v>
      </c>
      <c r="L794" s="22"/>
      <c r="M794" s="22"/>
      <c r="N794" s="22"/>
    </row>
    <row r="795" spans="1:14" x14ac:dyDescent="0.25">
      <c r="A795" s="22" t="s">
        <v>6040</v>
      </c>
      <c r="B795" s="22" t="s">
        <v>39</v>
      </c>
      <c r="C795" s="22" t="s">
        <v>4540</v>
      </c>
      <c r="D795" s="23">
        <v>8914552</v>
      </c>
      <c r="E795" s="22" t="s">
        <v>45</v>
      </c>
      <c r="F795" s="24">
        <v>44053</v>
      </c>
      <c r="G795" s="22" t="s">
        <v>6041</v>
      </c>
      <c r="H795" s="22" t="s">
        <v>2103</v>
      </c>
      <c r="I795" s="22" t="s">
        <v>6041</v>
      </c>
      <c r="J795" s="22" t="s">
        <v>4552</v>
      </c>
      <c r="K795" s="22" t="s">
        <v>2103</v>
      </c>
      <c r="L795" s="22"/>
      <c r="M795" s="22"/>
      <c r="N795" s="22"/>
    </row>
    <row r="796" spans="1:14" x14ac:dyDescent="0.25">
      <c r="A796" s="22" t="s">
        <v>6040</v>
      </c>
      <c r="B796" s="22" t="s">
        <v>39</v>
      </c>
      <c r="C796" s="22" t="s">
        <v>4540</v>
      </c>
      <c r="D796" s="23">
        <v>-27307949</v>
      </c>
      <c r="E796" s="22" t="s">
        <v>45</v>
      </c>
      <c r="F796" s="24">
        <v>44053</v>
      </c>
      <c r="G796" s="22" t="s">
        <v>6041</v>
      </c>
      <c r="H796" s="22" t="s">
        <v>2103</v>
      </c>
      <c r="I796" s="22" t="s">
        <v>6041</v>
      </c>
      <c r="J796" s="22" t="s">
        <v>4401</v>
      </c>
      <c r="K796" s="22" t="s">
        <v>2103</v>
      </c>
      <c r="L796" s="22"/>
      <c r="M796" s="22"/>
      <c r="N796" s="22"/>
    </row>
    <row r="797" spans="1:14" x14ac:dyDescent="0.25">
      <c r="A797" s="22" t="s">
        <v>6040</v>
      </c>
      <c r="B797" s="22" t="s">
        <v>39</v>
      </c>
      <c r="C797" s="22" t="s">
        <v>4540</v>
      </c>
      <c r="D797" s="23">
        <v>4993828</v>
      </c>
      <c r="E797" s="22" t="s">
        <v>45</v>
      </c>
      <c r="F797" s="24">
        <v>44053</v>
      </c>
      <c r="G797" s="22" t="s">
        <v>6041</v>
      </c>
      <c r="H797" s="22" t="s">
        <v>2103</v>
      </c>
      <c r="I797" s="22" t="s">
        <v>6041</v>
      </c>
      <c r="J797" s="22" t="s">
        <v>4407</v>
      </c>
      <c r="K797" s="22" t="s">
        <v>2103</v>
      </c>
      <c r="L797" s="22"/>
      <c r="M797" s="22"/>
      <c r="N797" s="22"/>
    </row>
    <row r="798" spans="1:14" x14ac:dyDescent="0.25">
      <c r="A798" s="22" t="s">
        <v>6043</v>
      </c>
      <c r="B798" s="22" t="s">
        <v>39</v>
      </c>
      <c r="C798" s="22" t="s">
        <v>6042</v>
      </c>
      <c r="D798" s="23">
        <v>-3382289</v>
      </c>
      <c r="E798" s="22" t="s">
        <v>57</v>
      </c>
      <c r="F798" s="24">
        <v>43970</v>
      </c>
      <c r="G798" s="22" t="s">
        <v>6041</v>
      </c>
      <c r="H798" s="22" t="s">
        <v>6044</v>
      </c>
      <c r="I798" s="22" t="s">
        <v>6045</v>
      </c>
      <c r="J798" s="22" t="s">
        <v>4552</v>
      </c>
      <c r="K798" s="22" t="s">
        <v>4557</v>
      </c>
      <c r="L798" s="22"/>
      <c r="M798" s="22"/>
      <c r="N798" s="22"/>
    </row>
    <row r="799" spans="1:14" x14ac:dyDescent="0.25">
      <c r="A799" s="22" t="s">
        <v>6046</v>
      </c>
      <c r="B799" s="22" t="s">
        <v>39</v>
      </c>
      <c r="C799" s="22" t="s">
        <v>4808</v>
      </c>
      <c r="D799" s="23">
        <v>-1383327</v>
      </c>
      <c r="E799" s="22" t="s">
        <v>57</v>
      </c>
      <c r="F799" s="24">
        <v>43940</v>
      </c>
      <c r="G799" s="22" t="s">
        <v>6041</v>
      </c>
      <c r="H799" s="22" t="s">
        <v>6047</v>
      </c>
      <c r="I799" s="22" t="s">
        <v>6048</v>
      </c>
      <c r="J799" s="22" t="s">
        <v>4407</v>
      </c>
      <c r="K799" s="22" t="s">
        <v>4557</v>
      </c>
      <c r="L799" s="22"/>
      <c r="M799" s="22"/>
      <c r="N799" s="22"/>
    </row>
    <row r="800" spans="1:14" x14ac:dyDescent="0.25">
      <c r="A800" s="22" t="s">
        <v>4805</v>
      </c>
      <c r="B800" s="22" t="s">
        <v>39</v>
      </c>
      <c r="C800" s="22" t="s">
        <v>4808</v>
      </c>
      <c r="D800" s="23">
        <v>-2311837</v>
      </c>
      <c r="E800" s="22" t="s">
        <v>57</v>
      </c>
      <c r="F800" s="24">
        <v>43914</v>
      </c>
      <c r="G800" s="22" t="s">
        <v>6041</v>
      </c>
      <c r="H800" s="22" t="s">
        <v>6049</v>
      </c>
      <c r="I800" s="22" t="s">
        <v>4810</v>
      </c>
      <c r="J800" s="22" t="s">
        <v>4407</v>
      </c>
      <c r="K800" s="22" t="s">
        <v>4557</v>
      </c>
      <c r="L800" s="22"/>
      <c r="M800" s="22"/>
      <c r="N800" s="22"/>
    </row>
    <row r="801" spans="1:14" x14ac:dyDescent="0.25">
      <c r="A801" s="22" t="s">
        <v>6051</v>
      </c>
      <c r="B801" s="22" t="s">
        <v>39</v>
      </c>
      <c r="C801" s="22" t="s">
        <v>6050</v>
      </c>
      <c r="D801" s="23">
        <v>-1415167</v>
      </c>
      <c r="E801" s="22" t="s">
        <v>57</v>
      </c>
      <c r="F801" s="24">
        <v>43928</v>
      </c>
      <c r="G801" s="22" t="s">
        <v>6041</v>
      </c>
      <c r="H801" s="22" t="s">
        <v>5671</v>
      </c>
      <c r="I801" s="22" t="s">
        <v>6052</v>
      </c>
      <c r="J801" s="22" t="s">
        <v>4552</v>
      </c>
      <c r="K801" s="22" t="s">
        <v>4557</v>
      </c>
      <c r="L801" s="22"/>
      <c r="M801" s="22"/>
      <c r="N801" s="22"/>
    </row>
    <row r="802" spans="1:14" x14ac:dyDescent="0.25">
      <c r="A802" s="22" t="s">
        <v>6053</v>
      </c>
      <c r="B802" s="22" t="s">
        <v>39</v>
      </c>
      <c r="C802" s="22" t="s">
        <v>5930</v>
      </c>
      <c r="D802" s="23">
        <v>-57600</v>
      </c>
      <c r="E802" s="22" t="s">
        <v>57</v>
      </c>
      <c r="F802" s="24">
        <v>43998</v>
      </c>
      <c r="G802" s="22" t="s">
        <v>6041</v>
      </c>
      <c r="H802" s="22" t="s">
        <v>6054</v>
      </c>
      <c r="I802" s="22" t="s">
        <v>6055</v>
      </c>
      <c r="J802" s="22" t="s">
        <v>4552</v>
      </c>
      <c r="K802" s="22" t="s">
        <v>4557</v>
      </c>
      <c r="L802" s="22"/>
      <c r="M802" s="22"/>
      <c r="N802" s="22"/>
    </row>
    <row r="803" spans="1:14" x14ac:dyDescent="0.25">
      <c r="A803" s="22" t="s">
        <v>2711</v>
      </c>
      <c r="B803" s="22" t="s">
        <v>39</v>
      </c>
      <c r="C803" s="22" t="s">
        <v>4780</v>
      </c>
      <c r="D803" s="23">
        <v>-1231378</v>
      </c>
      <c r="E803" s="22" t="s">
        <v>57</v>
      </c>
      <c r="F803" s="24">
        <v>44013</v>
      </c>
      <c r="G803" s="22" t="s">
        <v>6041</v>
      </c>
      <c r="H803" s="22" t="s">
        <v>6056</v>
      </c>
      <c r="I803" s="22" t="s">
        <v>4782</v>
      </c>
      <c r="J803" s="22" t="s">
        <v>4552</v>
      </c>
      <c r="K803" s="22" t="s">
        <v>4557</v>
      </c>
      <c r="L803" s="22"/>
      <c r="M803" s="22"/>
      <c r="N803" s="22"/>
    </row>
    <row r="804" spans="1:14" x14ac:dyDescent="0.25">
      <c r="A804" s="22" t="s">
        <v>6057</v>
      </c>
      <c r="B804" s="22" t="s">
        <v>39</v>
      </c>
      <c r="C804" s="22" t="s">
        <v>5946</v>
      </c>
      <c r="D804" s="23">
        <v>-108099</v>
      </c>
      <c r="E804" s="22" t="s">
        <v>57</v>
      </c>
      <c r="F804" s="24">
        <v>43873</v>
      </c>
      <c r="G804" s="22" t="s">
        <v>6041</v>
      </c>
      <c r="H804" s="22" t="s">
        <v>6058</v>
      </c>
      <c r="I804" s="22" t="s">
        <v>6059</v>
      </c>
      <c r="J804" s="22" t="s">
        <v>4552</v>
      </c>
      <c r="K804" s="22" t="s">
        <v>4557</v>
      </c>
      <c r="L804" s="22"/>
      <c r="M804" s="22"/>
      <c r="N804" s="22"/>
    </row>
    <row r="805" spans="1:14" x14ac:dyDescent="0.25">
      <c r="A805" s="22" t="s">
        <v>6060</v>
      </c>
      <c r="B805" s="22" t="s">
        <v>39</v>
      </c>
      <c r="C805" s="22" t="s">
        <v>5946</v>
      </c>
      <c r="D805" s="23">
        <v>-121400</v>
      </c>
      <c r="E805" s="22" t="s">
        <v>57</v>
      </c>
      <c r="F805" s="24">
        <v>43883</v>
      </c>
      <c r="G805" s="22" t="s">
        <v>6041</v>
      </c>
      <c r="H805" s="22" t="s">
        <v>6061</v>
      </c>
      <c r="I805" s="22" t="s">
        <v>6062</v>
      </c>
      <c r="J805" s="22" t="s">
        <v>4552</v>
      </c>
      <c r="K805" s="22" t="s">
        <v>4557</v>
      </c>
      <c r="L805" s="22"/>
      <c r="M805" s="22"/>
      <c r="N805" s="22"/>
    </row>
    <row r="806" spans="1:14" x14ac:dyDescent="0.25">
      <c r="A806" s="22" t="s">
        <v>6063</v>
      </c>
      <c r="B806" s="22" t="s">
        <v>39</v>
      </c>
      <c r="C806" s="22" t="s">
        <v>5946</v>
      </c>
      <c r="D806" s="23">
        <v>-197875</v>
      </c>
      <c r="E806" s="22" t="s">
        <v>57</v>
      </c>
      <c r="F806" s="24">
        <v>43884</v>
      </c>
      <c r="G806" s="22" t="s">
        <v>6041</v>
      </c>
      <c r="H806" s="22" t="s">
        <v>6058</v>
      </c>
      <c r="I806" s="22" t="s">
        <v>6064</v>
      </c>
      <c r="J806" s="22" t="s">
        <v>4552</v>
      </c>
      <c r="K806" s="22" t="s">
        <v>4557</v>
      </c>
      <c r="L806" s="22"/>
      <c r="M806" s="22"/>
      <c r="N806" s="22"/>
    </row>
    <row r="807" spans="1:14" x14ac:dyDescent="0.25">
      <c r="A807" s="22" t="s">
        <v>6065</v>
      </c>
      <c r="B807" s="22" t="s">
        <v>39</v>
      </c>
      <c r="C807" s="22" t="s">
        <v>5946</v>
      </c>
      <c r="D807" s="23">
        <v>-137000</v>
      </c>
      <c r="E807" s="22" t="s">
        <v>57</v>
      </c>
      <c r="F807" s="24">
        <v>43885</v>
      </c>
      <c r="G807" s="22" t="s">
        <v>6041</v>
      </c>
      <c r="H807" s="22" t="s">
        <v>491</v>
      </c>
      <c r="I807" s="22" t="s">
        <v>6066</v>
      </c>
      <c r="J807" s="22" t="s">
        <v>4552</v>
      </c>
      <c r="K807" s="22" t="s">
        <v>4557</v>
      </c>
      <c r="L807" s="22"/>
      <c r="M807" s="22"/>
      <c r="N807" s="22"/>
    </row>
    <row r="808" spans="1:14" x14ac:dyDescent="0.25">
      <c r="A808" s="22" t="s">
        <v>5953</v>
      </c>
      <c r="B808" s="22" t="s">
        <v>39</v>
      </c>
      <c r="C808" s="22" t="s">
        <v>5946</v>
      </c>
      <c r="D808" s="23">
        <v>-1329</v>
      </c>
      <c r="E808" s="22" t="s">
        <v>57</v>
      </c>
      <c r="F808" s="24">
        <v>43889</v>
      </c>
      <c r="G808" s="22" t="s">
        <v>6041</v>
      </c>
      <c r="H808" s="22" t="s">
        <v>6067</v>
      </c>
      <c r="I808" s="22" t="s">
        <v>5955</v>
      </c>
      <c r="J808" s="22" t="s">
        <v>4407</v>
      </c>
      <c r="K808" s="22" t="s">
        <v>4557</v>
      </c>
      <c r="L808" s="22"/>
      <c r="M808" s="22"/>
      <c r="N808" s="22"/>
    </row>
    <row r="809" spans="1:14" x14ac:dyDescent="0.25">
      <c r="A809" s="22" t="s">
        <v>6068</v>
      </c>
      <c r="B809" s="22" t="s">
        <v>39</v>
      </c>
      <c r="C809" s="22" t="s">
        <v>5946</v>
      </c>
      <c r="D809" s="23">
        <v>-289553</v>
      </c>
      <c r="E809" s="22" t="s">
        <v>57</v>
      </c>
      <c r="F809" s="24">
        <v>43889</v>
      </c>
      <c r="G809" s="22" t="s">
        <v>6041</v>
      </c>
      <c r="H809" s="22" t="s">
        <v>6069</v>
      </c>
      <c r="I809" s="22" t="s">
        <v>6070</v>
      </c>
      <c r="J809" s="22" t="s">
        <v>4552</v>
      </c>
      <c r="K809" s="22" t="s">
        <v>4557</v>
      </c>
      <c r="L809" s="22"/>
      <c r="M809" s="22"/>
      <c r="N809" s="22"/>
    </row>
    <row r="810" spans="1:14" x14ac:dyDescent="0.25">
      <c r="A810" s="22" t="s">
        <v>6071</v>
      </c>
      <c r="B810" s="22" t="s">
        <v>39</v>
      </c>
      <c r="C810" s="22" t="s">
        <v>5946</v>
      </c>
      <c r="D810" s="23">
        <v>-1237092</v>
      </c>
      <c r="E810" s="22" t="s">
        <v>57</v>
      </c>
      <c r="F810" s="24">
        <v>43889</v>
      </c>
      <c r="G810" s="22" t="s">
        <v>6041</v>
      </c>
      <c r="H810" s="22" t="s">
        <v>491</v>
      </c>
      <c r="I810" s="22" t="s">
        <v>6072</v>
      </c>
      <c r="J810" s="22" t="s">
        <v>4552</v>
      </c>
      <c r="K810" s="22" t="s">
        <v>4557</v>
      </c>
      <c r="L810" s="22"/>
      <c r="M810" s="22"/>
      <c r="N810" s="22"/>
    </row>
    <row r="811" spans="1:14" x14ac:dyDescent="0.25">
      <c r="A811" s="22" t="s">
        <v>6073</v>
      </c>
      <c r="B811" s="22" t="s">
        <v>39</v>
      </c>
      <c r="C811" s="22" t="s">
        <v>5946</v>
      </c>
      <c r="D811" s="23">
        <v>-310362</v>
      </c>
      <c r="E811" s="22" t="s">
        <v>57</v>
      </c>
      <c r="F811" s="24">
        <v>43889</v>
      </c>
      <c r="G811" s="22" t="s">
        <v>6041</v>
      </c>
      <c r="H811" s="22" t="s">
        <v>6074</v>
      </c>
      <c r="I811" s="22" t="s">
        <v>6075</v>
      </c>
      <c r="J811" s="22" t="s">
        <v>4552</v>
      </c>
      <c r="K811" s="22" t="s">
        <v>4557</v>
      </c>
      <c r="L811" s="22"/>
      <c r="M811" s="22"/>
      <c r="N811" s="22"/>
    </row>
    <row r="812" spans="1:14" x14ac:dyDescent="0.25">
      <c r="A812" s="22" t="s">
        <v>6076</v>
      </c>
      <c r="B812" s="22" t="s">
        <v>39</v>
      </c>
      <c r="C812" s="22" t="s">
        <v>5946</v>
      </c>
      <c r="D812" s="23">
        <v>-255702</v>
      </c>
      <c r="E812" s="22" t="s">
        <v>57</v>
      </c>
      <c r="F812" s="24">
        <v>43893</v>
      </c>
      <c r="G812" s="22" t="s">
        <v>6041</v>
      </c>
      <c r="H812" s="22" t="s">
        <v>6077</v>
      </c>
      <c r="I812" s="22" t="s">
        <v>6078</v>
      </c>
      <c r="J812" s="22" t="s">
        <v>4552</v>
      </c>
      <c r="K812" s="22" t="s">
        <v>4557</v>
      </c>
      <c r="L812" s="22"/>
      <c r="M812" s="22"/>
      <c r="N812" s="22"/>
    </row>
    <row r="813" spans="1:14" x14ac:dyDescent="0.25">
      <c r="A813" s="22" t="s">
        <v>6079</v>
      </c>
      <c r="B813" s="22" t="s">
        <v>39</v>
      </c>
      <c r="C813" s="22" t="s">
        <v>5946</v>
      </c>
      <c r="D813" s="23">
        <v>-171035</v>
      </c>
      <c r="E813" s="22" t="s">
        <v>57</v>
      </c>
      <c r="F813" s="24">
        <v>43894</v>
      </c>
      <c r="G813" s="22" t="s">
        <v>6041</v>
      </c>
      <c r="H813" s="22" t="s">
        <v>6080</v>
      </c>
      <c r="I813" s="22" t="s">
        <v>6081</v>
      </c>
      <c r="J813" s="22" t="s">
        <v>4552</v>
      </c>
      <c r="K813" s="22" t="s">
        <v>4557</v>
      </c>
      <c r="L813" s="22"/>
      <c r="M813" s="22"/>
      <c r="N813" s="22"/>
    </row>
    <row r="814" spans="1:14" x14ac:dyDescent="0.25">
      <c r="A814" s="22" t="s">
        <v>6083</v>
      </c>
      <c r="B814" s="22" t="s">
        <v>39</v>
      </c>
      <c r="C814" s="22" t="s">
        <v>6082</v>
      </c>
      <c r="D814" s="23">
        <v>-1297335</v>
      </c>
      <c r="E814" s="22" t="s">
        <v>57</v>
      </c>
      <c r="F814" s="24">
        <v>43872</v>
      </c>
      <c r="G814" s="22" t="s">
        <v>6041</v>
      </c>
      <c r="H814" s="22" t="s">
        <v>740</v>
      </c>
      <c r="I814" s="22" t="s">
        <v>6084</v>
      </c>
      <c r="J814" s="22" t="s">
        <v>4407</v>
      </c>
      <c r="K814" s="22" t="s">
        <v>4707</v>
      </c>
      <c r="L814" s="22"/>
      <c r="M814" s="22"/>
      <c r="N814" s="22"/>
    </row>
    <row r="815" spans="1:14" x14ac:dyDescent="0.25">
      <c r="A815" s="22" t="s">
        <v>6040</v>
      </c>
      <c r="B815" s="22" t="s">
        <v>39</v>
      </c>
      <c r="C815" s="22" t="s">
        <v>5296</v>
      </c>
      <c r="D815" s="23">
        <v>27307949</v>
      </c>
      <c r="E815" s="22" t="s">
        <v>42</v>
      </c>
      <c r="F815" s="24">
        <v>44053</v>
      </c>
      <c r="G815" s="22" t="s">
        <v>6041</v>
      </c>
      <c r="H815" s="22" t="s">
        <v>292</v>
      </c>
      <c r="I815" s="22" t="s">
        <v>4590</v>
      </c>
      <c r="J815" s="22" t="s">
        <v>4401</v>
      </c>
      <c r="K815" s="22" t="s">
        <v>5296</v>
      </c>
      <c r="L815" s="22"/>
      <c r="M815" s="22"/>
      <c r="N815" s="22"/>
    </row>
    <row r="816" spans="1:14" x14ac:dyDescent="0.25">
      <c r="A816" s="22" t="s">
        <v>4709</v>
      </c>
      <c r="B816" s="22" t="s">
        <v>39</v>
      </c>
      <c r="C816" s="22" t="s">
        <v>4708</v>
      </c>
      <c r="D816" s="23">
        <v>-1083034</v>
      </c>
      <c r="E816" s="22" t="s">
        <v>57</v>
      </c>
      <c r="F816" s="24">
        <v>44130</v>
      </c>
      <c r="G816" s="22" t="s">
        <v>6085</v>
      </c>
      <c r="H816" s="22" t="s">
        <v>4711</v>
      </c>
      <c r="I816" s="22" t="s">
        <v>4710</v>
      </c>
      <c r="J816" s="22" t="s">
        <v>4466</v>
      </c>
      <c r="K816" s="22" t="s">
        <v>4712</v>
      </c>
      <c r="L816" s="22"/>
      <c r="M816" s="22"/>
      <c r="N816" s="22"/>
    </row>
    <row r="817" spans="1:14" x14ac:dyDescent="0.25">
      <c r="A817" s="22" t="s">
        <v>5882</v>
      </c>
      <c r="B817" s="22" t="s">
        <v>39</v>
      </c>
      <c r="C817" s="22" t="s">
        <v>4708</v>
      </c>
      <c r="D817" s="23">
        <v>1742844</v>
      </c>
      <c r="E817" s="22" t="s">
        <v>45</v>
      </c>
      <c r="F817" s="24">
        <v>44053</v>
      </c>
      <c r="G817" s="22" t="s">
        <v>6085</v>
      </c>
      <c r="H817" s="22" t="s">
        <v>5884</v>
      </c>
      <c r="I817" s="22" t="s">
        <v>6085</v>
      </c>
      <c r="J817" s="22" t="s">
        <v>4466</v>
      </c>
      <c r="K817" s="22" t="s">
        <v>5884</v>
      </c>
      <c r="L817" s="22"/>
      <c r="M817" s="22"/>
      <c r="N817" s="22"/>
    </row>
    <row r="818" spans="1:14" x14ac:dyDescent="0.25">
      <c r="A818" s="22" t="s">
        <v>5882</v>
      </c>
      <c r="B818" s="22" t="s">
        <v>39</v>
      </c>
      <c r="C818" s="22" t="s">
        <v>4708</v>
      </c>
      <c r="D818" s="23">
        <v>221000</v>
      </c>
      <c r="E818" s="22" t="s">
        <v>45</v>
      </c>
      <c r="F818" s="24">
        <v>44053</v>
      </c>
      <c r="G818" s="22" t="s">
        <v>6085</v>
      </c>
      <c r="H818" s="22" t="s">
        <v>5884</v>
      </c>
      <c r="I818" s="22" t="s">
        <v>6085</v>
      </c>
      <c r="J818" s="22" t="s">
        <v>4552</v>
      </c>
      <c r="K818" s="22" t="s">
        <v>5884</v>
      </c>
      <c r="L818" s="22"/>
      <c r="M818" s="22"/>
      <c r="N818" s="22"/>
    </row>
    <row r="819" spans="1:14" x14ac:dyDescent="0.25">
      <c r="A819" s="22" t="s">
        <v>5882</v>
      </c>
      <c r="B819" s="22" t="s">
        <v>39</v>
      </c>
      <c r="C819" s="22" t="s">
        <v>4708</v>
      </c>
      <c r="D819" s="23">
        <v>-2139044</v>
      </c>
      <c r="E819" s="22" t="s">
        <v>45</v>
      </c>
      <c r="F819" s="24">
        <v>44053</v>
      </c>
      <c r="G819" s="22" t="s">
        <v>6085</v>
      </c>
      <c r="H819" s="22" t="s">
        <v>5884</v>
      </c>
      <c r="I819" s="22" t="s">
        <v>6085</v>
      </c>
      <c r="J819" s="22" t="s">
        <v>4401</v>
      </c>
      <c r="K819" s="22" t="s">
        <v>5884</v>
      </c>
      <c r="L819" s="22"/>
      <c r="M819" s="22"/>
      <c r="N819" s="22"/>
    </row>
    <row r="820" spans="1:14" x14ac:dyDescent="0.25">
      <c r="A820" s="22" t="s">
        <v>5882</v>
      </c>
      <c r="B820" s="22" t="s">
        <v>39</v>
      </c>
      <c r="C820" s="22" t="s">
        <v>4708</v>
      </c>
      <c r="D820" s="23">
        <v>175200</v>
      </c>
      <c r="E820" s="22" t="s">
        <v>45</v>
      </c>
      <c r="F820" s="24">
        <v>44053</v>
      </c>
      <c r="G820" s="22" t="s">
        <v>6085</v>
      </c>
      <c r="H820" s="22" t="s">
        <v>5884</v>
      </c>
      <c r="I820" s="22" t="s">
        <v>6085</v>
      </c>
      <c r="J820" s="22" t="s">
        <v>4407</v>
      </c>
      <c r="K820" s="22" t="s">
        <v>5884</v>
      </c>
      <c r="L820" s="22"/>
      <c r="M820" s="22"/>
      <c r="N820" s="22"/>
    </row>
    <row r="821" spans="1:14" x14ac:dyDescent="0.25">
      <c r="A821" s="22" t="s">
        <v>6087</v>
      </c>
      <c r="B821" s="22" t="s">
        <v>39</v>
      </c>
      <c r="C821" s="22" t="s">
        <v>6086</v>
      </c>
      <c r="D821" s="23">
        <v>-57600</v>
      </c>
      <c r="E821" s="22" t="s">
        <v>57</v>
      </c>
      <c r="F821" s="24">
        <v>43864</v>
      </c>
      <c r="G821" s="22" t="s">
        <v>6085</v>
      </c>
      <c r="H821" s="22" t="s">
        <v>6088</v>
      </c>
      <c r="I821" s="22" t="s">
        <v>6089</v>
      </c>
      <c r="J821" s="22" t="s">
        <v>4466</v>
      </c>
      <c r="K821" s="22" t="s">
        <v>83</v>
      </c>
      <c r="L821" s="22"/>
      <c r="M821" s="22"/>
      <c r="N821" s="22"/>
    </row>
    <row r="822" spans="1:14" x14ac:dyDescent="0.25">
      <c r="A822" s="22" t="s">
        <v>6090</v>
      </c>
      <c r="B822" s="22" t="s">
        <v>39</v>
      </c>
      <c r="C822" s="22" t="s">
        <v>6086</v>
      </c>
      <c r="D822" s="23">
        <v>-100900</v>
      </c>
      <c r="E822" s="22" t="s">
        <v>57</v>
      </c>
      <c r="F822" s="24">
        <v>43888</v>
      </c>
      <c r="G822" s="22" t="s">
        <v>6085</v>
      </c>
      <c r="H822" s="22" t="s">
        <v>912</v>
      </c>
      <c r="I822" s="22" t="s">
        <v>6091</v>
      </c>
      <c r="J822" s="22" t="s">
        <v>4466</v>
      </c>
      <c r="K822" s="22" t="s">
        <v>83</v>
      </c>
      <c r="L822" s="22"/>
      <c r="M822" s="22"/>
      <c r="N822" s="22"/>
    </row>
    <row r="823" spans="1:14" x14ac:dyDescent="0.25">
      <c r="A823" s="22" t="s">
        <v>6092</v>
      </c>
      <c r="B823" s="22" t="s">
        <v>39</v>
      </c>
      <c r="C823" s="22" t="s">
        <v>6086</v>
      </c>
      <c r="D823" s="23">
        <v>-390073</v>
      </c>
      <c r="E823" s="22" t="s">
        <v>57</v>
      </c>
      <c r="F823" s="24">
        <v>43891</v>
      </c>
      <c r="G823" s="22" t="s">
        <v>6085</v>
      </c>
      <c r="H823" s="22" t="s">
        <v>6088</v>
      </c>
      <c r="I823" s="22" t="s">
        <v>6093</v>
      </c>
      <c r="J823" s="22" t="s">
        <v>4466</v>
      </c>
      <c r="K823" s="22" t="s">
        <v>83</v>
      </c>
      <c r="L823" s="22"/>
      <c r="M823" s="22"/>
      <c r="N823" s="22"/>
    </row>
    <row r="824" spans="1:14" x14ac:dyDescent="0.25">
      <c r="A824" s="22" t="s">
        <v>6094</v>
      </c>
      <c r="B824" s="22" t="s">
        <v>39</v>
      </c>
      <c r="C824" s="22" t="s">
        <v>6086</v>
      </c>
      <c r="D824" s="23">
        <v>-111237</v>
      </c>
      <c r="E824" s="22" t="s">
        <v>57</v>
      </c>
      <c r="F824" s="24">
        <v>43892</v>
      </c>
      <c r="G824" s="22" t="s">
        <v>6085</v>
      </c>
      <c r="H824" s="22" t="s">
        <v>1131</v>
      </c>
      <c r="I824" s="22" t="s">
        <v>6095</v>
      </c>
      <c r="J824" s="22" t="s">
        <v>4466</v>
      </c>
      <c r="K824" s="22" t="s">
        <v>83</v>
      </c>
      <c r="L824" s="22"/>
      <c r="M824" s="22"/>
      <c r="N824" s="22"/>
    </row>
    <row r="825" spans="1:14" x14ac:dyDescent="0.25">
      <c r="A825" s="22" t="s">
        <v>6096</v>
      </c>
      <c r="B825" s="22" t="s">
        <v>39</v>
      </c>
      <c r="C825" s="22" t="s">
        <v>4789</v>
      </c>
      <c r="D825" s="23">
        <v>-35100</v>
      </c>
      <c r="E825" s="22" t="s">
        <v>57</v>
      </c>
      <c r="F825" s="24">
        <v>44013</v>
      </c>
      <c r="G825" s="22" t="s">
        <v>6085</v>
      </c>
      <c r="H825" s="22" t="s">
        <v>6020</v>
      </c>
      <c r="I825" s="22" t="s">
        <v>6097</v>
      </c>
      <c r="J825" s="22" t="s">
        <v>4407</v>
      </c>
      <c r="K825" s="22" t="s">
        <v>4557</v>
      </c>
      <c r="L825" s="22"/>
      <c r="M825" s="22"/>
      <c r="N825" s="22"/>
    </row>
    <row r="826" spans="1:14" x14ac:dyDescent="0.25">
      <c r="A826" s="22" t="s">
        <v>6098</v>
      </c>
      <c r="B826" s="22" t="s">
        <v>39</v>
      </c>
      <c r="C826" s="22" t="s">
        <v>4789</v>
      </c>
      <c r="D826" s="23">
        <v>-35100</v>
      </c>
      <c r="E826" s="22" t="s">
        <v>57</v>
      </c>
      <c r="F826" s="24">
        <v>44013</v>
      </c>
      <c r="G826" s="22" t="s">
        <v>6085</v>
      </c>
      <c r="H826" s="22" t="s">
        <v>6017</v>
      </c>
      <c r="I826" s="22" t="s">
        <v>6099</v>
      </c>
      <c r="J826" s="22" t="s">
        <v>4407</v>
      </c>
      <c r="K826" s="22" t="s">
        <v>4557</v>
      </c>
      <c r="L826" s="22"/>
      <c r="M826" s="22"/>
      <c r="N826" s="22"/>
    </row>
    <row r="827" spans="1:14" x14ac:dyDescent="0.25">
      <c r="A827" s="22" t="s">
        <v>6100</v>
      </c>
      <c r="B827" s="22" t="s">
        <v>39</v>
      </c>
      <c r="C827" s="22" t="s">
        <v>4789</v>
      </c>
      <c r="D827" s="23">
        <v>-50600</v>
      </c>
      <c r="E827" s="22" t="s">
        <v>57</v>
      </c>
      <c r="F827" s="24">
        <v>44034</v>
      </c>
      <c r="G827" s="22" t="s">
        <v>6085</v>
      </c>
      <c r="H827" s="22" t="s">
        <v>6017</v>
      </c>
      <c r="I827" s="22" t="s">
        <v>6101</v>
      </c>
      <c r="J827" s="22" t="s">
        <v>4407</v>
      </c>
      <c r="K827" s="22" t="s">
        <v>4557</v>
      </c>
      <c r="L827" s="22"/>
      <c r="M827" s="22"/>
      <c r="N827" s="22"/>
    </row>
    <row r="828" spans="1:14" x14ac:dyDescent="0.25">
      <c r="A828" s="22" t="s">
        <v>3429</v>
      </c>
      <c r="B828" s="22" t="s">
        <v>39</v>
      </c>
      <c r="C828" s="22" t="s">
        <v>4789</v>
      </c>
      <c r="D828" s="23">
        <v>-54400</v>
      </c>
      <c r="E828" s="22" t="s">
        <v>57</v>
      </c>
      <c r="F828" s="24">
        <v>44028</v>
      </c>
      <c r="G828" s="22" t="s">
        <v>6085</v>
      </c>
      <c r="H828" s="22" t="s">
        <v>6017</v>
      </c>
      <c r="I828" s="22" t="s">
        <v>4791</v>
      </c>
      <c r="J828" s="22" t="s">
        <v>4407</v>
      </c>
      <c r="K828" s="22" t="s">
        <v>4557</v>
      </c>
      <c r="L828" s="22"/>
      <c r="M828" s="22"/>
      <c r="N828" s="22"/>
    </row>
    <row r="829" spans="1:14" x14ac:dyDescent="0.25">
      <c r="A829" s="22" t="s">
        <v>6103</v>
      </c>
      <c r="B829" s="22" t="s">
        <v>39</v>
      </c>
      <c r="C829" s="22" t="s">
        <v>6102</v>
      </c>
      <c r="D829" s="23">
        <v>-31700</v>
      </c>
      <c r="E829" s="22" t="s">
        <v>57</v>
      </c>
      <c r="F829" s="24">
        <v>44025</v>
      </c>
      <c r="G829" s="22" t="s">
        <v>6085</v>
      </c>
      <c r="H829" s="22" t="s">
        <v>2279</v>
      </c>
      <c r="I829" s="22" t="s">
        <v>6104</v>
      </c>
      <c r="J829" s="22" t="s">
        <v>4552</v>
      </c>
      <c r="K829" s="22" t="s">
        <v>4557</v>
      </c>
      <c r="L829" s="22"/>
      <c r="M829" s="22"/>
      <c r="N829" s="22"/>
    </row>
    <row r="830" spans="1:14" x14ac:dyDescent="0.25">
      <c r="A830" s="22" t="s">
        <v>6105</v>
      </c>
      <c r="B830" s="22" t="s">
        <v>39</v>
      </c>
      <c r="C830" s="22" t="s">
        <v>6102</v>
      </c>
      <c r="D830" s="23">
        <v>-10800</v>
      </c>
      <c r="E830" s="22" t="s">
        <v>57</v>
      </c>
      <c r="F830" s="24">
        <v>44027</v>
      </c>
      <c r="G830" s="22" t="s">
        <v>6085</v>
      </c>
      <c r="H830" s="22" t="s">
        <v>2279</v>
      </c>
      <c r="I830" s="22" t="s">
        <v>6106</v>
      </c>
      <c r="J830" s="22" t="s">
        <v>4552</v>
      </c>
      <c r="K830" s="22" t="s">
        <v>4557</v>
      </c>
      <c r="L830" s="22"/>
      <c r="M830" s="22"/>
      <c r="N830" s="22"/>
    </row>
    <row r="831" spans="1:14" x14ac:dyDescent="0.25">
      <c r="A831" s="22" t="s">
        <v>6107</v>
      </c>
      <c r="B831" s="22" t="s">
        <v>39</v>
      </c>
      <c r="C831" s="22" t="s">
        <v>6102</v>
      </c>
      <c r="D831" s="23">
        <v>-35100</v>
      </c>
      <c r="E831" s="22" t="s">
        <v>57</v>
      </c>
      <c r="F831" s="24">
        <v>44029</v>
      </c>
      <c r="G831" s="22" t="s">
        <v>6085</v>
      </c>
      <c r="H831" s="22" t="s">
        <v>1131</v>
      </c>
      <c r="I831" s="22" t="s">
        <v>6108</v>
      </c>
      <c r="J831" s="22" t="s">
        <v>4552</v>
      </c>
      <c r="K831" s="22" t="s">
        <v>4557</v>
      </c>
      <c r="L831" s="22"/>
      <c r="M831" s="22"/>
      <c r="N831" s="22"/>
    </row>
    <row r="832" spans="1:14" x14ac:dyDescent="0.25">
      <c r="A832" s="22" t="s">
        <v>6109</v>
      </c>
      <c r="B832" s="22" t="s">
        <v>39</v>
      </c>
      <c r="C832" s="22" t="s">
        <v>6102</v>
      </c>
      <c r="D832" s="23">
        <v>-31700</v>
      </c>
      <c r="E832" s="22" t="s">
        <v>57</v>
      </c>
      <c r="F832" s="24">
        <v>44029</v>
      </c>
      <c r="G832" s="22" t="s">
        <v>6085</v>
      </c>
      <c r="H832" s="22" t="s">
        <v>2279</v>
      </c>
      <c r="I832" s="22" t="s">
        <v>6110</v>
      </c>
      <c r="J832" s="22" t="s">
        <v>4552</v>
      </c>
      <c r="K832" s="22" t="s">
        <v>4557</v>
      </c>
      <c r="L832" s="22"/>
      <c r="M832" s="22"/>
      <c r="N832" s="22"/>
    </row>
    <row r="833" spans="1:14" x14ac:dyDescent="0.25">
      <c r="A833" s="22" t="s">
        <v>6111</v>
      </c>
      <c r="B833" s="22" t="s">
        <v>39</v>
      </c>
      <c r="C833" s="22" t="s">
        <v>6102</v>
      </c>
      <c r="D833" s="23">
        <v>-73600</v>
      </c>
      <c r="E833" s="22" t="s">
        <v>57</v>
      </c>
      <c r="F833" s="24">
        <v>44029</v>
      </c>
      <c r="G833" s="22" t="s">
        <v>6085</v>
      </c>
      <c r="H833" s="22" t="s">
        <v>1131</v>
      </c>
      <c r="I833" s="22" t="s">
        <v>6112</v>
      </c>
      <c r="J833" s="22" t="s">
        <v>4552</v>
      </c>
      <c r="K833" s="22" t="s">
        <v>4557</v>
      </c>
      <c r="L833" s="22"/>
      <c r="M833" s="22"/>
      <c r="N833" s="22"/>
    </row>
    <row r="834" spans="1:14" x14ac:dyDescent="0.25">
      <c r="A834" s="22" t="s">
        <v>6113</v>
      </c>
      <c r="B834" s="22" t="s">
        <v>39</v>
      </c>
      <c r="C834" s="22" t="s">
        <v>6102</v>
      </c>
      <c r="D834" s="23">
        <v>-38100</v>
      </c>
      <c r="E834" s="22" t="s">
        <v>57</v>
      </c>
      <c r="F834" s="24">
        <v>44029</v>
      </c>
      <c r="G834" s="22" t="s">
        <v>6085</v>
      </c>
      <c r="H834" s="22" t="s">
        <v>2279</v>
      </c>
      <c r="I834" s="22" t="s">
        <v>6114</v>
      </c>
      <c r="J834" s="22" t="s">
        <v>4552</v>
      </c>
      <c r="K834" s="22" t="s">
        <v>4557</v>
      </c>
      <c r="L834" s="22"/>
      <c r="M834" s="22"/>
      <c r="N834" s="22"/>
    </row>
    <row r="835" spans="1:14" x14ac:dyDescent="0.25">
      <c r="A835" s="22" t="s">
        <v>5882</v>
      </c>
      <c r="B835" s="22" t="s">
        <v>39</v>
      </c>
      <c r="C835" s="22" t="s">
        <v>4916</v>
      </c>
      <c r="D835" s="23">
        <v>2139044</v>
      </c>
      <c r="E835" s="22" t="s">
        <v>45</v>
      </c>
      <c r="F835" s="24">
        <v>44074</v>
      </c>
      <c r="G835" s="22" t="s">
        <v>6085</v>
      </c>
      <c r="H835" s="22" t="s">
        <v>6029</v>
      </c>
      <c r="I835" s="22" t="s">
        <v>5996</v>
      </c>
      <c r="J835" s="22" t="s">
        <v>4401</v>
      </c>
      <c r="K835" s="22" t="s">
        <v>5884</v>
      </c>
      <c r="L835" s="22"/>
      <c r="M835" s="22"/>
      <c r="N835" s="22"/>
    </row>
    <row r="836" spans="1:14" x14ac:dyDescent="0.25">
      <c r="A836" s="22" t="s">
        <v>6115</v>
      </c>
      <c r="B836" s="22" t="s">
        <v>39</v>
      </c>
      <c r="C836" s="22" t="s">
        <v>4708</v>
      </c>
      <c r="D836" s="23">
        <v>1170915</v>
      </c>
      <c r="E836" s="22" t="s">
        <v>45</v>
      </c>
      <c r="F836" s="24">
        <v>44081</v>
      </c>
      <c r="G836" s="22" t="s">
        <v>6116</v>
      </c>
      <c r="H836" s="22" t="s">
        <v>6117</v>
      </c>
      <c r="I836" s="22" t="s">
        <v>6116</v>
      </c>
      <c r="J836" s="22" t="s">
        <v>4466</v>
      </c>
      <c r="K836" s="22" t="s">
        <v>6117</v>
      </c>
      <c r="L836" s="22"/>
      <c r="M836" s="22"/>
      <c r="N836" s="22"/>
    </row>
    <row r="837" spans="1:14" x14ac:dyDescent="0.25">
      <c r="A837" s="22" t="s">
        <v>6115</v>
      </c>
      <c r="B837" s="22" t="s">
        <v>39</v>
      </c>
      <c r="C837" s="22" t="s">
        <v>4708</v>
      </c>
      <c r="D837" s="23">
        <v>-1893290</v>
      </c>
      <c r="E837" s="22" t="s">
        <v>45</v>
      </c>
      <c r="F837" s="24">
        <v>44081</v>
      </c>
      <c r="G837" s="22" t="s">
        <v>6116</v>
      </c>
      <c r="H837" s="22" t="s">
        <v>6117</v>
      </c>
      <c r="I837" s="22" t="s">
        <v>6116</v>
      </c>
      <c r="J837" s="22" t="s">
        <v>4401</v>
      </c>
      <c r="K837" s="22" t="s">
        <v>6117</v>
      </c>
      <c r="L837" s="22"/>
      <c r="M837" s="22"/>
      <c r="N837" s="22"/>
    </row>
    <row r="838" spans="1:14" x14ac:dyDescent="0.25">
      <c r="A838" s="22" t="s">
        <v>4709</v>
      </c>
      <c r="B838" s="22" t="s">
        <v>39</v>
      </c>
      <c r="C838" s="22" t="s">
        <v>4713</v>
      </c>
      <c r="D838" s="23">
        <v>-1170915</v>
      </c>
      <c r="E838" s="22" t="s">
        <v>57</v>
      </c>
      <c r="F838" s="24">
        <v>44130</v>
      </c>
      <c r="G838" s="22" t="s">
        <v>6116</v>
      </c>
      <c r="H838" s="22" t="s">
        <v>6118</v>
      </c>
      <c r="I838" s="22" t="s">
        <v>4710</v>
      </c>
      <c r="J838" s="22" t="s">
        <v>4466</v>
      </c>
      <c r="K838" s="22" t="s">
        <v>4712</v>
      </c>
      <c r="L838" s="22"/>
      <c r="M838" s="22"/>
      <c r="N838" s="22"/>
    </row>
    <row r="839" spans="1:14" x14ac:dyDescent="0.25">
      <c r="A839" s="22" t="s">
        <v>6119</v>
      </c>
      <c r="B839" s="22" t="s">
        <v>39</v>
      </c>
      <c r="C839" s="22" t="s">
        <v>4916</v>
      </c>
      <c r="D839" s="23">
        <v>1893290</v>
      </c>
      <c r="E839" s="22" t="s">
        <v>42</v>
      </c>
      <c r="F839" s="24">
        <v>44081</v>
      </c>
      <c r="G839" s="22" t="s">
        <v>6116</v>
      </c>
      <c r="H839" s="22" t="s">
        <v>5893</v>
      </c>
      <c r="I839" s="22" t="s">
        <v>6120</v>
      </c>
      <c r="J839" s="22" t="s">
        <v>4401</v>
      </c>
      <c r="K839" s="22" t="s">
        <v>292</v>
      </c>
      <c r="L839" s="22"/>
      <c r="M839" s="22"/>
      <c r="N839" s="22"/>
    </row>
    <row r="840" spans="1:14" x14ac:dyDescent="0.25">
      <c r="A840" s="22" t="s">
        <v>4716</v>
      </c>
      <c r="B840" s="22" t="s">
        <v>39</v>
      </c>
      <c r="C840" s="22" t="s">
        <v>4715</v>
      </c>
      <c r="D840" s="23">
        <v>-200200</v>
      </c>
      <c r="E840" s="22" t="s">
        <v>57</v>
      </c>
      <c r="F840" s="24">
        <v>43985</v>
      </c>
      <c r="G840" s="22" t="s">
        <v>6121</v>
      </c>
      <c r="H840" s="22" t="s">
        <v>6122</v>
      </c>
      <c r="I840" s="22" t="s">
        <v>4717</v>
      </c>
      <c r="J840" s="22" t="s">
        <v>4407</v>
      </c>
      <c r="K840" s="22" t="s">
        <v>4719</v>
      </c>
      <c r="L840" s="22"/>
      <c r="M840" s="22"/>
      <c r="N840" s="22"/>
    </row>
    <row r="841" spans="1:14" x14ac:dyDescent="0.25">
      <c r="A841" s="22" t="s">
        <v>2115</v>
      </c>
      <c r="B841" s="22" t="s">
        <v>39</v>
      </c>
      <c r="C841" s="22" t="s">
        <v>4715</v>
      </c>
      <c r="D841" s="23">
        <v>-200200</v>
      </c>
      <c r="E841" s="22" t="s">
        <v>45</v>
      </c>
      <c r="F841" s="24">
        <v>44134</v>
      </c>
      <c r="G841" s="22" t="s">
        <v>6121</v>
      </c>
      <c r="H841" s="22" t="s">
        <v>6123</v>
      </c>
      <c r="I841" s="22" t="s">
        <v>6121</v>
      </c>
      <c r="J841" s="22" t="s">
        <v>4401</v>
      </c>
      <c r="K841" s="22" t="s">
        <v>5891</v>
      </c>
      <c r="L841" s="22"/>
      <c r="M841" s="22"/>
      <c r="N841" s="22"/>
    </row>
    <row r="842" spans="1:14" x14ac:dyDescent="0.25">
      <c r="A842" s="22" t="s">
        <v>2115</v>
      </c>
      <c r="B842" s="22" t="s">
        <v>39</v>
      </c>
      <c r="C842" s="22" t="s">
        <v>4715</v>
      </c>
      <c r="D842" s="23">
        <v>200200</v>
      </c>
      <c r="E842" s="22" t="s">
        <v>45</v>
      </c>
      <c r="F842" s="24">
        <v>44134</v>
      </c>
      <c r="G842" s="22" t="s">
        <v>6121</v>
      </c>
      <c r="H842" s="22" t="s">
        <v>6123</v>
      </c>
      <c r="I842" s="22" t="s">
        <v>6121</v>
      </c>
      <c r="J842" s="22" t="s">
        <v>4407</v>
      </c>
      <c r="K842" s="22" t="s">
        <v>5891</v>
      </c>
      <c r="L842" s="22"/>
      <c r="M842" s="22"/>
      <c r="N842" s="22"/>
    </row>
    <row r="843" spans="1:14" x14ac:dyDescent="0.25">
      <c r="A843" s="22" t="s">
        <v>6124</v>
      </c>
      <c r="B843" s="22" t="s">
        <v>39</v>
      </c>
      <c r="C843" s="22" t="s">
        <v>5135</v>
      </c>
      <c r="D843" s="23">
        <v>200200</v>
      </c>
      <c r="E843" s="22" t="s">
        <v>42</v>
      </c>
      <c r="F843" s="24">
        <v>44111</v>
      </c>
      <c r="G843" s="22" t="s">
        <v>6121</v>
      </c>
      <c r="H843" s="22" t="s">
        <v>2141</v>
      </c>
      <c r="I843" s="22" t="s">
        <v>6125</v>
      </c>
      <c r="J843" s="22" t="s">
        <v>4401</v>
      </c>
      <c r="K843" s="22" t="s">
        <v>292</v>
      </c>
      <c r="L843" s="22"/>
      <c r="M843" s="22"/>
      <c r="N843" s="22"/>
    </row>
    <row r="844" spans="1:14" x14ac:dyDescent="0.25">
      <c r="A844" s="22" t="s">
        <v>6127</v>
      </c>
      <c r="B844" s="22" t="s">
        <v>39</v>
      </c>
      <c r="C844" s="22" t="s">
        <v>6126</v>
      </c>
      <c r="D844" s="23">
        <v>158700</v>
      </c>
      <c r="E844" s="22" t="s">
        <v>45</v>
      </c>
      <c r="F844" s="24">
        <v>44124</v>
      </c>
      <c r="G844" s="22" t="s">
        <v>6128</v>
      </c>
      <c r="H844" s="22" t="s">
        <v>2103</v>
      </c>
      <c r="I844" s="22" t="s">
        <v>6128</v>
      </c>
      <c r="J844" s="22" t="s">
        <v>4552</v>
      </c>
      <c r="K844" s="22" t="s">
        <v>2103</v>
      </c>
      <c r="L844" s="22"/>
      <c r="M844" s="22"/>
      <c r="N844" s="22"/>
    </row>
    <row r="845" spans="1:14" x14ac:dyDescent="0.25">
      <c r="A845" s="22" t="s">
        <v>6127</v>
      </c>
      <c r="B845" s="22" t="s">
        <v>39</v>
      </c>
      <c r="C845" s="22" t="s">
        <v>6126</v>
      </c>
      <c r="D845" s="23">
        <v>-3219142</v>
      </c>
      <c r="E845" s="22" t="s">
        <v>45</v>
      </c>
      <c r="F845" s="24">
        <v>44124</v>
      </c>
      <c r="G845" s="22" t="s">
        <v>6128</v>
      </c>
      <c r="H845" s="22" t="s">
        <v>2103</v>
      </c>
      <c r="I845" s="22" t="s">
        <v>6128</v>
      </c>
      <c r="J845" s="22" t="s">
        <v>4401</v>
      </c>
      <c r="K845" s="22" t="s">
        <v>2103</v>
      </c>
      <c r="L845" s="22"/>
      <c r="M845" s="22"/>
      <c r="N845" s="22"/>
    </row>
    <row r="846" spans="1:14" x14ac:dyDescent="0.25">
      <c r="A846" s="22" t="s">
        <v>6127</v>
      </c>
      <c r="B846" s="22" t="s">
        <v>39</v>
      </c>
      <c r="C846" s="22" t="s">
        <v>6126</v>
      </c>
      <c r="D846" s="23">
        <v>339440</v>
      </c>
      <c r="E846" s="22" t="s">
        <v>45</v>
      </c>
      <c r="F846" s="24">
        <v>44124</v>
      </c>
      <c r="G846" s="22" t="s">
        <v>6128</v>
      </c>
      <c r="H846" s="22" t="s">
        <v>2103</v>
      </c>
      <c r="I846" s="22" t="s">
        <v>6128</v>
      </c>
      <c r="J846" s="22" t="s">
        <v>4407</v>
      </c>
      <c r="K846" s="22" t="s">
        <v>2103</v>
      </c>
      <c r="L846" s="22"/>
      <c r="M846" s="22"/>
      <c r="N846" s="22"/>
    </row>
    <row r="847" spans="1:14" x14ac:dyDescent="0.25">
      <c r="A847" s="22" t="s">
        <v>6129</v>
      </c>
      <c r="B847" s="22" t="s">
        <v>39</v>
      </c>
      <c r="C847" s="22" t="s">
        <v>5946</v>
      </c>
      <c r="D847" s="23">
        <v>-31700</v>
      </c>
      <c r="E847" s="22" t="s">
        <v>57</v>
      </c>
      <c r="F847" s="24">
        <v>43893</v>
      </c>
      <c r="G847" s="22" t="s">
        <v>6128</v>
      </c>
      <c r="H847" s="22" t="s">
        <v>5591</v>
      </c>
      <c r="I847" s="22" t="s">
        <v>6130</v>
      </c>
      <c r="J847" s="22" t="s">
        <v>4552</v>
      </c>
      <c r="K847" s="22" t="s">
        <v>4557</v>
      </c>
      <c r="L847" s="22"/>
      <c r="M847" s="22"/>
      <c r="N847" s="22"/>
    </row>
    <row r="848" spans="1:14" x14ac:dyDescent="0.25">
      <c r="A848" s="22" t="s">
        <v>6131</v>
      </c>
      <c r="B848" s="22" t="s">
        <v>39</v>
      </c>
      <c r="C848" s="22" t="s">
        <v>4576</v>
      </c>
      <c r="D848" s="23">
        <v>-253740</v>
      </c>
      <c r="E848" s="22" t="s">
        <v>57</v>
      </c>
      <c r="F848" s="24">
        <v>43887</v>
      </c>
      <c r="G848" s="22" t="s">
        <v>6128</v>
      </c>
      <c r="H848" s="22" t="s">
        <v>6132</v>
      </c>
      <c r="I848" s="22" t="s">
        <v>6133</v>
      </c>
      <c r="J848" s="22" t="s">
        <v>4407</v>
      </c>
      <c r="K848" s="22" t="s">
        <v>4557</v>
      </c>
      <c r="L848" s="22"/>
      <c r="M848" s="22"/>
      <c r="N848" s="22"/>
    </row>
    <row r="849" spans="1:14" x14ac:dyDescent="0.25">
      <c r="A849" s="22" t="s">
        <v>6135</v>
      </c>
      <c r="B849" s="22" t="s">
        <v>39</v>
      </c>
      <c r="C849" s="22" t="s">
        <v>6134</v>
      </c>
      <c r="D849" s="23">
        <v>-57600</v>
      </c>
      <c r="E849" s="22" t="s">
        <v>57</v>
      </c>
      <c r="F849" s="24">
        <v>44046</v>
      </c>
      <c r="G849" s="22" t="s">
        <v>6128</v>
      </c>
      <c r="H849" s="22" t="s">
        <v>5819</v>
      </c>
      <c r="I849" s="22" t="s">
        <v>6136</v>
      </c>
      <c r="J849" s="22" t="s">
        <v>4552</v>
      </c>
      <c r="K849" s="22" t="s">
        <v>4557</v>
      </c>
      <c r="L849" s="22"/>
      <c r="M849" s="22"/>
      <c r="N849" s="22"/>
    </row>
    <row r="850" spans="1:14" x14ac:dyDescent="0.25">
      <c r="A850" s="22" t="s">
        <v>6137</v>
      </c>
      <c r="B850" s="22" t="s">
        <v>39</v>
      </c>
      <c r="C850" s="22" t="s">
        <v>4789</v>
      </c>
      <c r="D850" s="23">
        <v>-50600</v>
      </c>
      <c r="E850" s="22" t="s">
        <v>57</v>
      </c>
      <c r="F850" s="24">
        <v>44028</v>
      </c>
      <c r="G850" s="22" t="s">
        <v>6128</v>
      </c>
      <c r="H850" s="22" t="s">
        <v>5814</v>
      </c>
      <c r="I850" s="22" t="s">
        <v>6138</v>
      </c>
      <c r="J850" s="22" t="s">
        <v>4407</v>
      </c>
      <c r="K850" s="22" t="s">
        <v>4557</v>
      </c>
      <c r="L850" s="22"/>
      <c r="M850" s="22"/>
      <c r="N850" s="22"/>
    </row>
    <row r="851" spans="1:14" x14ac:dyDescent="0.25">
      <c r="A851" s="22" t="s">
        <v>6139</v>
      </c>
      <c r="B851" s="22" t="s">
        <v>39</v>
      </c>
      <c r="C851" s="22" t="s">
        <v>6102</v>
      </c>
      <c r="D851" s="23">
        <v>-22100</v>
      </c>
      <c r="E851" s="22" t="s">
        <v>57</v>
      </c>
      <c r="F851" s="24">
        <v>44034</v>
      </c>
      <c r="G851" s="22" t="s">
        <v>6128</v>
      </c>
      <c r="H851" s="22" t="s">
        <v>2202</v>
      </c>
      <c r="I851" s="22" t="s">
        <v>6140</v>
      </c>
      <c r="J851" s="22" t="s">
        <v>4552</v>
      </c>
      <c r="K851" s="22" t="s">
        <v>4557</v>
      </c>
      <c r="L851" s="22"/>
      <c r="M851" s="22"/>
      <c r="N851" s="22"/>
    </row>
    <row r="852" spans="1:14" x14ac:dyDescent="0.25">
      <c r="A852" s="22" t="s">
        <v>6141</v>
      </c>
      <c r="B852" s="22" t="s">
        <v>39</v>
      </c>
      <c r="C852" s="22" t="s">
        <v>4554</v>
      </c>
      <c r="D852" s="23">
        <v>-47300</v>
      </c>
      <c r="E852" s="22" t="s">
        <v>57</v>
      </c>
      <c r="F852" s="24">
        <v>44069</v>
      </c>
      <c r="G852" s="22" t="s">
        <v>6128</v>
      </c>
      <c r="H852" s="22" t="s">
        <v>2202</v>
      </c>
      <c r="I852" s="22" t="s">
        <v>6142</v>
      </c>
      <c r="J852" s="22" t="s">
        <v>4552</v>
      </c>
      <c r="K852" s="22" t="s">
        <v>4557</v>
      </c>
      <c r="L852" s="22"/>
      <c r="M852" s="22"/>
      <c r="N852" s="22"/>
    </row>
    <row r="853" spans="1:14" x14ac:dyDescent="0.25">
      <c r="A853" s="22" t="s">
        <v>6143</v>
      </c>
      <c r="B853" s="22" t="s">
        <v>39</v>
      </c>
      <c r="C853" s="22" t="s">
        <v>4777</v>
      </c>
      <c r="D853" s="23">
        <v>-35100</v>
      </c>
      <c r="E853" s="22" t="s">
        <v>57</v>
      </c>
      <c r="F853" s="24">
        <v>44056</v>
      </c>
      <c r="G853" s="22" t="s">
        <v>6128</v>
      </c>
      <c r="H853" s="22" t="s">
        <v>5814</v>
      </c>
      <c r="I853" s="22" t="s">
        <v>6144</v>
      </c>
      <c r="J853" s="22" t="s">
        <v>4407</v>
      </c>
      <c r="K853" s="22" t="s">
        <v>4557</v>
      </c>
      <c r="L853" s="22"/>
      <c r="M853" s="22"/>
      <c r="N853" s="22"/>
    </row>
    <row r="854" spans="1:14" x14ac:dyDescent="0.25">
      <c r="A854" s="22" t="s">
        <v>6127</v>
      </c>
      <c r="B854" s="22" t="s">
        <v>39</v>
      </c>
      <c r="C854" s="22" t="s">
        <v>5128</v>
      </c>
      <c r="D854" s="23">
        <v>3857740</v>
      </c>
      <c r="E854" s="22" t="s">
        <v>42</v>
      </c>
      <c r="F854" s="24">
        <v>44111</v>
      </c>
      <c r="G854" s="22" t="s">
        <v>6128</v>
      </c>
      <c r="H854" s="22" t="s">
        <v>2141</v>
      </c>
      <c r="I854" s="22" t="s">
        <v>6145</v>
      </c>
      <c r="J854" s="22" t="s">
        <v>4401</v>
      </c>
      <c r="K854" s="22" t="s">
        <v>292</v>
      </c>
      <c r="L854" s="22"/>
      <c r="M854" s="22"/>
      <c r="N854" s="22"/>
    </row>
    <row r="855" spans="1:14" x14ac:dyDescent="0.25">
      <c r="A855" s="22" t="s">
        <v>5977</v>
      </c>
      <c r="B855" s="22" t="s">
        <v>39</v>
      </c>
      <c r="C855" s="22" t="s">
        <v>5828</v>
      </c>
      <c r="D855" s="23">
        <v>-638598</v>
      </c>
      <c r="E855" s="22" t="s">
        <v>57</v>
      </c>
      <c r="F855" s="24">
        <v>44015</v>
      </c>
      <c r="G855" s="22" t="s">
        <v>6128</v>
      </c>
      <c r="H855" s="22" t="s">
        <v>5828</v>
      </c>
      <c r="I855" s="22" t="s">
        <v>5978</v>
      </c>
      <c r="J855" s="22" t="s">
        <v>4401</v>
      </c>
      <c r="K855" s="22" t="s">
        <v>4489</v>
      </c>
      <c r="L855" s="22"/>
      <c r="M855" s="22"/>
      <c r="N855" s="22"/>
    </row>
    <row r="856" spans="1:14" x14ac:dyDescent="0.25">
      <c r="A856" s="22" t="s">
        <v>6146</v>
      </c>
      <c r="B856" s="22" t="s">
        <v>39</v>
      </c>
      <c r="C856" s="22" t="s">
        <v>4720</v>
      </c>
      <c r="D856" s="23">
        <v>-1781995</v>
      </c>
      <c r="E856" s="22" t="s">
        <v>57</v>
      </c>
      <c r="F856" s="24">
        <v>44001</v>
      </c>
      <c r="G856" s="22" t="s">
        <v>6147</v>
      </c>
      <c r="H856" s="22" t="s">
        <v>6148</v>
      </c>
      <c r="I856" s="22" t="s">
        <v>6149</v>
      </c>
      <c r="J856" s="22" t="s">
        <v>4407</v>
      </c>
      <c r="K856" s="22" t="s">
        <v>4557</v>
      </c>
      <c r="L856" s="22"/>
      <c r="M856" s="22"/>
      <c r="N856" s="22"/>
    </row>
    <row r="857" spans="1:14" x14ac:dyDescent="0.25">
      <c r="A857" s="22" t="s">
        <v>6150</v>
      </c>
      <c r="B857" s="22" t="s">
        <v>39</v>
      </c>
      <c r="C857" s="22" t="s">
        <v>4720</v>
      </c>
      <c r="D857" s="23">
        <v>-2169083</v>
      </c>
      <c r="E857" s="22" t="s">
        <v>57</v>
      </c>
      <c r="F857" s="24">
        <v>44011</v>
      </c>
      <c r="G857" s="22" t="s">
        <v>6147</v>
      </c>
      <c r="H857" s="22" t="s">
        <v>4721</v>
      </c>
      <c r="I857" s="22" t="s">
        <v>6151</v>
      </c>
      <c r="J857" s="22" t="s">
        <v>4407</v>
      </c>
      <c r="K857" s="22" t="s">
        <v>4557</v>
      </c>
      <c r="L857" s="22"/>
      <c r="M857" s="22"/>
      <c r="N857" s="22"/>
    </row>
    <row r="858" spans="1:14" x14ac:dyDescent="0.25">
      <c r="A858" s="22" t="s">
        <v>4716</v>
      </c>
      <c r="B858" s="22" t="s">
        <v>39</v>
      </c>
      <c r="C858" s="22" t="s">
        <v>4720</v>
      </c>
      <c r="D858" s="23">
        <v>-94183</v>
      </c>
      <c r="E858" s="22" t="s">
        <v>57</v>
      </c>
      <c r="F858" s="24">
        <v>43985</v>
      </c>
      <c r="G858" s="22" t="s">
        <v>6147</v>
      </c>
      <c r="H858" s="22" t="s">
        <v>6152</v>
      </c>
      <c r="I858" s="22" t="s">
        <v>4717</v>
      </c>
      <c r="J858" s="22" t="s">
        <v>4407</v>
      </c>
      <c r="K858" s="22" t="s">
        <v>4719</v>
      </c>
      <c r="L858" s="22"/>
      <c r="M858" s="22"/>
      <c r="N858" s="22"/>
    </row>
    <row r="859" spans="1:14" x14ac:dyDescent="0.25">
      <c r="A859" s="22" t="s">
        <v>6154</v>
      </c>
      <c r="B859" s="22" t="s">
        <v>39</v>
      </c>
      <c r="C859" s="22" t="s">
        <v>6153</v>
      </c>
      <c r="D859" s="23">
        <v>-15200</v>
      </c>
      <c r="E859" s="22" t="s">
        <v>57</v>
      </c>
      <c r="F859" s="24">
        <v>43991</v>
      </c>
      <c r="G859" s="22" t="s">
        <v>6147</v>
      </c>
      <c r="H859" s="22" t="s">
        <v>5855</v>
      </c>
      <c r="I859" s="22" t="s">
        <v>6155</v>
      </c>
      <c r="J859" s="22" t="s">
        <v>4466</v>
      </c>
      <c r="K859" s="22" t="s">
        <v>4424</v>
      </c>
      <c r="L859" s="22"/>
      <c r="M859" s="22"/>
      <c r="N859" s="22"/>
    </row>
    <row r="860" spans="1:14" x14ac:dyDescent="0.25">
      <c r="A860" s="22" t="s">
        <v>6156</v>
      </c>
      <c r="B860" s="22" t="s">
        <v>39</v>
      </c>
      <c r="C860" s="22" t="s">
        <v>5946</v>
      </c>
      <c r="D860" s="23">
        <v>-35100</v>
      </c>
      <c r="E860" s="22" t="s">
        <v>57</v>
      </c>
      <c r="F860" s="24">
        <v>43867</v>
      </c>
      <c r="G860" s="22" t="s">
        <v>6147</v>
      </c>
      <c r="H860" s="22" t="s">
        <v>5855</v>
      </c>
      <c r="I860" s="22" t="s">
        <v>6157</v>
      </c>
      <c r="J860" s="22" t="s">
        <v>4552</v>
      </c>
      <c r="K860" s="22" t="s">
        <v>4557</v>
      </c>
      <c r="L860" s="22"/>
      <c r="M860" s="22"/>
      <c r="N860" s="22"/>
    </row>
    <row r="861" spans="1:14" x14ac:dyDescent="0.25">
      <c r="A861" s="22" t="s">
        <v>6158</v>
      </c>
      <c r="B861" s="22" t="s">
        <v>39</v>
      </c>
      <c r="C861" s="22" t="s">
        <v>5946</v>
      </c>
      <c r="D861" s="23">
        <v>-20500</v>
      </c>
      <c r="E861" s="22" t="s">
        <v>57</v>
      </c>
      <c r="F861" s="24">
        <v>43880</v>
      </c>
      <c r="G861" s="22" t="s">
        <v>6147</v>
      </c>
      <c r="H861" s="22" t="s">
        <v>5855</v>
      </c>
      <c r="I861" s="22" t="s">
        <v>6159</v>
      </c>
      <c r="J861" s="22" t="s">
        <v>4552</v>
      </c>
      <c r="K861" s="22" t="s">
        <v>4557</v>
      </c>
      <c r="L861" s="22"/>
      <c r="M861" s="22"/>
      <c r="N861" s="22"/>
    </row>
    <row r="862" spans="1:14" x14ac:dyDescent="0.25">
      <c r="A862" s="22" t="s">
        <v>6160</v>
      </c>
      <c r="B862" s="22" t="s">
        <v>39</v>
      </c>
      <c r="C862" s="22" t="s">
        <v>5946</v>
      </c>
      <c r="D862" s="23">
        <v>-47300</v>
      </c>
      <c r="E862" s="22" t="s">
        <v>57</v>
      </c>
      <c r="F862" s="24">
        <v>43886</v>
      </c>
      <c r="G862" s="22" t="s">
        <v>6147</v>
      </c>
      <c r="H862" s="22" t="s">
        <v>5855</v>
      </c>
      <c r="I862" s="22" t="s">
        <v>6161</v>
      </c>
      <c r="J862" s="22" t="s">
        <v>4552</v>
      </c>
      <c r="K862" s="22" t="s">
        <v>4557</v>
      </c>
      <c r="L862" s="22"/>
      <c r="M862" s="22"/>
      <c r="N862" s="22"/>
    </row>
    <row r="863" spans="1:14" x14ac:dyDescent="0.25">
      <c r="A863" s="22" t="s">
        <v>6162</v>
      </c>
      <c r="B863" s="22" t="s">
        <v>39</v>
      </c>
      <c r="C863" s="22" t="s">
        <v>4789</v>
      </c>
      <c r="D863" s="23">
        <v>-10800</v>
      </c>
      <c r="E863" s="22" t="s">
        <v>57</v>
      </c>
      <c r="F863" s="24">
        <v>44025</v>
      </c>
      <c r="G863" s="22" t="s">
        <v>6147</v>
      </c>
      <c r="H863" s="22" t="s">
        <v>4705</v>
      </c>
      <c r="I863" s="22" t="s">
        <v>6163</v>
      </c>
      <c r="J863" s="22" t="s">
        <v>4407</v>
      </c>
      <c r="K863" s="22" t="s">
        <v>4557</v>
      </c>
      <c r="L863" s="22"/>
      <c r="M863" s="22"/>
      <c r="N863" s="22"/>
    </row>
    <row r="864" spans="1:14" x14ac:dyDescent="0.25">
      <c r="A864" s="22" t="s">
        <v>5865</v>
      </c>
      <c r="B864" s="22" t="s">
        <v>39</v>
      </c>
      <c r="C864" s="22" t="s">
        <v>5101</v>
      </c>
      <c r="D864" s="23">
        <v>7943021</v>
      </c>
      <c r="E864" s="22" t="s">
        <v>45</v>
      </c>
      <c r="F864" s="24">
        <v>44053</v>
      </c>
      <c r="G864" s="22" t="s">
        <v>6147</v>
      </c>
      <c r="H864" s="22" t="s">
        <v>5903</v>
      </c>
      <c r="I864" s="22" t="s">
        <v>5897</v>
      </c>
      <c r="J864" s="22" t="s">
        <v>4401</v>
      </c>
      <c r="K864" s="22" t="s">
        <v>5101</v>
      </c>
      <c r="L864" s="22"/>
      <c r="M864" s="22"/>
      <c r="N864" s="22"/>
    </row>
    <row r="865" spans="1:14" x14ac:dyDescent="0.25">
      <c r="A865" s="22" t="s">
        <v>6164</v>
      </c>
      <c r="B865" s="22" t="s">
        <v>39</v>
      </c>
      <c r="C865" s="22" t="s">
        <v>5101</v>
      </c>
      <c r="D865" s="23">
        <v>120727</v>
      </c>
      <c r="E865" s="22" t="s">
        <v>42</v>
      </c>
      <c r="F865" s="24">
        <v>44111</v>
      </c>
      <c r="G865" s="22" t="s">
        <v>6147</v>
      </c>
      <c r="H865" s="22" t="s">
        <v>2141</v>
      </c>
      <c r="I865" s="22" t="s">
        <v>6165</v>
      </c>
      <c r="J865" s="22" t="s">
        <v>4401</v>
      </c>
      <c r="K865" s="22" t="s">
        <v>292</v>
      </c>
      <c r="L865" s="22"/>
      <c r="M865" s="22"/>
      <c r="N865" s="22"/>
    </row>
    <row r="866" spans="1:14" x14ac:dyDescent="0.25">
      <c r="A866" s="22" t="s">
        <v>5865</v>
      </c>
      <c r="B866" s="22" t="s">
        <v>39</v>
      </c>
      <c r="C866" s="22" t="s">
        <v>3504</v>
      </c>
      <c r="D866" s="23">
        <v>15200</v>
      </c>
      <c r="E866" s="22" t="s">
        <v>45</v>
      </c>
      <c r="F866" s="24">
        <v>44111</v>
      </c>
      <c r="G866" s="22" t="s">
        <v>6147</v>
      </c>
      <c r="H866" s="22" t="s">
        <v>6166</v>
      </c>
      <c r="I866" s="22" t="s">
        <v>6147</v>
      </c>
      <c r="J866" s="22" t="s">
        <v>4466</v>
      </c>
      <c r="K866" s="22" t="s">
        <v>6167</v>
      </c>
      <c r="L866" s="22"/>
      <c r="M866" s="22"/>
      <c r="N866" s="22"/>
    </row>
    <row r="867" spans="1:14" x14ac:dyDescent="0.25">
      <c r="A867" s="22" t="s">
        <v>5865</v>
      </c>
      <c r="B867" s="22" t="s">
        <v>39</v>
      </c>
      <c r="C867" s="22" t="s">
        <v>3504</v>
      </c>
      <c r="D867" s="23">
        <v>102900</v>
      </c>
      <c r="E867" s="22" t="s">
        <v>45</v>
      </c>
      <c r="F867" s="24">
        <v>44111</v>
      </c>
      <c r="G867" s="22" t="s">
        <v>6147</v>
      </c>
      <c r="H867" s="22" t="s">
        <v>6166</v>
      </c>
      <c r="I867" s="22" t="s">
        <v>6147</v>
      </c>
      <c r="J867" s="22" t="s">
        <v>4552</v>
      </c>
      <c r="K867" s="22" t="s">
        <v>6167</v>
      </c>
      <c r="L867" s="22"/>
      <c r="M867" s="22"/>
      <c r="N867" s="22"/>
    </row>
    <row r="868" spans="1:14" x14ac:dyDescent="0.25">
      <c r="A868" s="22" t="s">
        <v>5865</v>
      </c>
      <c r="B868" s="22" t="s">
        <v>39</v>
      </c>
      <c r="C868" s="22" t="s">
        <v>3504</v>
      </c>
      <c r="D868" s="23">
        <v>-8063748</v>
      </c>
      <c r="E868" s="22" t="s">
        <v>45</v>
      </c>
      <c r="F868" s="24">
        <v>44111</v>
      </c>
      <c r="G868" s="22" t="s">
        <v>6147</v>
      </c>
      <c r="H868" s="22" t="s">
        <v>6166</v>
      </c>
      <c r="I868" s="22" t="s">
        <v>6147</v>
      </c>
      <c r="J868" s="22" t="s">
        <v>4401</v>
      </c>
      <c r="K868" s="22" t="s">
        <v>6167</v>
      </c>
      <c r="L868" s="22"/>
      <c r="M868" s="22"/>
      <c r="N868" s="22"/>
    </row>
    <row r="869" spans="1:14" x14ac:dyDescent="0.25">
      <c r="A869" s="22" t="s">
        <v>5865</v>
      </c>
      <c r="B869" s="22" t="s">
        <v>39</v>
      </c>
      <c r="C869" s="22" t="s">
        <v>3504</v>
      </c>
      <c r="D869" s="23">
        <v>4056061</v>
      </c>
      <c r="E869" s="22" t="s">
        <v>45</v>
      </c>
      <c r="F869" s="24">
        <v>44111</v>
      </c>
      <c r="G869" s="22" t="s">
        <v>6147</v>
      </c>
      <c r="H869" s="22" t="s">
        <v>6166</v>
      </c>
      <c r="I869" s="22" t="s">
        <v>6147</v>
      </c>
      <c r="J869" s="22" t="s">
        <v>4407</v>
      </c>
      <c r="K869" s="22" t="s">
        <v>6167</v>
      </c>
      <c r="L869" s="22"/>
      <c r="M869" s="22"/>
      <c r="N869" s="22"/>
    </row>
    <row r="870" spans="1:14" x14ac:dyDescent="0.25">
      <c r="A870" s="22" t="s">
        <v>2115</v>
      </c>
      <c r="B870" s="22" t="s">
        <v>39</v>
      </c>
      <c r="C870" s="22" t="s">
        <v>6168</v>
      </c>
      <c r="D870" s="23">
        <v>387505</v>
      </c>
      <c r="E870" s="22" t="s">
        <v>45</v>
      </c>
      <c r="F870" s="24">
        <v>44146</v>
      </c>
      <c r="G870" s="22" t="s">
        <v>6169</v>
      </c>
      <c r="H870" s="22" t="s">
        <v>6170</v>
      </c>
      <c r="I870" s="22" t="s">
        <v>6169</v>
      </c>
      <c r="J870" s="22" t="s">
        <v>4552</v>
      </c>
      <c r="K870" s="22" t="s">
        <v>5891</v>
      </c>
      <c r="L870" s="22"/>
      <c r="M870" s="22"/>
      <c r="N870" s="22"/>
    </row>
    <row r="871" spans="1:14" x14ac:dyDescent="0.25">
      <c r="A871" s="22" t="s">
        <v>2115</v>
      </c>
      <c r="B871" s="22" t="s">
        <v>39</v>
      </c>
      <c r="C871" s="22" t="s">
        <v>6168</v>
      </c>
      <c r="D871" s="23">
        <v>-387505</v>
      </c>
      <c r="E871" s="22" t="s">
        <v>45</v>
      </c>
      <c r="F871" s="24">
        <v>44146</v>
      </c>
      <c r="G871" s="22" t="s">
        <v>6169</v>
      </c>
      <c r="H871" s="22" t="s">
        <v>6170</v>
      </c>
      <c r="I871" s="22" t="s">
        <v>6169</v>
      </c>
      <c r="J871" s="22" t="s">
        <v>4401</v>
      </c>
      <c r="K871" s="22" t="s">
        <v>5891</v>
      </c>
      <c r="L871" s="22"/>
      <c r="M871" s="22"/>
      <c r="N871" s="22"/>
    </row>
    <row r="872" spans="1:14" x14ac:dyDescent="0.25">
      <c r="A872" s="22" t="s">
        <v>4700</v>
      </c>
      <c r="B872" s="22" t="s">
        <v>39</v>
      </c>
      <c r="C872" s="22" t="s">
        <v>4704</v>
      </c>
      <c r="D872" s="23">
        <v>-900</v>
      </c>
      <c r="E872" s="22" t="s">
        <v>57</v>
      </c>
      <c r="F872" s="24">
        <v>44020</v>
      </c>
      <c r="G872" s="22" t="s">
        <v>6169</v>
      </c>
      <c r="H872" s="22" t="s">
        <v>6171</v>
      </c>
      <c r="I872" s="22" t="s">
        <v>4701</v>
      </c>
      <c r="J872" s="22" t="s">
        <v>4401</v>
      </c>
      <c r="K872" s="22" t="s">
        <v>4703</v>
      </c>
      <c r="L872" s="22"/>
      <c r="M872" s="22"/>
      <c r="N872" s="22"/>
    </row>
    <row r="873" spans="1:14" x14ac:dyDescent="0.25">
      <c r="A873" s="22" t="s">
        <v>6172</v>
      </c>
      <c r="B873" s="22" t="s">
        <v>39</v>
      </c>
      <c r="C873" s="22" t="s">
        <v>4554</v>
      </c>
      <c r="D873" s="23">
        <v>-22100</v>
      </c>
      <c r="E873" s="22" t="s">
        <v>57</v>
      </c>
      <c r="F873" s="24">
        <v>44074</v>
      </c>
      <c r="G873" s="22" t="s">
        <v>6169</v>
      </c>
      <c r="H873" s="22" t="s">
        <v>5746</v>
      </c>
      <c r="I873" s="22" t="s">
        <v>6173</v>
      </c>
      <c r="J873" s="22" t="s">
        <v>4552</v>
      </c>
      <c r="K873" s="22" t="s">
        <v>4557</v>
      </c>
      <c r="L873" s="22"/>
      <c r="M873" s="22"/>
      <c r="N873" s="22"/>
    </row>
    <row r="874" spans="1:14" x14ac:dyDescent="0.25">
      <c r="A874" s="22" t="s">
        <v>6174</v>
      </c>
      <c r="B874" s="22" t="s">
        <v>39</v>
      </c>
      <c r="C874" s="22" t="s">
        <v>4554</v>
      </c>
      <c r="D874" s="23">
        <v>-112500</v>
      </c>
      <c r="E874" s="22" t="s">
        <v>57</v>
      </c>
      <c r="F874" s="24">
        <v>44075</v>
      </c>
      <c r="G874" s="22" t="s">
        <v>6169</v>
      </c>
      <c r="H874" s="22" t="s">
        <v>5746</v>
      </c>
      <c r="I874" s="22" t="s">
        <v>6175</v>
      </c>
      <c r="J874" s="22" t="s">
        <v>4552</v>
      </c>
      <c r="K874" s="22" t="s">
        <v>4557</v>
      </c>
      <c r="L874" s="22"/>
      <c r="M874" s="22"/>
      <c r="N874" s="22"/>
    </row>
    <row r="875" spans="1:14" x14ac:dyDescent="0.25">
      <c r="A875" s="22" t="s">
        <v>6176</v>
      </c>
      <c r="B875" s="22" t="s">
        <v>39</v>
      </c>
      <c r="C875" s="22" t="s">
        <v>4554</v>
      </c>
      <c r="D875" s="23">
        <v>-47300</v>
      </c>
      <c r="E875" s="22" t="s">
        <v>57</v>
      </c>
      <c r="F875" s="24">
        <v>44075</v>
      </c>
      <c r="G875" s="22" t="s">
        <v>6169</v>
      </c>
      <c r="H875" s="22" t="s">
        <v>5746</v>
      </c>
      <c r="I875" s="22" t="s">
        <v>6177</v>
      </c>
      <c r="J875" s="22" t="s">
        <v>4552</v>
      </c>
      <c r="K875" s="22" t="s">
        <v>4557</v>
      </c>
      <c r="L875" s="22"/>
      <c r="M875" s="22"/>
      <c r="N875" s="22"/>
    </row>
    <row r="876" spans="1:14" x14ac:dyDescent="0.25">
      <c r="A876" s="22" t="s">
        <v>6178</v>
      </c>
      <c r="B876" s="22" t="s">
        <v>39</v>
      </c>
      <c r="C876" s="22" t="s">
        <v>4777</v>
      </c>
      <c r="D876" s="23">
        <v>-205605</v>
      </c>
      <c r="E876" s="22" t="s">
        <v>57</v>
      </c>
      <c r="F876" s="24">
        <v>44049</v>
      </c>
      <c r="G876" s="22" t="s">
        <v>6169</v>
      </c>
      <c r="H876" s="22" t="s">
        <v>6179</v>
      </c>
      <c r="I876" s="22" t="s">
        <v>6180</v>
      </c>
      <c r="J876" s="22" t="s">
        <v>4552</v>
      </c>
      <c r="K876" s="22" t="s">
        <v>4557</v>
      </c>
      <c r="L876" s="22"/>
      <c r="M876" s="22"/>
      <c r="N876" s="22"/>
    </row>
    <row r="877" spans="1:14" x14ac:dyDescent="0.25">
      <c r="A877" s="22" t="s">
        <v>6181</v>
      </c>
      <c r="B877" s="22" t="s">
        <v>39</v>
      </c>
      <c r="C877" s="22" t="s">
        <v>5135</v>
      </c>
      <c r="D877" s="23">
        <v>388405</v>
      </c>
      <c r="E877" s="22" t="s">
        <v>42</v>
      </c>
      <c r="F877" s="24">
        <v>44144</v>
      </c>
      <c r="G877" s="22" t="s">
        <v>6169</v>
      </c>
      <c r="H877" s="22" t="s">
        <v>1741</v>
      </c>
      <c r="I877" s="22" t="s">
        <v>6182</v>
      </c>
      <c r="J877" s="22" t="s">
        <v>4401</v>
      </c>
      <c r="K877" s="22" t="s">
        <v>292</v>
      </c>
      <c r="L877" s="22"/>
      <c r="M877" s="22"/>
      <c r="N877" s="22"/>
    </row>
    <row r="878" spans="1:14" x14ac:dyDescent="0.25">
      <c r="A878" s="22" t="s">
        <v>6115</v>
      </c>
      <c r="B878" s="22" t="s">
        <v>39</v>
      </c>
      <c r="C878" s="22" t="s">
        <v>4715</v>
      </c>
      <c r="D878" s="23">
        <v>235500</v>
      </c>
      <c r="E878" s="22" t="s">
        <v>45</v>
      </c>
      <c r="F878" s="24">
        <v>44081</v>
      </c>
      <c r="G878" s="22" t="s">
        <v>6183</v>
      </c>
      <c r="H878" s="22" t="s">
        <v>6117</v>
      </c>
      <c r="I878" s="22" t="s">
        <v>6183</v>
      </c>
      <c r="J878" s="22" t="s">
        <v>4552</v>
      </c>
      <c r="K878" s="22" t="s">
        <v>6117</v>
      </c>
      <c r="L878" s="22"/>
      <c r="M878" s="22"/>
      <c r="N878" s="22"/>
    </row>
    <row r="879" spans="1:14" x14ac:dyDescent="0.25">
      <c r="A879" s="22" t="s">
        <v>6115</v>
      </c>
      <c r="B879" s="22" t="s">
        <v>39</v>
      </c>
      <c r="C879" s="22" t="s">
        <v>4715</v>
      </c>
      <c r="D879" s="23">
        <v>-722375</v>
      </c>
      <c r="E879" s="22" t="s">
        <v>45</v>
      </c>
      <c r="F879" s="24">
        <v>44081</v>
      </c>
      <c r="G879" s="22" t="s">
        <v>6183</v>
      </c>
      <c r="H879" s="22" t="s">
        <v>6117</v>
      </c>
      <c r="I879" s="22" t="s">
        <v>6183</v>
      </c>
      <c r="J879" s="22" t="s">
        <v>4401</v>
      </c>
      <c r="K879" s="22" t="s">
        <v>6117</v>
      </c>
      <c r="L879" s="22"/>
      <c r="M879" s="22"/>
      <c r="N879" s="22"/>
    </row>
    <row r="880" spans="1:14" x14ac:dyDescent="0.25">
      <c r="A880" s="22" t="s">
        <v>6185</v>
      </c>
      <c r="B880" s="22" t="s">
        <v>39</v>
      </c>
      <c r="C880" s="22" t="s">
        <v>6184</v>
      </c>
      <c r="D880" s="23">
        <v>-35100</v>
      </c>
      <c r="E880" s="22" t="s">
        <v>57</v>
      </c>
      <c r="F880" s="24">
        <v>44071</v>
      </c>
      <c r="G880" s="22" t="s">
        <v>6183</v>
      </c>
      <c r="H880" s="22" t="s">
        <v>1131</v>
      </c>
      <c r="I880" s="22" t="s">
        <v>6186</v>
      </c>
      <c r="J880" s="22" t="s">
        <v>4552</v>
      </c>
      <c r="K880" s="22" t="s">
        <v>4557</v>
      </c>
      <c r="L880" s="22"/>
      <c r="M880" s="22"/>
      <c r="N880" s="22"/>
    </row>
    <row r="881" spans="1:14" x14ac:dyDescent="0.25">
      <c r="A881" s="22" t="s">
        <v>6187</v>
      </c>
      <c r="B881" s="22" t="s">
        <v>39</v>
      </c>
      <c r="C881" s="22" t="s">
        <v>4554</v>
      </c>
      <c r="D881" s="23">
        <v>-31700</v>
      </c>
      <c r="E881" s="22" t="s">
        <v>57</v>
      </c>
      <c r="F881" s="24">
        <v>44071</v>
      </c>
      <c r="G881" s="22" t="s">
        <v>6183</v>
      </c>
      <c r="H881" s="22" t="s">
        <v>1131</v>
      </c>
      <c r="I881" s="22" t="s">
        <v>6188</v>
      </c>
      <c r="J881" s="22" t="s">
        <v>4552</v>
      </c>
      <c r="K881" s="22" t="s">
        <v>4557</v>
      </c>
      <c r="L881" s="22"/>
      <c r="M881" s="22"/>
      <c r="N881" s="22"/>
    </row>
    <row r="882" spans="1:14" x14ac:dyDescent="0.25">
      <c r="A882" s="22" t="s">
        <v>6189</v>
      </c>
      <c r="B882" s="22" t="s">
        <v>39</v>
      </c>
      <c r="C882" s="22" t="s">
        <v>4554</v>
      </c>
      <c r="D882" s="23">
        <v>-73600</v>
      </c>
      <c r="E882" s="22" t="s">
        <v>57</v>
      </c>
      <c r="F882" s="24">
        <v>44049</v>
      </c>
      <c r="G882" s="22" t="s">
        <v>6183</v>
      </c>
      <c r="H882" s="22" t="s">
        <v>1131</v>
      </c>
      <c r="I882" s="22" t="s">
        <v>6190</v>
      </c>
      <c r="J882" s="22" t="s">
        <v>4552</v>
      </c>
      <c r="K882" s="22" t="s">
        <v>4557</v>
      </c>
      <c r="L882" s="22"/>
      <c r="M882" s="22"/>
      <c r="N882" s="22"/>
    </row>
    <row r="883" spans="1:14" x14ac:dyDescent="0.25">
      <c r="A883" s="22" t="s">
        <v>6191</v>
      </c>
      <c r="B883" s="22" t="s">
        <v>39</v>
      </c>
      <c r="C883" s="22" t="s">
        <v>4554</v>
      </c>
      <c r="D883" s="23">
        <v>-31700</v>
      </c>
      <c r="E883" s="22" t="s">
        <v>57</v>
      </c>
      <c r="F883" s="24">
        <v>44053</v>
      </c>
      <c r="G883" s="22" t="s">
        <v>6183</v>
      </c>
      <c r="H883" s="22" t="s">
        <v>1131</v>
      </c>
      <c r="I883" s="22" t="s">
        <v>6192</v>
      </c>
      <c r="J883" s="22" t="s">
        <v>4552</v>
      </c>
      <c r="K883" s="22" t="s">
        <v>4557</v>
      </c>
      <c r="L883" s="22"/>
      <c r="M883" s="22"/>
      <c r="N883" s="22"/>
    </row>
    <row r="884" spans="1:14" x14ac:dyDescent="0.25">
      <c r="A884" s="22" t="s">
        <v>6193</v>
      </c>
      <c r="B884" s="22" t="s">
        <v>39</v>
      </c>
      <c r="C884" s="22" t="s">
        <v>4554</v>
      </c>
      <c r="D884" s="23">
        <v>-31700</v>
      </c>
      <c r="E884" s="22" t="s">
        <v>57</v>
      </c>
      <c r="F884" s="24">
        <v>44054</v>
      </c>
      <c r="G884" s="22" t="s">
        <v>6183</v>
      </c>
      <c r="H884" s="22" t="s">
        <v>1131</v>
      </c>
      <c r="I884" s="22" t="s">
        <v>6194</v>
      </c>
      <c r="J884" s="22" t="s">
        <v>4552</v>
      </c>
      <c r="K884" s="22" t="s">
        <v>4557</v>
      </c>
      <c r="L884" s="22"/>
      <c r="M884" s="22"/>
      <c r="N884" s="22"/>
    </row>
    <row r="885" spans="1:14" x14ac:dyDescent="0.25">
      <c r="A885" s="22" t="s">
        <v>6195</v>
      </c>
      <c r="B885" s="22" t="s">
        <v>39</v>
      </c>
      <c r="C885" s="22" t="s">
        <v>4554</v>
      </c>
      <c r="D885" s="23">
        <v>-31700</v>
      </c>
      <c r="E885" s="22" t="s">
        <v>57</v>
      </c>
      <c r="F885" s="24">
        <v>44063</v>
      </c>
      <c r="G885" s="22" t="s">
        <v>6183</v>
      </c>
      <c r="H885" s="22" t="s">
        <v>2279</v>
      </c>
      <c r="I885" s="22" t="s">
        <v>6196</v>
      </c>
      <c r="J885" s="22" t="s">
        <v>4552</v>
      </c>
      <c r="K885" s="22" t="s">
        <v>4557</v>
      </c>
      <c r="L885" s="22"/>
      <c r="M885" s="22"/>
      <c r="N885" s="22"/>
    </row>
    <row r="886" spans="1:14" x14ac:dyDescent="0.25">
      <c r="A886" s="22" t="s">
        <v>6115</v>
      </c>
      <c r="B886" s="22" t="s">
        <v>39</v>
      </c>
      <c r="C886" s="22" t="s">
        <v>4916</v>
      </c>
      <c r="D886" s="23">
        <v>722375</v>
      </c>
      <c r="E886" s="22" t="s">
        <v>45</v>
      </c>
      <c r="F886" s="24">
        <v>44081</v>
      </c>
      <c r="G886" s="22" t="s">
        <v>6183</v>
      </c>
      <c r="H886" s="22" t="s">
        <v>6197</v>
      </c>
      <c r="I886" s="22" t="s">
        <v>6116</v>
      </c>
      <c r="J886" s="22" t="s">
        <v>4401</v>
      </c>
      <c r="K886" s="22" t="s">
        <v>6117</v>
      </c>
      <c r="L886" s="22"/>
      <c r="M886" s="22"/>
      <c r="N886" s="22"/>
    </row>
    <row r="887" spans="1:14" x14ac:dyDescent="0.25">
      <c r="A887" s="22" t="s">
        <v>6115</v>
      </c>
      <c r="B887" s="22" t="s">
        <v>39</v>
      </c>
      <c r="C887" s="22" t="s">
        <v>6198</v>
      </c>
      <c r="D887" s="23">
        <v>360141</v>
      </c>
      <c r="E887" s="22" t="s">
        <v>45</v>
      </c>
      <c r="F887" s="24">
        <v>44081</v>
      </c>
      <c r="G887" s="22" t="s">
        <v>6199</v>
      </c>
      <c r="H887" s="22" t="s">
        <v>6117</v>
      </c>
      <c r="I887" s="22" t="s">
        <v>6199</v>
      </c>
      <c r="J887" s="22" t="s">
        <v>4466</v>
      </c>
      <c r="K887" s="22" t="s">
        <v>6117</v>
      </c>
      <c r="L887" s="22"/>
      <c r="M887" s="22"/>
      <c r="N887" s="22"/>
    </row>
    <row r="888" spans="1:14" x14ac:dyDescent="0.25">
      <c r="A888" s="22" t="s">
        <v>6115</v>
      </c>
      <c r="B888" s="22" t="s">
        <v>39</v>
      </c>
      <c r="C888" s="22" t="s">
        <v>6198</v>
      </c>
      <c r="D888" s="23">
        <v>-486875</v>
      </c>
      <c r="E888" s="22" t="s">
        <v>45</v>
      </c>
      <c r="F888" s="24">
        <v>44081</v>
      </c>
      <c r="G888" s="22" t="s">
        <v>6199</v>
      </c>
      <c r="H888" s="22" t="s">
        <v>6117</v>
      </c>
      <c r="I888" s="22" t="s">
        <v>6199</v>
      </c>
      <c r="J888" s="22" t="s">
        <v>4401</v>
      </c>
      <c r="K888" s="22" t="s">
        <v>6117</v>
      </c>
      <c r="L888" s="22"/>
      <c r="M888" s="22"/>
      <c r="N888" s="22"/>
    </row>
    <row r="889" spans="1:14" x14ac:dyDescent="0.25">
      <c r="A889" s="22" t="s">
        <v>6201</v>
      </c>
      <c r="B889" s="22" t="s">
        <v>39</v>
      </c>
      <c r="C889" s="22" t="s">
        <v>6200</v>
      </c>
      <c r="D889" s="23">
        <v>-83900</v>
      </c>
      <c r="E889" s="22" t="s">
        <v>57</v>
      </c>
      <c r="F889" s="24">
        <v>44064</v>
      </c>
      <c r="G889" s="22" t="s">
        <v>6199</v>
      </c>
      <c r="H889" s="22" t="s">
        <v>1131</v>
      </c>
      <c r="I889" s="22" t="s">
        <v>6202</v>
      </c>
      <c r="J889" s="22" t="s">
        <v>4466</v>
      </c>
      <c r="K889" s="22" t="s">
        <v>83</v>
      </c>
      <c r="L889" s="22"/>
      <c r="M889" s="22"/>
      <c r="N889" s="22"/>
    </row>
    <row r="890" spans="1:14" x14ac:dyDescent="0.25">
      <c r="A890" s="22" t="s">
        <v>6203</v>
      </c>
      <c r="B890" s="22" t="s">
        <v>39</v>
      </c>
      <c r="C890" s="22" t="s">
        <v>6200</v>
      </c>
      <c r="D890" s="23">
        <v>-84307</v>
      </c>
      <c r="E890" s="22" t="s">
        <v>57</v>
      </c>
      <c r="F890" s="24">
        <v>44066</v>
      </c>
      <c r="G890" s="22" t="s">
        <v>6199</v>
      </c>
      <c r="H890" s="22" t="s">
        <v>1131</v>
      </c>
      <c r="I890" s="22" t="s">
        <v>6204</v>
      </c>
      <c r="J890" s="22" t="s">
        <v>4466</v>
      </c>
      <c r="K890" s="22" t="s">
        <v>83</v>
      </c>
      <c r="L890" s="22"/>
      <c r="M890" s="22"/>
      <c r="N890" s="22"/>
    </row>
    <row r="891" spans="1:14" x14ac:dyDescent="0.25">
      <c r="A891" s="22" t="s">
        <v>6205</v>
      </c>
      <c r="B891" s="22" t="s">
        <v>39</v>
      </c>
      <c r="C891" s="22" t="s">
        <v>6200</v>
      </c>
      <c r="D891" s="23">
        <v>-83900</v>
      </c>
      <c r="E891" s="22" t="s">
        <v>57</v>
      </c>
      <c r="F891" s="24">
        <v>44069</v>
      </c>
      <c r="G891" s="22" t="s">
        <v>6199</v>
      </c>
      <c r="H891" s="22" t="s">
        <v>1131</v>
      </c>
      <c r="I891" s="22" t="s">
        <v>6206</v>
      </c>
      <c r="J891" s="22" t="s">
        <v>4466</v>
      </c>
      <c r="K891" s="22" t="s">
        <v>83</v>
      </c>
      <c r="L891" s="22"/>
      <c r="M891" s="22"/>
      <c r="N891" s="22"/>
    </row>
    <row r="892" spans="1:14" x14ac:dyDescent="0.25">
      <c r="A892" s="22" t="s">
        <v>6207</v>
      </c>
      <c r="B892" s="22" t="s">
        <v>39</v>
      </c>
      <c r="C892" s="22" t="s">
        <v>6200</v>
      </c>
      <c r="D892" s="23">
        <v>-108034</v>
      </c>
      <c r="E892" s="22" t="s">
        <v>57</v>
      </c>
      <c r="F892" s="24">
        <v>44075</v>
      </c>
      <c r="G892" s="22" t="s">
        <v>6199</v>
      </c>
      <c r="H892" s="22" t="s">
        <v>6208</v>
      </c>
      <c r="I892" s="22" t="s">
        <v>6209</v>
      </c>
      <c r="J892" s="22" t="s">
        <v>4466</v>
      </c>
      <c r="K892" s="22" t="s">
        <v>83</v>
      </c>
      <c r="L892" s="22"/>
      <c r="M892" s="22"/>
      <c r="N892" s="22"/>
    </row>
    <row r="893" spans="1:14" x14ac:dyDescent="0.25">
      <c r="A893" s="22" t="s">
        <v>6115</v>
      </c>
      <c r="B893" s="22" t="s">
        <v>39</v>
      </c>
      <c r="C893" s="22" t="s">
        <v>4916</v>
      </c>
      <c r="D893" s="23">
        <v>486875</v>
      </c>
      <c r="E893" s="22" t="s">
        <v>45</v>
      </c>
      <c r="F893" s="24">
        <v>44081</v>
      </c>
      <c r="G893" s="22" t="s">
        <v>6199</v>
      </c>
      <c r="H893" s="22" t="s">
        <v>6197</v>
      </c>
      <c r="I893" s="22" t="s">
        <v>6183</v>
      </c>
      <c r="J893" s="22" t="s">
        <v>4401</v>
      </c>
      <c r="K893" s="22" t="s">
        <v>6117</v>
      </c>
      <c r="L893" s="22"/>
      <c r="M893" s="22"/>
      <c r="N893" s="22"/>
    </row>
    <row r="894" spans="1:14" x14ac:dyDescent="0.25">
      <c r="A894" s="22" t="s">
        <v>6211</v>
      </c>
      <c r="B894" s="22" t="s">
        <v>39</v>
      </c>
      <c r="C894" s="22" t="s">
        <v>6210</v>
      </c>
      <c r="D894" s="23">
        <v>-55334</v>
      </c>
      <c r="E894" s="22" t="s">
        <v>57</v>
      </c>
      <c r="F894" s="24">
        <v>44104</v>
      </c>
      <c r="G894" s="22" t="s">
        <v>6212</v>
      </c>
      <c r="H894" s="22" t="s">
        <v>6213</v>
      </c>
      <c r="I894" s="22" t="s">
        <v>6214</v>
      </c>
      <c r="J894" s="22" t="s">
        <v>4466</v>
      </c>
      <c r="K894" s="22" t="s">
        <v>4992</v>
      </c>
      <c r="L894" s="22"/>
      <c r="M894" s="22"/>
      <c r="N894" s="22"/>
    </row>
    <row r="895" spans="1:14" x14ac:dyDescent="0.25">
      <c r="A895" s="22" t="s">
        <v>6216</v>
      </c>
      <c r="B895" s="22" t="s">
        <v>39</v>
      </c>
      <c r="C895" s="22" t="s">
        <v>6215</v>
      </c>
      <c r="D895" s="23">
        <v>55334</v>
      </c>
      <c r="E895" s="22" t="s">
        <v>45</v>
      </c>
      <c r="F895" s="24">
        <v>44168</v>
      </c>
      <c r="G895" s="22" t="s">
        <v>6212</v>
      </c>
      <c r="H895" s="22"/>
      <c r="I895" s="22" t="s">
        <v>6212</v>
      </c>
      <c r="J895" s="22" t="s">
        <v>4466</v>
      </c>
      <c r="K895" s="22" t="s">
        <v>6217</v>
      </c>
      <c r="L895" s="22"/>
      <c r="M895" s="22"/>
      <c r="N895" s="22"/>
    </row>
    <row r="896" spans="1:14" x14ac:dyDescent="0.25">
      <c r="A896" s="22" t="s">
        <v>6216</v>
      </c>
      <c r="B896" s="22" t="s">
        <v>39</v>
      </c>
      <c r="C896" s="22" t="s">
        <v>6215</v>
      </c>
      <c r="D896" s="23">
        <v>-27667</v>
      </c>
      <c r="E896" s="22" t="s">
        <v>45</v>
      </c>
      <c r="F896" s="24">
        <v>44168</v>
      </c>
      <c r="G896" s="22" t="s">
        <v>6212</v>
      </c>
      <c r="H896" s="22"/>
      <c r="I896" s="22" t="s">
        <v>6212</v>
      </c>
      <c r="J896" s="22" t="s">
        <v>4401</v>
      </c>
      <c r="K896" s="22" t="s">
        <v>6217</v>
      </c>
      <c r="L896" s="22"/>
      <c r="M896" s="22"/>
      <c r="N896" s="22"/>
    </row>
    <row r="897" spans="1:14" x14ac:dyDescent="0.25">
      <c r="A897" s="22" t="s">
        <v>6218</v>
      </c>
      <c r="B897" s="22" t="s">
        <v>39</v>
      </c>
      <c r="C897" s="22" t="s">
        <v>4402</v>
      </c>
      <c r="D897" s="23">
        <v>27667</v>
      </c>
      <c r="E897" s="22" t="s">
        <v>42</v>
      </c>
      <c r="F897" s="24">
        <v>44144</v>
      </c>
      <c r="G897" s="22" t="s">
        <v>6212</v>
      </c>
      <c r="H897" s="22" t="s">
        <v>1741</v>
      </c>
      <c r="I897" s="22" t="s">
        <v>6219</v>
      </c>
      <c r="J897" s="22" t="s">
        <v>4401</v>
      </c>
      <c r="K897" s="22" t="s">
        <v>292</v>
      </c>
      <c r="L897" s="22"/>
      <c r="M897" s="22"/>
      <c r="N897" s="22"/>
    </row>
    <row r="898" spans="1:14" x14ac:dyDescent="0.25">
      <c r="A898" s="22" t="s">
        <v>6221</v>
      </c>
      <c r="B898" s="22" t="s">
        <v>39</v>
      </c>
      <c r="C898" s="22" t="s">
        <v>6220</v>
      </c>
      <c r="D898" s="23">
        <v>-114616</v>
      </c>
      <c r="E898" s="22" t="s">
        <v>57</v>
      </c>
      <c r="F898" s="24">
        <v>44085</v>
      </c>
      <c r="G898" s="22" t="s">
        <v>6222</v>
      </c>
      <c r="H898" s="22" t="s">
        <v>6223</v>
      </c>
      <c r="I898" s="22" t="s">
        <v>6224</v>
      </c>
      <c r="J898" s="22" t="s">
        <v>4401</v>
      </c>
      <c r="K898" s="22" t="s">
        <v>4759</v>
      </c>
      <c r="L898" s="22"/>
      <c r="M898" s="22"/>
      <c r="N898" s="22"/>
    </row>
    <row r="899" spans="1:14" x14ac:dyDescent="0.25">
      <c r="A899" s="22" t="s">
        <v>6226</v>
      </c>
      <c r="B899" s="22" t="s">
        <v>39</v>
      </c>
      <c r="C899" s="22" t="s">
        <v>6225</v>
      </c>
      <c r="D899" s="23">
        <v>-231400</v>
      </c>
      <c r="E899" s="22" t="s">
        <v>57</v>
      </c>
      <c r="F899" s="24">
        <v>44088</v>
      </c>
      <c r="G899" s="22" t="s">
        <v>6222</v>
      </c>
      <c r="H899" s="22" t="s">
        <v>6227</v>
      </c>
      <c r="I899" s="22" t="s">
        <v>6228</v>
      </c>
      <c r="J899" s="22" t="s">
        <v>4466</v>
      </c>
      <c r="K899" s="22" t="s">
        <v>4759</v>
      </c>
      <c r="L899" s="22"/>
      <c r="M899" s="22"/>
      <c r="N899" s="22"/>
    </row>
    <row r="900" spans="1:14" x14ac:dyDescent="0.25">
      <c r="A900" s="22" t="s">
        <v>6230</v>
      </c>
      <c r="B900" s="22" t="s">
        <v>39</v>
      </c>
      <c r="C900" s="22" t="s">
        <v>6229</v>
      </c>
      <c r="D900" s="23">
        <v>-111100</v>
      </c>
      <c r="E900" s="22" t="s">
        <v>57</v>
      </c>
      <c r="F900" s="24">
        <v>44072</v>
      </c>
      <c r="G900" s="22" t="s">
        <v>6222</v>
      </c>
      <c r="H900" s="22" t="s">
        <v>6231</v>
      </c>
      <c r="I900" s="22" t="s">
        <v>6232</v>
      </c>
      <c r="J900" s="22" t="s">
        <v>4401</v>
      </c>
      <c r="K900" s="22" t="s">
        <v>4759</v>
      </c>
      <c r="L900" s="22"/>
      <c r="M900" s="22"/>
      <c r="N900" s="22"/>
    </row>
    <row r="901" spans="1:14" x14ac:dyDescent="0.25">
      <c r="A901" s="22" t="s">
        <v>6234</v>
      </c>
      <c r="B901" s="22" t="s">
        <v>39</v>
      </c>
      <c r="C901" s="22" t="s">
        <v>6233</v>
      </c>
      <c r="D901" s="23">
        <v>-130353</v>
      </c>
      <c r="E901" s="22" t="s">
        <v>57</v>
      </c>
      <c r="F901" s="24">
        <v>44074</v>
      </c>
      <c r="G901" s="22" t="s">
        <v>6222</v>
      </c>
      <c r="H901" s="22" t="s">
        <v>2468</v>
      </c>
      <c r="I901" s="22" t="s">
        <v>6235</v>
      </c>
      <c r="J901" s="22" t="s">
        <v>4401</v>
      </c>
      <c r="K901" s="22" t="s">
        <v>4759</v>
      </c>
      <c r="L901" s="22"/>
      <c r="M901" s="22"/>
      <c r="N901" s="22"/>
    </row>
    <row r="902" spans="1:14" x14ac:dyDescent="0.25">
      <c r="A902" s="22" t="s">
        <v>5865</v>
      </c>
      <c r="B902" s="22" t="s">
        <v>39</v>
      </c>
      <c r="C902" s="22" t="s">
        <v>5101</v>
      </c>
      <c r="D902" s="23">
        <v>3889587</v>
      </c>
      <c r="E902" s="22" t="s">
        <v>45</v>
      </c>
      <c r="F902" s="24">
        <v>44111</v>
      </c>
      <c r="G902" s="22" t="s">
        <v>6222</v>
      </c>
      <c r="H902" s="22" t="s">
        <v>5903</v>
      </c>
      <c r="I902" s="22" t="s">
        <v>6147</v>
      </c>
      <c r="J902" s="22" t="s">
        <v>4401</v>
      </c>
      <c r="K902" s="22" t="s">
        <v>6167</v>
      </c>
      <c r="L902" s="22"/>
      <c r="M902" s="22"/>
      <c r="N902" s="22"/>
    </row>
    <row r="903" spans="1:14" x14ac:dyDescent="0.25">
      <c r="A903" s="22" t="s">
        <v>6236</v>
      </c>
      <c r="B903" s="22" t="s">
        <v>39</v>
      </c>
      <c r="C903" s="22" t="s">
        <v>5101</v>
      </c>
      <c r="D903" s="23">
        <v>173008</v>
      </c>
      <c r="E903" s="22" t="s">
        <v>42</v>
      </c>
      <c r="F903" s="24">
        <v>44144</v>
      </c>
      <c r="G903" s="22" t="s">
        <v>6222</v>
      </c>
      <c r="H903" s="22" t="s">
        <v>1741</v>
      </c>
      <c r="I903" s="22" t="s">
        <v>6237</v>
      </c>
      <c r="J903" s="22" t="s">
        <v>4401</v>
      </c>
      <c r="K903" s="22" t="s">
        <v>292</v>
      </c>
      <c r="L903" s="22"/>
      <c r="M903" s="22"/>
      <c r="N903" s="22"/>
    </row>
    <row r="904" spans="1:14" x14ac:dyDescent="0.25">
      <c r="A904" s="22" t="s">
        <v>5865</v>
      </c>
      <c r="B904" s="22" t="s">
        <v>39</v>
      </c>
      <c r="C904" s="22" t="s">
        <v>5101</v>
      </c>
      <c r="D904" s="23">
        <v>231400</v>
      </c>
      <c r="E904" s="22" t="s">
        <v>45</v>
      </c>
      <c r="F904" s="24">
        <v>44053</v>
      </c>
      <c r="G904" s="22" t="s">
        <v>6222</v>
      </c>
      <c r="H904" s="22" t="s">
        <v>5903</v>
      </c>
      <c r="I904" s="22" t="s">
        <v>6222</v>
      </c>
      <c r="J904" s="22" t="s">
        <v>4466</v>
      </c>
      <c r="K904" s="22" t="s">
        <v>5101</v>
      </c>
      <c r="L904" s="22"/>
      <c r="M904" s="22"/>
      <c r="N904" s="22"/>
    </row>
    <row r="905" spans="1:14" x14ac:dyDescent="0.25">
      <c r="A905" s="22" t="s">
        <v>5865</v>
      </c>
      <c r="B905" s="22" t="s">
        <v>39</v>
      </c>
      <c r="C905" s="22" t="s">
        <v>5101</v>
      </c>
      <c r="D905" s="23">
        <v>-3706526</v>
      </c>
      <c r="E905" s="22" t="s">
        <v>45</v>
      </c>
      <c r="F905" s="24">
        <v>44053</v>
      </c>
      <c r="G905" s="22" t="s">
        <v>6222</v>
      </c>
      <c r="H905" s="22" t="s">
        <v>5903</v>
      </c>
      <c r="I905" s="22" t="s">
        <v>6222</v>
      </c>
      <c r="J905" s="22" t="s">
        <v>4401</v>
      </c>
      <c r="K905" s="22" t="s">
        <v>5101</v>
      </c>
      <c r="L905" s="22"/>
      <c r="M905" s="22"/>
      <c r="N905" s="22"/>
    </row>
    <row r="906" spans="1:14" x14ac:dyDescent="0.25">
      <c r="A906" s="22" t="s">
        <v>6238</v>
      </c>
      <c r="B906" s="22" t="s">
        <v>39</v>
      </c>
      <c r="C906" s="22" t="s">
        <v>4745</v>
      </c>
      <c r="D906" s="23">
        <v>-3349276</v>
      </c>
      <c r="E906" s="22" t="s">
        <v>45</v>
      </c>
      <c r="F906" s="24">
        <v>44053</v>
      </c>
      <c r="G906" s="22" t="s">
        <v>6239</v>
      </c>
      <c r="H906" s="22"/>
      <c r="I906" s="22" t="s">
        <v>6239</v>
      </c>
      <c r="J906" s="22" t="s">
        <v>4401</v>
      </c>
      <c r="K906" s="22" t="s">
        <v>6238</v>
      </c>
      <c r="L906" s="22"/>
      <c r="M906" s="22"/>
      <c r="N906" s="22"/>
    </row>
    <row r="907" spans="1:14" x14ac:dyDescent="0.25">
      <c r="A907" s="22" t="s">
        <v>6240</v>
      </c>
      <c r="B907" s="22" t="s">
        <v>39</v>
      </c>
      <c r="C907" s="22" t="s">
        <v>5081</v>
      </c>
      <c r="D907" s="23">
        <v>3349276</v>
      </c>
      <c r="E907" s="22" t="s">
        <v>42</v>
      </c>
      <c r="F907" s="24">
        <v>44053</v>
      </c>
      <c r="G907" s="22" t="s">
        <v>6239</v>
      </c>
      <c r="H907" s="22" t="s">
        <v>292</v>
      </c>
      <c r="I907" s="22" t="s">
        <v>6241</v>
      </c>
      <c r="J907" s="22" t="s">
        <v>4401</v>
      </c>
      <c r="K907" s="22" t="s">
        <v>5081</v>
      </c>
      <c r="L907" s="22"/>
      <c r="M907" s="22"/>
      <c r="N907" s="22"/>
    </row>
    <row r="908" spans="1:14" x14ac:dyDescent="0.25">
      <c r="A908" s="22" t="s">
        <v>6242</v>
      </c>
      <c r="B908" s="22" t="s">
        <v>39</v>
      </c>
      <c r="C908" s="22" t="s">
        <v>4745</v>
      </c>
      <c r="D908" s="23">
        <v>-58898</v>
      </c>
      <c r="E908" s="22" t="s">
        <v>45</v>
      </c>
      <c r="F908" s="24">
        <v>44166</v>
      </c>
      <c r="G908" s="22" t="s">
        <v>6243</v>
      </c>
      <c r="H908" s="22" t="s">
        <v>6242</v>
      </c>
      <c r="I908" s="22" t="s">
        <v>6243</v>
      </c>
      <c r="J908" s="22" t="s">
        <v>4401</v>
      </c>
      <c r="K908" s="22" t="s">
        <v>6242</v>
      </c>
      <c r="L908" s="22"/>
      <c r="M908" s="22"/>
      <c r="N908" s="22"/>
    </row>
    <row r="909" spans="1:14" x14ac:dyDescent="0.25">
      <c r="A909" s="22" t="s">
        <v>6242</v>
      </c>
      <c r="B909" s="22" t="s">
        <v>39</v>
      </c>
      <c r="C909" s="22" t="s">
        <v>4745</v>
      </c>
      <c r="D909" s="23">
        <v>58898</v>
      </c>
      <c r="E909" s="22" t="s">
        <v>45</v>
      </c>
      <c r="F909" s="24">
        <v>44166</v>
      </c>
      <c r="G909" s="22" t="s">
        <v>6243</v>
      </c>
      <c r="H909" s="22" t="s">
        <v>6242</v>
      </c>
      <c r="I909" s="22" t="s">
        <v>6243</v>
      </c>
      <c r="J909" s="22" t="s">
        <v>4407</v>
      </c>
      <c r="K909" s="22" t="s">
        <v>6242</v>
      </c>
      <c r="L909" s="22"/>
      <c r="M909" s="22"/>
      <c r="N909" s="22"/>
    </row>
    <row r="910" spans="1:14" x14ac:dyDescent="0.25">
      <c r="A910" s="22" t="s">
        <v>6245</v>
      </c>
      <c r="B910" s="22" t="s">
        <v>39</v>
      </c>
      <c r="C910" s="22" t="s">
        <v>6244</v>
      </c>
      <c r="D910" s="23">
        <v>-913553</v>
      </c>
      <c r="E910" s="22" t="s">
        <v>57</v>
      </c>
      <c r="F910" s="24">
        <v>43935</v>
      </c>
      <c r="G910" s="22" t="s">
        <v>6243</v>
      </c>
      <c r="H910" s="22" t="s">
        <v>6246</v>
      </c>
      <c r="I910" s="22" t="s">
        <v>6247</v>
      </c>
      <c r="J910" s="22" t="s">
        <v>4401</v>
      </c>
      <c r="K910" s="22" t="s">
        <v>103</v>
      </c>
      <c r="L910" s="22"/>
      <c r="M910" s="22"/>
      <c r="N910" s="22"/>
    </row>
    <row r="911" spans="1:14" x14ac:dyDescent="0.25">
      <c r="A911" s="22" t="s">
        <v>6248</v>
      </c>
      <c r="B911" s="22" t="s">
        <v>39</v>
      </c>
      <c r="C911" s="22" t="s">
        <v>5990</v>
      </c>
      <c r="D911" s="23">
        <v>-105600</v>
      </c>
      <c r="E911" s="22" t="s">
        <v>57</v>
      </c>
      <c r="F911" s="24">
        <v>44001</v>
      </c>
      <c r="G911" s="22" t="s">
        <v>6243</v>
      </c>
      <c r="H911" s="22" t="s">
        <v>6249</v>
      </c>
      <c r="I911" s="22" t="s">
        <v>6250</v>
      </c>
      <c r="J911" s="22" t="s">
        <v>4401</v>
      </c>
      <c r="K911" s="22" t="s">
        <v>103</v>
      </c>
      <c r="L911" s="22"/>
      <c r="M911" s="22"/>
      <c r="N911" s="22"/>
    </row>
    <row r="912" spans="1:14" x14ac:dyDescent="0.25">
      <c r="A912" s="22" t="s">
        <v>5991</v>
      </c>
      <c r="B912" s="22" t="s">
        <v>39</v>
      </c>
      <c r="C912" s="22" t="s">
        <v>5990</v>
      </c>
      <c r="D912" s="23">
        <v>-20764</v>
      </c>
      <c r="E912" s="22" t="s">
        <v>57</v>
      </c>
      <c r="F912" s="24">
        <v>44006</v>
      </c>
      <c r="G912" s="22" t="s">
        <v>6243</v>
      </c>
      <c r="H912" s="22" t="s">
        <v>6251</v>
      </c>
      <c r="I912" s="22" t="s">
        <v>5993</v>
      </c>
      <c r="J912" s="22" t="s">
        <v>4401</v>
      </c>
      <c r="K912" s="22" t="s">
        <v>103</v>
      </c>
      <c r="L912" s="22"/>
      <c r="M912" s="22"/>
      <c r="N912" s="22"/>
    </row>
    <row r="913" spans="1:14" x14ac:dyDescent="0.25">
      <c r="A913" s="22" t="s">
        <v>6252</v>
      </c>
      <c r="B913" s="22" t="s">
        <v>39</v>
      </c>
      <c r="C913" s="22" t="s">
        <v>4576</v>
      </c>
      <c r="D913" s="23">
        <v>-58898</v>
      </c>
      <c r="E913" s="22" t="s">
        <v>57</v>
      </c>
      <c r="F913" s="24">
        <v>43887</v>
      </c>
      <c r="G913" s="22" t="s">
        <v>6243</v>
      </c>
      <c r="H913" s="22" t="s">
        <v>6253</v>
      </c>
      <c r="I913" s="22" t="s">
        <v>6254</v>
      </c>
      <c r="J913" s="22" t="s">
        <v>4407</v>
      </c>
      <c r="K913" s="22" t="s">
        <v>4557</v>
      </c>
      <c r="L913" s="22"/>
      <c r="M913" s="22"/>
      <c r="N913" s="22"/>
    </row>
    <row r="914" spans="1:14" x14ac:dyDescent="0.25">
      <c r="A914" s="22" t="s">
        <v>6256</v>
      </c>
      <c r="B914" s="22" t="s">
        <v>39</v>
      </c>
      <c r="C914" s="22" t="s">
        <v>6255</v>
      </c>
      <c r="D914" s="23">
        <v>-57600</v>
      </c>
      <c r="E914" s="22" t="s">
        <v>57</v>
      </c>
      <c r="F914" s="24">
        <v>44038</v>
      </c>
      <c r="G914" s="22" t="s">
        <v>6243</v>
      </c>
      <c r="H914" s="22" t="s">
        <v>6257</v>
      </c>
      <c r="I914" s="22" t="s">
        <v>6258</v>
      </c>
      <c r="J914" s="22" t="s">
        <v>4401</v>
      </c>
      <c r="K914" s="22" t="s">
        <v>103</v>
      </c>
      <c r="L914" s="22"/>
      <c r="M914" s="22"/>
      <c r="N914" s="22"/>
    </row>
    <row r="915" spans="1:14" x14ac:dyDescent="0.25">
      <c r="A915" s="22" t="s">
        <v>6259</v>
      </c>
      <c r="B915" s="22" t="s">
        <v>39</v>
      </c>
      <c r="C915" s="22" t="s">
        <v>6255</v>
      </c>
      <c r="D915" s="23">
        <v>-57600</v>
      </c>
      <c r="E915" s="22" t="s">
        <v>57</v>
      </c>
      <c r="F915" s="24">
        <v>44038</v>
      </c>
      <c r="G915" s="22" t="s">
        <v>6243</v>
      </c>
      <c r="H915" s="22" t="s">
        <v>6260</v>
      </c>
      <c r="I915" s="22" t="s">
        <v>6261</v>
      </c>
      <c r="J915" s="22" t="s">
        <v>4401</v>
      </c>
      <c r="K915" s="22" t="s">
        <v>103</v>
      </c>
      <c r="L915" s="22"/>
      <c r="M915" s="22"/>
      <c r="N915" s="22"/>
    </row>
    <row r="916" spans="1:14" x14ac:dyDescent="0.25">
      <c r="A916" s="22" t="s">
        <v>6263</v>
      </c>
      <c r="B916" s="22" t="s">
        <v>39</v>
      </c>
      <c r="C916" s="22" t="s">
        <v>6262</v>
      </c>
      <c r="D916" s="23">
        <v>-527074</v>
      </c>
      <c r="E916" s="22" t="s">
        <v>57</v>
      </c>
      <c r="F916" s="24">
        <v>44042</v>
      </c>
      <c r="G916" s="22" t="s">
        <v>6243</v>
      </c>
      <c r="H916" s="22" t="s">
        <v>6264</v>
      </c>
      <c r="I916" s="22" t="s">
        <v>6265</v>
      </c>
      <c r="J916" s="22" t="s">
        <v>4401</v>
      </c>
      <c r="K916" s="22" t="s">
        <v>103</v>
      </c>
      <c r="L916" s="22"/>
      <c r="M916" s="22"/>
      <c r="N916" s="22"/>
    </row>
    <row r="917" spans="1:14" x14ac:dyDescent="0.25">
      <c r="A917" s="22" t="s">
        <v>6266</v>
      </c>
      <c r="B917" s="22" t="s">
        <v>39</v>
      </c>
      <c r="C917" s="22" t="s">
        <v>5411</v>
      </c>
      <c r="D917" s="23">
        <v>527074</v>
      </c>
      <c r="E917" s="22" t="s">
        <v>42</v>
      </c>
      <c r="F917" s="24">
        <v>44081</v>
      </c>
      <c r="G917" s="22" t="s">
        <v>6243</v>
      </c>
      <c r="H917" s="22" t="s">
        <v>5893</v>
      </c>
      <c r="I917" s="22" t="s">
        <v>6267</v>
      </c>
      <c r="J917" s="22" t="s">
        <v>4401</v>
      </c>
      <c r="K917" s="22" t="s">
        <v>292</v>
      </c>
      <c r="L917" s="22"/>
      <c r="M917" s="22"/>
      <c r="N917" s="22"/>
    </row>
    <row r="918" spans="1:14" x14ac:dyDescent="0.25">
      <c r="A918" s="22" t="s">
        <v>6268</v>
      </c>
      <c r="B918" s="22" t="s">
        <v>39</v>
      </c>
      <c r="C918" s="22" t="s">
        <v>5081</v>
      </c>
      <c r="D918" s="23">
        <v>90950</v>
      </c>
      <c r="E918" s="22" t="s">
        <v>42</v>
      </c>
      <c r="F918" s="24">
        <v>44144</v>
      </c>
      <c r="G918" s="22" t="s">
        <v>6243</v>
      </c>
      <c r="H918" s="22" t="s">
        <v>1741</v>
      </c>
      <c r="I918" s="22" t="s">
        <v>6269</v>
      </c>
      <c r="J918" s="22" t="s">
        <v>4401</v>
      </c>
      <c r="K918" s="22" t="s">
        <v>292</v>
      </c>
      <c r="L918" s="22"/>
      <c r="M918" s="22"/>
      <c r="N918" s="22"/>
    </row>
    <row r="919" spans="1:14" x14ac:dyDescent="0.25">
      <c r="A919" s="22" t="s">
        <v>6238</v>
      </c>
      <c r="B919" s="22" t="s">
        <v>39</v>
      </c>
      <c r="C919" s="22" t="s">
        <v>5081</v>
      </c>
      <c r="D919" s="23">
        <v>1123065</v>
      </c>
      <c r="E919" s="22" t="s">
        <v>45</v>
      </c>
      <c r="F919" s="24">
        <v>44053</v>
      </c>
      <c r="G919" s="22" t="s">
        <v>6243</v>
      </c>
      <c r="H919" s="22" t="s">
        <v>6270</v>
      </c>
      <c r="I919" s="22" t="s">
        <v>6239</v>
      </c>
      <c r="J919" s="22" t="s">
        <v>4401</v>
      </c>
      <c r="K919" s="22" t="s">
        <v>6238</v>
      </c>
      <c r="L919" s="22"/>
      <c r="M919" s="22"/>
      <c r="N919" s="22"/>
    </row>
    <row r="920" spans="1:14" x14ac:dyDescent="0.25">
      <c r="A920" s="22" t="s">
        <v>6216</v>
      </c>
      <c r="B920" s="22" t="s">
        <v>39</v>
      </c>
      <c r="C920" s="22" t="s">
        <v>6210</v>
      </c>
      <c r="D920" s="23">
        <v>-27667</v>
      </c>
      <c r="E920" s="22" t="s">
        <v>45</v>
      </c>
      <c r="F920" s="24">
        <v>44168</v>
      </c>
      <c r="G920" s="22" t="s">
        <v>6271</v>
      </c>
      <c r="H920" s="22" t="s">
        <v>6272</v>
      </c>
      <c r="I920" s="22" t="s">
        <v>6212</v>
      </c>
      <c r="J920" s="22" t="s">
        <v>4466</v>
      </c>
      <c r="K920" s="22" t="s">
        <v>6217</v>
      </c>
      <c r="L920" s="22"/>
      <c r="M920" s="22"/>
      <c r="N920" s="22"/>
    </row>
    <row r="921" spans="1:14" x14ac:dyDescent="0.25">
      <c r="A921" s="22" t="s">
        <v>6274</v>
      </c>
      <c r="B921" s="22" t="s">
        <v>39</v>
      </c>
      <c r="C921" s="22" t="s">
        <v>6273</v>
      </c>
      <c r="D921" s="23">
        <v>27667</v>
      </c>
      <c r="E921" s="22" t="s">
        <v>45</v>
      </c>
      <c r="F921" s="24">
        <v>44193</v>
      </c>
      <c r="G921" s="22" t="s">
        <v>6271</v>
      </c>
      <c r="H921" s="22"/>
      <c r="I921" s="22" t="s">
        <v>6271</v>
      </c>
      <c r="J921" s="22" t="s">
        <v>4466</v>
      </c>
      <c r="K921" s="22" t="s">
        <v>6275</v>
      </c>
      <c r="L921" s="22"/>
      <c r="M921" s="22"/>
      <c r="N921" s="22"/>
    </row>
    <row r="922" spans="1:14" x14ac:dyDescent="0.25">
      <c r="A922" s="22" t="s">
        <v>6274</v>
      </c>
      <c r="B922" s="22" t="s">
        <v>39</v>
      </c>
      <c r="C922" s="22" t="s">
        <v>6273</v>
      </c>
      <c r="D922" s="23">
        <v>-5453684</v>
      </c>
      <c r="E922" s="22" t="s">
        <v>45</v>
      </c>
      <c r="F922" s="24">
        <v>44193</v>
      </c>
      <c r="G922" s="22" t="s">
        <v>6271</v>
      </c>
      <c r="H922" s="22"/>
      <c r="I922" s="22" t="s">
        <v>6271</v>
      </c>
      <c r="J922" s="22" t="s">
        <v>4401</v>
      </c>
      <c r="K922" s="22" t="s">
        <v>6275</v>
      </c>
      <c r="L922" s="22"/>
      <c r="M922" s="22"/>
      <c r="N922" s="22"/>
    </row>
    <row r="923" spans="1:14" x14ac:dyDescent="0.25">
      <c r="A923" s="22" t="s">
        <v>6274</v>
      </c>
      <c r="B923" s="22" t="s">
        <v>39</v>
      </c>
      <c r="C923" s="22" t="s">
        <v>6273</v>
      </c>
      <c r="D923" s="23">
        <v>543008</v>
      </c>
      <c r="E923" s="22" t="s">
        <v>45</v>
      </c>
      <c r="F923" s="24">
        <v>44193</v>
      </c>
      <c r="G923" s="22" t="s">
        <v>6271</v>
      </c>
      <c r="H923" s="22"/>
      <c r="I923" s="22" t="s">
        <v>6271</v>
      </c>
      <c r="J923" s="22" t="s">
        <v>4407</v>
      </c>
      <c r="K923" s="22" t="s">
        <v>6275</v>
      </c>
      <c r="L923" s="22"/>
      <c r="M923" s="22"/>
      <c r="N923" s="22"/>
    </row>
    <row r="924" spans="1:14" x14ac:dyDescent="0.25">
      <c r="A924" s="22" t="s">
        <v>6277</v>
      </c>
      <c r="B924" s="22" t="s">
        <v>39</v>
      </c>
      <c r="C924" s="22" t="s">
        <v>6276</v>
      </c>
      <c r="D924" s="23">
        <v>-543008</v>
      </c>
      <c r="E924" s="22" t="s">
        <v>57</v>
      </c>
      <c r="F924" s="24">
        <v>44005</v>
      </c>
      <c r="G924" s="22" t="s">
        <v>6271</v>
      </c>
      <c r="H924" s="22" t="s">
        <v>6278</v>
      </c>
      <c r="I924" s="22" t="s">
        <v>6279</v>
      </c>
      <c r="J924" s="22" t="s">
        <v>4407</v>
      </c>
      <c r="K924" s="22" t="s">
        <v>4557</v>
      </c>
      <c r="L924" s="22"/>
      <c r="M924" s="22"/>
      <c r="N924" s="22"/>
    </row>
    <row r="925" spans="1:14" x14ac:dyDescent="0.25">
      <c r="A925" s="22" t="s">
        <v>6281</v>
      </c>
      <c r="B925" s="22" t="s">
        <v>39</v>
      </c>
      <c r="C925" s="22" t="s">
        <v>6280</v>
      </c>
      <c r="D925" s="23">
        <v>-157400</v>
      </c>
      <c r="E925" s="22" t="s">
        <v>57</v>
      </c>
      <c r="F925" s="24">
        <v>43993</v>
      </c>
      <c r="G925" s="22" t="s">
        <v>6271</v>
      </c>
      <c r="H925" s="22" t="s">
        <v>6282</v>
      </c>
      <c r="I925" s="22" t="s">
        <v>6283</v>
      </c>
      <c r="J925" s="22" t="s">
        <v>4401</v>
      </c>
      <c r="K925" s="22" t="s">
        <v>4992</v>
      </c>
      <c r="L925" s="22"/>
      <c r="M925" s="22"/>
      <c r="N925" s="22"/>
    </row>
    <row r="926" spans="1:14" x14ac:dyDescent="0.25">
      <c r="A926" s="22" t="s">
        <v>6284</v>
      </c>
      <c r="B926" s="22" t="s">
        <v>39</v>
      </c>
      <c r="C926" s="22" t="s">
        <v>4402</v>
      </c>
      <c r="D926" s="23">
        <v>5611084</v>
      </c>
      <c r="E926" s="22" t="s">
        <v>42</v>
      </c>
      <c r="F926" s="24">
        <v>44053</v>
      </c>
      <c r="G926" s="22" t="s">
        <v>6271</v>
      </c>
      <c r="H926" s="22" t="s">
        <v>292</v>
      </c>
      <c r="I926" s="22" t="s">
        <v>6285</v>
      </c>
      <c r="J926" s="22" t="s">
        <v>4401</v>
      </c>
      <c r="K926" s="22" t="s">
        <v>4402</v>
      </c>
      <c r="L926" s="22"/>
      <c r="M926" s="22"/>
      <c r="N926" s="22"/>
    </row>
    <row r="927" spans="1:14" x14ac:dyDescent="0.25">
      <c r="A927" s="22" t="s">
        <v>6287</v>
      </c>
      <c r="B927" s="22" t="s">
        <v>39</v>
      </c>
      <c r="C927" s="22" t="s">
        <v>6286</v>
      </c>
      <c r="D927" s="23">
        <v>-100100</v>
      </c>
      <c r="E927" s="22" t="s">
        <v>57</v>
      </c>
      <c r="F927" s="24">
        <v>44099</v>
      </c>
      <c r="G927" s="22" t="s">
        <v>6288</v>
      </c>
      <c r="H927" s="22" t="s">
        <v>2279</v>
      </c>
      <c r="I927" s="22" t="s">
        <v>6289</v>
      </c>
      <c r="J927" s="22" t="s">
        <v>4466</v>
      </c>
      <c r="K927" s="22" t="s">
        <v>83</v>
      </c>
      <c r="L927" s="22"/>
      <c r="M927" s="22"/>
      <c r="N927" s="22"/>
    </row>
    <row r="928" spans="1:14" x14ac:dyDescent="0.25">
      <c r="A928" s="22" t="s">
        <v>80</v>
      </c>
      <c r="B928" s="22" t="s">
        <v>39</v>
      </c>
      <c r="C928" s="22" t="s">
        <v>4725</v>
      </c>
      <c r="D928" s="23">
        <v>-26634</v>
      </c>
      <c r="E928" s="22" t="s">
        <v>57</v>
      </c>
      <c r="F928" s="24">
        <v>44196</v>
      </c>
      <c r="G928" s="22" t="s">
        <v>6288</v>
      </c>
      <c r="H928" s="22" t="s">
        <v>4726</v>
      </c>
      <c r="I928" s="22" t="s">
        <v>4723</v>
      </c>
      <c r="J928" s="22" t="s">
        <v>4401</v>
      </c>
      <c r="K928" s="22" t="s">
        <v>4727</v>
      </c>
      <c r="L928" s="22"/>
      <c r="M928" s="22"/>
      <c r="N928" s="22"/>
    </row>
    <row r="929" spans="1:14" x14ac:dyDescent="0.25">
      <c r="A929" s="22" t="s">
        <v>6115</v>
      </c>
      <c r="B929" s="22" t="s">
        <v>39</v>
      </c>
      <c r="C929" s="22" t="s">
        <v>4725</v>
      </c>
      <c r="D929" s="23">
        <v>100100</v>
      </c>
      <c r="E929" s="22" t="s">
        <v>45</v>
      </c>
      <c r="F929" s="24">
        <v>44081</v>
      </c>
      <c r="G929" s="22" t="s">
        <v>6288</v>
      </c>
      <c r="H929" s="22" t="s">
        <v>6117</v>
      </c>
      <c r="I929" s="22" t="s">
        <v>6288</v>
      </c>
      <c r="J929" s="22" t="s">
        <v>4466</v>
      </c>
      <c r="K929" s="22" t="s">
        <v>6117</v>
      </c>
      <c r="L929" s="22"/>
      <c r="M929" s="22"/>
      <c r="N929" s="22"/>
    </row>
    <row r="930" spans="1:14" x14ac:dyDescent="0.25">
      <c r="A930" s="22" t="s">
        <v>6115</v>
      </c>
      <c r="B930" s="22" t="s">
        <v>39</v>
      </c>
      <c r="C930" s="22" t="s">
        <v>4725</v>
      </c>
      <c r="D930" s="23">
        <v>-100100</v>
      </c>
      <c r="E930" s="22" t="s">
        <v>45</v>
      </c>
      <c r="F930" s="24">
        <v>44081</v>
      </c>
      <c r="G930" s="22" t="s">
        <v>6288</v>
      </c>
      <c r="H930" s="22" t="s">
        <v>6117</v>
      </c>
      <c r="I930" s="22" t="s">
        <v>6288</v>
      </c>
      <c r="J930" s="22" t="s">
        <v>4401</v>
      </c>
      <c r="K930" s="22" t="s">
        <v>6117</v>
      </c>
      <c r="L930" s="22"/>
      <c r="M930" s="22"/>
      <c r="N930" s="22"/>
    </row>
    <row r="931" spans="1:14" x14ac:dyDescent="0.25">
      <c r="A931" s="22" t="s">
        <v>6115</v>
      </c>
      <c r="B931" s="22" t="s">
        <v>39</v>
      </c>
      <c r="C931" s="22" t="s">
        <v>4916</v>
      </c>
      <c r="D931" s="23">
        <v>126734</v>
      </c>
      <c r="E931" s="22" t="s">
        <v>45</v>
      </c>
      <c r="F931" s="24">
        <v>44081</v>
      </c>
      <c r="G931" s="22" t="s">
        <v>6288</v>
      </c>
      <c r="H931" s="22" t="s">
        <v>6197</v>
      </c>
      <c r="I931" s="22" t="s">
        <v>6199</v>
      </c>
      <c r="J931" s="22" t="s">
        <v>4401</v>
      </c>
      <c r="K931" s="22" t="s">
        <v>6117</v>
      </c>
      <c r="L931" s="22"/>
      <c r="M931" s="22"/>
      <c r="N931" s="22"/>
    </row>
    <row r="932" spans="1:14" x14ac:dyDescent="0.25">
      <c r="A932" s="22" t="s">
        <v>4730</v>
      </c>
      <c r="B932" s="22" t="s">
        <v>39</v>
      </c>
      <c r="C932" s="22" t="s">
        <v>4725</v>
      </c>
      <c r="D932" s="23">
        <v>-1433295</v>
      </c>
      <c r="E932" s="22" t="s">
        <v>57</v>
      </c>
      <c r="F932" s="24">
        <v>44196</v>
      </c>
      <c r="G932" s="22" t="s">
        <v>6290</v>
      </c>
      <c r="H932" s="22" t="s">
        <v>4726</v>
      </c>
      <c r="I932" s="22" t="s">
        <v>4728</v>
      </c>
      <c r="J932" s="22" t="s">
        <v>4401</v>
      </c>
      <c r="K932" s="22" t="s">
        <v>4727</v>
      </c>
      <c r="L932" s="22"/>
      <c r="M932" s="22"/>
      <c r="N932" s="22"/>
    </row>
    <row r="933" spans="1:14" x14ac:dyDescent="0.25">
      <c r="A933" s="22" t="s">
        <v>6291</v>
      </c>
      <c r="B933" s="22" t="s">
        <v>39</v>
      </c>
      <c r="C933" s="22" t="s">
        <v>4725</v>
      </c>
      <c r="D933" s="23">
        <v>1433295</v>
      </c>
      <c r="E933" s="22" t="s">
        <v>45</v>
      </c>
      <c r="F933" s="24">
        <v>44111</v>
      </c>
      <c r="G933" s="22" t="s">
        <v>6290</v>
      </c>
      <c r="H933" s="22" t="s">
        <v>6292</v>
      </c>
      <c r="I933" s="22" t="s">
        <v>6290</v>
      </c>
      <c r="J933" s="22" t="s">
        <v>4401</v>
      </c>
      <c r="K933" s="22" t="s">
        <v>6292</v>
      </c>
      <c r="L933" s="22"/>
      <c r="M933" s="22"/>
      <c r="N933" s="22"/>
    </row>
    <row r="934" spans="1:14" x14ac:dyDescent="0.25">
      <c r="A934" s="22" t="s">
        <v>6291</v>
      </c>
      <c r="B934" s="22" t="s">
        <v>39</v>
      </c>
      <c r="C934" s="22" t="s">
        <v>4725</v>
      </c>
      <c r="D934" s="23">
        <v>-1433295</v>
      </c>
      <c r="E934" s="22" t="s">
        <v>45</v>
      </c>
      <c r="F934" s="24">
        <v>44111</v>
      </c>
      <c r="G934" s="22" t="s">
        <v>6290</v>
      </c>
      <c r="H934" s="22" t="s">
        <v>6292</v>
      </c>
      <c r="I934" s="22" t="s">
        <v>6290</v>
      </c>
      <c r="J934" s="22" t="s">
        <v>4401</v>
      </c>
      <c r="K934" s="22" t="s">
        <v>6292</v>
      </c>
      <c r="L934" s="22"/>
      <c r="M934" s="22"/>
      <c r="N934" s="22"/>
    </row>
    <row r="935" spans="1:14" x14ac:dyDescent="0.25">
      <c r="A935" s="22" t="s">
        <v>6293</v>
      </c>
      <c r="B935" s="22" t="s">
        <v>39</v>
      </c>
      <c r="C935" s="22" t="s">
        <v>4916</v>
      </c>
      <c r="D935" s="23">
        <v>1433295</v>
      </c>
      <c r="E935" s="22" t="s">
        <v>42</v>
      </c>
      <c r="F935" s="24">
        <v>44111</v>
      </c>
      <c r="G935" s="22" t="s">
        <v>6290</v>
      </c>
      <c r="H935" s="22" t="s">
        <v>2141</v>
      </c>
      <c r="I935" s="22" t="s">
        <v>6294</v>
      </c>
      <c r="J935" s="22" t="s">
        <v>4401</v>
      </c>
      <c r="K935" s="22" t="s">
        <v>292</v>
      </c>
      <c r="L935" s="22"/>
      <c r="M935" s="22"/>
      <c r="N935" s="22"/>
    </row>
    <row r="936" spans="1:14" x14ac:dyDescent="0.25">
      <c r="A936" s="22" t="s">
        <v>6295</v>
      </c>
      <c r="B936" s="22" t="s">
        <v>39</v>
      </c>
      <c r="C936" s="22" t="s">
        <v>4725</v>
      </c>
      <c r="D936" s="23">
        <v>11021085</v>
      </c>
      <c r="E936" s="22" t="s">
        <v>45</v>
      </c>
      <c r="F936" s="24">
        <v>44144</v>
      </c>
      <c r="G936" s="22" t="s">
        <v>6296</v>
      </c>
      <c r="H936" s="22" t="s">
        <v>6297</v>
      </c>
      <c r="I936" s="22" t="s">
        <v>6296</v>
      </c>
      <c r="J936" s="22" t="s">
        <v>4401</v>
      </c>
      <c r="K936" s="22" t="s">
        <v>6297</v>
      </c>
      <c r="L936" s="22"/>
      <c r="M936" s="22"/>
      <c r="N936" s="22"/>
    </row>
    <row r="937" spans="1:14" x14ac:dyDescent="0.25">
      <c r="A937" s="22" t="s">
        <v>6295</v>
      </c>
      <c r="B937" s="22" t="s">
        <v>39</v>
      </c>
      <c r="C937" s="22" t="s">
        <v>4725</v>
      </c>
      <c r="D937" s="23">
        <v>-11021085</v>
      </c>
      <c r="E937" s="22" t="s">
        <v>45</v>
      </c>
      <c r="F937" s="24">
        <v>44144</v>
      </c>
      <c r="G937" s="22" t="s">
        <v>6296</v>
      </c>
      <c r="H937" s="22" t="s">
        <v>6297</v>
      </c>
      <c r="I937" s="22" t="s">
        <v>6296</v>
      </c>
      <c r="J937" s="22" t="s">
        <v>4401</v>
      </c>
      <c r="K937" s="22" t="s">
        <v>6297</v>
      </c>
      <c r="L937" s="22"/>
      <c r="M937" s="22"/>
      <c r="N937" s="22"/>
    </row>
    <row r="938" spans="1:14" x14ac:dyDescent="0.25">
      <c r="A938" s="22" t="s">
        <v>80</v>
      </c>
      <c r="B938" s="22" t="s">
        <v>39</v>
      </c>
      <c r="C938" s="22" t="s">
        <v>4732</v>
      </c>
      <c r="D938" s="23">
        <v>-11021085</v>
      </c>
      <c r="E938" s="22" t="s">
        <v>57</v>
      </c>
      <c r="F938" s="24">
        <v>44200</v>
      </c>
      <c r="G938" s="22" t="s">
        <v>6296</v>
      </c>
      <c r="H938" s="22" t="s">
        <v>4726</v>
      </c>
      <c r="I938" s="22" t="s">
        <v>4731</v>
      </c>
      <c r="J938" s="22" t="s">
        <v>4401</v>
      </c>
      <c r="K938" s="22" t="s">
        <v>4727</v>
      </c>
      <c r="L938" s="22"/>
      <c r="M938" s="22"/>
      <c r="N938" s="22"/>
    </row>
    <row r="939" spans="1:14" x14ac:dyDescent="0.25">
      <c r="A939" s="22" t="s">
        <v>6298</v>
      </c>
      <c r="B939" s="22" t="s">
        <v>39</v>
      </c>
      <c r="C939" s="22" t="s">
        <v>4916</v>
      </c>
      <c r="D939" s="23">
        <v>11021085</v>
      </c>
      <c r="E939" s="22" t="s">
        <v>42</v>
      </c>
      <c r="F939" s="24">
        <v>44144</v>
      </c>
      <c r="G939" s="22" t="s">
        <v>6296</v>
      </c>
      <c r="H939" s="22" t="s">
        <v>1741</v>
      </c>
      <c r="I939" s="22" t="s">
        <v>4405</v>
      </c>
      <c r="J939" s="22" t="s">
        <v>4401</v>
      </c>
      <c r="K939" s="22" t="s">
        <v>292</v>
      </c>
      <c r="L939" s="22"/>
      <c r="M939" s="22"/>
      <c r="N939" s="22"/>
    </row>
    <row r="940" spans="1:14" x14ac:dyDescent="0.25">
      <c r="A940" s="22" t="s">
        <v>4733</v>
      </c>
      <c r="B940" s="22" t="s">
        <v>39</v>
      </c>
      <c r="C940" s="22" t="s">
        <v>74</v>
      </c>
      <c r="D940" s="23">
        <v>-88304</v>
      </c>
      <c r="E940" s="22" t="s">
        <v>57</v>
      </c>
      <c r="F940" s="24">
        <v>44117</v>
      </c>
      <c r="G940" s="22" t="s">
        <v>6299</v>
      </c>
      <c r="H940" s="22" t="s">
        <v>2202</v>
      </c>
      <c r="I940" s="22" t="s">
        <v>4734</v>
      </c>
      <c r="J940" s="22" t="s">
        <v>4401</v>
      </c>
      <c r="K940" s="22" t="s">
        <v>4737</v>
      </c>
      <c r="L940" s="22"/>
      <c r="M940" s="22"/>
      <c r="N940" s="22"/>
    </row>
    <row r="941" spans="1:14" x14ac:dyDescent="0.25">
      <c r="A941" s="22" t="s">
        <v>6301</v>
      </c>
      <c r="B941" s="22" t="s">
        <v>39</v>
      </c>
      <c r="C941" s="22" t="s">
        <v>6300</v>
      </c>
      <c r="D941" s="23">
        <v>-31700</v>
      </c>
      <c r="E941" s="22" t="s">
        <v>57</v>
      </c>
      <c r="F941" s="24">
        <v>44162</v>
      </c>
      <c r="G941" s="22" t="s">
        <v>6299</v>
      </c>
      <c r="H941" s="22" t="s">
        <v>1394</v>
      </c>
      <c r="I941" s="22" t="s">
        <v>6302</v>
      </c>
      <c r="J941" s="22" t="s">
        <v>4401</v>
      </c>
      <c r="K941" s="22" t="s">
        <v>4489</v>
      </c>
      <c r="L941" s="22"/>
      <c r="M941" s="22"/>
      <c r="N941" s="22"/>
    </row>
    <row r="942" spans="1:14" x14ac:dyDescent="0.25">
      <c r="A942" s="22"/>
      <c r="B942" s="22" t="s">
        <v>39</v>
      </c>
      <c r="C942" s="22" t="s">
        <v>4736</v>
      </c>
      <c r="D942" s="23">
        <v>0</v>
      </c>
      <c r="E942" s="22" t="s">
        <v>45</v>
      </c>
      <c r="F942" s="24">
        <v>44188</v>
      </c>
      <c r="G942" s="22" t="s">
        <v>6299</v>
      </c>
      <c r="H942" s="22" t="s">
        <v>2103</v>
      </c>
      <c r="I942" s="22" t="s">
        <v>6299</v>
      </c>
      <c r="J942" s="22" t="s">
        <v>4401</v>
      </c>
      <c r="K942" s="22" t="s">
        <v>2103</v>
      </c>
      <c r="L942" s="22"/>
      <c r="M942" s="22"/>
      <c r="N942" s="22"/>
    </row>
    <row r="943" spans="1:14" x14ac:dyDescent="0.25">
      <c r="A943" s="22" t="s">
        <v>6303</v>
      </c>
      <c r="B943" s="22" t="s">
        <v>39</v>
      </c>
      <c r="C943" s="22" t="s">
        <v>5128</v>
      </c>
      <c r="D943" s="23">
        <v>120004</v>
      </c>
      <c r="E943" s="22" t="s">
        <v>42</v>
      </c>
      <c r="F943" s="24">
        <v>44144</v>
      </c>
      <c r="G943" s="22" t="s">
        <v>6299</v>
      </c>
      <c r="H943" s="22" t="s">
        <v>1741</v>
      </c>
      <c r="I943" s="22" t="s">
        <v>6304</v>
      </c>
      <c r="J943" s="22" t="s">
        <v>4401</v>
      </c>
      <c r="K943" s="22" t="s">
        <v>292</v>
      </c>
      <c r="L943" s="22"/>
      <c r="M943" s="22"/>
      <c r="N943" s="22"/>
    </row>
    <row r="944" spans="1:14" x14ac:dyDescent="0.25">
      <c r="A944" s="22" t="s">
        <v>6305</v>
      </c>
      <c r="B944" s="22" t="s">
        <v>39</v>
      </c>
      <c r="C944" s="22" t="s">
        <v>74</v>
      </c>
      <c r="D944" s="23">
        <v>-65900</v>
      </c>
      <c r="E944" s="22" t="s">
        <v>57</v>
      </c>
      <c r="F944" s="24">
        <v>44077</v>
      </c>
      <c r="G944" s="22" t="s">
        <v>6306</v>
      </c>
      <c r="H944" s="22" t="s">
        <v>2202</v>
      </c>
      <c r="I944" s="22" t="s">
        <v>6307</v>
      </c>
      <c r="J944" s="22" t="s">
        <v>4552</v>
      </c>
      <c r="K944" s="22" t="s">
        <v>78</v>
      </c>
      <c r="L944" s="22"/>
      <c r="M944" s="22"/>
      <c r="N944" s="22"/>
    </row>
    <row r="945" spans="1:14" x14ac:dyDescent="0.25">
      <c r="A945" s="22" t="s">
        <v>4733</v>
      </c>
      <c r="B945" s="22" t="s">
        <v>39</v>
      </c>
      <c r="C945" s="22" t="s">
        <v>74</v>
      </c>
      <c r="D945" s="23">
        <v>-26696</v>
      </c>
      <c r="E945" s="22" t="s">
        <v>57</v>
      </c>
      <c r="F945" s="24">
        <v>44117</v>
      </c>
      <c r="G945" s="22" t="s">
        <v>6306</v>
      </c>
      <c r="H945" s="22" t="s">
        <v>2202</v>
      </c>
      <c r="I945" s="22" t="s">
        <v>4734</v>
      </c>
      <c r="J945" s="22" t="s">
        <v>4552</v>
      </c>
      <c r="K945" s="22" t="s">
        <v>4737</v>
      </c>
      <c r="L945" s="22"/>
      <c r="M945" s="22"/>
      <c r="N945" s="22"/>
    </row>
    <row r="946" spans="1:14" x14ac:dyDescent="0.25">
      <c r="A946" s="22" t="s">
        <v>6309</v>
      </c>
      <c r="B946" s="22" t="s">
        <v>39</v>
      </c>
      <c r="C946" s="22" t="s">
        <v>6308</v>
      </c>
      <c r="D946" s="23">
        <v>-52308</v>
      </c>
      <c r="E946" s="22" t="s">
        <v>57</v>
      </c>
      <c r="F946" s="24">
        <v>44092</v>
      </c>
      <c r="G946" s="22" t="s">
        <v>6306</v>
      </c>
      <c r="H946" s="22" t="s">
        <v>6310</v>
      </c>
      <c r="I946" s="22" t="s">
        <v>6311</v>
      </c>
      <c r="J946" s="22" t="s">
        <v>4466</v>
      </c>
      <c r="K946" s="22" t="s">
        <v>78</v>
      </c>
      <c r="L946" s="22"/>
      <c r="M946" s="22"/>
      <c r="N946" s="22"/>
    </row>
    <row r="947" spans="1:14" x14ac:dyDescent="0.25">
      <c r="A947" s="22" t="s">
        <v>6312</v>
      </c>
      <c r="B947" s="22" t="s">
        <v>39</v>
      </c>
      <c r="C947" s="22" t="s">
        <v>4736</v>
      </c>
      <c r="D947" s="23">
        <v>52308</v>
      </c>
      <c r="E947" s="22" t="s">
        <v>45</v>
      </c>
      <c r="F947" s="24">
        <v>44188</v>
      </c>
      <c r="G947" s="22" t="s">
        <v>6306</v>
      </c>
      <c r="H947" s="22" t="s">
        <v>2103</v>
      </c>
      <c r="I947" s="22" t="s">
        <v>6306</v>
      </c>
      <c r="J947" s="22" t="s">
        <v>4466</v>
      </c>
      <c r="K947" s="22" t="s">
        <v>2103</v>
      </c>
      <c r="L947" s="22"/>
      <c r="M947" s="22"/>
      <c r="N947" s="22"/>
    </row>
    <row r="948" spans="1:14" x14ac:dyDescent="0.25">
      <c r="A948" s="22" t="s">
        <v>6312</v>
      </c>
      <c r="B948" s="22" t="s">
        <v>39</v>
      </c>
      <c r="C948" s="22" t="s">
        <v>4736</v>
      </c>
      <c r="D948" s="23">
        <v>92596</v>
      </c>
      <c r="E948" s="22" t="s">
        <v>45</v>
      </c>
      <c r="F948" s="24">
        <v>44188</v>
      </c>
      <c r="G948" s="22" t="s">
        <v>6306</v>
      </c>
      <c r="H948" s="22" t="s">
        <v>2103</v>
      </c>
      <c r="I948" s="22" t="s">
        <v>6306</v>
      </c>
      <c r="J948" s="22" t="s">
        <v>4552</v>
      </c>
      <c r="K948" s="22" t="s">
        <v>2103</v>
      </c>
      <c r="L948" s="22"/>
      <c r="M948" s="22"/>
      <c r="N948" s="22"/>
    </row>
    <row r="949" spans="1:14" x14ac:dyDescent="0.25">
      <c r="A949" s="22" t="s">
        <v>6312</v>
      </c>
      <c r="B949" s="22" t="s">
        <v>39</v>
      </c>
      <c r="C949" s="22" t="s">
        <v>4736</v>
      </c>
      <c r="D949" s="23">
        <v>-2815232</v>
      </c>
      <c r="E949" s="22" t="s">
        <v>45</v>
      </c>
      <c r="F949" s="24">
        <v>44188</v>
      </c>
      <c r="G949" s="22" t="s">
        <v>6306</v>
      </c>
      <c r="H949" s="22" t="s">
        <v>2103</v>
      </c>
      <c r="I949" s="22" t="s">
        <v>6306</v>
      </c>
      <c r="J949" s="22" t="s">
        <v>4401</v>
      </c>
      <c r="K949" s="22" t="s">
        <v>2103</v>
      </c>
      <c r="L949" s="22"/>
      <c r="M949" s="22"/>
      <c r="N949" s="22"/>
    </row>
    <row r="950" spans="1:14" x14ac:dyDescent="0.25">
      <c r="A950" s="22" t="s">
        <v>6312</v>
      </c>
      <c r="B950" s="22" t="s">
        <v>39</v>
      </c>
      <c r="C950" s="22" t="s">
        <v>5128</v>
      </c>
      <c r="D950" s="23">
        <v>2815232</v>
      </c>
      <c r="E950" s="22" t="s">
        <v>42</v>
      </c>
      <c r="F950" s="24">
        <v>44053</v>
      </c>
      <c r="G950" s="22" t="s">
        <v>6306</v>
      </c>
      <c r="H950" s="22" t="s">
        <v>292</v>
      </c>
      <c r="I950" s="22" t="s">
        <v>6313</v>
      </c>
      <c r="J950" s="22" t="s">
        <v>4401</v>
      </c>
      <c r="K950" s="22" t="s">
        <v>5128</v>
      </c>
      <c r="L950" s="22"/>
      <c r="M950" s="22"/>
      <c r="N950" s="22"/>
    </row>
    <row r="951" spans="1:14" x14ac:dyDescent="0.25">
      <c r="A951" s="22" t="s">
        <v>6314</v>
      </c>
      <c r="B951" s="22" t="s">
        <v>39</v>
      </c>
      <c r="C951" s="22" t="s">
        <v>74</v>
      </c>
      <c r="D951" s="23">
        <v>-65900</v>
      </c>
      <c r="E951" s="22" t="s">
        <v>57</v>
      </c>
      <c r="F951" s="24">
        <v>44077</v>
      </c>
      <c r="G951" s="22" t="s">
        <v>6315</v>
      </c>
      <c r="H951" s="22" t="s">
        <v>5746</v>
      </c>
      <c r="I951" s="22" t="s">
        <v>6316</v>
      </c>
      <c r="J951" s="22" t="s">
        <v>4552</v>
      </c>
      <c r="K951" s="22" t="s">
        <v>78</v>
      </c>
      <c r="L951" s="22"/>
      <c r="M951" s="22"/>
      <c r="N951" s="22"/>
    </row>
    <row r="952" spans="1:14" x14ac:dyDescent="0.25">
      <c r="A952" s="22" t="s">
        <v>6317</v>
      </c>
      <c r="B952" s="22" t="s">
        <v>39</v>
      </c>
      <c r="C952" s="22" t="s">
        <v>74</v>
      </c>
      <c r="D952" s="23">
        <v>-19600</v>
      </c>
      <c r="E952" s="22" t="s">
        <v>57</v>
      </c>
      <c r="F952" s="24">
        <v>44102</v>
      </c>
      <c r="G952" s="22" t="s">
        <v>6315</v>
      </c>
      <c r="H952" s="22" t="s">
        <v>5746</v>
      </c>
      <c r="I952" s="22" t="s">
        <v>6318</v>
      </c>
      <c r="J952" s="22" t="s">
        <v>4552</v>
      </c>
      <c r="K952" s="22" t="s">
        <v>78</v>
      </c>
      <c r="L952" s="22"/>
      <c r="M952" s="22"/>
      <c r="N952" s="22"/>
    </row>
    <row r="953" spans="1:14" x14ac:dyDescent="0.25">
      <c r="A953" s="22" t="s">
        <v>6320</v>
      </c>
      <c r="B953" s="22" t="s">
        <v>39</v>
      </c>
      <c r="C953" s="22" t="s">
        <v>6319</v>
      </c>
      <c r="D953" s="23">
        <v>-107866</v>
      </c>
      <c r="E953" s="22" t="s">
        <v>57</v>
      </c>
      <c r="F953" s="24">
        <v>44089</v>
      </c>
      <c r="G953" s="22" t="s">
        <v>6315</v>
      </c>
      <c r="H953" s="22" t="s">
        <v>6321</v>
      </c>
      <c r="I953" s="22" t="s">
        <v>6322</v>
      </c>
      <c r="J953" s="22" t="s">
        <v>4466</v>
      </c>
      <c r="K953" s="22" t="s">
        <v>5748</v>
      </c>
      <c r="L953" s="22"/>
      <c r="M953" s="22"/>
      <c r="N953" s="22"/>
    </row>
    <row r="954" spans="1:14" x14ac:dyDescent="0.25">
      <c r="A954" s="22" t="s">
        <v>6324</v>
      </c>
      <c r="B954" s="22" t="s">
        <v>39</v>
      </c>
      <c r="C954" s="22" t="s">
        <v>6323</v>
      </c>
      <c r="D954" s="23">
        <v>-203244</v>
      </c>
      <c r="E954" s="22" t="s">
        <v>57</v>
      </c>
      <c r="F954" s="24">
        <v>43893</v>
      </c>
      <c r="G954" s="22" t="s">
        <v>6315</v>
      </c>
      <c r="H954" s="22" t="s">
        <v>6325</v>
      </c>
      <c r="I954" s="22" t="s">
        <v>6326</v>
      </c>
      <c r="J954" s="22" t="s">
        <v>4401</v>
      </c>
      <c r="K954" s="22" t="s">
        <v>5748</v>
      </c>
      <c r="L954" s="22"/>
      <c r="M954" s="22"/>
      <c r="N954" s="22"/>
    </row>
    <row r="955" spans="1:14" x14ac:dyDescent="0.25">
      <c r="A955" s="22" t="s">
        <v>6178</v>
      </c>
      <c r="B955" s="22" t="s">
        <v>39</v>
      </c>
      <c r="C955" s="22" t="s">
        <v>4532</v>
      </c>
      <c r="D955" s="23">
        <v>-2695</v>
      </c>
      <c r="E955" s="22" t="s">
        <v>57</v>
      </c>
      <c r="F955" s="24">
        <v>44049</v>
      </c>
      <c r="G955" s="22" t="s">
        <v>6315</v>
      </c>
      <c r="H955" s="22" t="s">
        <v>6327</v>
      </c>
      <c r="I955" s="22" t="s">
        <v>6180</v>
      </c>
      <c r="J955" s="22" t="s">
        <v>4552</v>
      </c>
      <c r="K955" s="22" t="s">
        <v>4557</v>
      </c>
      <c r="L955" s="22"/>
      <c r="M955" s="22"/>
      <c r="N955" s="22"/>
    </row>
    <row r="956" spans="1:14" x14ac:dyDescent="0.25">
      <c r="A956" s="22" t="s">
        <v>4738</v>
      </c>
      <c r="B956" s="22" t="s">
        <v>39</v>
      </c>
      <c r="C956" s="22" t="s">
        <v>4725</v>
      </c>
      <c r="D956" s="23">
        <v>-2454846</v>
      </c>
      <c r="E956" s="22" t="s">
        <v>57</v>
      </c>
      <c r="F956" s="24">
        <v>43878</v>
      </c>
      <c r="G956" s="22" t="s">
        <v>6315</v>
      </c>
      <c r="H956" s="22" t="s">
        <v>6328</v>
      </c>
      <c r="I956" s="22" t="s">
        <v>4739</v>
      </c>
      <c r="J956" s="22" t="s">
        <v>4401</v>
      </c>
      <c r="K956" s="22" t="s">
        <v>4738</v>
      </c>
      <c r="L956" s="22"/>
      <c r="M956" s="22"/>
      <c r="N956" s="22"/>
    </row>
    <row r="957" spans="1:14" x14ac:dyDescent="0.25">
      <c r="A957" s="22" t="s">
        <v>2115</v>
      </c>
      <c r="B957" s="22" t="s">
        <v>39</v>
      </c>
      <c r="C957" s="22" t="s">
        <v>4725</v>
      </c>
      <c r="D957" s="23">
        <v>107866</v>
      </c>
      <c r="E957" s="22" t="s">
        <v>45</v>
      </c>
      <c r="F957" s="24">
        <v>44196</v>
      </c>
      <c r="G957" s="22" t="s">
        <v>6315</v>
      </c>
      <c r="H957" s="22" t="s">
        <v>6329</v>
      </c>
      <c r="I957" s="22" t="s">
        <v>6315</v>
      </c>
      <c r="J957" s="22" t="s">
        <v>4466</v>
      </c>
      <c r="K957" s="22" t="s">
        <v>6330</v>
      </c>
      <c r="L957" s="22"/>
      <c r="M957" s="22"/>
      <c r="N957" s="22"/>
    </row>
    <row r="958" spans="1:14" x14ac:dyDescent="0.25">
      <c r="A958" s="22" t="s">
        <v>2115</v>
      </c>
      <c r="B958" s="22" t="s">
        <v>39</v>
      </c>
      <c r="C958" s="22" t="s">
        <v>4725</v>
      </c>
      <c r="D958" s="23">
        <v>88195</v>
      </c>
      <c r="E958" s="22" t="s">
        <v>45</v>
      </c>
      <c r="F958" s="24">
        <v>44196</v>
      </c>
      <c r="G958" s="22" t="s">
        <v>6315</v>
      </c>
      <c r="H958" s="22" t="s">
        <v>6329</v>
      </c>
      <c r="I958" s="22" t="s">
        <v>6315</v>
      </c>
      <c r="J958" s="22" t="s">
        <v>4552</v>
      </c>
      <c r="K958" s="22" t="s">
        <v>6330</v>
      </c>
      <c r="L958" s="22"/>
      <c r="M958" s="22"/>
      <c r="N958" s="22"/>
    </row>
    <row r="959" spans="1:14" x14ac:dyDescent="0.25">
      <c r="A959" s="22" t="s">
        <v>2115</v>
      </c>
      <c r="B959" s="22" t="s">
        <v>39</v>
      </c>
      <c r="C959" s="22" t="s">
        <v>4725</v>
      </c>
      <c r="D959" s="23">
        <v>-196061</v>
      </c>
      <c r="E959" s="22" t="s">
        <v>45</v>
      </c>
      <c r="F959" s="24">
        <v>44196</v>
      </c>
      <c r="G959" s="22" t="s">
        <v>6315</v>
      </c>
      <c r="H959" s="22" t="s">
        <v>6329</v>
      </c>
      <c r="I959" s="22" t="s">
        <v>6315</v>
      </c>
      <c r="J959" s="22" t="s">
        <v>4401</v>
      </c>
      <c r="K959" s="22" t="s">
        <v>6330</v>
      </c>
      <c r="L959" s="22"/>
      <c r="M959" s="22"/>
      <c r="N959" s="22"/>
    </row>
    <row r="960" spans="1:14" x14ac:dyDescent="0.25">
      <c r="A960" s="22" t="s">
        <v>6331</v>
      </c>
      <c r="B960" s="22" t="s">
        <v>39</v>
      </c>
      <c r="C960" s="22" t="s">
        <v>3480</v>
      </c>
      <c r="D960" s="23">
        <v>2854151</v>
      </c>
      <c r="E960" s="22" t="s">
        <v>42</v>
      </c>
      <c r="F960" s="24">
        <v>44172</v>
      </c>
      <c r="G960" s="22" t="s">
        <v>6315</v>
      </c>
      <c r="H960" s="22" t="s">
        <v>1741</v>
      </c>
      <c r="I960" s="22" t="s">
        <v>6332</v>
      </c>
      <c r="J960" s="22" t="s">
        <v>4401</v>
      </c>
      <c r="K960" s="22" t="s">
        <v>292</v>
      </c>
      <c r="L960" s="22"/>
      <c r="M960" s="22"/>
      <c r="N960" s="22"/>
    </row>
    <row r="961" spans="1:14" x14ac:dyDescent="0.25">
      <c r="A961" s="22" t="s">
        <v>4818</v>
      </c>
      <c r="B961" s="22" t="s">
        <v>39</v>
      </c>
      <c r="C961" s="22" t="s">
        <v>4817</v>
      </c>
      <c r="D961" s="23">
        <v>-4204366</v>
      </c>
      <c r="E961" s="22" t="s">
        <v>57</v>
      </c>
      <c r="F961" s="24">
        <v>44090</v>
      </c>
      <c r="G961" s="22" t="s">
        <v>6333</v>
      </c>
      <c r="H961" s="22" t="s">
        <v>6334</v>
      </c>
      <c r="I961" s="22" t="s">
        <v>4821</v>
      </c>
      <c r="J961" s="22" t="s">
        <v>4401</v>
      </c>
      <c r="K961" s="22" t="s">
        <v>4744</v>
      </c>
      <c r="L961" s="22"/>
      <c r="M961" s="22"/>
      <c r="N961" s="22"/>
    </row>
    <row r="962" spans="1:14" x14ac:dyDescent="0.25">
      <c r="A962" s="22" t="s">
        <v>6336</v>
      </c>
      <c r="B962" s="22" t="s">
        <v>39</v>
      </c>
      <c r="C962" s="22" t="s">
        <v>6335</v>
      </c>
      <c r="D962" s="23">
        <v>0</v>
      </c>
      <c r="E962" s="22" t="s">
        <v>45</v>
      </c>
      <c r="F962" s="24">
        <v>44053</v>
      </c>
      <c r="G962" s="22" t="s">
        <v>6333</v>
      </c>
      <c r="H962" s="22" t="s">
        <v>6337</v>
      </c>
      <c r="I962" s="22" t="s">
        <v>6333</v>
      </c>
      <c r="J962" s="22" t="s">
        <v>4401</v>
      </c>
      <c r="K962" s="22" t="s">
        <v>6337</v>
      </c>
      <c r="L962" s="22"/>
      <c r="M962" s="22"/>
      <c r="N962" s="22"/>
    </row>
    <row r="963" spans="1:14" x14ac:dyDescent="0.25">
      <c r="A963" s="22" t="s">
        <v>6338</v>
      </c>
      <c r="B963" s="22" t="s">
        <v>39</v>
      </c>
      <c r="C963" s="22" t="s">
        <v>5029</v>
      </c>
      <c r="D963" s="23">
        <v>4204366</v>
      </c>
      <c r="E963" s="22" t="s">
        <v>42</v>
      </c>
      <c r="F963" s="24">
        <v>44053</v>
      </c>
      <c r="G963" s="22" t="s">
        <v>6333</v>
      </c>
      <c r="H963" s="22" t="s">
        <v>292</v>
      </c>
      <c r="I963" s="22" t="s">
        <v>6339</v>
      </c>
      <c r="J963" s="22" t="s">
        <v>4401</v>
      </c>
      <c r="K963" s="22" t="s">
        <v>5029</v>
      </c>
      <c r="L963" s="22"/>
      <c r="M963" s="22"/>
      <c r="N963" s="22"/>
    </row>
    <row r="964" spans="1:14" x14ac:dyDescent="0.25">
      <c r="A964" s="22" t="s">
        <v>2077</v>
      </c>
      <c r="B964" s="22" t="s">
        <v>39</v>
      </c>
      <c r="C964" s="22" t="s">
        <v>74</v>
      </c>
      <c r="D964" s="23">
        <v>-34385</v>
      </c>
      <c r="E964" s="22" t="s">
        <v>57</v>
      </c>
      <c r="F964" s="24">
        <v>44078</v>
      </c>
      <c r="G964" s="22" t="s">
        <v>6340</v>
      </c>
      <c r="H964" s="22" t="s">
        <v>5053</v>
      </c>
      <c r="I964" s="22" t="s">
        <v>2076</v>
      </c>
      <c r="J964" s="22" t="s">
        <v>4552</v>
      </c>
      <c r="K964" s="22" t="s">
        <v>78</v>
      </c>
      <c r="L964" s="22"/>
      <c r="M964" s="22"/>
      <c r="N964" s="22"/>
    </row>
    <row r="965" spans="1:14" x14ac:dyDescent="0.25">
      <c r="A965" s="22" t="s">
        <v>6341</v>
      </c>
      <c r="B965" s="22" t="s">
        <v>39</v>
      </c>
      <c r="C965" s="22" t="s">
        <v>74</v>
      </c>
      <c r="D965" s="23">
        <v>-54900</v>
      </c>
      <c r="E965" s="22" t="s">
        <v>57</v>
      </c>
      <c r="F965" s="24">
        <v>44083</v>
      </c>
      <c r="G965" s="22" t="s">
        <v>6340</v>
      </c>
      <c r="H965" s="22" t="s">
        <v>6342</v>
      </c>
      <c r="I965" s="22" t="s">
        <v>6343</v>
      </c>
      <c r="J965" s="22" t="s">
        <v>4552</v>
      </c>
      <c r="K965" s="22" t="s">
        <v>78</v>
      </c>
      <c r="L965" s="22"/>
      <c r="M965" s="22"/>
      <c r="N965" s="22"/>
    </row>
    <row r="966" spans="1:14" x14ac:dyDescent="0.25">
      <c r="A966" s="22" t="s">
        <v>6344</v>
      </c>
      <c r="B966" s="22" t="s">
        <v>39</v>
      </c>
      <c r="C966" s="22" t="s">
        <v>74</v>
      </c>
      <c r="D966" s="23">
        <v>-9700</v>
      </c>
      <c r="E966" s="22" t="s">
        <v>57</v>
      </c>
      <c r="F966" s="24">
        <v>44104</v>
      </c>
      <c r="G966" s="22" t="s">
        <v>6340</v>
      </c>
      <c r="H966" s="22" t="s">
        <v>6342</v>
      </c>
      <c r="I966" s="22" t="s">
        <v>6345</v>
      </c>
      <c r="J966" s="22" t="s">
        <v>4552</v>
      </c>
      <c r="K966" s="22" t="s">
        <v>78</v>
      </c>
      <c r="L966" s="22"/>
      <c r="M966" s="22"/>
      <c r="N966" s="22"/>
    </row>
    <row r="967" spans="1:14" x14ac:dyDescent="0.25">
      <c r="A967" s="22" t="s">
        <v>6347</v>
      </c>
      <c r="B967" s="22" t="s">
        <v>39</v>
      </c>
      <c r="C967" s="22" t="s">
        <v>6346</v>
      </c>
      <c r="D967" s="23">
        <v>-42200</v>
      </c>
      <c r="E967" s="22" t="s">
        <v>57</v>
      </c>
      <c r="F967" s="24">
        <v>44098</v>
      </c>
      <c r="G967" s="22" t="s">
        <v>6340</v>
      </c>
      <c r="H967" s="22" t="s">
        <v>6342</v>
      </c>
      <c r="I967" s="22" t="s">
        <v>6348</v>
      </c>
      <c r="J967" s="22" t="s">
        <v>4552</v>
      </c>
      <c r="K967" s="22" t="s">
        <v>78</v>
      </c>
      <c r="L967" s="22"/>
      <c r="M967" s="22"/>
      <c r="N967" s="22"/>
    </row>
    <row r="968" spans="1:14" x14ac:dyDescent="0.25">
      <c r="A968" s="22" t="s">
        <v>5626</v>
      </c>
      <c r="B968" s="22" t="s">
        <v>39</v>
      </c>
      <c r="C968" s="22" t="s">
        <v>4725</v>
      </c>
      <c r="D968" s="23">
        <v>246065</v>
      </c>
      <c r="E968" s="22" t="s">
        <v>45</v>
      </c>
      <c r="F968" s="24">
        <v>44019</v>
      </c>
      <c r="G968" s="22" t="s">
        <v>6340</v>
      </c>
      <c r="H968" s="22" t="s">
        <v>5721</v>
      </c>
      <c r="I968" s="22" t="s">
        <v>6340</v>
      </c>
      <c r="J968" s="22" t="s">
        <v>4466</v>
      </c>
      <c r="K968" s="22" t="s">
        <v>5721</v>
      </c>
      <c r="L968" s="22"/>
      <c r="M968" s="22"/>
      <c r="N968" s="22"/>
    </row>
    <row r="969" spans="1:14" x14ac:dyDescent="0.25">
      <c r="A969" s="22" t="s">
        <v>5626</v>
      </c>
      <c r="B969" s="22" t="s">
        <v>39</v>
      </c>
      <c r="C969" s="22" t="s">
        <v>4725</v>
      </c>
      <c r="D969" s="23">
        <v>172885</v>
      </c>
      <c r="E969" s="22" t="s">
        <v>45</v>
      </c>
      <c r="F969" s="24">
        <v>44019</v>
      </c>
      <c r="G969" s="22" t="s">
        <v>6340</v>
      </c>
      <c r="H969" s="22" t="s">
        <v>5721</v>
      </c>
      <c r="I969" s="22" t="s">
        <v>6340</v>
      </c>
      <c r="J969" s="22" t="s">
        <v>4552</v>
      </c>
      <c r="K969" s="22" t="s">
        <v>5721</v>
      </c>
      <c r="L969" s="22"/>
      <c r="M969" s="22"/>
      <c r="N969" s="22"/>
    </row>
    <row r="970" spans="1:14" x14ac:dyDescent="0.25">
      <c r="A970" s="22" t="s">
        <v>5626</v>
      </c>
      <c r="B970" s="22" t="s">
        <v>39</v>
      </c>
      <c r="C970" s="22" t="s">
        <v>4725</v>
      </c>
      <c r="D970" s="23">
        <v>-454050</v>
      </c>
      <c r="E970" s="22" t="s">
        <v>45</v>
      </c>
      <c r="F970" s="24">
        <v>44019</v>
      </c>
      <c r="G970" s="22" t="s">
        <v>6340</v>
      </c>
      <c r="H970" s="22" t="s">
        <v>5721</v>
      </c>
      <c r="I970" s="22" t="s">
        <v>6340</v>
      </c>
      <c r="J970" s="22" t="s">
        <v>4401</v>
      </c>
      <c r="K970" s="22" t="s">
        <v>5721</v>
      </c>
      <c r="L970" s="22"/>
      <c r="M970" s="22"/>
      <c r="N970" s="22"/>
    </row>
    <row r="971" spans="1:14" x14ac:dyDescent="0.25">
      <c r="A971" s="22" t="s">
        <v>5626</v>
      </c>
      <c r="B971" s="22" t="s">
        <v>39</v>
      </c>
      <c r="C971" s="22" t="s">
        <v>4725</v>
      </c>
      <c r="D971" s="23">
        <v>35100</v>
      </c>
      <c r="E971" s="22" t="s">
        <v>45</v>
      </c>
      <c r="F971" s="24">
        <v>44019</v>
      </c>
      <c r="G971" s="22" t="s">
        <v>6340</v>
      </c>
      <c r="H971" s="22" t="s">
        <v>5721</v>
      </c>
      <c r="I971" s="22" t="s">
        <v>6340</v>
      </c>
      <c r="J971" s="22" t="s">
        <v>4407</v>
      </c>
      <c r="K971" s="22" t="s">
        <v>5721</v>
      </c>
      <c r="L971" s="22"/>
      <c r="M971" s="22"/>
      <c r="N971" s="22"/>
    </row>
    <row r="972" spans="1:14" x14ac:dyDescent="0.25">
      <c r="A972" s="22" t="s">
        <v>6350</v>
      </c>
      <c r="B972" s="22" t="s">
        <v>39</v>
      </c>
      <c r="C972" s="22" t="s">
        <v>6349</v>
      </c>
      <c r="D972" s="23">
        <v>-188465</v>
      </c>
      <c r="E972" s="22" t="s">
        <v>57</v>
      </c>
      <c r="F972" s="24">
        <v>43944</v>
      </c>
      <c r="G972" s="22" t="s">
        <v>6340</v>
      </c>
      <c r="H972" s="22" t="s">
        <v>6351</v>
      </c>
      <c r="I972" s="22" t="s">
        <v>6352</v>
      </c>
      <c r="J972" s="22" t="s">
        <v>4466</v>
      </c>
      <c r="K972" s="22" t="s">
        <v>5038</v>
      </c>
      <c r="L972" s="22"/>
      <c r="M972" s="22"/>
      <c r="N972" s="22"/>
    </row>
    <row r="973" spans="1:14" x14ac:dyDescent="0.25">
      <c r="A973" s="22" t="s">
        <v>6354</v>
      </c>
      <c r="B973" s="22" t="s">
        <v>39</v>
      </c>
      <c r="C973" s="22" t="s">
        <v>6353</v>
      </c>
      <c r="D973" s="23">
        <v>-57600</v>
      </c>
      <c r="E973" s="22" t="s">
        <v>57</v>
      </c>
      <c r="F973" s="24">
        <v>43964</v>
      </c>
      <c r="G973" s="22" t="s">
        <v>6340</v>
      </c>
      <c r="H973" s="22" t="s">
        <v>6351</v>
      </c>
      <c r="I973" s="22" t="s">
        <v>6355</v>
      </c>
      <c r="J973" s="22" t="s">
        <v>4466</v>
      </c>
      <c r="K973" s="22" t="s">
        <v>4606</v>
      </c>
      <c r="L973" s="22"/>
      <c r="M973" s="22"/>
      <c r="N973" s="22"/>
    </row>
    <row r="974" spans="1:14" x14ac:dyDescent="0.25">
      <c r="A974" s="22" t="s">
        <v>6356</v>
      </c>
      <c r="B974" s="22" t="s">
        <v>39</v>
      </c>
      <c r="C974" s="22" t="s">
        <v>4554</v>
      </c>
      <c r="D974" s="23">
        <v>-31700</v>
      </c>
      <c r="E974" s="22" t="s">
        <v>57</v>
      </c>
      <c r="F974" s="24">
        <v>44071</v>
      </c>
      <c r="G974" s="22" t="s">
        <v>6340</v>
      </c>
      <c r="H974" s="22" t="s">
        <v>6342</v>
      </c>
      <c r="I974" s="22" t="s">
        <v>6357</v>
      </c>
      <c r="J974" s="22" t="s">
        <v>4552</v>
      </c>
      <c r="K974" s="22" t="s">
        <v>4557</v>
      </c>
      <c r="L974" s="22"/>
      <c r="M974" s="22"/>
      <c r="N974" s="22"/>
    </row>
    <row r="975" spans="1:14" x14ac:dyDescent="0.25">
      <c r="A975" s="22" t="s">
        <v>6358</v>
      </c>
      <c r="B975" s="22" t="s">
        <v>39</v>
      </c>
      <c r="C975" s="22" t="s">
        <v>4777</v>
      </c>
      <c r="D975" s="23">
        <v>-35100</v>
      </c>
      <c r="E975" s="22" t="s">
        <v>57</v>
      </c>
      <c r="F975" s="24">
        <v>44055</v>
      </c>
      <c r="G975" s="22" t="s">
        <v>6340</v>
      </c>
      <c r="H975" s="22" t="s">
        <v>6359</v>
      </c>
      <c r="I975" s="22" t="s">
        <v>6360</v>
      </c>
      <c r="J975" s="22" t="s">
        <v>4407</v>
      </c>
      <c r="K975" s="22" t="s">
        <v>4557</v>
      </c>
      <c r="L975" s="22"/>
      <c r="M975" s="22"/>
      <c r="N975" s="22"/>
    </row>
    <row r="976" spans="1:14" x14ac:dyDescent="0.25">
      <c r="A976" s="22" t="s">
        <v>5626</v>
      </c>
      <c r="B976" s="22" t="s">
        <v>39</v>
      </c>
      <c r="C976" s="22" t="s">
        <v>5054</v>
      </c>
      <c r="D976" s="23">
        <v>454050</v>
      </c>
      <c r="E976" s="22" t="s">
        <v>42</v>
      </c>
      <c r="F976" s="24">
        <v>44019</v>
      </c>
      <c r="G976" s="22" t="s">
        <v>6340</v>
      </c>
      <c r="H976" s="22" t="s">
        <v>5721</v>
      </c>
      <c r="I976" s="22" t="s">
        <v>6361</v>
      </c>
      <c r="J976" s="22" t="s">
        <v>4401</v>
      </c>
      <c r="K976" s="22" t="s">
        <v>5054</v>
      </c>
      <c r="L976" s="22"/>
      <c r="M976" s="22"/>
      <c r="N976" s="22"/>
    </row>
    <row r="977" spans="1:14" x14ac:dyDescent="0.25">
      <c r="A977" s="22" t="s">
        <v>6362</v>
      </c>
      <c r="B977" s="22" t="s">
        <v>39</v>
      </c>
      <c r="C977" s="22" t="s">
        <v>74</v>
      </c>
      <c r="D977" s="23">
        <v>-39200</v>
      </c>
      <c r="E977" s="22" t="s">
        <v>57</v>
      </c>
      <c r="F977" s="24">
        <v>44095</v>
      </c>
      <c r="G977" s="22" t="s">
        <v>6363</v>
      </c>
      <c r="H977" s="22" t="s">
        <v>2279</v>
      </c>
      <c r="I977" s="22" t="s">
        <v>6364</v>
      </c>
      <c r="J977" s="22" t="s">
        <v>4552</v>
      </c>
      <c r="K977" s="22" t="s">
        <v>78</v>
      </c>
      <c r="L977" s="22"/>
      <c r="M977" s="22"/>
      <c r="N977" s="22"/>
    </row>
    <row r="978" spans="1:14" x14ac:dyDescent="0.25">
      <c r="A978" s="22" t="s">
        <v>6365</v>
      </c>
      <c r="B978" s="22" t="s">
        <v>39</v>
      </c>
      <c r="C978" s="22" t="s">
        <v>74</v>
      </c>
      <c r="D978" s="23">
        <v>-31700</v>
      </c>
      <c r="E978" s="22" t="s">
        <v>57</v>
      </c>
      <c r="F978" s="24">
        <v>44102</v>
      </c>
      <c r="G978" s="22" t="s">
        <v>6363</v>
      </c>
      <c r="H978" s="22" t="s">
        <v>2279</v>
      </c>
      <c r="I978" s="22" t="s">
        <v>6366</v>
      </c>
      <c r="J978" s="22" t="s">
        <v>4552</v>
      </c>
      <c r="K978" s="22" t="s">
        <v>78</v>
      </c>
      <c r="L978" s="22"/>
      <c r="M978" s="22"/>
      <c r="N978" s="22"/>
    </row>
    <row r="979" spans="1:14" x14ac:dyDescent="0.25">
      <c r="A979" s="22" t="s">
        <v>6368</v>
      </c>
      <c r="B979" s="22" t="s">
        <v>39</v>
      </c>
      <c r="C979" s="22" t="s">
        <v>6367</v>
      </c>
      <c r="D979" s="23">
        <v>-31700</v>
      </c>
      <c r="E979" s="22" t="s">
        <v>57</v>
      </c>
      <c r="F979" s="24">
        <v>44098</v>
      </c>
      <c r="G979" s="22" t="s">
        <v>6363</v>
      </c>
      <c r="H979" s="22" t="s">
        <v>2283</v>
      </c>
      <c r="I979" s="22" t="s">
        <v>6369</v>
      </c>
      <c r="J979" s="22" t="s">
        <v>4407</v>
      </c>
      <c r="K979" s="22" t="s">
        <v>78</v>
      </c>
      <c r="L979" s="22"/>
      <c r="M979" s="22"/>
      <c r="N979" s="22"/>
    </row>
    <row r="980" spans="1:14" x14ac:dyDescent="0.25">
      <c r="A980" s="22" t="s">
        <v>80</v>
      </c>
      <c r="B980" s="22" t="s">
        <v>39</v>
      </c>
      <c r="C980" s="22" t="s">
        <v>79</v>
      </c>
      <c r="D980" s="23">
        <v>-2922156</v>
      </c>
      <c r="E980" s="22" t="s">
        <v>57</v>
      </c>
      <c r="F980" s="24">
        <v>44200</v>
      </c>
      <c r="G980" s="22" t="s">
        <v>6363</v>
      </c>
      <c r="H980" s="22" t="s">
        <v>4729</v>
      </c>
      <c r="I980" s="22" t="s">
        <v>4731</v>
      </c>
      <c r="J980" s="22" t="s">
        <v>4401</v>
      </c>
      <c r="K980" s="22" t="s">
        <v>4727</v>
      </c>
      <c r="L980" s="22"/>
      <c r="M980" s="22"/>
      <c r="N980" s="22"/>
    </row>
    <row r="981" spans="1:14" x14ac:dyDescent="0.25">
      <c r="A981" s="22" t="s">
        <v>6370</v>
      </c>
      <c r="B981" s="22" t="s">
        <v>39</v>
      </c>
      <c r="C981" s="22" t="s">
        <v>4725</v>
      </c>
      <c r="D981" s="23">
        <v>70900</v>
      </c>
      <c r="E981" s="22" t="s">
        <v>45</v>
      </c>
      <c r="F981" s="24">
        <v>44196</v>
      </c>
      <c r="G981" s="22" t="s">
        <v>6363</v>
      </c>
      <c r="H981" s="22" t="s">
        <v>6371</v>
      </c>
      <c r="I981" s="22" t="s">
        <v>6363</v>
      </c>
      <c r="J981" s="22" t="s">
        <v>4552</v>
      </c>
      <c r="K981" s="22" t="s">
        <v>6371</v>
      </c>
      <c r="L981" s="22"/>
      <c r="M981" s="22"/>
      <c r="N981" s="22"/>
    </row>
    <row r="982" spans="1:14" x14ac:dyDescent="0.25">
      <c r="A982" s="22" t="s">
        <v>6370</v>
      </c>
      <c r="B982" s="22" t="s">
        <v>39</v>
      </c>
      <c r="C982" s="22" t="s">
        <v>4725</v>
      </c>
      <c r="D982" s="23">
        <v>-4309964</v>
      </c>
      <c r="E982" s="22" t="s">
        <v>45</v>
      </c>
      <c r="F982" s="24">
        <v>44196</v>
      </c>
      <c r="G982" s="22" t="s">
        <v>6363</v>
      </c>
      <c r="H982" s="22" t="s">
        <v>6371</v>
      </c>
      <c r="I982" s="22" t="s">
        <v>6363</v>
      </c>
      <c r="J982" s="22" t="s">
        <v>4401</v>
      </c>
      <c r="K982" s="22" t="s">
        <v>6371</v>
      </c>
      <c r="L982" s="22"/>
      <c r="M982" s="22"/>
      <c r="N982" s="22"/>
    </row>
    <row r="983" spans="1:14" x14ac:dyDescent="0.25">
      <c r="A983" s="22" t="s">
        <v>6370</v>
      </c>
      <c r="B983" s="22" t="s">
        <v>39</v>
      </c>
      <c r="C983" s="22" t="s">
        <v>4725</v>
      </c>
      <c r="D983" s="23">
        <v>31700</v>
      </c>
      <c r="E983" s="22" t="s">
        <v>45</v>
      </c>
      <c r="F983" s="24">
        <v>44196</v>
      </c>
      <c r="G983" s="22" t="s">
        <v>6363</v>
      </c>
      <c r="H983" s="22" t="s">
        <v>6371</v>
      </c>
      <c r="I983" s="22" t="s">
        <v>6363</v>
      </c>
      <c r="J983" s="22" t="s">
        <v>4407</v>
      </c>
      <c r="K983" s="22" t="s">
        <v>6371</v>
      </c>
      <c r="L983" s="22"/>
      <c r="M983" s="22"/>
      <c r="N983" s="22"/>
    </row>
    <row r="984" spans="1:14" x14ac:dyDescent="0.25">
      <c r="A984" s="22" t="s">
        <v>6372</v>
      </c>
      <c r="B984" s="22" t="s">
        <v>39</v>
      </c>
      <c r="C984" s="22" t="s">
        <v>47</v>
      </c>
      <c r="D984" s="23">
        <v>7232120</v>
      </c>
      <c r="E984" s="22" t="s">
        <v>42</v>
      </c>
      <c r="F984" s="24">
        <v>44172</v>
      </c>
      <c r="G984" s="22" t="s">
        <v>6363</v>
      </c>
      <c r="H984" s="22" t="s">
        <v>1741</v>
      </c>
      <c r="I984" s="22" t="s">
        <v>6373</v>
      </c>
      <c r="J984" s="22" t="s">
        <v>4401</v>
      </c>
      <c r="K984" s="22" t="s">
        <v>292</v>
      </c>
      <c r="L984" s="22"/>
      <c r="M984" s="22"/>
      <c r="N984" s="22"/>
    </row>
    <row r="985" spans="1:14" x14ac:dyDescent="0.25">
      <c r="A985" s="22" t="s">
        <v>6374</v>
      </c>
      <c r="B985" s="22" t="s">
        <v>39</v>
      </c>
      <c r="C985" s="22" t="s">
        <v>4548</v>
      </c>
      <c r="D985" s="23">
        <v>17550</v>
      </c>
      <c r="E985" s="22" t="s">
        <v>45</v>
      </c>
      <c r="F985" s="24">
        <v>44111</v>
      </c>
      <c r="G985" s="22" t="s">
        <v>6375</v>
      </c>
      <c r="H985" s="22" t="s">
        <v>2103</v>
      </c>
      <c r="I985" s="22" t="s">
        <v>6375</v>
      </c>
      <c r="J985" s="22" t="s">
        <v>4552</v>
      </c>
      <c r="K985" s="22" t="s">
        <v>2103</v>
      </c>
      <c r="L985" s="22"/>
      <c r="M985" s="22"/>
      <c r="N985" s="22"/>
    </row>
    <row r="986" spans="1:14" x14ac:dyDescent="0.25">
      <c r="A986" s="22" t="s">
        <v>6374</v>
      </c>
      <c r="B986" s="22" t="s">
        <v>39</v>
      </c>
      <c r="C986" s="22" t="s">
        <v>4548</v>
      </c>
      <c r="D986" s="23">
        <v>-17550</v>
      </c>
      <c r="E986" s="22" t="s">
        <v>45</v>
      </c>
      <c r="F986" s="24">
        <v>44111</v>
      </c>
      <c r="G986" s="22" t="s">
        <v>6375</v>
      </c>
      <c r="H986" s="22" t="s">
        <v>2103</v>
      </c>
      <c r="I986" s="22" t="s">
        <v>6375</v>
      </c>
      <c r="J986" s="22" t="s">
        <v>4401</v>
      </c>
      <c r="K986" s="22" t="s">
        <v>2103</v>
      </c>
      <c r="L986" s="22"/>
      <c r="M986" s="22"/>
      <c r="N986" s="22"/>
    </row>
    <row r="987" spans="1:14" x14ac:dyDescent="0.25">
      <c r="A987" s="22" t="s">
        <v>4549</v>
      </c>
      <c r="B987" s="22" t="s">
        <v>39</v>
      </c>
      <c r="C987" s="22" t="s">
        <v>4554</v>
      </c>
      <c r="D987" s="23">
        <v>-17550</v>
      </c>
      <c r="E987" s="22" t="s">
        <v>2073</v>
      </c>
      <c r="F987" s="24">
        <v>44111</v>
      </c>
      <c r="G987" s="22" t="s">
        <v>6375</v>
      </c>
      <c r="H987" s="22" t="s">
        <v>4551</v>
      </c>
      <c r="I987" s="22" t="s">
        <v>4550</v>
      </c>
      <c r="J987" s="22" t="s">
        <v>4552</v>
      </c>
      <c r="K987" s="22" t="s">
        <v>4553</v>
      </c>
      <c r="L987" s="22"/>
      <c r="M987" s="22"/>
      <c r="N987" s="22"/>
    </row>
    <row r="988" spans="1:14" x14ac:dyDescent="0.25">
      <c r="A988" s="22" t="s">
        <v>6374</v>
      </c>
      <c r="B988" s="22" t="s">
        <v>39</v>
      </c>
      <c r="C988" s="22" t="s">
        <v>5111</v>
      </c>
      <c r="D988" s="23">
        <v>17550</v>
      </c>
      <c r="E988" s="22" t="s">
        <v>42</v>
      </c>
      <c r="F988" s="24">
        <v>44111</v>
      </c>
      <c r="G988" s="22" t="s">
        <v>6375</v>
      </c>
      <c r="H988" s="22" t="s">
        <v>2141</v>
      </c>
      <c r="I988" s="22" t="s">
        <v>6376</v>
      </c>
      <c r="J988" s="22" t="s">
        <v>4401</v>
      </c>
      <c r="K988" s="22" t="s">
        <v>292</v>
      </c>
      <c r="L988" s="22"/>
      <c r="M988" s="22"/>
      <c r="N988" s="22"/>
    </row>
    <row r="989" spans="1:14" x14ac:dyDescent="0.25">
      <c r="A989" s="22" t="s">
        <v>4559</v>
      </c>
      <c r="B989" s="22" t="s">
        <v>39</v>
      </c>
      <c r="C989" s="22" t="s">
        <v>4558</v>
      </c>
      <c r="D989" s="23">
        <v>-987582</v>
      </c>
      <c r="E989" s="22" t="s">
        <v>2073</v>
      </c>
      <c r="F989" s="24">
        <v>44144</v>
      </c>
      <c r="G989" s="22" t="s">
        <v>6377</v>
      </c>
      <c r="H989" s="22" t="s">
        <v>4563</v>
      </c>
      <c r="I989" s="22" t="s">
        <v>4560</v>
      </c>
      <c r="J989" s="22" t="s">
        <v>4407</v>
      </c>
      <c r="K989" s="22" t="s">
        <v>4564</v>
      </c>
      <c r="L989" s="22"/>
      <c r="M989" s="22"/>
      <c r="N989" s="22"/>
    </row>
    <row r="990" spans="1:14" x14ac:dyDescent="0.25">
      <c r="A990" s="22" t="s">
        <v>6378</v>
      </c>
      <c r="B990" s="22" t="s">
        <v>39</v>
      </c>
      <c r="C990" s="22" t="s">
        <v>4548</v>
      </c>
      <c r="D990" s="23">
        <v>-987582</v>
      </c>
      <c r="E990" s="22" t="s">
        <v>45</v>
      </c>
      <c r="F990" s="24">
        <v>44144</v>
      </c>
      <c r="G990" s="22" t="s">
        <v>6377</v>
      </c>
      <c r="H990" s="22" t="s">
        <v>2103</v>
      </c>
      <c r="I990" s="22" t="s">
        <v>6377</v>
      </c>
      <c r="J990" s="22" t="s">
        <v>4401</v>
      </c>
      <c r="K990" s="22" t="s">
        <v>2103</v>
      </c>
      <c r="L990" s="22"/>
      <c r="M990" s="22"/>
      <c r="N990" s="22"/>
    </row>
    <row r="991" spans="1:14" x14ac:dyDescent="0.25">
      <c r="A991" s="22" t="s">
        <v>6378</v>
      </c>
      <c r="B991" s="22" t="s">
        <v>39</v>
      </c>
      <c r="C991" s="22" t="s">
        <v>4548</v>
      </c>
      <c r="D991" s="23">
        <v>987582</v>
      </c>
      <c r="E991" s="22" t="s">
        <v>45</v>
      </c>
      <c r="F991" s="24">
        <v>44144</v>
      </c>
      <c r="G991" s="22" t="s">
        <v>6377</v>
      </c>
      <c r="H991" s="22" t="s">
        <v>2103</v>
      </c>
      <c r="I991" s="22" t="s">
        <v>6377</v>
      </c>
      <c r="J991" s="22" t="s">
        <v>4407</v>
      </c>
      <c r="K991" s="22" t="s">
        <v>2103</v>
      </c>
      <c r="L991" s="22"/>
      <c r="M991" s="22"/>
      <c r="N991" s="22"/>
    </row>
    <row r="992" spans="1:14" x14ac:dyDescent="0.25">
      <c r="A992" s="22" t="s">
        <v>6378</v>
      </c>
      <c r="B992" s="22" t="s">
        <v>39</v>
      </c>
      <c r="C992" s="22" t="s">
        <v>5111</v>
      </c>
      <c r="D992" s="23">
        <v>987582</v>
      </c>
      <c r="E992" s="22" t="s">
        <v>42</v>
      </c>
      <c r="F992" s="24">
        <v>44144</v>
      </c>
      <c r="G992" s="22" t="s">
        <v>6377</v>
      </c>
      <c r="H992" s="22" t="s">
        <v>1741</v>
      </c>
      <c r="I992" s="22" t="s">
        <v>6379</v>
      </c>
      <c r="J992" s="22" t="s">
        <v>4401</v>
      </c>
      <c r="K992" s="22" t="s">
        <v>292</v>
      </c>
      <c r="L992" s="22"/>
      <c r="M992" s="22"/>
      <c r="N992" s="22"/>
    </row>
    <row r="993" spans="1:14" x14ac:dyDescent="0.25">
      <c r="A993" s="22" t="s">
        <v>4567</v>
      </c>
      <c r="B993" s="22" t="s">
        <v>39</v>
      </c>
      <c r="C993" s="22" t="s">
        <v>4558</v>
      </c>
      <c r="D993" s="23">
        <v>-39689</v>
      </c>
      <c r="E993" s="22" t="s">
        <v>2073</v>
      </c>
      <c r="F993" s="24">
        <v>44172</v>
      </c>
      <c r="G993" s="22" t="s">
        <v>6380</v>
      </c>
      <c r="H993" s="22" t="s">
        <v>4563</v>
      </c>
      <c r="I993" s="22" t="s">
        <v>4565</v>
      </c>
      <c r="J993" s="22" t="s">
        <v>4407</v>
      </c>
      <c r="K993" s="22" t="s">
        <v>4564</v>
      </c>
      <c r="L993" s="22"/>
      <c r="M993" s="22"/>
      <c r="N993" s="22"/>
    </row>
    <row r="994" spans="1:14" x14ac:dyDescent="0.25">
      <c r="A994" s="22" t="s">
        <v>6381</v>
      </c>
      <c r="B994" s="22" t="s">
        <v>39</v>
      </c>
      <c r="C994" s="22" t="s">
        <v>4548</v>
      </c>
      <c r="D994" s="23">
        <v>14150</v>
      </c>
      <c r="E994" s="22" t="s">
        <v>45</v>
      </c>
      <c r="F994" s="24">
        <v>44172</v>
      </c>
      <c r="G994" s="22" t="s">
        <v>6380</v>
      </c>
      <c r="H994" s="22" t="s">
        <v>2103</v>
      </c>
      <c r="I994" s="22" t="s">
        <v>6380</v>
      </c>
      <c r="J994" s="22" t="s">
        <v>4552</v>
      </c>
      <c r="K994" s="22" t="s">
        <v>2103</v>
      </c>
      <c r="L994" s="22"/>
      <c r="M994" s="22"/>
      <c r="N994" s="22"/>
    </row>
    <row r="995" spans="1:14" x14ac:dyDescent="0.25">
      <c r="A995" s="22" t="s">
        <v>6381</v>
      </c>
      <c r="B995" s="22" t="s">
        <v>39</v>
      </c>
      <c r="C995" s="22" t="s">
        <v>4548</v>
      </c>
      <c r="D995" s="23">
        <v>-53839</v>
      </c>
      <c r="E995" s="22" t="s">
        <v>45</v>
      </c>
      <c r="F995" s="24">
        <v>44172</v>
      </c>
      <c r="G995" s="22" t="s">
        <v>6380</v>
      </c>
      <c r="H995" s="22" t="s">
        <v>2103</v>
      </c>
      <c r="I995" s="22" t="s">
        <v>6380</v>
      </c>
      <c r="J995" s="22" t="s">
        <v>4401</v>
      </c>
      <c r="K995" s="22" t="s">
        <v>2103</v>
      </c>
      <c r="L995" s="22"/>
      <c r="M995" s="22"/>
      <c r="N995" s="22"/>
    </row>
    <row r="996" spans="1:14" x14ac:dyDescent="0.25">
      <c r="A996" s="22" t="s">
        <v>6381</v>
      </c>
      <c r="B996" s="22" t="s">
        <v>39</v>
      </c>
      <c r="C996" s="22" t="s">
        <v>4548</v>
      </c>
      <c r="D996" s="23">
        <v>39689</v>
      </c>
      <c r="E996" s="22" t="s">
        <v>45</v>
      </c>
      <c r="F996" s="24">
        <v>44172</v>
      </c>
      <c r="G996" s="22" t="s">
        <v>6380</v>
      </c>
      <c r="H996" s="22" t="s">
        <v>2103</v>
      </c>
      <c r="I996" s="22" t="s">
        <v>6380</v>
      </c>
      <c r="J996" s="22" t="s">
        <v>4407</v>
      </c>
      <c r="K996" s="22" t="s">
        <v>2103</v>
      </c>
      <c r="L996" s="22"/>
      <c r="M996" s="22"/>
      <c r="N996" s="22"/>
    </row>
    <row r="997" spans="1:14" x14ac:dyDescent="0.25">
      <c r="A997" s="22" t="s">
        <v>4549</v>
      </c>
      <c r="B997" s="22" t="s">
        <v>39</v>
      </c>
      <c r="C997" s="22" t="s">
        <v>4554</v>
      </c>
      <c r="D997" s="23">
        <v>-14150</v>
      </c>
      <c r="E997" s="22" t="s">
        <v>2073</v>
      </c>
      <c r="F997" s="24">
        <v>44111</v>
      </c>
      <c r="G997" s="22" t="s">
        <v>6380</v>
      </c>
      <c r="H997" s="22" t="s">
        <v>6382</v>
      </c>
      <c r="I997" s="22" t="s">
        <v>4550</v>
      </c>
      <c r="J997" s="22" t="s">
        <v>4552</v>
      </c>
      <c r="K997" s="22" t="s">
        <v>4553</v>
      </c>
      <c r="L997" s="22"/>
      <c r="M997" s="22"/>
      <c r="N997" s="22"/>
    </row>
    <row r="998" spans="1:14" x14ac:dyDescent="0.25">
      <c r="A998" s="22" t="s">
        <v>6381</v>
      </c>
      <c r="B998" s="22" t="s">
        <v>39</v>
      </c>
      <c r="C998" s="22" t="s">
        <v>3566</v>
      </c>
      <c r="D998" s="23">
        <v>53839</v>
      </c>
      <c r="E998" s="22" t="s">
        <v>42</v>
      </c>
      <c r="F998" s="24">
        <v>44172</v>
      </c>
      <c r="G998" s="22" t="s">
        <v>6380</v>
      </c>
      <c r="H998" s="22" t="s">
        <v>1741</v>
      </c>
      <c r="I998" s="22" t="s">
        <v>6383</v>
      </c>
      <c r="J998" s="22" t="s">
        <v>4401</v>
      </c>
      <c r="K998" s="22" t="s">
        <v>292</v>
      </c>
      <c r="L998" s="22"/>
      <c r="M998" s="22"/>
      <c r="N998" s="22"/>
    </row>
    <row r="999" spans="1:14" x14ac:dyDescent="0.25">
      <c r="A999" s="22" t="s">
        <v>6385</v>
      </c>
      <c r="B999" s="22" t="s">
        <v>39</v>
      </c>
      <c r="C999" s="22" t="s">
        <v>6384</v>
      </c>
      <c r="D999" s="23">
        <v>-194748</v>
      </c>
      <c r="E999" s="22" t="s">
        <v>57</v>
      </c>
      <c r="F999" s="24">
        <v>44134</v>
      </c>
      <c r="G999" s="22" t="s">
        <v>6386</v>
      </c>
      <c r="H999" s="22" t="s">
        <v>5859</v>
      </c>
      <c r="I999" s="22" t="s">
        <v>6387</v>
      </c>
      <c r="J999" s="22" t="s">
        <v>4401</v>
      </c>
      <c r="K999" s="22" t="s">
        <v>4759</v>
      </c>
      <c r="L999" s="22"/>
      <c r="M999" s="22"/>
      <c r="N999" s="22"/>
    </row>
    <row r="1000" spans="1:14" x14ac:dyDescent="0.25">
      <c r="A1000" s="22" t="s">
        <v>4812</v>
      </c>
      <c r="B1000" s="22" t="s">
        <v>39</v>
      </c>
      <c r="C1000" s="22" t="s">
        <v>4811</v>
      </c>
      <c r="D1000" s="23">
        <v>-656947</v>
      </c>
      <c r="E1000" s="22" t="s">
        <v>57</v>
      </c>
      <c r="F1000" s="24">
        <v>44164</v>
      </c>
      <c r="G1000" s="22" t="s">
        <v>6386</v>
      </c>
      <c r="H1000" s="22" t="s">
        <v>6388</v>
      </c>
      <c r="I1000" s="22" t="s">
        <v>4815</v>
      </c>
      <c r="J1000" s="22" t="s">
        <v>4401</v>
      </c>
      <c r="K1000" s="22" t="s">
        <v>4816</v>
      </c>
      <c r="L1000" s="22"/>
      <c r="M1000" s="22"/>
      <c r="N1000" s="22"/>
    </row>
    <row r="1001" spans="1:14" x14ac:dyDescent="0.25">
      <c r="A1001" s="22" t="s">
        <v>4783</v>
      </c>
      <c r="B1001" s="22" t="s">
        <v>39</v>
      </c>
      <c r="C1001" s="22" t="s">
        <v>4785</v>
      </c>
      <c r="D1001" s="23">
        <v>-9458</v>
      </c>
      <c r="E1001" s="22" t="s">
        <v>45</v>
      </c>
      <c r="F1001" s="24">
        <v>44070</v>
      </c>
      <c r="G1001" s="22" t="s">
        <v>6386</v>
      </c>
      <c r="H1001" s="22" t="s">
        <v>5783</v>
      </c>
      <c r="I1001" s="22" t="s">
        <v>5781</v>
      </c>
      <c r="J1001" s="22" t="s">
        <v>4401</v>
      </c>
      <c r="K1001" s="22" t="s">
        <v>5783</v>
      </c>
      <c r="L1001" s="22"/>
      <c r="M1001" s="22"/>
      <c r="N1001" s="22"/>
    </row>
    <row r="1002" spans="1:14" x14ac:dyDescent="0.25">
      <c r="A1002" s="22" t="s">
        <v>4541</v>
      </c>
      <c r="B1002" s="22" t="s">
        <v>39</v>
      </c>
      <c r="C1002" s="22" t="s">
        <v>4544</v>
      </c>
      <c r="D1002" s="23">
        <v>-134108</v>
      </c>
      <c r="E1002" s="22" t="s">
        <v>2073</v>
      </c>
      <c r="F1002" s="24">
        <v>43872</v>
      </c>
      <c r="G1002" s="22" t="s">
        <v>6386</v>
      </c>
      <c r="H1002" s="22" t="s">
        <v>6389</v>
      </c>
      <c r="I1002" s="22" t="s">
        <v>4542</v>
      </c>
      <c r="J1002" s="22" t="s">
        <v>4407</v>
      </c>
      <c r="K1002" s="22" t="s">
        <v>103</v>
      </c>
      <c r="L1002" s="22"/>
      <c r="M1002" s="22"/>
      <c r="N1002" s="22"/>
    </row>
    <row r="1003" spans="1:14" x14ac:dyDescent="0.25">
      <c r="A1003" s="22" t="s">
        <v>4738</v>
      </c>
      <c r="B1003" s="22" t="s">
        <v>39</v>
      </c>
      <c r="C1003" s="22" t="s">
        <v>4741</v>
      </c>
      <c r="D1003" s="23">
        <v>-1749520</v>
      </c>
      <c r="E1003" s="22" t="s">
        <v>57</v>
      </c>
      <c r="F1003" s="24">
        <v>43878</v>
      </c>
      <c r="G1003" s="22" t="s">
        <v>6386</v>
      </c>
      <c r="H1003" s="22" t="s">
        <v>4740</v>
      </c>
      <c r="I1003" s="22" t="s">
        <v>4739</v>
      </c>
      <c r="J1003" s="22" t="s">
        <v>4401</v>
      </c>
      <c r="K1003" s="22" t="s">
        <v>4738</v>
      </c>
      <c r="L1003" s="22"/>
      <c r="M1003" s="22"/>
      <c r="N1003" s="22"/>
    </row>
    <row r="1004" spans="1:14" x14ac:dyDescent="0.25">
      <c r="A1004" s="22" t="s">
        <v>6390</v>
      </c>
      <c r="B1004" s="22" t="s">
        <v>39</v>
      </c>
      <c r="C1004" s="22" t="s">
        <v>6134</v>
      </c>
      <c r="D1004" s="23">
        <v>-58466</v>
      </c>
      <c r="E1004" s="22" t="s">
        <v>57</v>
      </c>
      <c r="F1004" s="24">
        <v>44016</v>
      </c>
      <c r="G1004" s="22" t="s">
        <v>6386</v>
      </c>
      <c r="H1004" s="22" t="s">
        <v>6391</v>
      </c>
      <c r="I1004" s="22" t="s">
        <v>6392</v>
      </c>
      <c r="J1004" s="22" t="s">
        <v>4552</v>
      </c>
      <c r="K1004" s="22" t="s">
        <v>4557</v>
      </c>
      <c r="L1004" s="22"/>
      <c r="M1004" s="22"/>
      <c r="N1004" s="22"/>
    </row>
    <row r="1005" spans="1:14" x14ac:dyDescent="0.25">
      <c r="A1005" s="22" t="s">
        <v>6393</v>
      </c>
      <c r="B1005" s="22" t="s">
        <v>39</v>
      </c>
      <c r="C1005" s="22" t="s">
        <v>6134</v>
      </c>
      <c r="D1005" s="23">
        <v>-98987</v>
      </c>
      <c r="E1005" s="22" t="s">
        <v>57</v>
      </c>
      <c r="F1005" s="24">
        <v>44026</v>
      </c>
      <c r="G1005" s="22" t="s">
        <v>6386</v>
      </c>
      <c r="H1005" s="22" t="s">
        <v>6391</v>
      </c>
      <c r="I1005" s="22" t="s">
        <v>6394</v>
      </c>
      <c r="J1005" s="22" t="s">
        <v>4552</v>
      </c>
      <c r="K1005" s="22" t="s">
        <v>4557</v>
      </c>
      <c r="L1005" s="22"/>
      <c r="M1005" s="22"/>
      <c r="N1005" s="22"/>
    </row>
    <row r="1006" spans="1:14" x14ac:dyDescent="0.25">
      <c r="A1006" s="22" t="s">
        <v>6396</v>
      </c>
      <c r="B1006" s="22" t="s">
        <v>39</v>
      </c>
      <c r="C1006" s="22" t="s">
        <v>6395</v>
      </c>
      <c r="D1006" s="23">
        <v>-421720</v>
      </c>
      <c r="E1006" s="22" t="s">
        <v>57</v>
      </c>
      <c r="F1006" s="24">
        <v>44041</v>
      </c>
      <c r="G1006" s="22" t="s">
        <v>6386</v>
      </c>
      <c r="H1006" s="22" t="s">
        <v>6397</v>
      </c>
      <c r="I1006" s="22" t="s">
        <v>6398</v>
      </c>
      <c r="J1006" s="22" t="s">
        <v>4552</v>
      </c>
      <c r="K1006" s="22" t="s">
        <v>4557</v>
      </c>
      <c r="L1006" s="22"/>
      <c r="M1006" s="22"/>
      <c r="N1006" s="22"/>
    </row>
    <row r="1007" spans="1:14" x14ac:dyDescent="0.25">
      <c r="A1007" s="22" t="s">
        <v>6399</v>
      </c>
      <c r="B1007" s="22" t="s">
        <v>39</v>
      </c>
      <c r="C1007" s="22" t="s">
        <v>4748</v>
      </c>
      <c r="D1007" s="23">
        <v>-58008</v>
      </c>
      <c r="E1007" s="22" t="s">
        <v>57</v>
      </c>
      <c r="F1007" s="24">
        <v>44069</v>
      </c>
      <c r="G1007" s="22" t="s">
        <v>6386</v>
      </c>
      <c r="H1007" s="22" t="s">
        <v>6400</v>
      </c>
      <c r="I1007" s="22" t="s">
        <v>6401</v>
      </c>
      <c r="J1007" s="22" t="s">
        <v>4466</v>
      </c>
      <c r="K1007" s="22" t="s">
        <v>4557</v>
      </c>
      <c r="L1007" s="22"/>
      <c r="M1007" s="22"/>
      <c r="N1007" s="22"/>
    </row>
    <row r="1008" spans="1:14" x14ac:dyDescent="0.25">
      <c r="A1008" s="22" t="s">
        <v>4746</v>
      </c>
      <c r="B1008" s="22" t="s">
        <v>39</v>
      </c>
      <c r="C1008" s="22" t="s">
        <v>4748</v>
      </c>
      <c r="D1008" s="23">
        <v>-72597</v>
      </c>
      <c r="E1008" s="22" t="s">
        <v>57</v>
      </c>
      <c r="F1008" s="24">
        <v>44069</v>
      </c>
      <c r="G1008" s="22" t="s">
        <v>6386</v>
      </c>
      <c r="H1008" s="22" t="s">
        <v>4750</v>
      </c>
      <c r="I1008" s="22" t="s">
        <v>4747</v>
      </c>
      <c r="J1008" s="22" t="s">
        <v>4466</v>
      </c>
      <c r="K1008" s="22" t="s">
        <v>4557</v>
      </c>
      <c r="L1008" s="22"/>
      <c r="M1008" s="22"/>
      <c r="N1008" s="22"/>
    </row>
    <row r="1009" spans="1:14" x14ac:dyDescent="0.25">
      <c r="A1009" s="22" t="s">
        <v>6402</v>
      </c>
      <c r="B1009" s="22" t="s">
        <v>39</v>
      </c>
      <c r="C1009" s="22" t="s">
        <v>4777</v>
      </c>
      <c r="D1009" s="23">
        <v>-49200</v>
      </c>
      <c r="E1009" s="22" t="s">
        <v>57</v>
      </c>
      <c r="F1009" s="24">
        <v>44074</v>
      </c>
      <c r="G1009" s="22" t="s">
        <v>6386</v>
      </c>
      <c r="H1009" s="22" t="s">
        <v>6403</v>
      </c>
      <c r="I1009" s="22" t="s">
        <v>6404</v>
      </c>
      <c r="J1009" s="22" t="s">
        <v>4407</v>
      </c>
      <c r="K1009" s="22" t="s">
        <v>4557</v>
      </c>
      <c r="L1009" s="22"/>
      <c r="M1009" s="22"/>
      <c r="N1009" s="22"/>
    </row>
    <row r="1010" spans="1:14" x14ac:dyDescent="0.25">
      <c r="A1010" s="22" t="s">
        <v>6405</v>
      </c>
      <c r="B1010" s="22" t="s">
        <v>39</v>
      </c>
      <c r="C1010" s="22" t="s">
        <v>4777</v>
      </c>
      <c r="D1010" s="23">
        <v>-24000</v>
      </c>
      <c r="E1010" s="22" t="s">
        <v>57</v>
      </c>
      <c r="F1010" s="24">
        <v>44064</v>
      </c>
      <c r="G1010" s="22" t="s">
        <v>6386</v>
      </c>
      <c r="H1010" s="22" t="s">
        <v>6403</v>
      </c>
      <c r="I1010" s="22" t="s">
        <v>6406</v>
      </c>
      <c r="J1010" s="22" t="s">
        <v>4407</v>
      </c>
      <c r="K1010" s="22" t="s">
        <v>4557</v>
      </c>
      <c r="L1010" s="22"/>
      <c r="M1010" s="22"/>
      <c r="N1010" s="22"/>
    </row>
    <row r="1011" spans="1:14" x14ac:dyDescent="0.25">
      <c r="A1011" s="22" t="s">
        <v>6408</v>
      </c>
      <c r="B1011" s="22" t="s">
        <v>39</v>
      </c>
      <c r="C1011" s="22" t="s">
        <v>6407</v>
      </c>
      <c r="D1011" s="23">
        <v>-58215</v>
      </c>
      <c r="E1011" s="22" t="s">
        <v>57</v>
      </c>
      <c r="F1011" s="24">
        <v>44071</v>
      </c>
      <c r="G1011" s="22" t="s">
        <v>6386</v>
      </c>
      <c r="H1011" s="22" t="s">
        <v>6409</v>
      </c>
      <c r="I1011" s="22" t="s">
        <v>6410</v>
      </c>
      <c r="J1011" s="22" t="s">
        <v>4407</v>
      </c>
      <c r="K1011" s="22" t="s">
        <v>4557</v>
      </c>
      <c r="L1011" s="22"/>
      <c r="M1011" s="22"/>
      <c r="N1011" s="22"/>
    </row>
    <row r="1012" spans="1:14" x14ac:dyDescent="0.25">
      <c r="A1012" s="22" t="s">
        <v>6411</v>
      </c>
      <c r="B1012" s="22" t="s">
        <v>39</v>
      </c>
      <c r="C1012" s="22" t="s">
        <v>6407</v>
      </c>
      <c r="D1012" s="23">
        <v>-83900</v>
      </c>
      <c r="E1012" s="22" t="s">
        <v>57</v>
      </c>
      <c r="F1012" s="24">
        <v>44061</v>
      </c>
      <c r="G1012" s="22" t="s">
        <v>6386</v>
      </c>
      <c r="H1012" s="22" t="s">
        <v>2211</v>
      </c>
      <c r="I1012" s="22" t="s">
        <v>6412</v>
      </c>
      <c r="J1012" s="22" t="s">
        <v>4407</v>
      </c>
      <c r="K1012" s="22" t="s">
        <v>4557</v>
      </c>
      <c r="L1012" s="22"/>
      <c r="M1012" s="22"/>
      <c r="N1012" s="22"/>
    </row>
    <row r="1013" spans="1:14" x14ac:dyDescent="0.25">
      <c r="A1013" s="22" t="s">
        <v>5865</v>
      </c>
      <c r="B1013" s="22" t="s">
        <v>39</v>
      </c>
      <c r="C1013" s="22" t="s">
        <v>5101</v>
      </c>
      <c r="D1013" s="23">
        <v>3475126</v>
      </c>
      <c r="E1013" s="22" t="s">
        <v>45</v>
      </c>
      <c r="F1013" s="24">
        <v>44053</v>
      </c>
      <c r="G1013" s="22" t="s">
        <v>6386</v>
      </c>
      <c r="H1013" s="22" t="s">
        <v>5903</v>
      </c>
      <c r="I1013" s="22" t="s">
        <v>6222</v>
      </c>
      <c r="J1013" s="22" t="s">
        <v>4401</v>
      </c>
      <c r="K1013" s="22" t="s">
        <v>5101</v>
      </c>
      <c r="L1013" s="22"/>
      <c r="M1013" s="22"/>
      <c r="N1013" s="22"/>
    </row>
    <row r="1014" spans="1:14" x14ac:dyDescent="0.25">
      <c r="A1014" s="22" t="s">
        <v>6413</v>
      </c>
      <c r="B1014" s="22" t="s">
        <v>39</v>
      </c>
      <c r="C1014" s="22" t="s">
        <v>3504</v>
      </c>
      <c r="D1014" s="23">
        <v>194748</v>
      </c>
      <c r="E1014" s="22" t="s">
        <v>42</v>
      </c>
      <c r="F1014" s="24">
        <v>44172</v>
      </c>
      <c r="G1014" s="22" t="s">
        <v>6386</v>
      </c>
      <c r="H1014" s="22" t="s">
        <v>1741</v>
      </c>
      <c r="I1014" s="22" t="s">
        <v>6414</v>
      </c>
      <c r="J1014" s="22" t="s">
        <v>4401</v>
      </c>
      <c r="K1014" s="22" t="s">
        <v>292</v>
      </c>
      <c r="L1014" s="22"/>
      <c r="M1014" s="22"/>
      <c r="N1014" s="22"/>
    </row>
    <row r="1015" spans="1:14" x14ac:dyDescent="0.25">
      <c r="A1015" s="22" t="s">
        <v>2103</v>
      </c>
      <c r="B1015" s="22" t="s">
        <v>39</v>
      </c>
      <c r="C1015" s="22" t="s">
        <v>3504</v>
      </c>
      <c r="D1015" s="23">
        <v>130605</v>
      </c>
      <c r="E1015" s="22" t="s">
        <v>45</v>
      </c>
      <c r="F1015" s="24">
        <v>44172</v>
      </c>
      <c r="G1015" s="22" t="s">
        <v>6386</v>
      </c>
      <c r="H1015" s="22" t="s">
        <v>6415</v>
      </c>
      <c r="I1015" s="22" t="s">
        <v>6386</v>
      </c>
      <c r="J1015" s="22" t="s">
        <v>4466</v>
      </c>
      <c r="K1015" s="22" t="s">
        <v>6416</v>
      </c>
      <c r="L1015" s="22"/>
      <c r="M1015" s="22"/>
      <c r="N1015" s="22"/>
    </row>
    <row r="1016" spans="1:14" x14ac:dyDescent="0.25">
      <c r="A1016" s="22" t="s">
        <v>2103</v>
      </c>
      <c r="B1016" s="22" t="s">
        <v>39</v>
      </c>
      <c r="C1016" s="22" t="s">
        <v>3504</v>
      </c>
      <c r="D1016" s="23">
        <v>579173</v>
      </c>
      <c r="E1016" s="22" t="s">
        <v>45</v>
      </c>
      <c r="F1016" s="24">
        <v>44172</v>
      </c>
      <c r="G1016" s="22" t="s">
        <v>6386</v>
      </c>
      <c r="H1016" s="22" t="s">
        <v>6415</v>
      </c>
      <c r="I1016" s="22" t="s">
        <v>6386</v>
      </c>
      <c r="J1016" s="22" t="s">
        <v>4552</v>
      </c>
      <c r="K1016" s="22" t="s">
        <v>6416</v>
      </c>
      <c r="L1016" s="22"/>
      <c r="M1016" s="22"/>
      <c r="N1016" s="22"/>
    </row>
    <row r="1017" spans="1:14" x14ac:dyDescent="0.25">
      <c r="A1017" s="22" t="s">
        <v>2103</v>
      </c>
      <c r="B1017" s="22" t="s">
        <v>39</v>
      </c>
      <c r="C1017" s="22" t="s">
        <v>3504</v>
      </c>
      <c r="D1017" s="23">
        <v>-1059201</v>
      </c>
      <c r="E1017" s="22" t="s">
        <v>45</v>
      </c>
      <c r="F1017" s="24">
        <v>44172</v>
      </c>
      <c r="G1017" s="22" t="s">
        <v>6386</v>
      </c>
      <c r="H1017" s="22" t="s">
        <v>6415</v>
      </c>
      <c r="I1017" s="22" t="s">
        <v>6386</v>
      </c>
      <c r="J1017" s="22" t="s">
        <v>4401</v>
      </c>
      <c r="K1017" s="22" t="s">
        <v>6416</v>
      </c>
      <c r="L1017" s="22"/>
      <c r="M1017" s="22"/>
      <c r="N1017" s="22"/>
    </row>
    <row r="1018" spans="1:14" x14ac:dyDescent="0.25">
      <c r="A1018" s="22" t="s">
        <v>2103</v>
      </c>
      <c r="B1018" s="22" t="s">
        <v>39</v>
      </c>
      <c r="C1018" s="22" t="s">
        <v>3504</v>
      </c>
      <c r="D1018" s="23">
        <v>349423</v>
      </c>
      <c r="E1018" s="22" t="s">
        <v>45</v>
      </c>
      <c r="F1018" s="24">
        <v>44172</v>
      </c>
      <c r="G1018" s="22" t="s">
        <v>6386</v>
      </c>
      <c r="H1018" s="22" t="s">
        <v>6415</v>
      </c>
      <c r="I1018" s="22" t="s">
        <v>6386</v>
      </c>
      <c r="J1018" s="22" t="s">
        <v>4407</v>
      </c>
      <c r="K1018" s="22" t="s">
        <v>6416</v>
      </c>
      <c r="L1018" s="22"/>
      <c r="M1018" s="22"/>
      <c r="N1018" s="22"/>
    </row>
    <row r="1019" spans="1:14" x14ac:dyDescent="0.25">
      <c r="A1019" s="22" t="s">
        <v>4818</v>
      </c>
      <c r="B1019" s="22" t="s">
        <v>39</v>
      </c>
      <c r="C1019" s="22" t="s">
        <v>4817</v>
      </c>
      <c r="D1019" s="23">
        <v>-803138</v>
      </c>
      <c r="E1019" s="22" t="s">
        <v>57</v>
      </c>
      <c r="F1019" s="24">
        <v>44090</v>
      </c>
      <c r="G1019" s="22" t="s">
        <v>6417</v>
      </c>
      <c r="H1019" s="22" t="s">
        <v>6418</v>
      </c>
      <c r="I1019" s="22" t="s">
        <v>4821</v>
      </c>
      <c r="J1019" s="22" t="s">
        <v>4401</v>
      </c>
      <c r="K1019" s="22" t="s">
        <v>4744</v>
      </c>
      <c r="L1019" s="22"/>
      <c r="M1019" s="22"/>
      <c r="N1019" s="22"/>
    </row>
    <row r="1020" spans="1:14" x14ac:dyDescent="0.25">
      <c r="A1020" s="22" t="s">
        <v>6419</v>
      </c>
      <c r="B1020" s="22" t="s">
        <v>39</v>
      </c>
      <c r="C1020" s="22" t="s">
        <v>4548</v>
      </c>
      <c r="D1020" s="23">
        <v>-1864864</v>
      </c>
      <c r="E1020" s="22" t="s">
        <v>45</v>
      </c>
      <c r="F1020" s="24">
        <v>44144</v>
      </c>
      <c r="G1020" s="22" t="s">
        <v>6417</v>
      </c>
      <c r="H1020" s="22" t="s">
        <v>6420</v>
      </c>
      <c r="I1020" s="22" t="s">
        <v>6417</v>
      </c>
      <c r="J1020" s="22" t="s">
        <v>4401</v>
      </c>
      <c r="K1020" s="22" t="s">
        <v>6420</v>
      </c>
      <c r="L1020" s="22"/>
      <c r="M1020" s="22"/>
      <c r="N1020" s="22"/>
    </row>
    <row r="1021" spans="1:14" x14ac:dyDescent="0.25">
      <c r="A1021" s="22" t="s">
        <v>6422</v>
      </c>
      <c r="B1021" s="22" t="s">
        <v>39</v>
      </c>
      <c r="C1021" s="22" t="s">
        <v>6421</v>
      </c>
      <c r="D1021" s="23">
        <v>2668002</v>
      </c>
      <c r="E1021" s="22" t="s">
        <v>42</v>
      </c>
      <c r="F1021" s="24">
        <v>44144</v>
      </c>
      <c r="G1021" s="22" t="s">
        <v>6417</v>
      </c>
      <c r="H1021" s="22" t="s">
        <v>1741</v>
      </c>
      <c r="I1021" s="22" t="s">
        <v>6423</v>
      </c>
      <c r="J1021" s="22" t="s">
        <v>4401</v>
      </c>
      <c r="K1021" s="22" t="s">
        <v>292</v>
      </c>
      <c r="L1021" s="22"/>
      <c r="M1021" s="22"/>
      <c r="N1021" s="22"/>
    </row>
    <row r="1022" spans="1:14" x14ac:dyDescent="0.25">
      <c r="A1022" s="22" t="s">
        <v>2118</v>
      </c>
      <c r="B1022" s="22" t="s">
        <v>39</v>
      </c>
      <c r="C1022" s="22" t="s">
        <v>4752</v>
      </c>
      <c r="D1022" s="23">
        <v>-22706</v>
      </c>
      <c r="E1022" s="22" t="s">
        <v>57</v>
      </c>
      <c r="F1022" s="24">
        <v>43874</v>
      </c>
      <c r="G1022" s="22" t="s">
        <v>2111</v>
      </c>
      <c r="H1022" s="22" t="s">
        <v>2119</v>
      </c>
      <c r="I1022" s="22" t="s">
        <v>2117</v>
      </c>
      <c r="J1022" s="22" t="s">
        <v>4407</v>
      </c>
      <c r="K1022" s="22" t="s">
        <v>2118</v>
      </c>
      <c r="L1022" s="22"/>
      <c r="M1022" s="22"/>
      <c r="N1022" s="22"/>
    </row>
    <row r="1023" spans="1:14" x14ac:dyDescent="0.25">
      <c r="A1023" s="22" t="s">
        <v>2115</v>
      </c>
      <c r="B1023" s="22" t="s">
        <v>39</v>
      </c>
      <c r="C1023" s="22" t="s">
        <v>4752</v>
      </c>
      <c r="D1023" s="23">
        <v>-22706</v>
      </c>
      <c r="E1023" s="22" t="s">
        <v>45</v>
      </c>
      <c r="F1023" s="24">
        <v>44226</v>
      </c>
      <c r="G1023" s="22" t="s">
        <v>2111</v>
      </c>
      <c r="H1023" s="22" t="s">
        <v>2116</v>
      </c>
      <c r="I1023" s="22" t="s">
        <v>2111</v>
      </c>
      <c r="J1023" s="22" t="s">
        <v>4401</v>
      </c>
      <c r="K1023" s="22" t="s">
        <v>6424</v>
      </c>
      <c r="L1023" s="22"/>
      <c r="M1023" s="22"/>
      <c r="N1023" s="22"/>
    </row>
    <row r="1024" spans="1:14" x14ac:dyDescent="0.25">
      <c r="A1024" s="22" t="s">
        <v>2115</v>
      </c>
      <c r="B1024" s="22" t="s">
        <v>39</v>
      </c>
      <c r="C1024" s="22" t="s">
        <v>4752</v>
      </c>
      <c r="D1024" s="23">
        <v>22706</v>
      </c>
      <c r="E1024" s="22" t="s">
        <v>45</v>
      </c>
      <c r="F1024" s="24">
        <v>44226</v>
      </c>
      <c r="G1024" s="22" t="s">
        <v>2111</v>
      </c>
      <c r="H1024" s="22" t="s">
        <v>2116</v>
      </c>
      <c r="I1024" s="22" t="s">
        <v>2111</v>
      </c>
      <c r="J1024" s="22" t="s">
        <v>4407</v>
      </c>
      <c r="K1024" s="22" t="s">
        <v>6424</v>
      </c>
      <c r="L1024" s="22"/>
      <c r="M1024" s="22"/>
      <c r="N1024" s="22"/>
    </row>
    <row r="1025" spans="1:14" x14ac:dyDescent="0.25">
      <c r="A1025" s="22" t="s">
        <v>2113</v>
      </c>
      <c r="B1025" s="22" t="s">
        <v>39</v>
      </c>
      <c r="C1025" s="22" t="s">
        <v>6425</v>
      </c>
      <c r="D1025" s="23">
        <v>-207985</v>
      </c>
      <c r="E1025" s="22" t="s">
        <v>57</v>
      </c>
      <c r="F1025" s="24">
        <v>43977</v>
      </c>
      <c r="G1025" s="22" t="s">
        <v>2111</v>
      </c>
      <c r="H1025" s="22" t="s">
        <v>2114</v>
      </c>
      <c r="I1025" s="22" t="s">
        <v>2112</v>
      </c>
      <c r="J1025" s="22" t="s">
        <v>4401</v>
      </c>
      <c r="K1025" s="22" t="s">
        <v>5038</v>
      </c>
      <c r="L1025" s="22"/>
      <c r="M1025" s="22"/>
      <c r="N1025" s="22"/>
    </row>
    <row r="1026" spans="1:14" x14ac:dyDescent="0.25">
      <c r="A1026" s="22" t="s">
        <v>2110</v>
      </c>
      <c r="B1026" s="22" t="s">
        <v>39</v>
      </c>
      <c r="C1026" s="22" t="s">
        <v>3480</v>
      </c>
      <c r="D1026" s="23">
        <v>230691</v>
      </c>
      <c r="E1026" s="22" t="s">
        <v>42</v>
      </c>
      <c r="F1026" s="24">
        <v>44214</v>
      </c>
      <c r="G1026" s="22" t="s">
        <v>2111</v>
      </c>
      <c r="H1026" s="22" t="s">
        <v>1741</v>
      </c>
      <c r="I1026" s="22" t="s">
        <v>2109</v>
      </c>
      <c r="J1026" s="22" t="s">
        <v>4401</v>
      </c>
      <c r="K1026" s="22" t="s">
        <v>292</v>
      </c>
      <c r="L1026" s="22"/>
      <c r="M1026" s="22"/>
      <c r="N1026" s="22"/>
    </row>
    <row r="1027" spans="1:14" x14ac:dyDescent="0.25">
      <c r="A1027" s="22" t="s">
        <v>4573</v>
      </c>
      <c r="B1027" s="22" t="s">
        <v>39</v>
      </c>
      <c r="C1027" s="22" t="s">
        <v>4568</v>
      </c>
      <c r="D1027" s="23">
        <v>-47550</v>
      </c>
      <c r="E1027" s="22" t="s">
        <v>2073</v>
      </c>
      <c r="F1027" s="24">
        <v>44102</v>
      </c>
      <c r="G1027" s="22" t="s">
        <v>6426</v>
      </c>
      <c r="H1027" s="22" t="s">
        <v>4574</v>
      </c>
      <c r="I1027" s="22" t="s">
        <v>4570</v>
      </c>
      <c r="J1027" s="22" t="s">
        <v>4466</v>
      </c>
      <c r="K1027" s="22" t="s">
        <v>4500</v>
      </c>
      <c r="L1027" s="22"/>
      <c r="M1027" s="22"/>
      <c r="N1027" s="22"/>
    </row>
    <row r="1028" spans="1:14" x14ac:dyDescent="0.25">
      <c r="A1028" s="22" t="s">
        <v>6427</v>
      </c>
      <c r="B1028" s="22" t="s">
        <v>39</v>
      </c>
      <c r="C1028" s="22" t="s">
        <v>4572</v>
      </c>
      <c r="D1028" s="23">
        <v>47550</v>
      </c>
      <c r="E1028" s="22" t="s">
        <v>45</v>
      </c>
      <c r="F1028" s="24">
        <v>44144</v>
      </c>
      <c r="G1028" s="22" t="s">
        <v>6426</v>
      </c>
      <c r="H1028" s="22" t="s">
        <v>2103</v>
      </c>
      <c r="I1028" s="22" t="s">
        <v>6426</v>
      </c>
      <c r="J1028" s="22" t="s">
        <v>4466</v>
      </c>
      <c r="K1028" s="22" t="s">
        <v>2103</v>
      </c>
      <c r="L1028" s="22"/>
      <c r="M1028" s="22"/>
      <c r="N1028" s="22"/>
    </row>
    <row r="1029" spans="1:14" x14ac:dyDescent="0.25">
      <c r="A1029" s="22" t="s">
        <v>6427</v>
      </c>
      <c r="B1029" s="22" t="s">
        <v>39</v>
      </c>
      <c r="C1029" s="22" t="s">
        <v>4572</v>
      </c>
      <c r="D1029" s="23">
        <v>-47550</v>
      </c>
      <c r="E1029" s="22" t="s">
        <v>45</v>
      </c>
      <c r="F1029" s="24">
        <v>44144</v>
      </c>
      <c r="G1029" s="22" t="s">
        <v>6426</v>
      </c>
      <c r="H1029" s="22" t="s">
        <v>2103</v>
      </c>
      <c r="I1029" s="22" t="s">
        <v>6426</v>
      </c>
      <c r="J1029" s="22" t="s">
        <v>4401</v>
      </c>
      <c r="K1029" s="22" t="s">
        <v>2103</v>
      </c>
      <c r="L1029" s="22"/>
      <c r="M1029" s="22"/>
      <c r="N1029" s="22"/>
    </row>
    <row r="1030" spans="1:14" x14ac:dyDescent="0.25">
      <c r="A1030" s="22" t="s">
        <v>6427</v>
      </c>
      <c r="B1030" s="22" t="s">
        <v>39</v>
      </c>
      <c r="C1030" s="22" t="s">
        <v>5435</v>
      </c>
      <c r="D1030" s="23">
        <v>47550</v>
      </c>
      <c r="E1030" s="22" t="s">
        <v>42</v>
      </c>
      <c r="F1030" s="24">
        <v>44144</v>
      </c>
      <c r="G1030" s="22" t="s">
        <v>6426</v>
      </c>
      <c r="H1030" s="22" t="s">
        <v>1741</v>
      </c>
      <c r="I1030" s="22" t="s">
        <v>6428</v>
      </c>
      <c r="J1030" s="22" t="s">
        <v>4401</v>
      </c>
      <c r="K1030" s="22" t="s">
        <v>292</v>
      </c>
      <c r="L1030" s="22"/>
      <c r="M1030" s="22"/>
      <c r="N1030" s="22"/>
    </row>
    <row r="1031" spans="1:14" x14ac:dyDescent="0.25">
      <c r="A1031" s="22" t="s">
        <v>6429</v>
      </c>
      <c r="B1031" s="22" t="s">
        <v>39</v>
      </c>
      <c r="C1031" s="22" t="s">
        <v>4572</v>
      </c>
      <c r="D1031" s="23">
        <v>-176721</v>
      </c>
      <c r="E1031" s="22" t="s">
        <v>45</v>
      </c>
      <c r="F1031" s="24">
        <v>44081</v>
      </c>
      <c r="G1031" s="22" t="s">
        <v>6430</v>
      </c>
      <c r="H1031" s="22" t="s">
        <v>2103</v>
      </c>
      <c r="I1031" s="22" t="s">
        <v>6430</v>
      </c>
      <c r="J1031" s="22" t="s">
        <v>4401</v>
      </c>
      <c r="K1031" s="22" t="s">
        <v>2103</v>
      </c>
      <c r="L1031" s="22"/>
      <c r="M1031" s="22"/>
      <c r="N1031" s="22"/>
    </row>
    <row r="1032" spans="1:14" x14ac:dyDescent="0.25">
      <c r="A1032" s="22" t="s">
        <v>6429</v>
      </c>
      <c r="B1032" s="22" t="s">
        <v>39</v>
      </c>
      <c r="C1032" s="22" t="s">
        <v>4572</v>
      </c>
      <c r="D1032" s="23">
        <v>176721</v>
      </c>
      <c r="E1032" s="22" t="s">
        <v>45</v>
      </c>
      <c r="F1032" s="24">
        <v>44081</v>
      </c>
      <c r="G1032" s="22" t="s">
        <v>6430</v>
      </c>
      <c r="H1032" s="22" t="s">
        <v>2103</v>
      </c>
      <c r="I1032" s="22" t="s">
        <v>6430</v>
      </c>
      <c r="J1032" s="22" t="s">
        <v>4407</v>
      </c>
      <c r="K1032" s="22" t="s">
        <v>2103</v>
      </c>
      <c r="L1032" s="22"/>
      <c r="M1032" s="22"/>
      <c r="N1032" s="22"/>
    </row>
    <row r="1033" spans="1:14" x14ac:dyDescent="0.25">
      <c r="A1033" s="22" t="s">
        <v>2124</v>
      </c>
      <c r="B1033" s="22" t="s">
        <v>39</v>
      </c>
      <c r="C1033" s="22" t="s">
        <v>4576</v>
      </c>
      <c r="D1033" s="23">
        <v>-6527</v>
      </c>
      <c r="E1033" s="22" t="s">
        <v>2073</v>
      </c>
      <c r="F1033" s="24">
        <v>43878</v>
      </c>
      <c r="G1033" s="22" t="s">
        <v>6430</v>
      </c>
      <c r="H1033" s="22" t="s">
        <v>4575</v>
      </c>
      <c r="I1033" s="22" t="s">
        <v>2123</v>
      </c>
      <c r="J1033" s="22" t="s">
        <v>4407</v>
      </c>
      <c r="K1033" s="22" t="s">
        <v>4557</v>
      </c>
      <c r="L1033" s="22"/>
      <c r="M1033" s="22"/>
      <c r="N1033" s="22"/>
    </row>
    <row r="1034" spans="1:14" x14ac:dyDescent="0.25">
      <c r="A1034" s="22" t="s">
        <v>6431</v>
      </c>
      <c r="B1034" s="22" t="s">
        <v>39</v>
      </c>
      <c r="C1034" s="22" t="s">
        <v>4576</v>
      </c>
      <c r="D1034" s="23">
        <v>-35100</v>
      </c>
      <c r="E1034" s="22" t="s">
        <v>57</v>
      </c>
      <c r="F1034" s="24">
        <v>43865</v>
      </c>
      <c r="G1034" s="22" t="s">
        <v>6430</v>
      </c>
      <c r="H1034" s="22" t="s">
        <v>2034</v>
      </c>
      <c r="I1034" s="22" t="s">
        <v>6432</v>
      </c>
      <c r="J1034" s="22" t="s">
        <v>4407</v>
      </c>
      <c r="K1034" s="22" t="s">
        <v>4557</v>
      </c>
      <c r="L1034" s="22"/>
      <c r="M1034" s="22"/>
      <c r="N1034" s="22"/>
    </row>
    <row r="1035" spans="1:14" x14ac:dyDescent="0.25">
      <c r="A1035" s="22" t="s">
        <v>6433</v>
      </c>
      <c r="B1035" s="22" t="s">
        <v>39</v>
      </c>
      <c r="C1035" s="22" t="s">
        <v>4576</v>
      </c>
      <c r="D1035" s="23">
        <v>-35100</v>
      </c>
      <c r="E1035" s="22" t="s">
        <v>57</v>
      </c>
      <c r="F1035" s="24">
        <v>43873</v>
      </c>
      <c r="G1035" s="22" t="s">
        <v>6430</v>
      </c>
      <c r="H1035" s="22" t="s">
        <v>2127</v>
      </c>
      <c r="I1035" s="22" t="s">
        <v>6434</v>
      </c>
      <c r="J1035" s="22" t="s">
        <v>4407</v>
      </c>
      <c r="K1035" s="22" t="s">
        <v>4557</v>
      </c>
      <c r="L1035" s="22"/>
      <c r="M1035" s="22"/>
      <c r="N1035" s="22"/>
    </row>
    <row r="1036" spans="1:14" x14ac:dyDescent="0.25">
      <c r="A1036" s="22" t="s">
        <v>6435</v>
      </c>
      <c r="B1036" s="22" t="s">
        <v>39</v>
      </c>
      <c r="C1036" s="22" t="s">
        <v>4576</v>
      </c>
      <c r="D1036" s="23">
        <v>-24000</v>
      </c>
      <c r="E1036" s="22" t="s">
        <v>57</v>
      </c>
      <c r="F1036" s="24">
        <v>43874</v>
      </c>
      <c r="G1036" s="22" t="s">
        <v>6430</v>
      </c>
      <c r="H1036" s="22" t="s">
        <v>2034</v>
      </c>
      <c r="I1036" s="22" t="s">
        <v>6436</v>
      </c>
      <c r="J1036" s="22" t="s">
        <v>4407</v>
      </c>
      <c r="K1036" s="22" t="s">
        <v>4557</v>
      </c>
      <c r="L1036" s="22"/>
      <c r="M1036" s="22"/>
      <c r="N1036" s="22"/>
    </row>
    <row r="1037" spans="1:14" x14ac:dyDescent="0.25">
      <c r="A1037" s="22" t="s">
        <v>6437</v>
      </c>
      <c r="B1037" s="22" t="s">
        <v>39</v>
      </c>
      <c r="C1037" s="22" t="s">
        <v>4576</v>
      </c>
      <c r="D1037" s="23">
        <v>-24000</v>
      </c>
      <c r="E1037" s="22" t="s">
        <v>57</v>
      </c>
      <c r="F1037" s="24">
        <v>43874</v>
      </c>
      <c r="G1037" s="22" t="s">
        <v>6430</v>
      </c>
      <c r="H1037" s="22" t="s">
        <v>2031</v>
      </c>
      <c r="I1037" s="22" t="s">
        <v>6438</v>
      </c>
      <c r="J1037" s="22" t="s">
        <v>4407</v>
      </c>
      <c r="K1037" s="22" t="s">
        <v>4557</v>
      </c>
      <c r="L1037" s="22"/>
      <c r="M1037" s="22"/>
      <c r="N1037" s="22"/>
    </row>
    <row r="1038" spans="1:14" x14ac:dyDescent="0.25">
      <c r="A1038" s="22" t="s">
        <v>6439</v>
      </c>
      <c r="B1038" s="22" t="s">
        <v>39</v>
      </c>
      <c r="C1038" s="22" t="s">
        <v>4576</v>
      </c>
      <c r="D1038" s="23">
        <v>-50700</v>
      </c>
      <c r="E1038" s="22" t="s">
        <v>57</v>
      </c>
      <c r="F1038" s="24">
        <v>43864</v>
      </c>
      <c r="G1038" s="22" t="s">
        <v>6430</v>
      </c>
      <c r="H1038" s="22" t="s">
        <v>2034</v>
      </c>
      <c r="I1038" s="22" t="s">
        <v>6440</v>
      </c>
      <c r="J1038" s="22" t="s">
        <v>4407</v>
      </c>
      <c r="K1038" s="22" t="s">
        <v>4557</v>
      </c>
      <c r="L1038" s="22"/>
      <c r="M1038" s="22"/>
      <c r="N1038" s="22"/>
    </row>
    <row r="1039" spans="1:14" x14ac:dyDescent="0.25">
      <c r="A1039" s="22" t="s">
        <v>2118</v>
      </c>
      <c r="B1039" s="22" t="s">
        <v>39</v>
      </c>
      <c r="C1039" s="22" t="s">
        <v>4576</v>
      </c>
      <c r="D1039" s="23">
        <v>-1294</v>
      </c>
      <c r="E1039" s="22" t="s">
        <v>57</v>
      </c>
      <c r="F1039" s="24">
        <v>43874</v>
      </c>
      <c r="G1039" s="22" t="s">
        <v>6430</v>
      </c>
      <c r="H1039" s="22" t="s">
        <v>4753</v>
      </c>
      <c r="I1039" s="22" t="s">
        <v>2117</v>
      </c>
      <c r="J1039" s="22" t="s">
        <v>4407</v>
      </c>
      <c r="K1039" s="22" t="s">
        <v>2118</v>
      </c>
      <c r="L1039" s="22"/>
      <c r="M1039" s="22"/>
      <c r="N1039" s="22"/>
    </row>
    <row r="1040" spans="1:14" x14ac:dyDescent="0.25">
      <c r="A1040" s="22" t="s">
        <v>6429</v>
      </c>
      <c r="B1040" s="22" t="s">
        <v>39</v>
      </c>
      <c r="C1040" s="22" t="s">
        <v>5568</v>
      </c>
      <c r="D1040" s="23">
        <v>176721</v>
      </c>
      <c r="E1040" s="22" t="s">
        <v>42</v>
      </c>
      <c r="F1040" s="24">
        <v>44081</v>
      </c>
      <c r="G1040" s="22" t="s">
        <v>6430</v>
      </c>
      <c r="H1040" s="22" t="s">
        <v>5893</v>
      </c>
      <c r="I1040" s="22" t="s">
        <v>6441</v>
      </c>
      <c r="J1040" s="22" t="s">
        <v>4401</v>
      </c>
      <c r="K1040" s="22" t="s">
        <v>292</v>
      </c>
      <c r="L1040" s="22"/>
      <c r="M1040" s="22"/>
      <c r="N1040" s="22"/>
    </row>
    <row r="1041" spans="1:14" x14ac:dyDescent="0.25">
      <c r="A1041" s="22" t="s">
        <v>6442</v>
      </c>
      <c r="B1041" s="22" t="s">
        <v>39</v>
      </c>
      <c r="C1041" s="22" t="s">
        <v>4572</v>
      </c>
      <c r="D1041" s="23">
        <v>-25300</v>
      </c>
      <c r="E1041" s="22" t="s">
        <v>45</v>
      </c>
      <c r="F1041" s="24">
        <v>44111</v>
      </c>
      <c r="G1041" s="22" t="s">
        <v>6443</v>
      </c>
      <c r="H1041" s="22" t="s">
        <v>2103</v>
      </c>
      <c r="I1041" s="22" t="s">
        <v>6443</v>
      </c>
      <c r="J1041" s="22" t="s">
        <v>4401</v>
      </c>
      <c r="K1041" s="22" t="s">
        <v>2103</v>
      </c>
      <c r="L1041" s="22"/>
      <c r="M1041" s="22"/>
      <c r="N1041" s="22"/>
    </row>
    <row r="1042" spans="1:14" x14ac:dyDescent="0.25">
      <c r="A1042" s="22" t="s">
        <v>6442</v>
      </c>
      <c r="B1042" s="22" t="s">
        <v>39</v>
      </c>
      <c r="C1042" s="22" t="s">
        <v>4572</v>
      </c>
      <c r="D1042" s="23">
        <v>25300</v>
      </c>
      <c r="E1042" s="22" t="s">
        <v>45</v>
      </c>
      <c r="F1042" s="24">
        <v>44111</v>
      </c>
      <c r="G1042" s="22" t="s">
        <v>6443</v>
      </c>
      <c r="H1042" s="22" t="s">
        <v>2103</v>
      </c>
      <c r="I1042" s="22" t="s">
        <v>6443</v>
      </c>
      <c r="J1042" s="22" t="s">
        <v>4407</v>
      </c>
      <c r="K1042" s="22" t="s">
        <v>2103</v>
      </c>
      <c r="L1042" s="22"/>
      <c r="M1042" s="22"/>
      <c r="N1042" s="22"/>
    </row>
    <row r="1043" spans="1:14" x14ac:dyDescent="0.25">
      <c r="A1043" s="22" t="s">
        <v>2121</v>
      </c>
      <c r="B1043" s="22" t="s">
        <v>39</v>
      </c>
      <c r="C1043" s="22" t="s">
        <v>4576</v>
      </c>
      <c r="D1043" s="23">
        <v>-8900</v>
      </c>
      <c r="E1043" s="22" t="s">
        <v>2073</v>
      </c>
      <c r="F1043" s="24">
        <v>43886</v>
      </c>
      <c r="G1043" s="22" t="s">
        <v>6443</v>
      </c>
      <c r="H1043" s="22" t="s">
        <v>4575</v>
      </c>
      <c r="I1043" s="22" t="s">
        <v>2120</v>
      </c>
      <c r="J1043" s="22" t="s">
        <v>4407</v>
      </c>
      <c r="K1043" s="22" t="s">
        <v>4557</v>
      </c>
      <c r="L1043" s="22"/>
      <c r="M1043" s="22"/>
      <c r="N1043" s="22"/>
    </row>
    <row r="1044" spans="1:14" x14ac:dyDescent="0.25">
      <c r="A1044" s="22" t="s">
        <v>6444</v>
      </c>
      <c r="B1044" s="22" t="s">
        <v>39</v>
      </c>
      <c r="C1044" s="22" t="s">
        <v>4576</v>
      </c>
      <c r="D1044" s="23">
        <v>-16400</v>
      </c>
      <c r="E1044" s="22" t="s">
        <v>57</v>
      </c>
      <c r="F1044" s="24">
        <v>43886</v>
      </c>
      <c r="G1044" s="22" t="s">
        <v>6443</v>
      </c>
      <c r="H1044" s="22" t="s">
        <v>2034</v>
      </c>
      <c r="I1044" s="22" t="s">
        <v>6445</v>
      </c>
      <c r="J1044" s="22" t="s">
        <v>4407</v>
      </c>
      <c r="K1044" s="22" t="s">
        <v>4557</v>
      </c>
      <c r="L1044" s="22"/>
      <c r="M1044" s="22"/>
      <c r="N1044" s="22"/>
    </row>
    <row r="1045" spans="1:14" x14ac:dyDescent="0.25">
      <c r="A1045" s="22" t="s">
        <v>6442</v>
      </c>
      <c r="B1045" s="22" t="s">
        <v>39</v>
      </c>
      <c r="C1045" s="22" t="s">
        <v>5568</v>
      </c>
      <c r="D1045" s="23">
        <v>25300</v>
      </c>
      <c r="E1045" s="22" t="s">
        <v>42</v>
      </c>
      <c r="F1045" s="24">
        <v>44111</v>
      </c>
      <c r="G1045" s="22" t="s">
        <v>6443</v>
      </c>
      <c r="H1045" s="22" t="s">
        <v>2141</v>
      </c>
      <c r="I1045" s="22" t="s">
        <v>6446</v>
      </c>
      <c r="J1045" s="22" t="s">
        <v>4401</v>
      </c>
      <c r="K1045" s="22" t="s">
        <v>292</v>
      </c>
      <c r="L1045" s="22"/>
      <c r="M1045" s="22"/>
      <c r="N1045" s="22"/>
    </row>
    <row r="1046" spans="1:14" x14ac:dyDescent="0.25">
      <c r="A1046" s="22" t="s">
        <v>2108</v>
      </c>
      <c r="B1046" s="22" t="s">
        <v>39</v>
      </c>
      <c r="C1046" s="22" t="s">
        <v>6447</v>
      </c>
      <c r="D1046" s="23">
        <v>-51900</v>
      </c>
      <c r="E1046" s="22" t="s">
        <v>57</v>
      </c>
      <c r="F1046" s="24">
        <v>44153</v>
      </c>
      <c r="G1046" s="22" t="s">
        <v>2106</v>
      </c>
      <c r="H1046" s="22" t="s">
        <v>839</v>
      </c>
      <c r="I1046" s="22" t="s">
        <v>2107</v>
      </c>
      <c r="J1046" s="22" t="s">
        <v>4401</v>
      </c>
      <c r="K1046" s="22" t="s">
        <v>78</v>
      </c>
      <c r="L1046" s="22"/>
      <c r="M1046" s="22"/>
      <c r="N1046" s="22"/>
    </row>
    <row r="1047" spans="1:14" x14ac:dyDescent="0.25">
      <c r="A1047" s="22" t="s">
        <v>2105</v>
      </c>
      <c r="B1047" s="22" t="s">
        <v>39</v>
      </c>
      <c r="C1047" s="22" t="s">
        <v>4572</v>
      </c>
      <c r="D1047" s="23">
        <v>51900</v>
      </c>
      <c r="E1047" s="22" t="s">
        <v>45</v>
      </c>
      <c r="F1047" s="24">
        <v>44214</v>
      </c>
      <c r="G1047" s="22" t="s">
        <v>2106</v>
      </c>
      <c r="H1047" s="22" t="s">
        <v>2103</v>
      </c>
      <c r="I1047" s="22" t="s">
        <v>2106</v>
      </c>
      <c r="J1047" s="22" t="s">
        <v>4401</v>
      </c>
      <c r="K1047" s="22" t="s">
        <v>2103</v>
      </c>
      <c r="L1047" s="22"/>
      <c r="M1047" s="22"/>
      <c r="N1047" s="22"/>
    </row>
    <row r="1048" spans="1:14" x14ac:dyDescent="0.25">
      <c r="A1048" s="22" t="s">
        <v>2105</v>
      </c>
      <c r="B1048" s="22" t="s">
        <v>39</v>
      </c>
      <c r="C1048" s="22" t="s">
        <v>4572</v>
      </c>
      <c r="D1048" s="23">
        <v>-51900</v>
      </c>
      <c r="E1048" s="22" t="s">
        <v>45</v>
      </c>
      <c r="F1048" s="24">
        <v>44214</v>
      </c>
      <c r="G1048" s="22" t="s">
        <v>2106</v>
      </c>
      <c r="H1048" s="22" t="s">
        <v>2103</v>
      </c>
      <c r="I1048" s="22" t="s">
        <v>2106</v>
      </c>
      <c r="J1048" s="22" t="s">
        <v>4401</v>
      </c>
      <c r="K1048" s="22" t="s">
        <v>2103</v>
      </c>
      <c r="L1048" s="22"/>
      <c r="M1048" s="22"/>
      <c r="N1048" s="22"/>
    </row>
    <row r="1049" spans="1:14" x14ac:dyDescent="0.25">
      <c r="A1049" s="22" t="s">
        <v>2105</v>
      </c>
      <c r="B1049" s="22" t="s">
        <v>39</v>
      </c>
      <c r="C1049" s="22" t="s">
        <v>4403</v>
      </c>
      <c r="D1049" s="23">
        <v>51900</v>
      </c>
      <c r="E1049" s="22" t="s">
        <v>42</v>
      </c>
      <c r="F1049" s="24">
        <v>44214</v>
      </c>
      <c r="G1049" s="22" t="s">
        <v>2106</v>
      </c>
      <c r="H1049" s="22" t="s">
        <v>1741</v>
      </c>
      <c r="I1049" s="22" t="s">
        <v>2104</v>
      </c>
      <c r="J1049" s="22" t="s">
        <v>4401</v>
      </c>
      <c r="K1049" s="22" t="s">
        <v>292</v>
      </c>
      <c r="L1049" s="22"/>
      <c r="M1049" s="22"/>
      <c r="N1049" s="22"/>
    </row>
    <row r="1050" spans="1:14" x14ac:dyDescent="0.25">
      <c r="A1050" s="22" t="s">
        <v>2100</v>
      </c>
      <c r="B1050" s="22" t="s">
        <v>39</v>
      </c>
      <c r="C1050" s="22" t="s">
        <v>4572</v>
      </c>
      <c r="D1050" s="23">
        <v>-26429</v>
      </c>
      <c r="E1050" s="22" t="s">
        <v>45</v>
      </c>
      <c r="F1050" s="24">
        <v>44232</v>
      </c>
      <c r="G1050" s="22" t="s">
        <v>2101</v>
      </c>
      <c r="H1050" s="22" t="s">
        <v>2103</v>
      </c>
      <c r="I1050" s="22" t="s">
        <v>2101</v>
      </c>
      <c r="J1050" s="22" t="s">
        <v>4401</v>
      </c>
      <c r="K1050" s="22" t="s">
        <v>2103</v>
      </c>
      <c r="L1050" s="22"/>
      <c r="M1050" s="22"/>
      <c r="N1050" s="22"/>
    </row>
    <row r="1051" spans="1:14" x14ac:dyDescent="0.25">
      <c r="A1051" s="22" t="s">
        <v>2100</v>
      </c>
      <c r="B1051" s="22" t="s">
        <v>39</v>
      </c>
      <c r="C1051" s="22" t="s">
        <v>4572</v>
      </c>
      <c r="D1051" s="23">
        <v>26429</v>
      </c>
      <c r="E1051" s="22" t="s">
        <v>45</v>
      </c>
      <c r="F1051" s="24">
        <v>44232</v>
      </c>
      <c r="G1051" s="22" t="s">
        <v>2101</v>
      </c>
      <c r="H1051" s="22" t="s">
        <v>2103</v>
      </c>
      <c r="I1051" s="22" t="s">
        <v>2101</v>
      </c>
      <c r="J1051" s="22" t="s">
        <v>4407</v>
      </c>
      <c r="K1051" s="22" t="s">
        <v>2103</v>
      </c>
      <c r="L1051" s="22"/>
      <c r="M1051" s="22"/>
      <c r="N1051" s="22"/>
    </row>
    <row r="1052" spans="1:14" x14ac:dyDescent="0.25">
      <c r="A1052" s="22" t="s">
        <v>2074</v>
      </c>
      <c r="B1052" s="22" t="s">
        <v>39</v>
      </c>
      <c r="C1052" s="22" t="s">
        <v>4576</v>
      </c>
      <c r="D1052" s="23">
        <v>-26429</v>
      </c>
      <c r="E1052" s="22" t="s">
        <v>2073</v>
      </c>
      <c r="F1052" s="24">
        <v>43882</v>
      </c>
      <c r="G1052" s="22" t="s">
        <v>2101</v>
      </c>
      <c r="H1052" s="22" t="s">
        <v>2102</v>
      </c>
      <c r="I1052" s="22" t="s">
        <v>2072</v>
      </c>
      <c r="J1052" s="22" t="s">
        <v>4407</v>
      </c>
      <c r="K1052" s="22" t="s">
        <v>4557</v>
      </c>
      <c r="L1052" s="22"/>
      <c r="M1052" s="22"/>
      <c r="N1052" s="22"/>
    </row>
    <row r="1053" spans="1:14" x14ac:dyDescent="0.25">
      <c r="A1053" s="22" t="s">
        <v>2100</v>
      </c>
      <c r="B1053" s="22" t="s">
        <v>39</v>
      </c>
      <c r="C1053" s="22" t="s">
        <v>4403</v>
      </c>
      <c r="D1053" s="23">
        <v>26429</v>
      </c>
      <c r="E1053" s="22" t="s">
        <v>42</v>
      </c>
      <c r="F1053" s="24">
        <v>44232</v>
      </c>
      <c r="G1053" s="22" t="s">
        <v>2101</v>
      </c>
      <c r="H1053" s="22" t="s">
        <v>1886</v>
      </c>
      <c r="I1053" s="22" t="s">
        <v>2099</v>
      </c>
      <c r="J1053" s="22" t="s">
        <v>4401</v>
      </c>
      <c r="K1053" s="22" t="s">
        <v>292</v>
      </c>
      <c r="L1053" s="22"/>
      <c r="M1053" s="22"/>
      <c r="N1053" s="22"/>
    </row>
    <row r="1054" spans="1:14" x14ac:dyDescent="0.25">
      <c r="A1054" s="22" t="s">
        <v>6448</v>
      </c>
      <c r="B1054" s="22" t="s">
        <v>39</v>
      </c>
      <c r="C1054" s="22" t="s">
        <v>74</v>
      </c>
      <c r="D1054" s="23">
        <v>-28300</v>
      </c>
      <c r="E1054" s="22" t="s">
        <v>57</v>
      </c>
      <c r="F1054" s="24">
        <v>44102</v>
      </c>
      <c r="G1054" s="22" t="s">
        <v>6449</v>
      </c>
      <c r="H1054" s="22" t="s">
        <v>1345</v>
      </c>
      <c r="I1054" s="22" t="s">
        <v>6450</v>
      </c>
      <c r="J1054" s="22" t="s">
        <v>4552</v>
      </c>
      <c r="K1054" s="22" t="s">
        <v>78</v>
      </c>
      <c r="L1054" s="22"/>
      <c r="M1054" s="22"/>
      <c r="N1054" s="22"/>
    </row>
    <row r="1055" spans="1:14" x14ac:dyDescent="0.25">
      <c r="A1055" s="22" t="s">
        <v>6451</v>
      </c>
      <c r="B1055" s="22" t="s">
        <v>39</v>
      </c>
      <c r="C1055" s="22" t="s">
        <v>6367</v>
      </c>
      <c r="D1055" s="23">
        <v>-31700</v>
      </c>
      <c r="E1055" s="22" t="s">
        <v>57</v>
      </c>
      <c r="F1055" s="24">
        <v>44111</v>
      </c>
      <c r="G1055" s="22" t="s">
        <v>6449</v>
      </c>
      <c r="H1055" s="22" t="s">
        <v>989</v>
      </c>
      <c r="I1055" s="22" t="s">
        <v>6452</v>
      </c>
      <c r="J1055" s="22" t="s">
        <v>4407</v>
      </c>
      <c r="K1055" s="22" t="s">
        <v>78</v>
      </c>
      <c r="L1055" s="22"/>
      <c r="M1055" s="22"/>
      <c r="N1055" s="22"/>
    </row>
    <row r="1056" spans="1:14" x14ac:dyDescent="0.25">
      <c r="A1056" s="22" t="s">
        <v>6454</v>
      </c>
      <c r="B1056" s="22" t="s">
        <v>39</v>
      </c>
      <c r="C1056" s="22" t="s">
        <v>6453</v>
      </c>
      <c r="D1056" s="23">
        <v>-208400</v>
      </c>
      <c r="E1056" s="22" t="s">
        <v>57</v>
      </c>
      <c r="F1056" s="24">
        <v>44092</v>
      </c>
      <c r="G1056" s="22" t="s">
        <v>6449</v>
      </c>
      <c r="H1056" s="22" t="s">
        <v>1805</v>
      </c>
      <c r="I1056" s="22" t="s">
        <v>6455</v>
      </c>
      <c r="J1056" s="22" t="s">
        <v>4407</v>
      </c>
      <c r="K1056" s="22" t="s">
        <v>78</v>
      </c>
      <c r="L1056" s="22"/>
      <c r="M1056" s="22"/>
      <c r="N1056" s="22"/>
    </row>
    <row r="1057" spans="1:14" x14ac:dyDescent="0.25">
      <c r="A1057" s="22" t="s">
        <v>6456</v>
      </c>
      <c r="B1057" s="22" t="s">
        <v>39</v>
      </c>
      <c r="C1057" s="22" t="s">
        <v>6453</v>
      </c>
      <c r="D1057" s="23">
        <v>-52308</v>
      </c>
      <c r="E1057" s="22" t="s">
        <v>57</v>
      </c>
      <c r="F1057" s="24">
        <v>44096</v>
      </c>
      <c r="G1057" s="22" t="s">
        <v>6449</v>
      </c>
      <c r="H1057" s="22" t="s">
        <v>1345</v>
      </c>
      <c r="I1057" s="22" t="s">
        <v>6457</v>
      </c>
      <c r="J1057" s="22" t="s">
        <v>4552</v>
      </c>
      <c r="K1057" s="22" t="s">
        <v>78</v>
      </c>
      <c r="L1057" s="22"/>
      <c r="M1057" s="22"/>
      <c r="N1057" s="22"/>
    </row>
    <row r="1058" spans="1:14" x14ac:dyDescent="0.25">
      <c r="A1058" s="22" t="s">
        <v>6458</v>
      </c>
      <c r="B1058" s="22" t="s">
        <v>39</v>
      </c>
      <c r="C1058" s="22" t="s">
        <v>6453</v>
      </c>
      <c r="D1058" s="23">
        <v>-87700</v>
      </c>
      <c r="E1058" s="22" t="s">
        <v>57</v>
      </c>
      <c r="F1058" s="24">
        <v>44099</v>
      </c>
      <c r="G1058" s="22" t="s">
        <v>6449</v>
      </c>
      <c r="H1058" s="22" t="s">
        <v>2211</v>
      </c>
      <c r="I1058" s="22" t="s">
        <v>6459</v>
      </c>
      <c r="J1058" s="22" t="s">
        <v>4407</v>
      </c>
      <c r="K1058" s="22" t="s">
        <v>78</v>
      </c>
      <c r="L1058" s="22"/>
      <c r="M1058" s="22"/>
      <c r="N1058" s="22"/>
    </row>
    <row r="1059" spans="1:14" x14ac:dyDescent="0.25">
      <c r="A1059" s="22" t="s">
        <v>85</v>
      </c>
      <c r="B1059" s="22" t="s">
        <v>39</v>
      </c>
      <c r="C1059" s="22" t="s">
        <v>84</v>
      </c>
      <c r="D1059" s="23">
        <v>-1740452</v>
      </c>
      <c r="E1059" s="22" t="s">
        <v>57</v>
      </c>
      <c r="F1059" s="24">
        <v>44088</v>
      </c>
      <c r="G1059" s="22" t="s">
        <v>6449</v>
      </c>
      <c r="H1059" s="22" t="s">
        <v>6460</v>
      </c>
      <c r="I1059" s="22" t="s">
        <v>87</v>
      </c>
      <c r="J1059" s="22" t="s">
        <v>4552</v>
      </c>
      <c r="K1059" s="22" t="s">
        <v>78</v>
      </c>
      <c r="L1059" s="22"/>
      <c r="M1059" s="22"/>
      <c r="N1059" s="22"/>
    </row>
    <row r="1060" spans="1:14" x14ac:dyDescent="0.25">
      <c r="A1060" s="22" t="s">
        <v>6461</v>
      </c>
      <c r="B1060" s="22" t="s">
        <v>39</v>
      </c>
      <c r="C1060" s="22" t="s">
        <v>84</v>
      </c>
      <c r="D1060" s="23">
        <v>-385833</v>
      </c>
      <c r="E1060" s="22" t="s">
        <v>57</v>
      </c>
      <c r="F1060" s="24">
        <v>44106</v>
      </c>
      <c r="G1060" s="22" t="s">
        <v>6449</v>
      </c>
      <c r="H1060" s="22" t="s">
        <v>6460</v>
      </c>
      <c r="I1060" s="22" t="s">
        <v>6462</v>
      </c>
      <c r="J1060" s="22" t="s">
        <v>4552</v>
      </c>
      <c r="K1060" s="22" t="s">
        <v>78</v>
      </c>
      <c r="L1060" s="22"/>
      <c r="M1060" s="22"/>
      <c r="N1060" s="22"/>
    </row>
    <row r="1061" spans="1:14" x14ac:dyDescent="0.25">
      <c r="A1061" s="22" t="s">
        <v>6464</v>
      </c>
      <c r="B1061" s="22" t="s">
        <v>39</v>
      </c>
      <c r="C1061" s="22" t="s">
        <v>6463</v>
      </c>
      <c r="D1061" s="23">
        <v>-118385</v>
      </c>
      <c r="E1061" s="22" t="s">
        <v>57</v>
      </c>
      <c r="F1061" s="24">
        <v>44080</v>
      </c>
      <c r="G1061" s="22" t="s">
        <v>6449</v>
      </c>
      <c r="H1061" s="22" t="s">
        <v>6465</v>
      </c>
      <c r="I1061" s="22" t="s">
        <v>6466</v>
      </c>
      <c r="J1061" s="22" t="s">
        <v>4552</v>
      </c>
      <c r="K1061" s="22" t="s">
        <v>78</v>
      </c>
      <c r="L1061" s="22"/>
      <c r="M1061" s="22"/>
      <c r="N1061" s="22"/>
    </row>
    <row r="1062" spans="1:14" x14ac:dyDescent="0.25">
      <c r="A1062" s="22" t="s">
        <v>6467</v>
      </c>
      <c r="B1062" s="22" t="s">
        <v>39</v>
      </c>
      <c r="C1062" s="22" t="s">
        <v>6463</v>
      </c>
      <c r="D1062" s="23">
        <v>-51900</v>
      </c>
      <c r="E1062" s="22" t="s">
        <v>57</v>
      </c>
      <c r="F1062" s="24">
        <v>44087</v>
      </c>
      <c r="G1062" s="22" t="s">
        <v>6449</v>
      </c>
      <c r="H1062" s="22" t="s">
        <v>6468</v>
      </c>
      <c r="I1062" s="22" t="s">
        <v>6469</v>
      </c>
      <c r="J1062" s="22" t="s">
        <v>4552</v>
      </c>
      <c r="K1062" s="22" t="s">
        <v>78</v>
      </c>
      <c r="L1062" s="22"/>
      <c r="M1062" s="22"/>
      <c r="N1062" s="22"/>
    </row>
    <row r="1063" spans="1:14" x14ac:dyDescent="0.25">
      <c r="A1063" s="22" t="s">
        <v>6470</v>
      </c>
      <c r="B1063" s="22" t="s">
        <v>39</v>
      </c>
      <c r="C1063" s="22" t="s">
        <v>6463</v>
      </c>
      <c r="D1063" s="23">
        <v>-149798</v>
      </c>
      <c r="E1063" s="22" t="s">
        <v>57</v>
      </c>
      <c r="F1063" s="24">
        <v>44088</v>
      </c>
      <c r="G1063" s="22" t="s">
        <v>6449</v>
      </c>
      <c r="H1063" s="22" t="s">
        <v>6471</v>
      </c>
      <c r="I1063" s="22" t="s">
        <v>6472</v>
      </c>
      <c r="J1063" s="22" t="s">
        <v>4552</v>
      </c>
      <c r="K1063" s="22" t="s">
        <v>78</v>
      </c>
      <c r="L1063" s="22"/>
      <c r="M1063" s="22"/>
      <c r="N1063" s="22"/>
    </row>
    <row r="1064" spans="1:14" x14ac:dyDescent="0.25">
      <c r="A1064" s="22" t="s">
        <v>6473</v>
      </c>
      <c r="B1064" s="22" t="s">
        <v>39</v>
      </c>
      <c r="C1064" s="22" t="s">
        <v>6463</v>
      </c>
      <c r="D1064" s="23">
        <v>-153349</v>
      </c>
      <c r="E1064" s="22" t="s">
        <v>57</v>
      </c>
      <c r="F1064" s="24">
        <v>44097</v>
      </c>
      <c r="G1064" s="22" t="s">
        <v>6449</v>
      </c>
      <c r="H1064" s="22" t="s">
        <v>6474</v>
      </c>
      <c r="I1064" s="22" t="s">
        <v>6475</v>
      </c>
      <c r="J1064" s="22" t="s">
        <v>4552</v>
      </c>
      <c r="K1064" s="22" t="s">
        <v>78</v>
      </c>
      <c r="L1064" s="22"/>
      <c r="M1064" s="22"/>
      <c r="N1064" s="22"/>
    </row>
    <row r="1065" spans="1:14" x14ac:dyDescent="0.25">
      <c r="A1065" s="22" t="s">
        <v>6476</v>
      </c>
      <c r="B1065" s="22" t="s">
        <v>39</v>
      </c>
      <c r="C1065" s="22" t="s">
        <v>6463</v>
      </c>
      <c r="D1065" s="23">
        <v>-100100</v>
      </c>
      <c r="E1065" s="22" t="s">
        <v>57</v>
      </c>
      <c r="F1065" s="24">
        <v>44103</v>
      </c>
      <c r="G1065" s="22" t="s">
        <v>6449</v>
      </c>
      <c r="H1065" s="22" t="s">
        <v>483</v>
      </c>
      <c r="I1065" s="22" t="s">
        <v>6477</v>
      </c>
      <c r="J1065" s="22" t="s">
        <v>4552</v>
      </c>
      <c r="K1065" s="22" t="s">
        <v>78</v>
      </c>
      <c r="L1065" s="22"/>
      <c r="M1065" s="22"/>
      <c r="N1065" s="22"/>
    </row>
    <row r="1066" spans="1:14" x14ac:dyDescent="0.25">
      <c r="A1066" s="22" t="s">
        <v>1882</v>
      </c>
      <c r="B1066" s="22" t="s">
        <v>39</v>
      </c>
      <c r="C1066" s="22" t="s">
        <v>4825</v>
      </c>
      <c r="D1066" s="23">
        <v>-507643</v>
      </c>
      <c r="E1066" s="22" t="s">
        <v>57</v>
      </c>
      <c r="F1066" s="24">
        <v>44096</v>
      </c>
      <c r="G1066" s="22" t="s">
        <v>6449</v>
      </c>
      <c r="H1066" s="22" t="s">
        <v>1802</v>
      </c>
      <c r="I1066" s="22" t="s">
        <v>4827</v>
      </c>
      <c r="J1066" s="22" t="s">
        <v>4552</v>
      </c>
      <c r="K1066" s="22" t="s">
        <v>78</v>
      </c>
      <c r="L1066" s="22"/>
      <c r="M1066" s="22"/>
      <c r="N1066" s="22"/>
    </row>
    <row r="1067" spans="1:14" x14ac:dyDescent="0.25">
      <c r="A1067" s="22" t="s">
        <v>6479</v>
      </c>
      <c r="B1067" s="22" t="s">
        <v>39</v>
      </c>
      <c r="C1067" s="22" t="s">
        <v>6478</v>
      </c>
      <c r="D1067" s="23">
        <v>-160200</v>
      </c>
      <c r="E1067" s="22" t="s">
        <v>57</v>
      </c>
      <c r="F1067" s="24">
        <v>44110</v>
      </c>
      <c r="G1067" s="22" t="s">
        <v>6449</v>
      </c>
      <c r="H1067" s="22" t="s">
        <v>483</v>
      </c>
      <c r="I1067" s="22" t="s">
        <v>6480</v>
      </c>
      <c r="J1067" s="22" t="s">
        <v>4552</v>
      </c>
      <c r="K1067" s="22" t="s">
        <v>4557</v>
      </c>
      <c r="L1067" s="22"/>
      <c r="M1067" s="22"/>
      <c r="N1067" s="22"/>
    </row>
    <row r="1068" spans="1:14" x14ac:dyDescent="0.25">
      <c r="A1068" s="22" t="s">
        <v>6481</v>
      </c>
      <c r="B1068" s="22" t="s">
        <v>39</v>
      </c>
      <c r="C1068" s="22" t="s">
        <v>6478</v>
      </c>
      <c r="D1068" s="23">
        <v>-151639</v>
      </c>
      <c r="E1068" s="22" t="s">
        <v>57</v>
      </c>
      <c r="F1068" s="24">
        <v>44113</v>
      </c>
      <c r="G1068" s="22" t="s">
        <v>6449</v>
      </c>
      <c r="H1068" s="22" t="s">
        <v>6482</v>
      </c>
      <c r="I1068" s="22" t="s">
        <v>6483</v>
      </c>
      <c r="J1068" s="22" t="s">
        <v>4552</v>
      </c>
      <c r="K1068" s="22" t="s">
        <v>4557</v>
      </c>
      <c r="L1068" s="22"/>
      <c r="M1068" s="22"/>
      <c r="N1068" s="22"/>
    </row>
    <row r="1069" spans="1:14" x14ac:dyDescent="0.25">
      <c r="A1069" s="22" t="s">
        <v>6484</v>
      </c>
      <c r="B1069" s="22" t="s">
        <v>39</v>
      </c>
      <c r="C1069" s="22" t="s">
        <v>6478</v>
      </c>
      <c r="D1069" s="23">
        <v>-53839</v>
      </c>
      <c r="E1069" s="22" t="s">
        <v>57</v>
      </c>
      <c r="F1069" s="24">
        <v>44113</v>
      </c>
      <c r="G1069" s="22" t="s">
        <v>6449</v>
      </c>
      <c r="H1069" s="22" t="s">
        <v>6054</v>
      </c>
      <c r="I1069" s="22" t="s">
        <v>6485</v>
      </c>
      <c r="J1069" s="22" t="s">
        <v>4552</v>
      </c>
      <c r="K1069" s="22" t="s">
        <v>4557</v>
      </c>
      <c r="L1069" s="22"/>
      <c r="M1069" s="22"/>
      <c r="N1069" s="22"/>
    </row>
    <row r="1070" spans="1:14" x14ac:dyDescent="0.25">
      <c r="A1070" s="22" t="s">
        <v>6486</v>
      </c>
      <c r="B1070" s="22" t="s">
        <v>39</v>
      </c>
      <c r="C1070" s="22" t="s">
        <v>6478</v>
      </c>
      <c r="D1070" s="23">
        <v>-160200</v>
      </c>
      <c r="E1070" s="22" t="s">
        <v>57</v>
      </c>
      <c r="F1070" s="24">
        <v>44120</v>
      </c>
      <c r="G1070" s="22" t="s">
        <v>6449</v>
      </c>
      <c r="H1070" s="22" t="s">
        <v>6487</v>
      </c>
      <c r="I1070" s="22" t="s">
        <v>6488</v>
      </c>
      <c r="J1070" s="22" t="s">
        <v>4552</v>
      </c>
      <c r="K1070" s="22" t="s">
        <v>4557</v>
      </c>
      <c r="L1070" s="22"/>
      <c r="M1070" s="22"/>
      <c r="N1070" s="22"/>
    </row>
    <row r="1071" spans="1:14" x14ac:dyDescent="0.25">
      <c r="A1071" s="22" t="s">
        <v>6489</v>
      </c>
      <c r="B1071" s="22" t="s">
        <v>39</v>
      </c>
      <c r="C1071" s="22" t="s">
        <v>6478</v>
      </c>
      <c r="D1071" s="23">
        <v>-100761</v>
      </c>
      <c r="E1071" s="22" t="s">
        <v>57</v>
      </c>
      <c r="F1071" s="24">
        <v>44134</v>
      </c>
      <c r="G1071" s="22" t="s">
        <v>6449</v>
      </c>
      <c r="H1071" s="22" t="s">
        <v>4750</v>
      </c>
      <c r="I1071" s="22" t="s">
        <v>6490</v>
      </c>
      <c r="J1071" s="22" t="s">
        <v>4552</v>
      </c>
      <c r="K1071" s="22" t="s">
        <v>4557</v>
      </c>
      <c r="L1071" s="22"/>
      <c r="M1071" s="22"/>
      <c r="N1071" s="22"/>
    </row>
    <row r="1072" spans="1:14" x14ac:dyDescent="0.25">
      <c r="A1072" s="22" t="s">
        <v>6491</v>
      </c>
      <c r="B1072" s="22" t="s">
        <v>39</v>
      </c>
      <c r="C1072" s="22" t="s">
        <v>6478</v>
      </c>
      <c r="D1072" s="23">
        <v>-121200</v>
      </c>
      <c r="E1072" s="22" t="s">
        <v>57</v>
      </c>
      <c r="F1072" s="24">
        <v>44140</v>
      </c>
      <c r="G1072" s="22" t="s">
        <v>6449</v>
      </c>
      <c r="H1072" s="22" t="s">
        <v>483</v>
      </c>
      <c r="I1072" s="22" t="s">
        <v>6492</v>
      </c>
      <c r="J1072" s="22" t="s">
        <v>4552</v>
      </c>
      <c r="K1072" s="22" t="s">
        <v>4557</v>
      </c>
      <c r="L1072" s="22"/>
      <c r="M1072" s="22"/>
      <c r="N1072" s="22"/>
    </row>
    <row r="1073" spans="1:14" x14ac:dyDescent="0.25">
      <c r="A1073" s="22" t="s">
        <v>4588</v>
      </c>
      <c r="B1073" s="22" t="s">
        <v>39</v>
      </c>
      <c r="C1073" s="22" t="s">
        <v>4583</v>
      </c>
      <c r="D1073" s="23">
        <v>-1402958</v>
      </c>
      <c r="E1073" s="22" t="s">
        <v>2073</v>
      </c>
      <c r="F1073" s="24">
        <v>44166</v>
      </c>
      <c r="G1073" s="22" t="s">
        <v>6449</v>
      </c>
      <c r="H1073" s="22" t="s">
        <v>4589</v>
      </c>
      <c r="I1073" s="22" t="s">
        <v>4585</v>
      </c>
      <c r="J1073" s="22" t="s">
        <v>4552</v>
      </c>
      <c r="K1073" s="22" t="s">
        <v>4557</v>
      </c>
      <c r="L1073" s="22"/>
      <c r="M1073" s="22"/>
      <c r="N1073" s="22"/>
    </row>
    <row r="1074" spans="1:14" x14ac:dyDescent="0.25">
      <c r="A1074" s="22" t="s">
        <v>6493</v>
      </c>
      <c r="B1074" s="22" t="s">
        <v>39</v>
      </c>
      <c r="C1074" s="22" t="s">
        <v>4583</v>
      </c>
      <c r="D1074" s="23">
        <v>-90800</v>
      </c>
      <c r="E1074" s="22" t="s">
        <v>57</v>
      </c>
      <c r="F1074" s="24">
        <v>44138</v>
      </c>
      <c r="G1074" s="22" t="s">
        <v>6449</v>
      </c>
      <c r="H1074" s="22" t="s">
        <v>1802</v>
      </c>
      <c r="I1074" s="22" t="s">
        <v>6494</v>
      </c>
      <c r="J1074" s="22" t="s">
        <v>4552</v>
      </c>
      <c r="K1074" s="22" t="s">
        <v>4557</v>
      </c>
      <c r="L1074" s="22"/>
      <c r="M1074" s="22"/>
      <c r="N1074" s="22"/>
    </row>
    <row r="1075" spans="1:14" x14ac:dyDescent="0.25">
      <c r="A1075" s="22" t="s">
        <v>6495</v>
      </c>
      <c r="B1075" s="22" t="s">
        <v>39</v>
      </c>
      <c r="C1075" s="22" t="s">
        <v>4583</v>
      </c>
      <c r="D1075" s="23">
        <v>-640200</v>
      </c>
      <c r="E1075" s="22" t="s">
        <v>57</v>
      </c>
      <c r="F1075" s="24">
        <v>44141</v>
      </c>
      <c r="G1075" s="22" t="s">
        <v>6449</v>
      </c>
      <c r="H1075" s="22" t="s">
        <v>897</v>
      </c>
      <c r="I1075" s="22" t="s">
        <v>6496</v>
      </c>
      <c r="J1075" s="22" t="s">
        <v>4552</v>
      </c>
      <c r="K1075" s="22" t="s">
        <v>4557</v>
      </c>
      <c r="L1075" s="22"/>
      <c r="M1075" s="22"/>
      <c r="N1075" s="22"/>
    </row>
    <row r="1076" spans="1:14" x14ac:dyDescent="0.25">
      <c r="A1076" s="22" t="s">
        <v>6497</v>
      </c>
      <c r="B1076" s="22" t="s">
        <v>39</v>
      </c>
      <c r="C1076" s="22" t="s">
        <v>4583</v>
      </c>
      <c r="D1076" s="23">
        <v>-51900</v>
      </c>
      <c r="E1076" s="22" t="s">
        <v>57</v>
      </c>
      <c r="F1076" s="24">
        <v>44151</v>
      </c>
      <c r="G1076" s="22" t="s">
        <v>6449</v>
      </c>
      <c r="H1076" s="22" t="s">
        <v>6498</v>
      </c>
      <c r="I1076" s="22" t="s">
        <v>6499</v>
      </c>
      <c r="J1076" s="22" t="s">
        <v>4552</v>
      </c>
      <c r="K1076" s="22" t="s">
        <v>4557</v>
      </c>
      <c r="L1076" s="22"/>
      <c r="M1076" s="22"/>
      <c r="N1076" s="22"/>
    </row>
    <row r="1077" spans="1:14" x14ac:dyDescent="0.25">
      <c r="A1077" s="22" t="s">
        <v>6500</v>
      </c>
      <c r="B1077" s="22" t="s">
        <v>39</v>
      </c>
      <c r="C1077" s="22" t="s">
        <v>4583</v>
      </c>
      <c r="D1077" s="23">
        <v>-51900</v>
      </c>
      <c r="E1077" s="22" t="s">
        <v>57</v>
      </c>
      <c r="F1077" s="24">
        <v>44153</v>
      </c>
      <c r="G1077" s="22" t="s">
        <v>6449</v>
      </c>
      <c r="H1077" s="22" t="s">
        <v>483</v>
      </c>
      <c r="I1077" s="22" t="s">
        <v>6501</v>
      </c>
      <c r="J1077" s="22" t="s">
        <v>4552</v>
      </c>
      <c r="K1077" s="22" t="s">
        <v>4557</v>
      </c>
      <c r="L1077" s="22"/>
      <c r="M1077" s="22"/>
      <c r="N1077" s="22"/>
    </row>
    <row r="1078" spans="1:14" x14ac:dyDescent="0.25">
      <c r="A1078" s="22" t="s">
        <v>6502</v>
      </c>
      <c r="B1078" s="22" t="s">
        <v>39</v>
      </c>
      <c r="C1078" s="22" t="s">
        <v>4583</v>
      </c>
      <c r="D1078" s="23">
        <v>-51900</v>
      </c>
      <c r="E1078" s="22" t="s">
        <v>57</v>
      </c>
      <c r="F1078" s="24">
        <v>44159</v>
      </c>
      <c r="G1078" s="22" t="s">
        <v>6449</v>
      </c>
      <c r="H1078" s="22" t="s">
        <v>6503</v>
      </c>
      <c r="I1078" s="22" t="s">
        <v>6504</v>
      </c>
      <c r="J1078" s="22" t="s">
        <v>4552</v>
      </c>
      <c r="K1078" s="22" t="s">
        <v>4557</v>
      </c>
      <c r="L1078" s="22"/>
      <c r="M1078" s="22"/>
      <c r="N1078" s="22"/>
    </row>
    <row r="1079" spans="1:14" x14ac:dyDescent="0.25">
      <c r="A1079" s="22" t="s">
        <v>6505</v>
      </c>
      <c r="B1079" s="22" t="s">
        <v>39</v>
      </c>
      <c r="C1079" s="22" t="s">
        <v>4583</v>
      </c>
      <c r="D1079" s="23">
        <v>-53589</v>
      </c>
      <c r="E1079" s="22" t="s">
        <v>57</v>
      </c>
      <c r="F1079" s="24">
        <v>44160</v>
      </c>
      <c r="G1079" s="22" t="s">
        <v>6449</v>
      </c>
      <c r="H1079" s="22" t="s">
        <v>764</v>
      </c>
      <c r="I1079" s="22" t="s">
        <v>6506</v>
      </c>
      <c r="J1079" s="22" t="s">
        <v>4552</v>
      </c>
      <c r="K1079" s="22" t="s">
        <v>4557</v>
      </c>
      <c r="L1079" s="22"/>
      <c r="M1079" s="22"/>
      <c r="N1079" s="22"/>
    </row>
    <row r="1080" spans="1:14" x14ac:dyDescent="0.25">
      <c r="A1080" s="22" t="s">
        <v>6508</v>
      </c>
      <c r="B1080" s="22" t="s">
        <v>39</v>
      </c>
      <c r="C1080" s="22" t="s">
        <v>6507</v>
      </c>
      <c r="D1080" s="23">
        <v>-9700</v>
      </c>
      <c r="E1080" s="22" t="s">
        <v>57</v>
      </c>
      <c r="F1080" s="24">
        <v>44139</v>
      </c>
      <c r="G1080" s="22" t="s">
        <v>6449</v>
      </c>
      <c r="H1080" s="22" t="s">
        <v>550</v>
      </c>
      <c r="I1080" s="22" t="s">
        <v>6509</v>
      </c>
      <c r="J1080" s="22" t="s">
        <v>4407</v>
      </c>
      <c r="K1080" s="22" t="s">
        <v>4557</v>
      </c>
      <c r="L1080" s="22"/>
      <c r="M1080" s="22"/>
      <c r="N1080" s="22"/>
    </row>
    <row r="1081" spans="1:14" x14ac:dyDescent="0.25">
      <c r="A1081" s="22" t="s">
        <v>6511</v>
      </c>
      <c r="B1081" s="22" t="s">
        <v>39</v>
      </c>
      <c r="C1081" s="22" t="s">
        <v>6510</v>
      </c>
      <c r="D1081" s="23">
        <v>-51900</v>
      </c>
      <c r="E1081" s="22" t="s">
        <v>57</v>
      </c>
      <c r="F1081" s="24">
        <v>44153</v>
      </c>
      <c r="G1081" s="22" t="s">
        <v>6449</v>
      </c>
      <c r="H1081" s="22" t="s">
        <v>6403</v>
      </c>
      <c r="I1081" s="22" t="s">
        <v>6512</v>
      </c>
      <c r="J1081" s="22" t="s">
        <v>4407</v>
      </c>
      <c r="K1081" s="22" t="s">
        <v>4557</v>
      </c>
      <c r="L1081" s="22"/>
      <c r="M1081" s="22"/>
      <c r="N1081" s="22"/>
    </row>
    <row r="1082" spans="1:14" x14ac:dyDescent="0.25">
      <c r="A1082" s="22" t="s">
        <v>6513</v>
      </c>
      <c r="B1082" s="22" t="s">
        <v>39</v>
      </c>
      <c r="C1082" s="22" t="s">
        <v>6510</v>
      </c>
      <c r="D1082" s="23">
        <v>-1235242</v>
      </c>
      <c r="E1082" s="22" t="s">
        <v>57</v>
      </c>
      <c r="F1082" s="24">
        <v>44155</v>
      </c>
      <c r="G1082" s="22" t="s">
        <v>6449</v>
      </c>
      <c r="H1082" s="22" t="s">
        <v>6514</v>
      </c>
      <c r="I1082" s="22" t="s">
        <v>6515</v>
      </c>
      <c r="J1082" s="22" t="s">
        <v>4407</v>
      </c>
      <c r="K1082" s="22" t="s">
        <v>4557</v>
      </c>
      <c r="L1082" s="22"/>
      <c r="M1082" s="22"/>
      <c r="N1082" s="22"/>
    </row>
    <row r="1083" spans="1:14" x14ac:dyDescent="0.25">
      <c r="A1083" s="22" t="s">
        <v>6516</v>
      </c>
      <c r="B1083" s="22" t="s">
        <v>39</v>
      </c>
      <c r="C1083" s="22" t="s">
        <v>6510</v>
      </c>
      <c r="D1083" s="23">
        <v>-100807</v>
      </c>
      <c r="E1083" s="22" t="s">
        <v>57</v>
      </c>
      <c r="F1083" s="24">
        <v>44163</v>
      </c>
      <c r="G1083" s="22" t="s">
        <v>6449</v>
      </c>
      <c r="H1083" s="22" t="s">
        <v>1805</v>
      </c>
      <c r="I1083" s="22" t="s">
        <v>6517</v>
      </c>
      <c r="J1083" s="22" t="s">
        <v>4407</v>
      </c>
      <c r="K1083" s="22" t="s">
        <v>4557</v>
      </c>
      <c r="L1083" s="22"/>
      <c r="M1083" s="22"/>
      <c r="N1083" s="22"/>
    </row>
    <row r="1084" spans="1:14" x14ac:dyDescent="0.25">
      <c r="A1084" s="22" t="s">
        <v>6518</v>
      </c>
      <c r="B1084" s="22" t="s">
        <v>39</v>
      </c>
      <c r="C1084" s="22" t="s">
        <v>4587</v>
      </c>
      <c r="D1084" s="23">
        <v>681625</v>
      </c>
      <c r="E1084" s="22" t="s">
        <v>45</v>
      </c>
      <c r="F1084" s="24">
        <v>44111</v>
      </c>
      <c r="G1084" s="22" t="s">
        <v>6449</v>
      </c>
      <c r="H1084" s="22" t="s">
        <v>2103</v>
      </c>
      <c r="I1084" s="22" t="s">
        <v>6449</v>
      </c>
      <c r="J1084" s="22" t="s">
        <v>4466</v>
      </c>
      <c r="K1084" s="22" t="s">
        <v>2103</v>
      </c>
      <c r="L1084" s="22"/>
      <c r="M1084" s="22"/>
      <c r="N1084" s="22"/>
    </row>
    <row r="1085" spans="1:14" x14ac:dyDescent="0.25">
      <c r="A1085" s="22" t="s">
        <v>6518</v>
      </c>
      <c r="B1085" s="22" t="s">
        <v>39</v>
      </c>
      <c r="C1085" s="22" t="s">
        <v>4587</v>
      </c>
      <c r="D1085" s="23">
        <v>6379154</v>
      </c>
      <c r="E1085" s="22" t="s">
        <v>45</v>
      </c>
      <c r="F1085" s="24">
        <v>44111</v>
      </c>
      <c r="G1085" s="22" t="s">
        <v>6449</v>
      </c>
      <c r="H1085" s="22" t="s">
        <v>2103</v>
      </c>
      <c r="I1085" s="22" t="s">
        <v>6449</v>
      </c>
      <c r="J1085" s="22" t="s">
        <v>4552</v>
      </c>
      <c r="K1085" s="22" t="s">
        <v>2103</v>
      </c>
      <c r="L1085" s="22"/>
      <c r="M1085" s="22"/>
      <c r="N1085" s="22"/>
    </row>
    <row r="1086" spans="1:14" x14ac:dyDescent="0.25">
      <c r="A1086" s="22" t="s">
        <v>6518</v>
      </c>
      <c r="B1086" s="22" t="s">
        <v>39</v>
      </c>
      <c r="C1086" s="22" t="s">
        <v>4587</v>
      </c>
      <c r="D1086" s="23">
        <v>-9707018</v>
      </c>
      <c r="E1086" s="22" t="s">
        <v>45</v>
      </c>
      <c r="F1086" s="24">
        <v>44111</v>
      </c>
      <c r="G1086" s="22" t="s">
        <v>6449</v>
      </c>
      <c r="H1086" s="22" t="s">
        <v>2103</v>
      </c>
      <c r="I1086" s="22" t="s">
        <v>6449</v>
      </c>
      <c r="J1086" s="22" t="s">
        <v>4401</v>
      </c>
      <c r="K1086" s="22" t="s">
        <v>2103</v>
      </c>
      <c r="L1086" s="22"/>
      <c r="M1086" s="22"/>
      <c r="N1086" s="22"/>
    </row>
    <row r="1087" spans="1:14" x14ac:dyDescent="0.25">
      <c r="A1087" s="22" t="s">
        <v>6518</v>
      </c>
      <c r="B1087" s="22" t="s">
        <v>39</v>
      </c>
      <c r="C1087" s="22" t="s">
        <v>4587</v>
      </c>
      <c r="D1087" s="23">
        <v>2646239</v>
      </c>
      <c r="E1087" s="22" t="s">
        <v>45</v>
      </c>
      <c r="F1087" s="24">
        <v>44111</v>
      </c>
      <c r="G1087" s="22" t="s">
        <v>6449</v>
      </c>
      <c r="H1087" s="22" t="s">
        <v>2103</v>
      </c>
      <c r="I1087" s="22" t="s">
        <v>6449</v>
      </c>
      <c r="J1087" s="22" t="s">
        <v>4407</v>
      </c>
      <c r="K1087" s="22" t="s">
        <v>2103</v>
      </c>
      <c r="L1087" s="22"/>
      <c r="M1087" s="22"/>
      <c r="N1087" s="22"/>
    </row>
    <row r="1088" spans="1:14" x14ac:dyDescent="0.25">
      <c r="A1088" s="22" t="s">
        <v>6519</v>
      </c>
      <c r="B1088" s="22" t="s">
        <v>39</v>
      </c>
      <c r="C1088" s="22" t="s">
        <v>4576</v>
      </c>
      <c r="D1088" s="23">
        <v>-562569</v>
      </c>
      <c r="E1088" s="22" t="s">
        <v>57</v>
      </c>
      <c r="F1088" s="24">
        <v>43882</v>
      </c>
      <c r="G1088" s="22" t="s">
        <v>6449</v>
      </c>
      <c r="H1088" s="22" t="s">
        <v>6520</v>
      </c>
      <c r="I1088" s="22" t="s">
        <v>6521</v>
      </c>
      <c r="J1088" s="22" t="s">
        <v>4407</v>
      </c>
      <c r="K1088" s="22" t="s">
        <v>4557</v>
      </c>
      <c r="L1088" s="22"/>
      <c r="M1088" s="22"/>
      <c r="N1088" s="22"/>
    </row>
    <row r="1089" spans="1:14" x14ac:dyDescent="0.25">
      <c r="A1089" s="22" t="s">
        <v>6522</v>
      </c>
      <c r="B1089" s="22" t="s">
        <v>39</v>
      </c>
      <c r="C1089" s="22" t="s">
        <v>4576</v>
      </c>
      <c r="D1089" s="23">
        <v>-164521</v>
      </c>
      <c r="E1089" s="22" t="s">
        <v>57</v>
      </c>
      <c r="F1089" s="24">
        <v>43878</v>
      </c>
      <c r="G1089" s="22" t="s">
        <v>6449</v>
      </c>
      <c r="H1089" s="22" t="s">
        <v>6523</v>
      </c>
      <c r="I1089" s="22" t="s">
        <v>6524</v>
      </c>
      <c r="J1089" s="22" t="s">
        <v>4407</v>
      </c>
      <c r="K1089" s="22" t="s">
        <v>4557</v>
      </c>
      <c r="L1089" s="22"/>
      <c r="M1089" s="22"/>
      <c r="N1089" s="22"/>
    </row>
    <row r="1090" spans="1:14" x14ac:dyDescent="0.25">
      <c r="A1090" s="22" t="s">
        <v>6525</v>
      </c>
      <c r="B1090" s="22" t="s">
        <v>39</v>
      </c>
      <c r="C1090" s="22" t="s">
        <v>4789</v>
      </c>
      <c r="D1090" s="23">
        <v>-25500</v>
      </c>
      <c r="E1090" s="22" t="s">
        <v>57</v>
      </c>
      <c r="F1090" s="24">
        <v>44025</v>
      </c>
      <c r="G1090" s="22" t="s">
        <v>6449</v>
      </c>
      <c r="H1090" s="22" t="s">
        <v>5790</v>
      </c>
      <c r="I1090" s="22" t="s">
        <v>6526</v>
      </c>
      <c r="J1090" s="22" t="s">
        <v>4407</v>
      </c>
      <c r="K1090" s="22" t="s">
        <v>4557</v>
      </c>
      <c r="L1090" s="22"/>
      <c r="M1090" s="22"/>
      <c r="N1090" s="22"/>
    </row>
    <row r="1091" spans="1:14" x14ac:dyDescent="0.25">
      <c r="A1091" s="22" t="s">
        <v>6527</v>
      </c>
      <c r="B1091" s="22" t="s">
        <v>39</v>
      </c>
      <c r="C1091" s="22" t="s">
        <v>4748</v>
      </c>
      <c r="D1091" s="23">
        <v>-111364</v>
      </c>
      <c r="E1091" s="22" t="s">
        <v>57</v>
      </c>
      <c r="F1091" s="24">
        <v>44071</v>
      </c>
      <c r="G1091" s="22" t="s">
        <v>6449</v>
      </c>
      <c r="H1091" s="22" t="s">
        <v>6528</v>
      </c>
      <c r="I1091" s="22" t="s">
        <v>6529</v>
      </c>
      <c r="J1091" s="22" t="s">
        <v>4466</v>
      </c>
      <c r="K1091" s="22" t="s">
        <v>4557</v>
      </c>
      <c r="L1091" s="22"/>
      <c r="M1091" s="22"/>
      <c r="N1091" s="22"/>
    </row>
    <row r="1092" spans="1:14" x14ac:dyDescent="0.25">
      <c r="A1092" s="22" t="s">
        <v>6530</v>
      </c>
      <c r="B1092" s="22" t="s">
        <v>39</v>
      </c>
      <c r="C1092" s="22" t="s">
        <v>4748</v>
      </c>
      <c r="D1092" s="23">
        <v>-435354</v>
      </c>
      <c r="E1092" s="22" t="s">
        <v>57</v>
      </c>
      <c r="F1092" s="24">
        <v>44074</v>
      </c>
      <c r="G1092" s="22" t="s">
        <v>6449</v>
      </c>
      <c r="H1092" s="22" t="s">
        <v>6531</v>
      </c>
      <c r="I1092" s="22" t="s">
        <v>6532</v>
      </c>
      <c r="J1092" s="22" t="s">
        <v>4466</v>
      </c>
      <c r="K1092" s="22" t="s">
        <v>4557</v>
      </c>
      <c r="L1092" s="22"/>
      <c r="M1092" s="22"/>
      <c r="N1092" s="22"/>
    </row>
    <row r="1093" spans="1:14" x14ac:dyDescent="0.25">
      <c r="A1093" s="22" t="s">
        <v>4746</v>
      </c>
      <c r="B1093" s="22" t="s">
        <v>39</v>
      </c>
      <c r="C1093" s="22" t="s">
        <v>4748</v>
      </c>
      <c r="D1093" s="23">
        <v>-134907</v>
      </c>
      <c r="E1093" s="22" t="s">
        <v>57</v>
      </c>
      <c r="F1093" s="24">
        <v>44069</v>
      </c>
      <c r="G1093" s="22" t="s">
        <v>6449</v>
      </c>
      <c r="H1093" s="22" t="s">
        <v>4750</v>
      </c>
      <c r="I1093" s="22" t="s">
        <v>4747</v>
      </c>
      <c r="J1093" s="22" t="s">
        <v>4466</v>
      </c>
      <c r="K1093" s="22" t="s">
        <v>4557</v>
      </c>
      <c r="L1093" s="22"/>
      <c r="M1093" s="22"/>
      <c r="N1093" s="22"/>
    </row>
    <row r="1094" spans="1:14" x14ac:dyDescent="0.25">
      <c r="A1094" s="22" t="s">
        <v>6533</v>
      </c>
      <c r="B1094" s="22" t="s">
        <v>39</v>
      </c>
      <c r="C1094" s="22" t="s">
        <v>4777</v>
      </c>
      <c r="D1094" s="23">
        <v>-35100</v>
      </c>
      <c r="E1094" s="22" t="s">
        <v>57</v>
      </c>
      <c r="F1094" s="24">
        <v>44067</v>
      </c>
      <c r="G1094" s="22" t="s">
        <v>6449</v>
      </c>
      <c r="H1094" s="22" t="s">
        <v>6403</v>
      </c>
      <c r="I1094" s="22" t="s">
        <v>6534</v>
      </c>
      <c r="J1094" s="22" t="s">
        <v>4407</v>
      </c>
      <c r="K1094" s="22" t="s">
        <v>4557</v>
      </c>
      <c r="L1094" s="22"/>
      <c r="M1094" s="22"/>
      <c r="N1094" s="22"/>
    </row>
    <row r="1095" spans="1:14" x14ac:dyDescent="0.25">
      <c r="A1095" s="22" t="s">
        <v>6535</v>
      </c>
      <c r="B1095" s="22" t="s">
        <v>39</v>
      </c>
      <c r="C1095" s="22" t="s">
        <v>4777</v>
      </c>
      <c r="D1095" s="23">
        <v>-49200</v>
      </c>
      <c r="E1095" s="22" t="s">
        <v>57</v>
      </c>
      <c r="F1095" s="24">
        <v>44069</v>
      </c>
      <c r="G1095" s="22" t="s">
        <v>6449</v>
      </c>
      <c r="H1095" s="22" t="s">
        <v>6403</v>
      </c>
      <c r="I1095" s="22" t="s">
        <v>6536</v>
      </c>
      <c r="J1095" s="22" t="s">
        <v>4407</v>
      </c>
      <c r="K1095" s="22" t="s">
        <v>4557</v>
      </c>
      <c r="L1095" s="22"/>
      <c r="M1095" s="22"/>
      <c r="N1095" s="22"/>
    </row>
    <row r="1096" spans="1:14" x14ac:dyDescent="0.25">
      <c r="A1096" s="22" t="s">
        <v>6537</v>
      </c>
      <c r="B1096" s="22" t="s">
        <v>39</v>
      </c>
      <c r="C1096" s="22" t="s">
        <v>6407</v>
      </c>
      <c r="D1096" s="23">
        <v>-83900</v>
      </c>
      <c r="E1096" s="22" t="s">
        <v>57</v>
      </c>
      <c r="F1096" s="24">
        <v>44069</v>
      </c>
      <c r="G1096" s="22" t="s">
        <v>6449</v>
      </c>
      <c r="H1096" s="22" t="s">
        <v>2211</v>
      </c>
      <c r="I1096" s="22" t="s">
        <v>6538</v>
      </c>
      <c r="J1096" s="22" t="s">
        <v>4407</v>
      </c>
      <c r="K1096" s="22" t="s">
        <v>4557</v>
      </c>
      <c r="L1096" s="22"/>
      <c r="M1096" s="22"/>
      <c r="N1096" s="22"/>
    </row>
    <row r="1097" spans="1:14" x14ac:dyDescent="0.25">
      <c r="A1097" s="22" t="s">
        <v>6518</v>
      </c>
      <c r="B1097" s="22" t="s">
        <v>39</v>
      </c>
      <c r="C1097" s="22" t="s">
        <v>5296</v>
      </c>
      <c r="D1097" s="23">
        <v>9707018</v>
      </c>
      <c r="E1097" s="22" t="s">
        <v>42</v>
      </c>
      <c r="F1097" s="24">
        <v>44111</v>
      </c>
      <c r="G1097" s="22" t="s">
        <v>6449</v>
      </c>
      <c r="H1097" s="22" t="s">
        <v>2141</v>
      </c>
      <c r="I1097" s="22" t="s">
        <v>6539</v>
      </c>
      <c r="J1097" s="22" t="s">
        <v>4401</v>
      </c>
      <c r="K1097" s="22" t="s">
        <v>292</v>
      </c>
      <c r="L1097" s="22"/>
      <c r="M1097" s="22"/>
      <c r="N1097" s="22"/>
    </row>
    <row r="1098" spans="1:14" x14ac:dyDescent="0.25">
      <c r="A1098" s="22" t="s">
        <v>6541</v>
      </c>
      <c r="B1098" s="22" t="s">
        <v>39</v>
      </c>
      <c r="C1098" s="22" t="s">
        <v>6540</v>
      </c>
      <c r="D1098" s="23">
        <v>-51900</v>
      </c>
      <c r="E1098" s="22" t="s">
        <v>57</v>
      </c>
      <c r="F1098" s="24">
        <v>44172</v>
      </c>
      <c r="G1098" s="22" t="s">
        <v>6542</v>
      </c>
      <c r="H1098" s="22" t="s">
        <v>6543</v>
      </c>
      <c r="I1098" s="22" t="s">
        <v>6544</v>
      </c>
      <c r="J1098" s="22" t="s">
        <v>4466</v>
      </c>
      <c r="K1098" s="22" t="s">
        <v>4519</v>
      </c>
      <c r="L1098" s="22"/>
      <c r="M1098" s="22"/>
      <c r="N1098" s="22"/>
    </row>
    <row r="1099" spans="1:14" x14ac:dyDescent="0.25">
      <c r="A1099" s="22" t="s">
        <v>6546</v>
      </c>
      <c r="B1099" s="22" t="s">
        <v>39</v>
      </c>
      <c r="C1099" s="22" t="s">
        <v>6545</v>
      </c>
      <c r="D1099" s="23">
        <v>-52778</v>
      </c>
      <c r="E1099" s="22" t="s">
        <v>57</v>
      </c>
      <c r="F1099" s="24">
        <v>44161</v>
      </c>
      <c r="G1099" s="22" t="s">
        <v>6542</v>
      </c>
      <c r="H1099" s="22" t="s">
        <v>2059</v>
      </c>
      <c r="I1099" s="22" t="s">
        <v>6547</v>
      </c>
      <c r="J1099" s="22" t="s">
        <v>4466</v>
      </c>
      <c r="K1099" s="22" t="s">
        <v>83</v>
      </c>
      <c r="L1099" s="22"/>
      <c r="M1099" s="22"/>
      <c r="N1099" s="22"/>
    </row>
    <row r="1100" spans="1:14" x14ac:dyDescent="0.25">
      <c r="A1100" s="22" t="s">
        <v>6549</v>
      </c>
      <c r="B1100" s="22" t="s">
        <v>39</v>
      </c>
      <c r="C1100" s="22" t="s">
        <v>6548</v>
      </c>
      <c r="D1100" s="23">
        <v>-1295113</v>
      </c>
      <c r="E1100" s="22" t="s">
        <v>57</v>
      </c>
      <c r="F1100" s="24">
        <v>44153</v>
      </c>
      <c r="G1100" s="22" t="s">
        <v>6542</v>
      </c>
      <c r="H1100" s="22" t="s">
        <v>6550</v>
      </c>
      <c r="I1100" s="22" t="s">
        <v>6551</v>
      </c>
      <c r="J1100" s="22" t="s">
        <v>4401</v>
      </c>
      <c r="K1100" s="22" t="s">
        <v>83</v>
      </c>
      <c r="L1100" s="22"/>
      <c r="M1100" s="22"/>
      <c r="N1100" s="22"/>
    </row>
    <row r="1101" spans="1:14" x14ac:dyDescent="0.25">
      <c r="A1101" s="22" t="s">
        <v>6370</v>
      </c>
      <c r="B1101" s="22" t="s">
        <v>39</v>
      </c>
      <c r="C1101" s="22" t="s">
        <v>6552</v>
      </c>
      <c r="D1101" s="23">
        <v>104678</v>
      </c>
      <c r="E1101" s="22" t="s">
        <v>45</v>
      </c>
      <c r="F1101" s="24">
        <v>44172</v>
      </c>
      <c r="G1101" s="22" t="s">
        <v>6542</v>
      </c>
      <c r="H1101" s="22" t="s">
        <v>6371</v>
      </c>
      <c r="I1101" s="22" t="s">
        <v>6542</v>
      </c>
      <c r="J1101" s="22" t="s">
        <v>4466</v>
      </c>
      <c r="K1101" s="22" t="s">
        <v>6371</v>
      </c>
      <c r="L1101" s="22"/>
      <c r="M1101" s="22"/>
      <c r="N1101" s="22"/>
    </row>
    <row r="1102" spans="1:14" x14ac:dyDescent="0.25">
      <c r="A1102" s="22" t="s">
        <v>6370</v>
      </c>
      <c r="B1102" s="22" t="s">
        <v>39</v>
      </c>
      <c r="C1102" s="22" t="s">
        <v>6552</v>
      </c>
      <c r="D1102" s="23">
        <v>-2912251</v>
      </c>
      <c r="E1102" s="22" t="s">
        <v>45</v>
      </c>
      <c r="F1102" s="24">
        <v>44172</v>
      </c>
      <c r="G1102" s="22" t="s">
        <v>6542</v>
      </c>
      <c r="H1102" s="22" t="s">
        <v>6371</v>
      </c>
      <c r="I1102" s="22" t="s">
        <v>6542</v>
      </c>
      <c r="J1102" s="22" t="s">
        <v>4401</v>
      </c>
      <c r="K1102" s="22" t="s">
        <v>6371</v>
      </c>
      <c r="L1102" s="22"/>
      <c r="M1102" s="22"/>
      <c r="N1102" s="22"/>
    </row>
    <row r="1103" spans="1:14" x14ac:dyDescent="0.25">
      <c r="A1103" s="22" t="s">
        <v>6370</v>
      </c>
      <c r="B1103" s="22" t="s">
        <v>39</v>
      </c>
      <c r="C1103" s="22" t="s">
        <v>47</v>
      </c>
      <c r="D1103" s="23">
        <v>4207364</v>
      </c>
      <c r="E1103" s="22" t="s">
        <v>45</v>
      </c>
      <c r="F1103" s="24">
        <v>44196</v>
      </c>
      <c r="G1103" s="22" t="s">
        <v>6542</v>
      </c>
      <c r="H1103" s="22" t="s">
        <v>6553</v>
      </c>
      <c r="I1103" s="22" t="s">
        <v>6363</v>
      </c>
      <c r="J1103" s="22" t="s">
        <v>4401</v>
      </c>
      <c r="K1103" s="22" t="s">
        <v>6371</v>
      </c>
      <c r="L1103" s="22"/>
      <c r="M1103" s="22"/>
      <c r="N1103" s="22"/>
    </row>
    <row r="1104" spans="1:14" x14ac:dyDescent="0.25">
      <c r="A1104" s="22" t="s">
        <v>2077</v>
      </c>
      <c r="B1104" s="22" t="s">
        <v>39</v>
      </c>
      <c r="C1104" s="22" t="s">
        <v>74</v>
      </c>
      <c r="D1104" s="23">
        <v>-615</v>
      </c>
      <c r="E1104" s="22" t="s">
        <v>57</v>
      </c>
      <c r="F1104" s="24">
        <v>44078</v>
      </c>
      <c r="G1104" s="22" t="s">
        <v>2078</v>
      </c>
      <c r="H1104" s="22" t="s">
        <v>2079</v>
      </c>
      <c r="I1104" s="22" t="s">
        <v>2076</v>
      </c>
      <c r="J1104" s="22" t="s">
        <v>4552</v>
      </c>
      <c r="K1104" s="22" t="s">
        <v>78</v>
      </c>
      <c r="L1104" s="22"/>
      <c r="M1104" s="22"/>
      <c r="N1104" s="22"/>
    </row>
    <row r="1105" spans="1:14" x14ac:dyDescent="0.25">
      <c r="A1105" s="22" t="s">
        <v>2166</v>
      </c>
      <c r="B1105" s="22" t="s">
        <v>39</v>
      </c>
      <c r="C1105" s="22" t="s">
        <v>6554</v>
      </c>
      <c r="D1105" s="23">
        <v>-57600</v>
      </c>
      <c r="E1105" s="22" t="s">
        <v>57</v>
      </c>
      <c r="F1105" s="24">
        <v>44075</v>
      </c>
      <c r="G1105" s="22" t="s">
        <v>2078</v>
      </c>
      <c r="H1105" s="22" t="s">
        <v>2167</v>
      </c>
      <c r="I1105" s="22" t="s">
        <v>2165</v>
      </c>
      <c r="J1105" s="22" t="s">
        <v>4401</v>
      </c>
      <c r="K1105" s="22" t="s">
        <v>4606</v>
      </c>
      <c r="L1105" s="22"/>
      <c r="M1105" s="22"/>
      <c r="N1105" s="22"/>
    </row>
    <row r="1106" spans="1:14" x14ac:dyDescent="0.25">
      <c r="A1106" s="22" t="s">
        <v>2163</v>
      </c>
      <c r="B1106" s="22" t="s">
        <v>39</v>
      </c>
      <c r="C1106" s="22" t="s">
        <v>6555</v>
      </c>
      <c r="D1106" s="23">
        <v>-11195668</v>
      </c>
      <c r="E1106" s="22" t="s">
        <v>57</v>
      </c>
      <c r="F1106" s="24">
        <v>44148</v>
      </c>
      <c r="G1106" s="22" t="s">
        <v>2078</v>
      </c>
      <c r="H1106" s="22" t="s">
        <v>2164</v>
      </c>
      <c r="I1106" s="22" t="s">
        <v>2162</v>
      </c>
      <c r="J1106" s="22" t="s">
        <v>4401</v>
      </c>
      <c r="K1106" s="22" t="s">
        <v>6556</v>
      </c>
      <c r="L1106" s="22"/>
      <c r="M1106" s="22"/>
      <c r="N1106" s="22"/>
    </row>
    <row r="1107" spans="1:14" x14ac:dyDescent="0.25">
      <c r="A1107" s="22" t="s">
        <v>2161</v>
      </c>
      <c r="B1107" s="22" t="s">
        <v>39</v>
      </c>
      <c r="C1107" s="22" t="s">
        <v>6557</v>
      </c>
      <c r="D1107" s="23">
        <v>-188505</v>
      </c>
      <c r="E1107" s="22" t="s">
        <v>57</v>
      </c>
      <c r="F1107" s="24">
        <v>44074</v>
      </c>
      <c r="G1107" s="22" t="s">
        <v>2078</v>
      </c>
      <c r="H1107" s="22" t="s">
        <v>2114</v>
      </c>
      <c r="I1107" s="22" t="s">
        <v>2160</v>
      </c>
      <c r="J1107" s="22" t="s">
        <v>4401</v>
      </c>
      <c r="K1107" s="22" t="s">
        <v>4606</v>
      </c>
      <c r="L1107" s="22"/>
      <c r="M1107" s="22"/>
      <c r="N1107" s="22"/>
    </row>
    <row r="1108" spans="1:14" x14ac:dyDescent="0.25">
      <c r="A1108" s="22" t="s">
        <v>2145</v>
      </c>
      <c r="B1108" s="22" t="s">
        <v>39</v>
      </c>
      <c r="C1108" s="22" t="s">
        <v>6558</v>
      </c>
      <c r="D1108" s="23">
        <v>63332</v>
      </c>
      <c r="E1108" s="22" t="s">
        <v>45</v>
      </c>
      <c r="F1108" s="24">
        <v>44214</v>
      </c>
      <c r="G1108" s="22" t="s">
        <v>2078</v>
      </c>
      <c r="H1108" s="22" t="s">
        <v>2159</v>
      </c>
      <c r="I1108" s="22" t="s">
        <v>2078</v>
      </c>
      <c r="J1108" s="22" t="s">
        <v>4466</v>
      </c>
      <c r="K1108" s="22" t="s">
        <v>2159</v>
      </c>
      <c r="L1108" s="22"/>
      <c r="M1108" s="22"/>
      <c r="N1108" s="22"/>
    </row>
    <row r="1109" spans="1:14" x14ac:dyDescent="0.25">
      <c r="A1109" s="22" t="s">
        <v>2145</v>
      </c>
      <c r="B1109" s="22" t="s">
        <v>39</v>
      </c>
      <c r="C1109" s="22" t="s">
        <v>6558</v>
      </c>
      <c r="D1109" s="23">
        <v>615</v>
      </c>
      <c r="E1109" s="22" t="s">
        <v>45</v>
      </c>
      <c r="F1109" s="24">
        <v>44214</v>
      </c>
      <c r="G1109" s="22" t="s">
        <v>2078</v>
      </c>
      <c r="H1109" s="22" t="s">
        <v>2159</v>
      </c>
      <c r="I1109" s="22" t="s">
        <v>2078</v>
      </c>
      <c r="J1109" s="22" t="s">
        <v>4552</v>
      </c>
      <c r="K1109" s="22" t="s">
        <v>2159</v>
      </c>
      <c r="L1109" s="22"/>
      <c r="M1109" s="22"/>
      <c r="N1109" s="22"/>
    </row>
    <row r="1110" spans="1:14" x14ac:dyDescent="0.25">
      <c r="A1110" s="22" t="s">
        <v>2145</v>
      </c>
      <c r="B1110" s="22" t="s">
        <v>39</v>
      </c>
      <c r="C1110" s="22" t="s">
        <v>6558</v>
      </c>
      <c r="D1110" s="23">
        <v>-8302453</v>
      </c>
      <c r="E1110" s="22" t="s">
        <v>45</v>
      </c>
      <c r="F1110" s="24">
        <v>44214</v>
      </c>
      <c r="G1110" s="22" t="s">
        <v>2078</v>
      </c>
      <c r="H1110" s="22" t="s">
        <v>2159</v>
      </c>
      <c r="I1110" s="22" t="s">
        <v>2078</v>
      </c>
      <c r="J1110" s="22" t="s">
        <v>4401</v>
      </c>
      <c r="K1110" s="22" t="s">
        <v>2159</v>
      </c>
      <c r="L1110" s="22"/>
      <c r="M1110" s="22"/>
      <c r="N1110" s="22"/>
    </row>
    <row r="1111" spans="1:14" x14ac:dyDescent="0.25">
      <c r="A1111" s="22" t="s">
        <v>2157</v>
      </c>
      <c r="B1111" s="22" t="s">
        <v>39</v>
      </c>
      <c r="C1111" s="22" t="s">
        <v>6559</v>
      </c>
      <c r="D1111" s="23">
        <v>-111200</v>
      </c>
      <c r="E1111" s="22" t="s">
        <v>57</v>
      </c>
      <c r="F1111" s="24">
        <v>44007</v>
      </c>
      <c r="G1111" s="22" t="s">
        <v>2078</v>
      </c>
      <c r="H1111" s="22" t="s">
        <v>2158</v>
      </c>
      <c r="I1111" s="22" t="s">
        <v>2156</v>
      </c>
      <c r="J1111" s="22" t="s">
        <v>4401</v>
      </c>
      <c r="K1111" s="22" t="s">
        <v>5038</v>
      </c>
      <c r="L1111" s="22"/>
      <c r="M1111" s="22"/>
      <c r="N1111" s="22"/>
    </row>
    <row r="1112" spans="1:14" x14ac:dyDescent="0.25">
      <c r="A1112" s="22" t="s">
        <v>2154</v>
      </c>
      <c r="B1112" s="22" t="s">
        <v>39</v>
      </c>
      <c r="C1112" s="22" t="s">
        <v>6560</v>
      </c>
      <c r="D1112" s="23">
        <v>-63332</v>
      </c>
      <c r="E1112" s="22" t="s">
        <v>57</v>
      </c>
      <c r="F1112" s="24">
        <v>44067</v>
      </c>
      <c r="G1112" s="22" t="s">
        <v>2078</v>
      </c>
      <c r="H1112" s="22" t="s">
        <v>2155</v>
      </c>
      <c r="I1112" s="22" t="s">
        <v>2153</v>
      </c>
      <c r="J1112" s="22" t="s">
        <v>4466</v>
      </c>
      <c r="K1112" s="22" t="s">
        <v>4606</v>
      </c>
      <c r="L1112" s="22"/>
      <c r="M1112" s="22"/>
      <c r="N1112" s="22"/>
    </row>
    <row r="1113" spans="1:14" x14ac:dyDescent="0.25">
      <c r="A1113" s="22" t="s">
        <v>2151</v>
      </c>
      <c r="B1113" s="22" t="s">
        <v>39</v>
      </c>
      <c r="C1113" s="22" t="s">
        <v>6561</v>
      </c>
      <c r="D1113" s="23">
        <v>-2890580</v>
      </c>
      <c r="E1113" s="22" t="s">
        <v>57</v>
      </c>
      <c r="F1113" s="24">
        <v>44063</v>
      </c>
      <c r="G1113" s="22" t="s">
        <v>2078</v>
      </c>
      <c r="H1113" s="22" t="s">
        <v>2152</v>
      </c>
      <c r="I1113" s="22" t="s">
        <v>2150</v>
      </c>
      <c r="J1113" s="22" t="s">
        <v>4401</v>
      </c>
      <c r="K1113" s="22" t="s">
        <v>4606</v>
      </c>
      <c r="L1113" s="22"/>
      <c r="M1113" s="22"/>
      <c r="N1113" s="22"/>
    </row>
    <row r="1114" spans="1:14" x14ac:dyDescent="0.25">
      <c r="A1114" s="22" t="s">
        <v>2143</v>
      </c>
      <c r="B1114" s="22" t="s">
        <v>39</v>
      </c>
      <c r="C1114" s="22" t="s">
        <v>5054</v>
      </c>
      <c r="D1114" s="23">
        <v>4785867</v>
      </c>
      <c r="E1114" s="22" t="s">
        <v>42</v>
      </c>
      <c r="F1114" s="24">
        <v>44053</v>
      </c>
      <c r="G1114" s="22" t="s">
        <v>2078</v>
      </c>
      <c r="H1114" s="22" t="s">
        <v>292</v>
      </c>
      <c r="I1114" s="22" t="s">
        <v>2142</v>
      </c>
      <c r="J1114" s="22" t="s">
        <v>4401</v>
      </c>
      <c r="K1114" s="22" t="s">
        <v>5054</v>
      </c>
      <c r="L1114" s="22"/>
      <c r="M1114" s="22"/>
      <c r="N1114" s="22"/>
    </row>
    <row r="1115" spans="1:14" x14ac:dyDescent="0.25">
      <c r="A1115" s="22" t="s">
        <v>2140</v>
      </c>
      <c r="B1115" s="22" t="s">
        <v>39</v>
      </c>
      <c r="C1115" s="22" t="s">
        <v>5054</v>
      </c>
      <c r="D1115" s="23">
        <v>2263474</v>
      </c>
      <c r="E1115" s="22" t="s">
        <v>42</v>
      </c>
      <c r="F1115" s="24">
        <v>44111</v>
      </c>
      <c r="G1115" s="22" t="s">
        <v>2078</v>
      </c>
      <c r="H1115" s="22" t="s">
        <v>2141</v>
      </c>
      <c r="I1115" s="22" t="s">
        <v>2139</v>
      </c>
      <c r="J1115" s="22" t="s">
        <v>4401</v>
      </c>
      <c r="K1115" s="22" t="s">
        <v>292</v>
      </c>
      <c r="L1115" s="22"/>
      <c r="M1115" s="22"/>
      <c r="N1115" s="22"/>
    </row>
    <row r="1116" spans="1:14" x14ac:dyDescent="0.25">
      <c r="A1116" s="22" t="s">
        <v>2138</v>
      </c>
      <c r="B1116" s="22" t="s">
        <v>39</v>
      </c>
      <c r="C1116" s="22" t="s">
        <v>5054</v>
      </c>
      <c r="D1116" s="23">
        <v>1110399</v>
      </c>
      <c r="E1116" s="22" t="s">
        <v>42</v>
      </c>
      <c r="F1116" s="24">
        <v>44144</v>
      </c>
      <c r="G1116" s="22" t="s">
        <v>2078</v>
      </c>
      <c r="H1116" s="22" t="s">
        <v>1741</v>
      </c>
      <c r="I1116" s="22" t="s">
        <v>2137</v>
      </c>
      <c r="J1116" s="22" t="s">
        <v>4401</v>
      </c>
      <c r="K1116" s="22" t="s">
        <v>292</v>
      </c>
      <c r="L1116" s="22"/>
      <c r="M1116" s="22"/>
      <c r="N1116" s="22"/>
    </row>
    <row r="1117" spans="1:14" x14ac:dyDescent="0.25">
      <c r="A1117" s="22" t="s">
        <v>2149</v>
      </c>
      <c r="B1117" s="22" t="s">
        <v>39</v>
      </c>
      <c r="C1117" s="22" t="s">
        <v>3553</v>
      </c>
      <c r="D1117" s="23">
        <v>1389097</v>
      </c>
      <c r="E1117" s="22" t="s">
        <v>42</v>
      </c>
      <c r="F1117" s="24">
        <v>44172</v>
      </c>
      <c r="G1117" s="22" t="s">
        <v>2078</v>
      </c>
      <c r="H1117" s="22" t="s">
        <v>1741</v>
      </c>
      <c r="I1117" s="22" t="s">
        <v>2148</v>
      </c>
      <c r="J1117" s="22" t="s">
        <v>4401</v>
      </c>
      <c r="K1117" s="22" t="s">
        <v>292</v>
      </c>
      <c r="L1117" s="22"/>
      <c r="M1117" s="22"/>
      <c r="N1117" s="22"/>
    </row>
    <row r="1118" spans="1:14" x14ac:dyDescent="0.25">
      <c r="A1118" s="22" t="s">
        <v>2147</v>
      </c>
      <c r="B1118" s="22" t="s">
        <v>39</v>
      </c>
      <c r="C1118" s="22" t="s">
        <v>3553</v>
      </c>
      <c r="D1118" s="23">
        <v>2001501</v>
      </c>
      <c r="E1118" s="22" t="s">
        <v>42</v>
      </c>
      <c r="F1118" s="24">
        <v>44214</v>
      </c>
      <c r="G1118" s="22" t="s">
        <v>2078</v>
      </c>
      <c r="H1118" s="22" t="s">
        <v>1741</v>
      </c>
      <c r="I1118" s="22" t="s">
        <v>2146</v>
      </c>
      <c r="J1118" s="22" t="s">
        <v>4401</v>
      </c>
      <c r="K1118" s="22" t="s">
        <v>292</v>
      </c>
      <c r="L1118" s="22"/>
      <c r="M1118" s="22"/>
      <c r="N1118" s="22"/>
    </row>
    <row r="1119" spans="1:14" x14ac:dyDescent="0.25">
      <c r="A1119" s="22" t="s">
        <v>2145</v>
      </c>
      <c r="B1119" s="22" t="s">
        <v>39</v>
      </c>
      <c r="C1119" s="22" t="s">
        <v>3553</v>
      </c>
      <c r="D1119" s="23">
        <v>11195668</v>
      </c>
      <c r="E1119" s="22" t="s">
        <v>42</v>
      </c>
      <c r="F1119" s="24">
        <v>44214</v>
      </c>
      <c r="G1119" s="22" t="s">
        <v>2078</v>
      </c>
      <c r="H1119" s="22" t="s">
        <v>1741</v>
      </c>
      <c r="I1119" s="22" t="s">
        <v>2144</v>
      </c>
      <c r="J1119" s="22" t="s">
        <v>4401</v>
      </c>
      <c r="K1119" s="22" t="s">
        <v>292</v>
      </c>
      <c r="L1119" s="22"/>
      <c r="M1119" s="22"/>
      <c r="N1119" s="22"/>
    </row>
    <row r="1120" spans="1:14" x14ac:dyDescent="0.25">
      <c r="A1120" s="22" t="s">
        <v>2097</v>
      </c>
      <c r="B1120" s="22" t="s">
        <v>39</v>
      </c>
      <c r="C1120" s="22" t="s">
        <v>6562</v>
      </c>
      <c r="D1120" s="23">
        <v>-181900</v>
      </c>
      <c r="E1120" s="22" t="s">
        <v>57</v>
      </c>
      <c r="F1120" s="24">
        <v>44103</v>
      </c>
      <c r="G1120" s="22" t="s">
        <v>2082</v>
      </c>
      <c r="H1120" s="22" t="s">
        <v>2098</v>
      </c>
      <c r="I1120" s="22" t="s">
        <v>2096</v>
      </c>
      <c r="J1120" s="22" t="s">
        <v>4401</v>
      </c>
      <c r="K1120" s="22" t="s">
        <v>6563</v>
      </c>
      <c r="L1120" s="22"/>
      <c r="M1120" s="22"/>
      <c r="N1120" s="22"/>
    </row>
    <row r="1121" spans="1:14" x14ac:dyDescent="0.25">
      <c r="A1121" s="22" t="s">
        <v>2094</v>
      </c>
      <c r="B1121" s="22" t="s">
        <v>39</v>
      </c>
      <c r="C1121" s="22" t="s">
        <v>6564</v>
      </c>
      <c r="D1121" s="23">
        <v>-160990</v>
      </c>
      <c r="E1121" s="22" t="s">
        <v>57</v>
      </c>
      <c r="F1121" s="24">
        <v>44174</v>
      </c>
      <c r="G1121" s="22" t="s">
        <v>2082</v>
      </c>
      <c r="H1121" s="22" t="s">
        <v>2095</v>
      </c>
      <c r="I1121" s="22" t="s">
        <v>2093</v>
      </c>
      <c r="J1121" s="22" t="s">
        <v>4466</v>
      </c>
      <c r="K1121" s="22" t="s">
        <v>4424</v>
      </c>
      <c r="L1121" s="22"/>
      <c r="M1121" s="22"/>
      <c r="N1121" s="22"/>
    </row>
    <row r="1122" spans="1:14" x14ac:dyDescent="0.25">
      <c r="A1122" s="22" t="s">
        <v>2091</v>
      </c>
      <c r="B1122" s="22" t="s">
        <v>39</v>
      </c>
      <c r="C1122" s="22" t="s">
        <v>4576</v>
      </c>
      <c r="D1122" s="23">
        <v>-113900</v>
      </c>
      <c r="E1122" s="22" t="s">
        <v>57</v>
      </c>
      <c r="F1122" s="24">
        <v>43886</v>
      </c>
      <c r="G1122" s="22" t="s">
        <v>2082</v>
      </c>
      <c r="H1122" s="22" t="s">
        <v>2092</v>
      </c>
      <c r="I1122" s="22" t="s">
        <v>2090</v>
      </c>
      <c r="J1122" s="22" t="s">
        <v>4407</v>
      </c>
      <c r="K1122" s="22" t="s">
        <v>4557</v>
      </c>
      <c r="L1122" s="22"/>
      <c r="M1122" s="22"/>
      <c r="N1122" s="22"/>
    </row>
    <row r="1123" spans="1:14" x14ac:dyDescent="0.25">
      <c r="A1123" s="22" t="s">
        <v>2036</v>
      </c>
      <c r="B1123" s="22" t="s">
        <v>39</v>
      </c>
      <c r="C1123" s="22" t="s">
        <v>4576</v>
      </c>
      <c r="D1123" s="23">
        <v>-48226</v>
      </c>
      <c r="E1123" s="22" t="s">
        <v>57</v>
      </c>
      <c r="F1123" s="24">
        <v>43887</v>
      </c>
      <c r="G1123" s="22" t="s">
        <v>2082</v>
      </c>
      <c r="H1123" s="22" t="s">
        <v>2031</v>
      </c>
      <c r="I1123" s="22" t="s">
        <v>2035</v>
      </c>
      <c r="J1123" s="22" t="s">
        <v>4407</v>
      </c>
      <c r="K1123" s="22" t="s">
        <v>4557</v>
      </c>
      <c r="L1123" s="22"/>
      <c r="M1123" s="22"/>
      <c r="N1123" s="22"/>
    </row>
    <row r="1124" spans="1:14" x14ac:dyDescent="0.25">
      <c r="A1124" s="22" t="s">
        <v>2089</v>
      </c>
      <c r="B1124" s="22" t="s">
        <v>39</v>
      </c>
      <c r="C1124" s="22" t="s">
        <v>3504</v>
      </c>
      <c r="D1124" s="23">
        <v>738566</v>
      </c>
      <c r="E1124" s="22" t="s">
        <v>42</v>
      </c>
      <c r="F1124" s="24">
        <v>44214</v>
      </c>
      <c r="G1124" s="22" t="s">
        <v>2082</v>
      </c>
      <c r="H1124" s="22" t="s">
        <v>1741</v>
      </c>
      <c r="I1124" s="22" t="s">
        <v>2088</v>
      </c>
      <c r="J1124" s="22" t="s">
        <v>4401</v>
      </c>
      <c r="K1124" s="22" t="s">
        <v>292</v>
      </c>
      <c r="L1124" s="22"/>
      <c r="M1124" s="22"/>
      <c r="N1124" s="22"/>
    </row>
    <row r="1125" spans="1:14" x14ac:dyDescent="0.25">
      <c r="A1125" s="22" t="s">
        <v>2087</v>
      </c>
      <c r="B1125" s="22" t="s">
        <v>39</v>
      </c>
      <c r="C1125" s="22" t="s">
        <v>3504</v>
      </c>
      <c r="D1125" s="23">
        <v>80495</v>
      </c>
      <c r="E1125" s="22" t="s">
        <v>42</v>
      </c>
      <c r="F1125" s="24">
        <v>44232</v>
      </c>
      <c r="G1125" s="22" t="s">
        <v>2082</v>
      </c>
      <c r="H1125" s="22" t="s">
        <v>1886</v>
      </c>
      <c r="I1125" s="22" t="s">
        <v>2086</v>
      </c>
      <c r="J1125" s="22" t="s">
        <v>4401</v>
      </c>
      <c r="K1125" s="22" t="s">
        <v>292</v>
      </c>
      <c r="L1125" s="22"/>
      <c r="M1125" s="22"/>
      <c r="N1125" s="22"/>
    </row>
    <row r="1126" spans="1:14" x14ac:dyDescent="0.25">
      <c r="A1126" s="22" t="s">
        <v>2084</v>
      </c>
      <c r="B1126" s="22" t="s">
        <v>39</v>
      </c>
      <c r="C1126" s="22" t="s">
        <v>3504</v>
      </c>
      <c r="D1126" s="23">
        <v>160990</v>
      </c>
      <c r="E1126" s="22" t="s">
        <v>45</v>
      </c>
      <c r="F1126" s="24">
        <v>44232</v>
      </c>
      <c r="G1126" s="22" t="s">
        <v>2082</v>
      </c>
      <c r="H1126" s="22" t="s">
        <v>2085</v>
      </c>
      <c r="I1126" s="22" t="s">
        <v>2082</v>
      </c>
      <c r="J1126" s="22" t="s">
        <v>4466</v>
      </c>
      <c r="K1126" s="22" t="s">
        <v>6565</v>
      </c>
      <c r="L1126" s="22"/>
      <c r="M1126" s="22"/>
      <c r="N1126" s="22"/>
    </row>
    <row r="1127" spans="1:14" x14ac:dyDescent="0.25">
      <c r="A1127" s="22" t="s">
        <v>2084</v>
      </c>
      <c r="B1127" s="22" t="s">
        <v>39</v>
      </c>
      <c r="C1127" s="22" t="s">
        <v>3504</v>
      </c>
      <c r="D1127" s="23">
        <v>-637161</v>
      </c>
      <c r="E1127" s="22" t="s">
        <v>45</v>
      </c>
      <c r="F1127" s="24">
        <v>44232</v>
      </c>
      <c r="G1127" s="22" t="s">
        <v>2082</v>
      </c>
      <c r="H1127" s="22" t="s">
        <v>2085</v>
      </c>
      <c r="I1127" s="22" t="s">
        <v>2082</v>
      </c>
      <c r="J1127" s="22" t="s">
        <v>4401</v>
      </c>
      <c r="K1127" s="22" t="s">
        <v>6565</v>
      </c>
      <c r="L1127" s="22"/>
      <c r="M1127" s="22"/>
      <c r="N1127" s="22"/>
    </row>
    <row r="1128" spans="1:14" x14ac:dyDescent="0.25">
      <c r="A1128" s="22" t="s">
        <v>2084</v>
      </c>
      <c r="B1128" s="22" t="s">
        <v>39</v>
      </c>
      <c r="C1128" s="22" t="s">
        <v>3504</v>
      </c>
      <c r="D1128" s="23">
        <v>476171</v>
      </c>
      <c r="E1128" s="22" t="s">
        <v>45</v>
      </c>
      <c r="F1128" s="24">
        <v>44232</v>
      </c>
      <c r="G1128" s="22" t="s">
        <v>2082</v>
      </c>
      <c r="H1128" s="22" t="s">
        <v>2085</v>
      </c>
      <c r="I1128" s="22" t="s">
        <v>2082</v>
      </c>
      <c r="J1128" s="22" t="s">
        <v>4407</v>
      </c>
      <c r="K1128" s="22" t="s">
        <v>6565</v>
      </c>
      <c r="L1128" s="22"/>
      <c r="M1128" s="22"/>
      <c r="N1128" s="22"/>
    </row>
    <row r="1129" spans="1:14" x14ac:dyDescent="0.25">
      <c r="A1129" s="22" t="s">
        <v>2081</v>
      </c>
      <c r="B1129" s="22" t="s">
        <v>39</v>
      </c>
      <c r="C1129" s="22" t="s">
        <v>6566</v>
      </c>
      <c r="D1129" s="23">
        <v>-314045</v>
      </c>
      <c r="E1129" s="22" t="s">
        <v>588</v>
      </c>
      <c r="F1129" s="24">
        <v>44095</v>
      </c>
      <c r="G1129" s="22" t="s">
        <v>2082</v>
      </c>
      <c r="H1129" s="22" t="s">
        <v>2083</v>
      </c>
      <c r="I1129" s="22" t="s">
        <v>2080</v>
      </c>
      <c r="J1129" s="22" t="s">
        <v>4407</v>
      </c>
      <c r="K1129" s="22" t="s">
        <v>4479</v>
      </c>
      <c r="L1129" s="22"/>
      <c r="M1129" s="22"/>
      <c r="N1129" s="22"/>
    </row>
    <row r="1130" spans="1:14" x14ac:dyDescent="0.25">
      <c r="A1130" s="22" t="s">
        <v>2135</v>
      </c>
      <c r="B1130" s="22" t="s">
        <v>39</v>
      </c>
      <c r="C1130" s="22" t="s">
        <v>6567</v>
      </c>
      <c r="D1130" s="23">
        <v>-53443</v>
      </c>
      <c r="E1130" s="22" t="s">
        <v>57</v>
      </c>
      <c r="F1130" s="24">
        <v>44181</v>
      </c>
      <c r="G1130" s="22" t="s">
        <v>2028</v>
      </c>
      <c r="H1130" s="22" t="s">
        <v>2136</v>
      </c>
      <c r="I1130" s="22" t="s">
        <v>2134</v>
      </c>
      <c r="J1130" s="22" t="s">
        <v>4466</v>
      </c>
      <c r="K1130" s="22" t="s">
        <v>78</v>
      </c>
      <c r="L1130" s="22"/>
      <c r="M1130" s="22"/>
      <c r="N1130" s="22"/>
    </row>
    <row r="1131" spans="1:14" x14ac:dyDescent="0.25">
      <c r="A1131" s="22" t="s">
        <v>2133</v>
      </c>
      <c r="B1131" s="22" t="s">
        <v>39</v>
      </c>
      <c r="C1131" s="22" t="s">
        <v>6568</v>
      </c>
      <c r="D1131" s="23">
        <v>-52857</v>
      </c>
      <c r="E1131" s="22" t="s">
        <v>57</v>
      </c>
      <c r="F1131" s="24">
        <v>44193</v>
      </c>
      <c r="G1131" s="22" t="s">
        <v>2028</v>
      </c>
      <c r="H1131" s="22" t="s">
        <v>2031</v>
      </c>
      <c r="I1131" s="22" t="s">
        <v>2132</v>
      </c>
      <c r="J1131" s="22" t="s">
        <v>4401</v>
      </c>
      <c r="K1131" s="22" t="s">
        <v>78</v>
      </c>
      <c r="L1131" s="22"/>
      <c r="M1131" s="22"/>
      <c r="N1131" s="22"/>
    </row>
    <row r="1132" spans="1:14" x14ac:dyDescent="0.25">
      <c r="A1132" s="22" t="s">
        <v>2130</v>
      </c>
      <c r="B1132" s="22" t="s">
        <v>39</v>
      </c>
      <c r="C1132" s="22" t="s">
        <v>6569</v>
      </c>
      <c r="D1132" s="23">
        <v>-100100</v>
      </c>
      <c r="E1132" s="22" t="s">
        <v>57</v>
      </c>
      <c r="F1132" s="24">
        <v>44161</v>
      </c>
      <c r="G1132" s="22" t="s">
        <v>2028</v>
      </c>
      <c r="H1132" s="22" t="s">
        <v>2131</v>
      </c>
      <c r="I1132" s="22" t="s">
        <v>2129</v>
      </c>
      <c r="J1132" s="22" t="s">
        <v>4407</v>
      </c>
      <c r="K1132" s="22" t="s">
        <v>83</v>
      </c>
      <c r="L1132" s="22"/>
      <c r="M1132" s="22"/>
      <c r="N1132" s="22"/>
    </row>
    <row r="1133" spans="1:14" x14ac:dyDescent="0.25">
      <c r="A1133" s="22" t="s">
        <v>2027</v>
      </c>
      <c r="B1133" s="22" t="s">
        <v>39</v>
      </c>
      <c r="C1133" s="22" t="s">
        <v>6570</v>
      </c>
      <c r="D1133" s="23">
        <v>53443</v>
      </c>
      <c r="E1133" s="22" t="s">
        <v>45</v>
      </c>
      <c r="F1133" s="24">
        <v>44260</v>
      </c>
      <c r="G1133" s="22" t="s">
        <v>2028</v>
      </c>
      <c r="H1133" s="22" t="s">
        <v>2128</v>
      </c>
      <c r="I1133" s="22" t="s">
        <v>2028</v>
      </c>
      <c r="J1133" s="22" t="s">
        <v>4466</v>
      </c>
      <c r="K1133" s="22" t="s">
        <v>6571</v>
      </c>
      <c r="L1133" s="22"/>
      <c r="M1133" s="22"/>
      <c r="N1133" s="22"/>
    </row>
    <row r="1134" spans="1:14" x14ac:dyDescent="0.25">
      <c r="A1134" s="22" t="s">
        <v>2027</v>
      </c>
      <c r="B1134" s="22" t="s">
        <v>39</v>
      </c>
      <c r="C1134" s="22" t="s">
        <v>6570</v>
      </c>
      <c r="D1134" s="23">
        <v>-609128</v>
      </c>
      <c r="E1134" s="22" t="s">
        <v>45</v>
      </c>
      <c r="F1134" s="24">
        <v>44260</v>
      </c>
      <c r="G1134" s="22" t="s">
        <v>2028</v>
      </c>
      <c r="H1134" s="22" t="s">
        <v>2128</v>
      </c>
      <c r="I1134" s="22" t="s">
        <v>2028</v>
      </c>
      <c r="J1134" s="22" t="s">
        <v>4401</v>
      </c>
      <c r="K1134" s="22" t="s">
        <v>6571</v>
      </c>
      <c r="L1134" s="22"/>
      <c r="M1134" s="22"/>
      <c r="N1134" s="22"/>
    </row>
    <row r="1135" spans="1:14" x14ac:dyDescent="0.25">
      <c r="A1135" s="22" t="s">
        <v>2027</v>
      </c>
      <c r="B1135" s="22" t="s">
        <v>39</v>
      </c>
      <c r="C1135" s="22" t="s">
        <v>6570</v>
      </c>
      <c r="D1135" s="23">
        <v>366718</v>
      </c>
      <c r="E1135" s="22" t="s">
        <v>45</v>
      </c>
      <c r="F1135" s="24">
        <v>44260</v>
      </c>
      <c r="G1135" s="22" t="s">
        <v>2028</v>
      </c>
      <c r="H1135" s="22" t="s">
        <v>2128</v>
      </c>
      <c r="I1135" s="22" t="s">
        <v>2028</v>
      </c>
      <c r="J1135" s="22" t="s">
        <v>4407</v>
      </c>
      <c r="K1135" s="22" t="s">
        <v>6571</v>
      </c>
      <c r="L1135" s="22"/>
      <c r="M1135" s="22"/>
      <c r="N1135" s="22"/>
    </row>
    <row r="1136" spans="1:14" x14ac:dyDescent="0.25">
      <c r="A1136" s="22" t="s">
        <v>2124</v>
      </c>
      <c r="B1136" s="22" t="s">
        <v>39</v>
      </c>
      <c r="C1136" s="22" t="s">
        <v>4576</v>
      </c>
      <c r="D1136" s="23">
        <v>-28573</v>
      </c>
      <c r="E1136" s="22" t="s">
        <v>2073</v>
      </c>
      <c r="F1136" s="24">
        <v>43878</v>
      </c>
      <c r="G1136" s="22" t="s">
        <v>2028</v>
      </c>
      <c r="H1136" s="22" t="s">
        <v>2122</v>
      </c>
      <c r="I1136" s="22" t="s">
        <v>2123</v>
      </c>
      <c r="J1136" s="22" t="s">
        <v>4407</v>
      </c>
      <c r="K1136" s="22" t="s">
        <v>4557</v>
      </c>
      <c r="L1136" s="22"/>
      <c r="M1136" s="22"/>
      <c r="N1136" s="22"/>
    </row>
    <row r="1137" spans="1:14" x14ac:dyDescent="0.25">
      <c r="A1137" s="22" t="s">
        <v>2121</v>
      </c>
      <c r="B1137" s="22" t="s">
        <v>39</v>
      </c>
      <c r="C1137" s="22" t="s">
        <v>4576</v>
      </c>
      <c r="D1137" s="23">
        <v>-7500</v>
      </c>
      <c r="E1137" s="22" t="s">
        <v>2073</v>
      </c>
      <c r="F1137" s="24">
        <v>43886</v>
      </c>
      <c r="G1137" s="22" t="s">
        <v>2028</v>
      </c>
      <c r="H1137" s="22" t="s">
        <v>2122</v>
      </c>
      <c r="I1137" s="22" t="s">
        <v>2120</v>
      </c>
      <c r="J1137" s="22" t="s">
        <v>4407</v>
      </c>
      <c r="K1137" s="22" t="s">
        <v>4557</v>
      </c>
      <c r="L1137" s="22"/>
      <c r="M1137" s="22"/>
      <c r="N1137" s="22"/>
    </row>
    <row r="1138" spans="1:14" x14ac:dyDescent="0.25">
      <c r="A1138" s="22" t="s">
        <v>2074</v>
      </c>
      <c r="B1138" s="22" t="s">
        <v>39</v>
      </c>
      <c r="C1138" s="22" t="s">
        <v>4576</v>
      </c>
      <c r="D1138" s="23">
        <v>-27971</v>
      </c>
      <c r="E1138" s="22" t="s">
        <v>2073</v>
      </c>
      <c r="F1138" s="24">
        <v>43882</v>
      </c>
      <c r="G1138" s="22" t="s">
        <v>2028</v>
      </c>
      <c r="H1138" s="22" t="s">
        <v>2075</v>
      </c>
      <c r="I1138" s="22" t="s">
        <v>2072</v>
      </c>
      <c r="J1138" s="22" t="s">
        <v>4407</v>
      </c>
      <c r="K1138" s="22" t="s">
        <v>4557</v>
      </c>
      <c r="L1138" s="22"/>
      <c r="M1138" s="22"/>
      <c r="N1138" s="22"/>
    </row>
    <row r="1139" spans="1:14" x14ac:dyDescent="0.25">
      <c r="A1139" s="22" t="s">
        <v>2126</v>
      </c>
      <c r="B1139" s="22" t="s">
        <v>39</v>
      </c>
      <c r="C1139" s="22" t="s">
        <v>4576</v>
      </c>
      <c r="D1139" s="23">
        <v>-98900</v>
      </c>
      <c r="E1139" s="22" t="s">
        <v>57</v>
      </c>
      <c r="F1139" s="24">
        <v>43893</v>
      </c>
      <c r="G1139" s="22" t="s">
        <v>2028</v>
      </c>
      <c r="H1139" s="22" t="s">
        <v>2127</v>
      </c>
      <c r="I1139" s="22" t="s">
        <v>2125</v>
      </c>
      <c r="J1139" s="22" t="s">
        <v>4407</v>
      </c>
      <c r="K1139" s="22" t="s">
        <v>4557</v>
      </c>
      <c r="L1139" s="22"/>
      <c r="M1139" s="22"/>
      <c r="N1139" s="22"/>
    </row>
    <row r="1140" spans="1:14" x14ac:dyDescent="0.25">
      <c r="A1140" s="22" t="s">
        <v>2036</v>
      </c>
      <c r="B1140" s="22" t="s">
        <v>39</v>
      </c>
      <c r="C1140" s="22" t="s">
        <v>4576</v>
      </c>
      <c r="D1140" s="23">
        <v>-2474</v>
      </c>
      <c r="E1140" s="22" t="s">
        <v>57</v>
      </c>
      <c r="F1140" s="24">
        <v>43887</v>
      </c>
      <c r="G1140" s="22" t="s">
        <v>2028</v>
      </c>
      <c r="H1140" s="22" t="s">
        <v>2031</v>
      </c>
      <c r="I1140" s="22" t="s">
        <v>2035</v>
      </c>
      <c r="J1140" s="22" t="s">
        <v>4407</v>
      </c>
      <c r="K1140" s="22" t="s">
        <v>4557</v>
      </c>
      <c r="L1140" s="22"/>
      <c r="M1140" s="22"/>
      <c r="N1140" s="22"/>
    </row>
    <row r="1141" spans="1:14" x14ac:dyDescent="0.25">
      <c r="A1141" s="22" t="s">
        <v>2033</v>
      </c>
      <c r="B1141" s="22" t="s">
        <v>39</v>
      </c>
      <c r="C1141" s="22" t="s">
        <v>4789</v>
      </c>
      <c r="D1141" s="23">
        <v>-50600</v>
      </c>
      <c r="E1141" s="22" t="s">
        <v>57</v>
      </c>
      <c r="F1141" s="24">
        <v>44036</v>
      </c>
      <c r="G1141" s="22" t="s">
        <v>2028</v>
      </c>
      <c r="H1141" s="22" t="s">
        <v>2034</v>
      </c>
      <c r="I1141" s="22" t="s">
        <v>2032</v>
      </c>
      <c r="J1141" s="22" t="s">
        <v>4407</v>
      </c>
      <c r="K1141" s="22" t="s">
        <v>4557</v>
      </c>
      <c r="L1141" s="22"/>
      <c r="M1141" s="22"/>
      <c r="N1141" s="22"/>
    </row>
    <row r="1142" spans="1:14" x14ac:dyDescent="0.25">
      <c r="A1142" s="22" t="s">
        <v>2030</v>
      </c>
      <c r="B1142" s="22" t="s">
        <v>39</v>
      </c>
      <c r="C1142" s="22" t="s">
        <v>4777</v>
      </c>
      <c r="D1142" s="23">
        <v>-50600</v>
      </c>
      <c r="E1142" s="22" t="s">
        <v>57</v>
      </c>
      <c r="F1142" s="24">
        <v>44048</v>
      </c>
      <c r="G1142" s="22" t="s">
        <v>2028</v>
      </c>
      <c r="H1142" s="22" t="s">
        <v>2031</v>
      </c>
      <c r="I1142" s="22" t="s">
        <v>2029</v>
      </c>
      <c r="J1142" s="22" t="s">
        <v>4407</v>
      </c>
      <c r="K1142" s="22" t="s">
        <v>4557</v>
      </c>
      <c r="L1142" s="22"/>
      <c r="M1142" s="22"/>
      <c r="N1142" s="22"/>
    </row>
    <row r="1143" spans="1:14" x14ac:dyDescent="0.25">
      <c r="A1143" s="22" t="s">
        <v>2027</v>
      </c>
      <c r="B1143" s="22" t="s">
        <v>39</v>
      </c>
      <c r="C1143" s="22" t="s">
        <v>4403</v>
      </c>
      <c r="D1143" s="23">
        <v>661985</v>
      </c>
      <c r="E1143" s="22" t="s">
        <v>42</v>
      </c>
      <c r="F1143" s="24">
        <v>44260</v>
      </c>
      <c r="G1143" s="22" t="s">
        <v>2028</v>
      </c>
      <c r="H1143" s="22" t="s">
        <v>1741</v>
      </c>
      <c r="I1143" s="22" t="s">
        <v>2026</v>
      </c>
      <c r="J1143" s="22" t="s">
        <v>4401</v>
      </c>
      <c r="K1143" s="22" t="s">
        <v>292</v>
      </c>
      <c r="L1143" s="22"/>
      <c r="M1143" s="22"/>
      <c r="N1143" s="22"/>
    </row>
    <row r="1144" spans="1:14" x14ac:dyDescent="0.25">
      <c r="A1144" s="22" t="s">
        <v>4567</v>
      </c>
      <c r="B1144" s="22" t="s">
        <v>39</v>
      </c>
      <c r="C1144" s="22" t="s">
        <v>4558</v>
      </c>
      <c r="D1144" s="23">
        <v>-912792</v>
      </c>
      <c r="E1144" s="22" t="s">
        <v>2073</v>
      </c>
      <c r="F1144" s="24">
        <v>44172</v>
      </c>
      <c r="G1144" s="22" t="s">
        <v>6572</v>
      </c>
      <c r="H1144" s="22" t="s">
        <v>4566</v>
      </c>
      <c r="I1144" s="22" t="s">
        <v>4565</v>
      </c>
      <c r="J1144" s="22" t="s">
        <v>4407</v>
      </c>
      <c r="K1144" s="22" t="s">
        <v>4564</v>
      </c>
      <c r="L1144" s="22"/>
      <c r="M1144" s="22"/>
      <c r="N1144" s="22"/>
    </row>
    <row r="1145" spans="1:14" x14ac:dyDescent="0.25">
      <c r="A1145" s="22" t="s">
        <v>6574</v>
      </c>
      <c r="B1145" s="22" t="s">
        <v>39</v>
      </c>
      <c r="C1145" s="22" t="s">
        <v>6573</v>
      </c>
      <c r="D1145" s="23">
        <v>-52442</v>
      </c>
      <c r="E1145" s="22" t="s">
        <v>57</v>
      </c>
      <c r="F1145" s="24">
        <v>44172</v>
      </c>
      <c r="G1145" s="22" t="s">
        <v>6572</v>
      </c>
      <c r="H1145" s="22" t="s">
        <v>6575</v>
      </c>
      <c r="I1145" s="22" t="s">
        <v>6576</v>
      </c>
      <c r="J1145" s="22" t="s">
        <v>4552</v>
      </c>
      <c r="K1145" s="22" t="s">
        <v>4557</v>
      </c>
      <c r="L1145" s="22"/>
      <c r="M1145" s="22"/>
      <c r="N1145" s="22"/>
    </row>
    <row r="1146" spans="1:14" x14ac:dyDescent="0.25">
      <c r="A1146" s="22" t="s">
        <v>6577</v>
      </c>
      <c r="B1146" s="22" t="s">
        <v>39</v>
      </c>
      <c r="C1146" s="22" t="s">
        <v>6573</v>
      </c>
      <c r="D1146" s="23">
        <v>-69636</v>
      </c>
      <c r="E1146" s="22" t="s">
        <v>57</v>
      </c>
      <c r="F1146" s="24">
        <v>44200</v>
      </c>
      <c r="G1146" s="22" t="s">
        <v>6572</v>
      </c>
      <c r="H1146" s="22" t="s">
        <v>6077</v>
      </c>
      <c r="I1146" s="22" t="s">
        <v>6578</v>
      </c>
      <c r="J1146" s="22" t="s">
        <v>4552</v>
      </c>
      <c r="K1146" s="22" t="s">
        <v>4557</v>
      </c>
      <c r="L1146" s="22"/>
      <c r="M1146" s="22"/>
      <c r="N1146" s="22"/>
    </row>
    <row r="1147" spans="1:14" x14ac:dyDescent="0.25">
      <c r="A1147" s="22" t="s">
        <v>6580</v>
      </c>
      <c r="B1147" s="22" t="s">
        <v>39</v>
      </c>
      <c r="C1147" s="22" t="s">
        <v>6579</v>
      </c>
      <c r="D1147" s="23">
        <v>-101654</v>
      </c>
      <c r="E1147" s="22" t="s">
        <v>57</v>
      </c>
      <c r="F1147" s="24">
        <v>44169</v>
      </c>
      <c r="G1147" s="22" t="s">
        <v>6572</v>
      </c>
      <c r="H1147" s="22" t="s">
        <v>6581</v>
      </c>
      <c r="I1147" s="22" t="s">
        <v>6582</v>
      </c>
      <c r="J1147" s="22" t="s">
        <v>4407</v>
      </c>
      <c r="K1147" s="22" t="s">
        <v>4557</v>
      </c>
      <c r="L1147" s="22"/>
      <c r="M1147" s="22"/>
      <c r="N1147" s="22"/>
    </row>
    <row r="1148" spans="1:14" x14ac:dyDescent="0.25">
      <c r="A1148" s="22" t="s">
        <v>6583</v>
      </c>
      <c r="B1148" s="22" t="s">
        <v>39</v>
      </c>
      <c r="C1148" s="22" t="s">
        <v>6579</v>
      </c>
      <c r="D1148" s="23">
        <v>-70782</v>
      </c>
      <c r="E1148" s="22" t="s">
        <v>57</v>
      </c>
      <c r="F1148" s="24">
        <v>44176</v>
      </c>
      <c r="G1148" s="22" t="s">
        <v>6572</v>
      </c>
      <c r="H1148" s="22" t="s">
        <v>6584</v>
      </c>
      <c r="I1148" s="22" t="s">
        <v>6585</v>
      </c>
      <c r="J1148" s="22" t="s">
        <v>4407</v>
      </c>
      <c r="K1148" s="22" t="s">
        <v>4557</v>
      </c>
      <c r="L1148" s="22"/>
      <c r="M1148" s="22"/>
      <c r="N1148" s="22"/>
    </row>
    <row r="1149" spans="1:14" x14ac:dyDescent="0.25">
      <c r="A1149" s="22" t="s">
        <v>6586</v>
      </c>
      <c r="B1149" s="22" t="s">
        <v>39</v>
      </c>
      <c r="C1149" s="22" t="s">
        <v>6579</v>
      </c>
      <c r="D1149" s="23">
        <v>-100100</v>
      </c>
      <c r="E1149" s="22" t="s">
        <v>57</v>
      </c>
      <c r="F1149" s="24">
        <v>44193</v>
      </c>
      <c r="G1149" s="22" t="s">
        <v>6572</v>
      </c>
      <c r="H1149" s="22" t="s">
        <v>550</v>
      </c>
      <c r="I1149" s="22" t="s">
        <v>6587</v>
      </c>
      <c r="J1149" s="22" t="s">
        <v>4407</v>
      </c>
      <c r="K1149" s="22" t="s">
        <v>4557</v>
      </c>
      <c r="L1149" s="22"/>
      <c r="M1149" s="22"/>
      <c r="N1149" s="22"/>
    </row>
    <row r="1150" spans="1:14" x14ac:dyDescent="0.25">
      <c r="A1150" s="22" t="s">
        <v>6588</v>
      </c>
      <c r="B1150" s="22" t="s">
        <v>39</v>
      </c>
      <c r="C1150" s="22" t="s">
        <v>6579</v>
      </c>
      <c r="D1150" s="23">
        <v>-179583</v>
      </c>
      <c r="E1150" s="22" t="s">
        <v>57</v>
      </c>
      <c r="F1150" s="24">
        <v>44195</v>
      </c>
      <c r="G1150" s="22" t="s">
        <v>6572</v>
      </c>
      <c r="H1150" s="22" t="s">
        <v>1009</v>
      </c>
      <c r="I1150" s="22" t="s">
        <v>6589</v>
      </c>
      <c r="J1150" s="22" t="s">
        <v>4407</v>
      </c>
      <c r="K1150" s="22" t="s">
        <v>4557</v>
      </c>
      <c r="L1150" s="22"/>
      <c r="M1150" s="22"/>
      <c r="N1150" s="22"/>
    </row>
    <row r="1151" spans="1:14" x14ac:dyDescent="0.25">
      <c r="A1151" s="22" t="s">
        <v>6591</v>
      </c>
      <c r="B1151" s="22" t="s">
        <v>39</v>
      </c>
      <c r="C1151" s="22" t="s">
        <v>6590</v>
      </c>
      <c r="D1151" s="23">
        <v>-31700</v>
      </c>
      <c r="E1151" s="22" t="s">
        <v>57</v>
      </c>
      <c r="F1151" s="24">
        <v>44168</v>
      </c>
      <c r="G1151" s="22" t="s">
        <v>6572</v>
      </c>
      <c r="H1151" s="22" t="s">
        <v>6592</v>
      </c>
      <c r="I1151" s="22" t="s">
        <v>6593</v>
      </c>
      <c r="J1151" s="22" t="s">
        <v>4407</v>
      </c>
      <c r="K1151" s="22" t="s">
        <v>4557</v>
      </c>
      <c r="L1151" s="22"/>
      <c r="M1151" s="22"/>
      <c r="N1151" s="22"/>
    </row>
    <row r="1152" spans="1:14" x14ac:dyDescent="0.25">
      <c r="A1152" s="22" t="s">
        <v>6594</v>
      </c>
      <c r="B1152" s="22" t="s">
        <v>39</v>
      </c>
      <c r="C1152" s="22" t="s">
        <v>6590</v>
      </c>
      <c r="D1152" s="23">
        <v>-31700</v>
      </c>
      <c r="E1152" s="22" t="s">
        <v>57</v>
      </c>
      <c r="F1152" s="24">
        <v>44168</v>
      </c>
      <c r="G1152" s="22" t="s">
        <v>6572</v>
      </c>
      <c r="H1152" s="22" t="s">
        <v>298</v>
      </c>
      <c r="I1152" s="22" t="s">
        <v>6595</v>
      </c>
      <c r="J1152" s="22" t="s">
        <v>4407</v>
      </c>
      <c r="K1152" s="22" t="s">
        <v>4557</v>
      </c>
      <c r="L1152" s="22"/>
      <c r="M1152" s="22"/>
      <c r="N1152" s="22"/>
    </row>
    <row r="1153" spans="1:14" x14ac:dyDescent="0.25">
      <c r="A1153" s="22" t="s">
        <v>6596</v>
      </c>
      <c r="B1153" s="22" t="s">
        <v>39</v>
      </c>
      <c r="C1153" s="22" t="s">
        <v>6590</v>
      </c>
      <c r="D1153" s="23">
        <v>-10800</v>
      </c>
      <c r="E1153" s="22" t="s">
        <v>57</v>
      </c>
      <c r="F1153" s="24">
        <v>44169</v>
      </c>
      <c r="G1153" s="22" t="s">
        <v>6572</v>
      </c>
      <c r="H1153" s="22" t="s">
        <v>550</v>
      </c>
      <c r="I1153" s="22" t="s">
        <v>6597</v>
      </c>
      <c r="J1153" s="22" t="s">
        <v>4407</v>
      </c>
      <c r="K1153" s="22" t="s">
        <v>4557</v>
      </c>
      <c r="L1153" s="22"/>
      <c r="M1153" s="22"/>
      <c r="N1153" s="22"/>
    </row>
    <row r="1154" spans="1:14" x14ac:dyDescent="0.25">
      <c r="A1154" s="22" t="s">
        <v>6598</v>
      </c>
      <c r="B1154" s="22" t="s">
        <v>39</v>
      </c>
      <c r="C1154" s="22" t="s">
        <v>6590</v>
      </c>
      <c r="D1154" s="23">
        <v>-31700</v>
      </c>
      <c r="E1154" s="22" t="s">
        <v>57</v>
      </c>
      <c r="F1154" s="24">
        <v>44174</v>
      </c>
      <c r="G1154" s="22" t="s">
        <v>6572</v>
      </c>
      <c r="H1154" s="22" t="s">
        <v>919</v>
      </c>
      <c r="I1154" s="22" t="s">
        <v>6599</v>
      </c>
      <c r="J1154" s="22" t="s">
        <v>4407</v>
      </c>
      <c r="K1154" s="22" t="s">
        <v>4557</v>
      </c>
      <c r="L1154" s="22"/>
      <c r="M1154" s="22"/>
      <c r="N1154" s="22"/>
    </row>
    <row r="1155" spans="1:14" x14ac:dyDescent="0.25">
      <c r="A1155" s="22" t="s">
        <v>6600</v>
      </c>
      <c r="B1155" s="22" t="s">
        <v>39</v>
      </c>
      <c r="C1155" s="22" t="s">
        <v>6590</v>
      </c>
      <c r="D1155" s="23">
        <v>-21500</v>
      </c>
      <c r="E1155" s="22" t="s">
        <v>57</v>
      </c>
      <c r="F1155" s="24">
        <v>44174</v>
      </c>
      <c r="G1155" s="22" t="s">
        <v>6572</v>
      </c>
      <c r="H1155" s="22" t="s">
        <v>1360</v>
      </c>
      <c r="I1155" s="22" t="s">
        <v>6601</v>
      </c>
      <c r="J1155" s="22" t="s">
        <v>4407</v>
      </c>
      <c r="K1155" s="22" t="s">
        <v>4557</v>
      </c>
      <c r="L1155" s="22"/>
      <c r="M1155" s="22"/>
      <c r="N1155" s="22"/>
    </row>
    <row r="1156" spans="1:14" x14ac:dyDescent="0.25">
      <c r="A1156" s="22" t="s">
        <v>6602</v>
      </c>
      <c r="B1156" s="22" t="s">
        <v>39</v>
      </c>
      <c r="C1156" s="22" t="s">
        <v>6590</v>
      </c>
      <c r="D1156" s="23">
        <v>-31700</v>
      </c>
      <c r="E1156" s="22" t="s">
        <v>57</v>
      </c>
      <c r="F1156" s="24">
        <v>44175</v>
      </c>
      <c r="G1156" s="22" t="s">
        <v>6572</v>
      </c>
      <c r="H1156" s="22" t="s">
        <v>6603</v>
      </c>
      <c r="I1156" s="22" t="s">
        <v>6604</v>
      </c>
      <c r="J1156" s="22" t="s">
        <v>4407</v>
      </c>
      <c r="K1156" s="22" t="s">
        <v>4557</v>
      </c>
      <c r="L1156" s="22"/>
      <c r="M1156" s="22"/>
      <c r="N1156" s="22"/>
    </row>
    <row r="1157" spans="1:14" x14ac:dyDescent="0.25">
      <c r="A1157" s="22" t="s">
        <v>6605</v>
      </c>
      <c r="B1157" s="22" t="s">
        <v>39</v>
      </c>
      <c r="C1157" s="22" t="s">
        <v>6590</v>
      </c>
      <c r="D1157" s="23">
        <v>-31700</v>
      </c>
      <c r="E1157" s="22" t="s">
        <v>57</v>
      </c>
      <c r="F1157" s="24">
        <v>44175</v>
      </c>
      <c r="G1157" s="22" t="s">
        <v>6572</v>
      </c>
      <c r="H1157" s="22" t="s">
        <v>2176</v>
      </c>
      <c r="I1157" s="22" t="s">
        <v>6606</v>
      </c>
      <c r="J1157" s="22" t="s">
        <v>4407</v>
      </c>
      <c r="K1157" s="22" t="s">
        <v>4557</v>
      </c>
      <c r="L1157" s="22"/>
      <c r="M1157" s="22"/>
      <c r="N1157" s="22"/>
    </row>
    <row r="1158" spans="1:14" x14ac:dyDescent="0.25">
      <c r="A1158" s="22" t="s">
        <v>6607</v>
      </c>
      <c r="B1158" s="22" t="s">
        <v>39</v>
      </c>
      <c r="C1158" s="22" t="s">
        <v>6590</v>
      </c>
      <c r="D1158" s="23">
        <v>-45600</v>
      </c>
      <c r="E1158" s="22" t="s">
        <v>57</v>
      </c>
      <c r="F1158" s="24">
        <v>44179</v>
      </c>
      <c r="G1158" s="22" t="s">
        <v>6572</v>
      </c>
      <c r="H1158" s="22" t="s">
        <v>1348</v>
      </c>
      <c r="I1158" s="22" t="s">
        <v>6608</v>
      </c>
      <c r="J1158" s="22" t="s">
        <v>4407</v>
      </c>
      <c r="K1158" s="22" t="s">
        <v>4557</v>
      </c>
      <c r="L1158" s="22"/>
      <c r="M1158" s="22"/>
      <c r="N1158" s="22"/>
    </row>
    <row r="1159" spans="1:14" x14ac:dyDescent="0.25">
      <c r="A1159" s="22" t="s">
        <v>6609</v>
      </c>
      <c r="B1159" s="22" t="s">
        <v>39</v>
      </c>
      <c r="C1159" s="22" t="s">
        <v>6590</v>
      </c>
      <c r="D1159" s="23">
        <v>-31700</v>
      </c>
      <c r="E1159" s="22" t="s">
        <v>57</v>
      </c>
      <c r="F1159" s="24">
        <v>44181</v>
      </c>
      <c r="G1159" s="22" t="s">
        <v>6572</v>
      </c>
      <c r="H1159" s="22" t="s">
        <v>992</v>
      </c>
      <c r="I1159" s="22" t="s">
        <v>6610</v>
      </c>
      <c r="J1159" s="22" t="s">
        <v>4407</v>
      </c>
      <c r="K1159" s="22" t="s">
        <v>4557</v>
      </c>
      <c r="L1159" s="22"/>
      <c r="M1159" s="22"/>
      <c r="N1159" s="22"/>
    </row>
    <row r="1160" spans="1:14" x14ac:dyDescent="0.25">
      <c r="A1160" s="22" t="s">
        <v>6611</v>
      </c>
      <c r="B1160" s="22" t="s">
        <v>39</v>
      </c>
      <c r="C1160" s="22" t="s">
        <v>6590</v>
      </c>
      <c r="D1160" s="23">
        <v>-45600</v>
      </c>
      <c r="E1160" s="22" t="s">
        <v>57</v>
      </c>
      <c r="F1160" s="24">
        <v>44181</v>
      </c>
      <c r="G1160" s="22" t="s">
        <v>6572</v>
      </c>
      <c r="H1160" s="22" t="s">
        <v>919</v>
      </c>
      <c r="I1160" s="22" t="s">
        <v>6612</v>
      </c>
      <c r="J1160" s="22" t="s">
        <v>4407</v>
      </c>
      <c r="K1160" s="22" t="s">
        <v>4557</v>
      </c>
      <c r="L1160" s="22"/>
      <c r="M1160" s="22"/>
      <c r="N1160" s="22"/>
    </row>
    <row r="1161" spans="1:14" x14ac:dyDescent="0.25">
      <c r="A1161" s="22" t="s">
        <v>6613</v>
      </c>
      <c r="B1161" s="22" t="s">
        <v>39</v>
      </c>
      <c r="C1161" s="22" t="s">
        <v>6590</v>
      </c>
      <c r="D1161" s="23">
        <v>-31700</v>
      </c>
      <c r="E1161" s="22" t="s">
        <v>57</v>
      </c>
      <c r="F1161" s="24">
        <v>44182</v>
      </c>
      <c r="G1161" s="22" t="s">
        <v>6572</v>
      </c>
      <c r="H1161" s="22" t="s">
        <v>6603</v>
      </c>
      <c r="I1161" s="22" t="s">
        <v>6614</v>
      </c>
      <c r="J1161" s="22" t="s">
        <v>4407</v>
      </c>
      <c r="K1161" s="22" t="s">
        <v>4557</v>
      </c>
      <c r="L1161" s="22"/>
      <c r="M1161" s="22"/>
      <c r="N1161" s="22"/>
    </row>
    <row r="1162" spans="1:14" x14ac:dyDescent="0.25">
      <c r="A1162" s="22" t="s">
        <v>6615</v>
      </c>
      <c r="B1162" s="22" t="s">
        <v>39</v>
      </c>
      <c r="C1162" s="22" t="s">
        <v>6590</v>
      </c>
      <c r="D1162" s="23">
        <v>-21500</v>
      </c>
      <c r="E1162" s="22" t="s">
        <v>57</v>
      </c>
      <c r="F1162" s="24">
        <v>44182</v>
      </c>
      <c r="G1162" s="22" t="s">
        <v>6572</v>
      </c>
      <c r="H1162" s="22" t="s">
        <v>6603</v>
      </c>
      <c r="I1162" s="22" t="s">
        <v>6616</v>
      </c>
      <c r="J1162" s="22" t="s">
        <v>4407</v>
      </c>
      <c r="K1162" s="22" t="s">
        <v>4557</v>
      </c>
      <c r="L1162" s="22"/>
      <c r="M1162" s="22"/>
      <c r="N1162" s="22"/>
    </row>
    <row r="1163" spans="1:14" x14ac:dyDescent="0.25">
      <c r="A1163" s="22" t="s">
        <v>6617</v>
      </c>
      <c r="B1163" s="22" t="s">
        <v>39</v>
      </c>
      <c r="C1163" s="22" t="s">
        <v>6590</v>
      </c>
      <c r="D1163" s="23">
        <v>-45600</v>
      </c>
      <c r="E1163" s="22" t="s">
        <v>57</v>
      </c>
      <c r="F1163" s="24">
        <v>44193</v>
      </c>
      <c r="G1163" s="22" t="s">
        <v>6572</v>
      </c>
      <c r="H1163" s="22" t="s">
        <v>919</v>
      </c>
      <c r="I1163" s="22" t="s">
        <v>6618</v>
      </c>
      <c r="J1163" s="22" t="s">
        <v>4407</v>
      </c>
      <c r="K1163" s="22" t="s">
        <v>4557</v>
      </c>
      <c r="L1163" s="22"/>
      <c r="M1163" s="22"/>
      <c r="N1163" s="22"/>
    </row>
    <row r="1164" spans="1:14" x14ac:dyDescent="0.25">
      <c r="A1164" s="22" t="s">
        <v>6619</v>
      </c>
      <c r="B1164" s="22" t="s">
        <v>39</v>
      </c>
      <c r="C1164" s="22" t="s">
        <v>6590</v>
      </c>
      <c r="D1164" s="23">
        <v>-45600</v>
      </c>
      <c r="E1164" s="22" t="s">
        <v>57</v>
      </c>
      <c r="F1164" s="24">
        <v>44195</v>
      </c>
      <c r="G1164" s="22" t="s">
        <v>6572</v>
      </c>
      <c r="H1164" s="22" t="s">
        <v>919</v>
      </c>
      <c r="I1164" s="22" t="s">
        <v>6620</v>
      </c>
      <c r="J1164" s="22" t="s">
        <v>4407</v>
      </c>
      <c r="K1164" s="22" t="s">
        <v>4557</v>
      </c>
      <c r="L1164" s="22"/>
      <c r="M1164" s="22"/>
      <c r="N1164" s="22"/>
    </row>
    <row r="1165" spans="1:14" x14ac:dyDescent="0.25">
      <c r="A1165" s="22" t="s">
        <v>4588</v>
      </c>
      <c r="B1165" s="22" t="s">
        <v>39</v>
      </c>
      <c r="C1165" s="22" t="s">
        <v>4583</v>
      </c>
      <c r="D1165" s="23">
        <v>-756355</v>
      </c>
      <c r="E1165" s="22" t="s">
        <v>2073</v>
      </c>
      <c r="F1165" s="24">
        <v>44166</v>
      </c>
      <c r="G1165" s="22" t="s">
        <v>6572</v>
      </c>
      <c r="H1165" s="22" t="s">
        <v>6621</v>
      </c>
      <c r="I1165" s="22" t="s">
        <v>4585</v>
      </c>
      <c r="J1165" s="22" t="s">
        <v>4552</v>
      </c>
      <c r="K1165" s="22" t="s">
        <v>4557</v>
      </c>
      <c r="L1165" s="22"/>
      <c r="M1165" s="22"/>
      <c r="N1165" s="22"/>
    </row>
    <row r="1166" spans="1:14" x14ac:dyDescent="0.25">
      <c r="A1166" s="22" t="s">
        <v>6622</v>
      </c>
      <c r="B1166" s="22" t="s">
        <v>39</v>
      </c>
      <c r="C1166" s="22" t="s">
        <v>4587</v>
      </c>
      <c r="D1166" s="23">
        <v>878433</v>
      </c>
      <c r="E1166" s="22" t="s">
        <v>45</v>
      </c>
      <c r="F1166" s="24">
        <v>44172</v>
      </c>
      <c r="G1166" s="22" t="s">
        <v>6572</v>
      </c>
      <c r="H1166" s="22" t="s">
        <v>6623</v>
      </c>
      <c r="I1166" s="22" t="s">
        <v>6572</v>
      </c>
      <c r="J1166" s="22" t="s">
        <v>4552</v>
      </c>
      <c r="K1166" s="22" t="s">
        <v>6571</v>
      </c>
      <c r="L1166" s="22"/>
      <c r="M1166" s="22"/>
      <c r="N1166" s="22"/>
    </row>
    <row r="1167" spans="1:14" x14ac:dyDescent="0.25">
      <c r="A1167" s="22" t="s">
        <v>6622</v>
      </c>
      <c r="B1167" s="22" t="s">
        <v>39</v>
      </c>
      <c r="C1167" s="22" t="s">
        <v>4587</v>
      </c>
      <c r="D1167" s="23">
        <v>-2752300</v>
      </c>
      <c r="E1167" s="22" t="s">
        <v>45</v>
      </c>
      <c r="F1167" s="24">
        <v>44172</v>
      </c>
      <c r="G1167" s="22" t="s">
        <v>6572</v>
      </c>
      <c r="H1167" s="22" t="s">
        <v>6623</v>
      </c>
      <c r="I1167" s="22" t="s">
        <v>6572</v>
      </c>
      <c r="J1167" s="22" t="s">
        <v>4401</v>
      </c>
      <c r="K1167" s="22" t="s">
        <v>6571</v>
      </c>
      <c r="L1167" s="22"/>
      <c r="M1167" s="22"/>
      <c r="N1167" s="22"/>
    </row>
    <row r="1168" spans="1:14" x14ac:dyDescent="0.25">
      <c r="A1168" s="22" t="s">
        <v>6622</v>
      </c>
      <c r="B1168" s="22" t="s">
        <v>39</v>
      </c>
      <c r="C1168" s="22" t="s">
        <v>4587</v>
      </c>
      <c r="D1168" s="23">
        <v>1823011</v>
      </c>
      <c r="E1168" s="22" t="s">
        <v>45</v>
      </c>
      <c r="F1168" s="24">
        <v>44172</v>
      </c>
      <c r="G1168" s="22" t="s">
        <v>6572</v>
      </c>
      <c r="H1168" s="22" t="s">
        <v>6623</v>
      </c>
      <c r="I1168" s="22" t="s">
        <v>6572</v>
      </c>
      <c r="J1168" s="22" t="s">
        <v>4407</v>
      </c>
      <c r="K1168" s="22" t="s">
        <v>6571</v>
      </c>
      <c r="L1168" s="22"/>
      <c r="M1168" s="22"/>
      <c r="N1168" s="22"/>
    </row>
    <row r="1169" spans="1:14" x14ac:dyDescent="0.25">
      <c r="A1169" s="22" t="s">
        <v>6622</v>
      </c>
      <c r="B1169" s="22" t="s">
        <v>39</v>
      </c>
      <c r="C1169" s="22" t="s">
        <v>40</v>
      </c>
      <c r="D1169" s="23">
        <v>2752300</v>
      </c>
      <c r="E1169" s="22" t="s">
        <v>42</v>
      </c>
      <c r="F1169" s="24">
        <v>44172</v>
      </c>
      <c r="G1169" s="22" t="s">
        <v>6572</v>
      </c>
      <c r="H1169" s="22" t="s">
        <v>1741</v>
      </c>
      <c r="I1169" s="22" t="s">
        <v>6624</v>
      </c>
      <c r="J1169" s="22" t="s">
        <v>4401</v>
      </c>
      <c r="K1169" s="22" t="s">
        <v>292</v>
      </c>
      <c r="L1169" s="22"/>
      <c r="M1169" s="22"/>
      <c r="N1169" s="22"/>
    </row>
    <row r="1170" spans="1:14" x14ac:dyDescent="0.25">
      <c r="A1170" s="22" t="s">
        <v>2024</v>
      </c>
      <c r="B1170" s="22" t="s">
        <v>39</v>
      </c>
      <c r="C1170" s="22" t="s">
        <v>6625</v>
      </c>
      <c r="D1170" s="23">
        <v>-1284521</v>
      </c>
      <c r="E1170" s="22" t="s">
        <v>57</v>
      </c>
      <c r="F1170" s="24">
        <v>44183</v>
      </c>
      <c r="G1170" s="22" t="s">
        <v>2021</v>
      </c>
      <c r="H1170" s="22" t="s">
        <v>2025</v>
      </c>
      <c r="I1170" s="22" t="s">
        <v>2023</v>
      </c>
      <c r="J1170" s="22" t="s">
        <v>4407</v>
      </c>
      <c r="K1170" s="22" t="s">
        <v>4606</v>
      </c>
      <c r="L1170" s="22"/>
      <c r="M1170" s="22"/>
      <c r="N1170" s="22"/>
    </row>
    <row r="1171" spans="1:14" x14ac:dyDescent="0.25">
      <c r="A1171" s="22" t="s">
        <v>2020</v>
      </c>
      <c r="B1171" s="22" t="s">
        <v>39</v>
      </c>
      <c r="C1171" s="22" t="s">
        <v>6570</v>
      </c>
      <c r="D1171" s="23">
        <v>-1356428</v>
      </c>
      <c r="E1171" s="22" t="s">
        <v>45</v>
      </c>
      <c r="F1171" s="24">
        <v>44260</v>
      </c>
      <c r="G1171" s="22" t="s">
        <v>2021</v>
      </c>
      <c r="H1171" s="22" t="s">
        <v>2022</v>
      </c>
      <c r="I1171" s="22" t="s">
        <v>2021</v>
      </c>
      <c r="J1171" s="22" t="s">
        <v>4401</v>
      </c>
      <c r="K1171" s="22" t="s">
        <v>6571</v>
      </c>
      <c r="L1171" s="22"/>
      <c r="M1171" s="22"/>
      <c r="N1171" s="22"/>
    </row>
    <row r="1172" spans="1:14" x14ac:dyDescent="0.25">
      <c r="A1172" s="22" t="s">
        <v>2020</v>
      </c>
      <c r="B1172" s="22" t="s">
        <v>39</v>
      </c>
      <c r="C1172" s="22" t="s">
        <v>6570</v>
      </c>
      <c r="D1172" s="23">
        <v>1284521</v>
      </c>
      <c r="E1172" s="22" t="s">
        <v>45</v>
      </c>
      <c r="F1172" s="24">
        <v>44260</v>
      </c>
      <c r="G1172" s="22" t="s">
        <v>2021</v>
      </c>
      <c r="H1172" s="22" t="s">
        <v>2022</v>
      </c>
      <c r="I1172" s="22" t="s">
        <v>2021</v>
      </c>
      <c r="J1172" s="22" t="s">
        <v>4407</v>
      </c>
      <c r="K1172" s="22" t="s">
        <v>6571</v>
      </c>
      <c r="L1172" s="22"/>
      <c r="M1172" s="22"/>
      <c r="N1172" s="22"/>
    </row>
    <row r="1173" spans="1:14" x14ac:dyDescent="0.25">
      <c r="A1173" s="22" t="s">
        <v>2020</v>
      </c>
      <c r="B1173" s="22" t="s">
        <v>39</v>
      </c>
      <c r="C1173" s="22" t="s">
        <v>3480</v>
      </c>
      <c r="D1173" s="23">
        <v>1356428</v>
      </c>
      <c r="E1173" s="22" t="s">
        <v>42</v>
      </c>
      <c r="F1173" s="24">
        <v>44260</v>
      </c>
      <c r="G1173" s="22" t="s">
        <v>2021</v>
      </c>
      <c r="H1173" s="22" t="s">
        <v>1741</v>
      </c>
      <c r="I1173" s="22" t="s">
        <v>2019</v>
      </c>
      <c r="J1173" s="22" t="s">
        <v>4401</v>
      </c>
      <c r="K1173" s="22" t="s">
        <v>292</v>
      </c>
      <c r="L1173" s="22"/>
      <c r="M1173" s="22"/>
      <c r="N1173" s="22"/>
    </row>
    <row r="1174" spans="1:14" x14ac:dyDescent="0.25">
      <c r="A1174" s="22" t="s">
        <v>4573</v>
      </c>
      <c r="B1174" s="22" t="s">
        <v>39</v>
      </c>
      <c r="C1174" s="22" t="s">
        <v>4568</v>
      </c>
      <c r="D1174" s="23">
        <v>-47550</v>
      </c>
      <c r="E1174" s="22" t="s">
        <v>2073</v>
      </c>
      <c r="F1174" s="24">
        <v>44102</v>
      </c>
      <c r="G1174" s="22" t="s">
        <v>2008</v>
      </c>
      <c r="H1174" s="22" t="s">
        <v>629</v>
      </c>
      <c r="I1174" s="22" t="s">
        <v>4570</v>
      </c>
      <c r="J1174" s="22" t="s">
        <v>4466</v>
      </c>
      <c r="K1174" s="22" t="s">
        <v>4500</v>
      </c>
      <c r="L1174" s="22"/>
      <c r="M1174" s="22"/>
      <c r="N1174" s="22"/>
    </row>
    <row r="1175" spans="1:14" x14ac:dyDescent="0.25">
      <c r="A1175" s="22" t="s">
        <v>6627</v>
      </c>
      <c r="B1175" s="22" t="s">
        <v>39</v>
      </c>
      <c r="C1175" s="22" t="s">
        <v>6626</v>
      </c>
      <c r="D1175" s="23">
        <v>-51900</v>
      </c>
      <c r="E1175" s="22" t="s">
        <v>57</v>
      </c>
      <c r="F1175" s="24">
        <v>44172</v>
      </c>
      <c r="G1175" s="22" t="s">
        <v>2008</v>
      </c>
      <c r="H1175" s="22" t="s">
        <v>6628</v>
      </c>
      <c r="I1175" s="22" t="s">
        <v>6629</v>
      </c>
      <c r="J1175" s="22" t="s">
        <v>4466</v>
      </c>
      <c r="K1175" s="22" t="s">
        <v>4992</v>
      </c>
      <c r="L1175" s="22"/>
      <c r="M1175" s="22"/>
      <c r="N1175" s="22"/>
    </row>
    <row r="1176" spans="1:14" x14ac:dyDescent="0.25">
      <c r="A1176" s="22" t="s">
        <v>6631</v>
      </c>
      <c r="B1176" s="22" t="s">
        <v>39</v>
      </c>
      <c r="C1176" s="22" t="s">
        <v>6630</v>
      </c>
      <c r="D1176" s="23">
        <v>-51900</v>
      </c>
      <c r="E1176" s="22" t="s">
        <v>57</v>
      </c>
      <c r="F1176" s="24">
        <v>44181</v>
      </c>
      <c r="G1176" s="22" t="s">
        <v>2008</v>
      </c>
      <c r="H1176" s="22" t="s">
        <v>2193</v>
      </c>
      <c r="I1176" s="22" t="s">
        <v>6632</v>
      </c>
      <c r="J1176" s="22" t="s">
        <v>4466</v>
      </c>
      <c r="K1176" s="22" t="s">
        <v>4489</v>
      </c>
      <c r="L1176" s="22"/>
      <c r="M1176" s="22"/>
      <c r="N1176" s="22"/>
    </row>
    <row r="1177" spans="1:14" x14ac:dyDescent="0.25">
      <c r="A1177" s="22" t="s">
        <v>6634</v>
      </c>
      <c r="B1177" s="22" t="s">
        <v>39</v>
      </c>
      <c r="C1177" s="22" t="s">
        <v>6633</v>
      </c>
      <c r="D1177" s="23">
        <v>-62302</v>
      </c>
      <c r="E1177" s="22" t="s">
        <v>57</v>
      </c>
      <c r="F1177" s="24">
        <v>44172</v>
      </c>
      <c r="G1177" s="22" t="s">
        <v>2008</v>
      </c>
      <c r="H1177" s="22" t="s">
        <v>6635</v>
      </c>
      <c r="I1177" s="22" t="s">
        <v>6636</v>
      </c>
      <c r="J1177" s="22" t="s">
        <v>4401</v>
      </c>
      <c r="K1177" s="22" t="s">
        <v>4429</v>
      </c>
      <c r="L1177" s="22"/>
      <c r="M1177" s="22"/>
      <c r="N1177" s="22"/>
    </row>
    <row r="1178" spans="1:14" x14ac:dyDescent="0.25">
      <c r="A1178" s="22" t="s">
        <v>6638</v>
      </c>
      <c r="B1178" s="22" t="s">
        <v>39</v>
      </c>
      <c r="C1178" s="22" t="s">
        <v>6637</v>
      </c>
      <c r="D1178" s="23">
        <v>-52778</v>
      </c>
      <c r="E1178" s="22" t="s">
        <v>57</v>
      </c>
      <c r="F1178" s="24">
        <v>44173</v>
      </c>
      <c r="G1178" s="22" t="s">
        <v>2008</v>
      </c>
      <c r="H1178" s="22" t="s">
        <v>1707</v>
      </c>
      <c r="I1178" s="22" t="s">
        <v>6639</v>
      </c>
      <c r="J1178" s="22" t="s">
        <v>4401</v>
      </c>
      <c r="K1178" s="22" t="s">
        <v>4606</v>
      </c>
      <c r="L1178" s="22"/>
      <c r="M1178" s="22"/>
      <c r="N1178" s="22"/>
    </row>
    <row r="1179" spans="1:14" x14ac:dyDescent="0.25">
      <c r="A1179" s="22" t="s">
        <v>6640</v>
      </c>
      <c r="B1179" s="22" t="s">
        <v>39</v>
      </c>
      <c r="C1179" s="22" t="s">
        <v>6637</v>
      </c>
      <c r="D1179" s="23">
        <v>-117607</v>
      </c>
      <c r="E1179" s="22" t="s">
        <v>57</v>
      </c>
      <c r="F1179" s="24">
        <v>44174</v>
      </c>
      <c r="G1179" s="22" t="s">
        <v>2008</v>
      </c>
      <c r="H1179" s="22" t="s">
        <v>6641</v>
      </c>
      <c r="I1179" s="22" t="s">
        <v>6642</v>
      </c>
      <c r="J1179" s="22" t="s">
        <v>4401</v>
      </c>
      <c r="K1179" s="22" t="s">
        <v>4606</v>
      </c>
      <c r="L1179" s="22"/>
      <c r="M1179" s="22"/>
      <c r="N1179" s="22"/>
    </row>
    <row r="1180" spans="1:14" x14ac:dyDescent="0.25">
      <c r="A1180" s="22" t="s">
        <v>6644</v>
      </c>
      <c r="B1180" s="22" t="s">
        <v>39</v>
      </c>
      <c r="C1180" s="22" t="s">
        <v>6643</v>
      </c>
      <c r="D1180" s="23">
        <v>-42200</v>
      </c>
      <c r="E1180" s="22" t="s">
        <v>57</v>
      </c>
      <c r="F1180" s="24">
        <v>44194</v>
      </c>
      <c r="G1180" s="22" t="s">
        <v>2008</v>
      </c>
      <c r="H1180" s="22" t="s">
        <v>6645</v>
      </c>
      <c r="I1180" s="22" t="s">
        <v>6646</v>
      </c>
      <c r="J1180" s="22" t="s">
        <v>4466</v>
      </c>
      <c r="K1180" s="22" t="s">
        <v>4606</v>
      </c>
      <c r="L1180" s="22"/>
      <c r="M1180" s="22"/>
      <c r="N1180" s="22"/>
    </row>
    <row r="1181" spans="1:14" x14ac:dyDescent="0.25">
      <c r="A1181" s="22" t="s">
        <v>719</v>
      </c>
      <c r="B1181" s="22" t="s">
        <v>39</v>
      </c>
      <c r="C1181" s="22" t="s">
        <v>6647</v>
      </c>
      <c r="D1181" s="23">
        <v>1100079</v>
      </c>
      <c r="E1181" s="22" t="s">
        <v>45</v>
      </c>
      <c r="F1181" s="24">
        <v>44215</v>
      </c>
      <c r="G1181" s="22" t="s">
        <v>2008</v>
      </c>
      <c r="H1181" s="22"/>
      <c r="I1181" s="22" t="s">
        <v>2008</v>
      </c>
      <c r="J1181" s="22" t="s">
        <v>4466</v>
      </c>
      <c r="K1181" s="22" t="s">
        <v>4880</v>
      </c>
      <c r="L1181" s="22"/>
      <c r="M1181" s="22"/>
      <c r="N1181" s="22"/>
    </row>
    <row r="1182" spans="1:14" x14ac:dyDescent="0.25">
      <c r="A1182" s="22" t="s">
        <v>719</v>
      </c>
      <c r="B1182" s="22" t="s">
        <v>39</v>
      </c>
      <c r="C1182" s="22" t="s">
        <v>6647</v>
      </c>
      <c r="D1182" s="23">
        <v>2919864</v>
      </c>
      <c r="E1182" s="22" t="s">
        <v>45</v>
      </c>
      <c r="F1182" s="24">
        <v>44215</v>
      </c>
      <c r="G1182" s="22" t="s">
        <v>2008</v>
      </c>
      <c r="H1182" s="22"/>
      <c r="I1182" s="22" t="s">
        <v>2008</v>
      </c>
      <c r="J1182" s="22" t="s">
        <v>4401</v>
      </c>
      <c r="K1182" s="22" t="s">
        <v>4880</v>
      </c>
      <c r="L1182" s="22"/>
      <c r="M1182" s="22"/>
      <c r="N1182" s="22"/>
    </row>
    <row r="1183" spans="1:14" x14ac:dyDescent="0.25">
      <c r="A1183" s="22" t="s">
        <v>719</v>
      </c>
      <c r="B1183" s="22" t="s">
        <v>39</v>
      </c>
      <c r="C1183" s="22" t="s">
        <v>6647</v>
      </c>
      <c r="D1183" s="23">
        <v>50600</v>
      </c>
      <c r="E1183" s="22" t="s">
        <v>45</v>
      </c>
      <c r="F1183" s="24">
        <v>44215</v>
      </c>
      <c r="G1183" s="22" t="s">
        <v>2008</v>
      </c>
      <c r="H1183" s="22"/>
      <c r="I1183" s="22" t="s">
        <v>2008</v>
      </c>
      <c r="J1183" s="22" t="s">
        <v>4407</v>
      </c>
      <c r="K1183" s="22" t="s">
        <v>4880</v>
      </c>
      <c r="L1183" s="22"/>
      <c r="M1183" s="22"/>
      <c r="N1183" s="22"/>
    </row>
    <row r="1184" spans="1:14" x14ac:dyDescent="0.25">
      <c r="A1184" s="22" t="s">
        <v>6649</v>
      </c>
      <c r="B1184" s="22" t="s">
        <v>39</v>
      </c>
      <c r="C1184" s="22" t="s">
        <v>6648</v>
      </c>
      <c r="D1184" s="23">
        <v>-53700</v>
      </c>
      <c r="E1184" s="22" t="s">
        <v>57</v>
      </c>
      <c r="F1184" s="24">
        <v>44214</v>
      </c>
      <c r="G1184" s="22" t="s">
        <v>2008</v>
      </c>
      <c r="H1184" s="22" t="s">
        <v>2059</v>
      </c>
      <c r="I1184" s="22" t="s">
        <v>6650</v>
      </c>
      <c r="J1184" s="22" t="s">
        <v>4466</v>
      </c>
      <c r="K1184" s="22" t="s">
        <v>4519</v>
      </c>
      <c r="L1184" s="22"/>
      <c r="M1184" s="22"/>
      <c r="N1184" s="22"/>
    </row>
    <row r="1185" spans="1:14" x14ac:dyDescent="0.25">
      <c r="A1185" s="22" t="s">
        <v>6651</v>
      </c>
      <c r="B1185" s="22" t="s">
        <v>39</v>
      </c>
      <c r="C1185" s="22" t="s">
        <v>4861</v>
      </c>
      <c r="D1185" s="23">
        <v>-166678</v>
      </c>
      <c r="E1185" s="22" t="s">
        <v>57</v>
      </c>
      <c r="F1185" s="24">
        <v>44225</v>
      </c>
      <c r="G1185" s="22" t="s">
        <v>2008</v>
      </c>
      <c r="H1185" s="22" t="s">
        <v>6652</v>
      </c>
      <c r="I1185" s="22" t="s">
        <v>6653</v>
      </c>
      <c r="J1185" s="22" t="s">
        <v>4401</v>
      </c>
      <c r="K1185" s="22" t="s">
        <v>4864</v>
      </c>
      <c r="L1185" s="22"/>
      <c r="M1185" s="22"/>
      <c r="N1185" s="22"/>
    </row>
    <row r="1186" spans="1:14" x14ac:dyDescent="0.25">
      <c r="A1186" s="22" t="s">
        <v>702</v>
      </c>
      <c r="B1186" s="22" t="s">
        <v>39</v>
      </c>
      <c r="C1186" s="22" t="s">
        <v>4861</v>
      </c>
      <c r="D1186" s="23">
        <v>-852829</v>
      </c>
      <c r="E1186" s="22" t="s">
        <v>57</v>
      </c>
      <c r="F1186" s="24">
        <v>44227</v>
      </c>
      <c r="G1186" s="22" t="s">
        <v>2008</v>
      </c>
      <c r="H1186" s="22" t="s">
        <v>6654</v>
      </c>
      <c r="I1186" s="22" t="s">
        <v>4866</v>
      </c>
      <c r="J1186" s="22" t="s">
        <v>4466</v>
      </c>
      <c r="K1186" s="22" t="s">
        <v>4864</v>
      </c>
      <c r="L1186" s="22"/>
      <c r="M1186" s="22"/>
      <c r="N1186" s="22"/>
    </row>
    <row r="1187" spans="1:14" x14ac:dyDescent="0.25">
      <c r="A1187" s="22" t="s">
        <v>719</v>
      </c>
      <c r="B1187" s="22" t="s">
        <v>39</v>
      </c>
      <c r="C1187" s="22" t="s">
        <v>4877</v>
      </c>
      <c r="D1187" s="23">
        <v>-7234004</v>
      </c>
      <c r="E1187" s="22" t="s">
        <v>57</v>
      </c>
      <c r="F1187" s="24">
        <v>44215</v>
      </c>
      <c r="G1187" s="22" t="s">
        <v>2008</v>
      </c>
      <c r="H1187" s="22" t="s">
        <v>6655</v>
      </c>
      <c r="I1187" s="22" t="s">
        <v>4879</v>
      </c>
      <c r="J1187" s="22" t="s">
        <v>4401</v>
      </c>
      <c r="K1187" s="22" t="s">
        <v>4880</v>
      </c>
      <c r="L1187" s="22"/>
      <c r="M1187" s="22"/>
      <c r="N1187" s="22"/>
    </row>
    <row r="1188" spans="1:14" x14ac:dyDescent="0.25">
      <c r="A1188" s="22" t="s">
        <v>6657</v>
      </c>
      <c r="B1188" s="22" t="s">
        <v>39</v>
      </c>
      <c r="C1188" s="22" t="s">
        <v>6656</v>
      </c>
      <c r="D1188" s="23">
        <v>-169504</v>
      </c>
      <c r="E1188" s="22" t="s">
        <v>57</v>
      </c>
      <c r="F1188" s="24">
        <v>44221</v>
      </c>
      <c r="G1188" s="22" t="s">
        <v>2008</v>
      </c>
      <c r="H1188" s="22" t="s">
        <v>6658</v>
      </c>
      <c r="I1188" s="22" t="s">
        <v>6659</v>
      </c>
      <c r="J1188" s="22" t="s">
        <v>4401</v>
      </c>
      <c r="K1188" s="22" t="s">
        <v>4519</v>
      </c>
      <c r="L1188" s="22"/>
      <c r="M1188" s="22"/>
      <c r="N1188" s="22"/>
    </row>
    <row r="1189" spans="1:14" x14ac:dyDescent="0.25">
      <c r="A1189" s="22" t="s">
        <v>6660</v>
      </c>
      <c r="B1189" s="22" t="s">
        <v>39</v>
      </c>
      <c r="C1189" s="22" t="s">
        <v>4789</v>
      </c>
      <c r="D1189" s="23">
        <v>-50600</v>
      </c>
      <c r="E1189" s="22" t="s">
        <v>57</v>
      </c>
      <c r="F1189" s="24">
        <v>44021</v>
      </c>
      <c r="G1189" s="22" t="s">
        <v>2008</v>
      </c>
      <c r="H1189" s="22" t="s">
        <v>6661</v>
      </c>
      <c r="I1189" s="22" t="s">
        <v>6662</v>
      </c>
      <c r="J1189" s="22" t="s">
        <v>4407</v>
      </c>
      <c r="K1189" s="22" t="s">
        <v>4557</v>
      </c>
      <c r="L1189" s="22"/>
      <c r="M1189" s="22"/>
      <c r="N1189" s="22"/>
    </row>
    <row r="1190" spans="1:14" x14ac:dyDescent="0.25">
      <c r="A1190" s="22" t="s">
        <v>6274</v>
      </c>
      <c r="B1190" s="22" t="s">
        <v>39</v>
      </c>
      <c r="C1190" s="22" t="s">
        <v>4402</v>
      </c>
      <c r="D1190" s="23">
        <v>4883009</v>
      </c>
      <c r="E1190" s="22" t="s">
        <v>45</v>
      </c>
      <c r="F1190" s="24">
        <v>44193</v>
      </c>
      <c r="G1190" s="22" t="s">
        <v>2008</v>
      </c>
      <c r="H1190" s="22" t="s">
        <v>6663</v>
      </c>
      <c r="I1190" s="22" t="s">
        <v>6271</v>
      </c>
      <c r="J1190" s="22" t="s">
        <v>4401</v>
      </c>
      <c r="K1190" s="22" t="s">
        <v>6275</v>
      </c>
      <c r="L1190" s="22"/>
      <c r="M1190" s="22"/>
      <c r="N1190" s="22"/>
    </row>
    <row r="1191" spans="1:14" x14ac:dyDescent="0.25">
      <c r="A1191" s="22" t="s">
        <v>2017</v>
      </c>
      <c r="B1191" s="22" t="s">
        <v>39</v>
      </c>
      <c r="C1191" s="22" t="s">
        <v>6647</v>
      </c>
      <c r="D1191" s="23">
        <v>102783</v>
      </c>
      <c r="E1191" s="22" t="s">
        <v>45</v>
      </c>
      <c r="F1191" s="24">
        <v>44221</v>
      </c>
      <c r="G1191" s="22" t="s">
        <v>2015</v>
      </c>
      <c r="H1191" s="22"/>
      <c r="I1191" s="22" t="s">
        <v>2015</v>
      </c>
      <c r="J1191" s="22" t="s">
        <v>4401</v>
      </c>
      <c r="K1191" s="22" t="s">
        <v>4880</v>
      </c>
      <c r="L1191" s="22"/>
      <c r="M1191" s="22"/>
      <c r="N1191" s="22"/>
    </row>
    <row r="1192" spans="1:14" x14ac:dyDescent="0.25">
      <c r="A1192" s="22" t="s">
        <v>2017</v>
      </c>
      <c r="B1192" s="22" t="s">
        <v>39</v>
      </c>
      <c r="C1192" s="22" t="s">
        <v>4877</v>
      </c>
      <c r="D1192" s="23">
        <v>-128733</v>
      </c>
      <c r="E1192" s="22" t="s">
        <v>57</v>
      </c>
      <c r="F1192" s="24">
        <v>44221</v>
      </c>
      <c r="G1192" s="22" t="s">
        <v>2015</v>
      </c>
      <c r="H1192" s="22" t="s">
        <v>2018</v>
      </c>
      <c r="I1192" s="22" t="s">
        <v>2016</v>
      </c>
      <c r="J1192" s="22" t="s">
        <v>4401</v>
      </c>
      <c r="K1192" s="22" t="s">
        <v>4880</v>
      </c>
      <c r="L1192" s="22"/>
      <c r="M1192" s="22"/>
      <c r="N1192" s="22"/>
    </row>
    <row r="1193" spans="1:14" x14ac:dyDescent="0.25">
      <c r="A1193" s="22" t="s">
        <v>2014</v>
      </c>
      <c r="B1193" s="22" t="s">
        <v>39</v>
      </c>
      <c r="C1193" s="22" t="s">
        <v>4267</v>
      </c>
      <c r="D1193" s="23">
        <v>25950</v>
      </c>
      <c r="E1193" s="22" t="s">
        <v>42</v>
      </c>
      <c r="F1193" s="24">
        <v>44232</v>
      </c>
      <c r="G1193" s="22" t="s">
        <v>2015</v>
      </c>
      <c r="H1193" s="22" t="s">
        <v>1886</v>
      </c>
      <c r="I1193" s="22" t="s">
        <v>2013</v>
      </c>
      <c r="J1193" s="22" t="s">
        <v>4401</v>
      </c>
      <c r="K1193" s="22" t="s">
        <v>292</v>
      </c>
      <c r="L1193" s="22"/>
      <c r="M1193" s="22"/>
      <c r="N1193" s="22"/>
    </row>
    <row r="1194" spans="1:14" x14ac:dyDescent="0.25">
      <c r="A1194" s="22" t="s">
        <v>2011</v>
      </c>
      <c r="B1194" s="22" t="s">
        <v>39</v>
      </c>
      <c r="C1194" s="22" t="s">
        <v>6647</v>
      </c>
      <c r="D1194" s="23">
        <v>1739189</v>
      </c>
      <c r="E1194" s="22" t="s">
        <v>45</v>
      </c>
      <c r="F1194" s="24">
        <v>44227</v>
      </c>
      <c r="G1194" s="22" t="s">
        <v>2007</v>
      </c>
      <c r="H1194" s="22"/>
      <c r="I1194" s="22" t="s">
        <v>2007</v>
      </c>
      <c r="J1194" s="22" t="s">
        <v>4401</v>
      </c>
      <c r="K1194" s="22" t="s">
        <v>4880</v>
      </c>
      <c r="L1194" s="22"/>
      <c r="M1194" s="22"/>
      <c r="N1194" s="22"/>
    </row>
    <row r="1195" spans="1:14" x14ac:dyDescent="0.25">
      <c r="A1195" s="22" t="s">
        <v>2011</v>
      </c>
      <c r="B1195" s="22" t="s">
        <v>39</v>
      </c>
      <c r="C1195" s="22" t="s">
        <v>4877</v>
      </c>
      <c r="D1195" s="23">
        <v>-3074013</v>
      </c>
      <c r="E1195" s="22" t="s">
        <v>57</v>
      </c>
      <c r="F1195" s="24">
        <v>44227</v>
      </c>
      <c r="G1195" s="22" t="s">
        <v>2007</v>
      </c>
      <c r="H1195" s="22" t="s">
        <v>2012</v>
      </c>
      <c r="I1195" s="22" t="s">
        <v>2010</v>
      </c>
      <c r="J1195" s="22" t="s">
        <v>4401</v>
      </c>
      <c r="K1195" s="22" t="s">
        <v>4880</v>
      </c>
      <c r="L1195" s="22"/>
      <c r="M1195" s="22"/>
      <c r="N1195" s="22"/>
    </row>
    <row r="1196" spans="1:14" x14ac:dyDescent="0.25">
      <c r="A1196" s="22" t="s">
        <v>719</v>
      </c>
      <c r="B1196" s="22" t="s">
        <v>39</v>
      </c>
      <c r="C1196" s="22" t="s">
        <v>4877</v>
      </c>
      <c r="D1196" s="23">
        <v>-4070543</v>
      </c>
      <c r="E1196" s="22" t="s">
        <v>45</v>
      </c>
      <c r="F1196" s="24">
        <v>44215</v>
      </c>
      <c r="G1196" s="22" t="s">
        <v>2007</v>
      </c>
      <c r="H1196" s="22" t="s">
        <v>2009</v>
      </c>
      <c r="I1196" s="22" t="s">
        <v>2008</v>
      </c>
      <c r="J1196" s="22" t="s">
        <v>4401</v>
      </c>
      <c r="K1196" s="22" t="s">
        <v>4880</v>
      </c>
      <c r="L1196" s="22"/>
      <c r="M1196" s="22"/>
      <c r="N1196" s="22"/>
    </row>
    <row r="1197" spans="1:14" x14ac:dyDescent="0.25">
      <c r="A1197" s="22" t="s">
        <v>2006</v>
      </c>
      <c r="B1197" s="22" t="s">
        <v>39</v>
      </c>
      <c r="C1197" s="22" t="s">
        <v>4267</v>
      </c>
      <c r="D1197" s="23">
        <v>5405367</v>
      </c>
      <c r="E1197" s="22" t="s">
        <v>42</v>
      </c>
      <c r="F1197" s="24">
        <v>44260</v>
      </c>
      <c r="G1197" s="22" t="s">
        <v>2007</v>
      </c>
      <c r="H1197" s="22" t="s">
        <v>1741</v>
      </c>
      <c r="I1197" s="22" t="s">
        <v>2005</v>
      </c>
      <c r="J1197" s="22" t="s">
        <v>4401</v>
      </c>
      <c r="K1197" s="22" t="s">
        <v>292</v>
      </c>
      <c r="L1197" s="22"/>
      <c r="M1197" s="22"/>
      <c r="N1197" s="22"/>
    </row>
    <row r="1198" spans="1:14" x14ac:dyDescent="0.25">
      <c r="A1198" s="22" t="s">
        <v>1997</v>
      </c>
      <c r="B1198" s="22" t="s">
        <v>39</v>
      </c>
      <c r="C1198" s="22" t="s">
        <v>6664</v>
      </c>
      <c r="D1198" s="23">
        <v>23573</v>
      </c>
      <c r="E1198" s="22" t="s">
        <v>45</v>
      </c>
      <c r="F1198" s="24">
        <v>44222</v>
      </c>
      <c r="G1198" s="22" t="s">
        <v>1995</v>
      </c>
      <c r="H1198" s="22"/>
      <c r="I1198" s="22" t="s">
        <v>1995</v>
      </c>
      <c r="J1198" s="22" t="s">
        <v>4401</v>
      </c>
      <c r="K1198" s="22" t="s">
        <v>6665</v>
      </c>
      <c r="L1198" s="22"/>
      <c r="M1198" s="22"/>
      <c r="N1198" s="22"/>
    </row>
    <row r="1199" spans="1:14" x14ac:dyDescent="0.25">
      <c r="A1199" s="22" t="s">
        <v>1997</v>
      </c>
      <c r="B1199" s="22" t="s">
        <v>39</v>
      </c>
      <c r="C1199" s="22" t="s">
        <v>6666</v>
      </c>
      <c r="D1199" s="23">
        <v>-54724</v>
      </c>
      <c r="E1199" s="22" t="s">
        <v>57</v>
      </c>
      <c r="F1199" s="24">
        <v>44222</v>
      </c>
      <c r="G1199" s="22" t="s">
        <v>1995</v>
      </c>
      <c r="H1199" s="22" t="s">
        <v>1998</v>
      </c>
      <c r="I1199" s="22" t="s">
        <v>1996</v>
      </c>
      <c r="J1199" s="22" t="s">
        <v>4401</v>
      </c>
      <c r="K1199" s="22" t="s">
        <v>6665</v>
      </c>
      <c r="L1199" s="22"/>
      <c r="M1199" s="22"/>
      <c r="N1199" s="22"/>
    </row>
    <row r="1200" spans="1:14" x14ac:dyDescent="0.25">
      <c r="A1200" s="22" t="s">
        <v>1994</v>
      </c>
      <c r="B1200" s="22" t="s">
        <v>39</v>
      </c>
      <c r="C1200" s="22" t="s">
        <v>3643</v>
      </c>
      <c r="D1200" s="23">
        <v>31151</v>
      </c>
      <c r="E1200" s="22" t="s">
        <v>42</v>
      </c>
      <c r="F1200" s="24">
        <v>44232</v>
      </c>
      <c r="G1200" s="22" t="s">
        <v>1995</v>
      </c>
      <c r="H1200" s="22" t="s">
        <v>1886</v>
      </c>
      <c r="I1200" s="22" t="s">
        <v>1993</v>
      </c>
      <c r="J1200" s="22" t="s">
        <v>4401</v>
      </c>
      <c r="K1200" s="22" t="s">
        <v>292</v>
      </c>
      <c r="L1200" s="22"/>
      <c r="M1200" s="22"/>
      <c r="N1200" s="22"/>
    </row>
    <row r="1201" spans="1:14" x14ac:dyDescent="0.25">
      <c r="A1201" s="22" t="s">
        <v>2003</v>
      </c>
      <c r="B1201" s="22" t="s">
        <v>39</v>
      </c>
      <c r="C1201" s="22" t="s">
        <v>6667</v>
      </c>
      <c r="D1201" s="23">
        <v>176292</v>
      </c>
      <c r="E1201" s="22" t="s">
        <v>45</v>
      </c>
      <c r="F1201" s="24">
        <v>44209</v>
      </c>
      <c r="G1201" s="22" t="s">
        <v>2001</v>
      </c>
      <c r="H1201" s="22"/>
      <c r="I1201" s="22" t="s">
        <v>2001</v>
      </c>
      <c r="J1201" s="22" t="s">
        <v>4401</v>
      </c>
      <c r="K1201" s="22" t="s">
        <v>4759</v>
      </c>
      <c r="L1201" s="22"/>
      <c r="M1201" s="22"/>
      <c r="N1201" s="22"/>
    </row>
    <row r="1202" spans="1:14" x14ac:dyDescent="0.25">
      <c r="A1202" s="22" t="s">
        <v>2003</v>
      </c>
      <c r="B1202" s="22" t="s">
        <v>39</v>
      </c>
      <c r="C1202" s="22" t="s">
        <v>6668</v>
      </c>
      <c r="D1202" s="23">
        <v>-203014</v>
      </c>
      <c r="E1202" s="22" t="s">
        <v>57</v>
      </c>
      <c r="F1202" s="24">
        <v>44209</v>
      </c>
      <c r="G1202" s="22" t="s">
        <v>2001</v>
      </c>
      <c r="H1202" s="22" t="s">
        <v>2004</v>
      </c>
      <c r="I1202" s="22" t="s">
        <v>2002</v>
      </c>
      <c r="J1202" s="22" t="s">
        <v>4401</v>
      </c>
      <c r="K1202" s="22" t="s">
        <v>4759</v>
      </c>
      <c r="L1202" s="22"/>
      <c r="M1202" s="22"/>
      <c r="N1202" s="22"/>
    </row>
    <row r="1203" spans="1:14" x14ac:dyDescent="0.25">
      <c r="A1203" s="22" t="s">
        <v>2000</v>
      </c>
      <c r="B1203" s="22" t="s">
        <v>39</v>
      </c>
      <c r="C1203" s="22" t="s">
        <v>5413</v>
      </c>
      <c r="D1203" s="23">
        <v>26722</v>
      </c>
      <c r="E1203" s="22" t="s">
        <v>42</v>
      </c>
      <c r="F1203" s="24">
        <v>44232</v>
      </c>
      <c r="G1203" s="22" t="s">
        <v>2001</v>
      </c>
      <c r="H1203" s="22" t="s">
        <v>1886</v>
      </c>
      <c r="I1203" s="22" t="s">
        <v>1999</v>
      </c>
      <c r="J1203" s="22" t="s">
        <v>4401</v>
      </c>
      <c r="K1203" s="22" t="s">
        <v>292</v>
      </c>
      <c r="L1203" s="22"/>
      <c r="M1203" s="22"/>
      <c r="N1203" s="22"/>
    </row>
    <row r="1204" spans="1:14" x14ac:dyDescent="0.25">
      <c r="A1204" s="22" t="s">
        <v>1990</v>
      </c>
      <c r="B1204" s="22" t="s">
        <v>39</v>
      </c>
      <c r="C1204" s="22" t="s">
        <v>6669</v>
      </c>
      <c r="D1204" s="23">
        <v>-53700</v>
      </c>
      <c r="E1204" s="22" t="s">
        <v>57</v>
      </c>
      <c r="F1204" s="24">
        <v>44207</v>
      </c>
      <c r="G1204" s="22" t="s">
        <v>1989</v>
      </c>
      <c r="H1204" s="22" t="s">
        <v>1992</v>
      </c>
      <c r="I1204" s="22" t="s">
        <v>1991</v>
      </c>
      <c r="J1204" s="22" t="s">
        <v>4401</v>
      </c>
      <c r="K1204" s="22" t="s">
        <v>4690</v>
      </c>
      <c r="L1204" s="22"/>
      <c r="M1204" s="22"/>
      <c r="N1204" s="22"/>
    </row>
    <row r="1205" spans="1:14" x14ac:dyDescent="0.25">
      <c r="A1205" s="22" t="s">
        <v>1990</v>
      </c>
      <c r="B1205" s="22" t="s">
        <v>39</v>
      </c>
      <c r="C1205" s="22" t="s">
        <v>6670</v>
      </c>
      <c r="D1205" s="23">
        <v>27750</v>
      </c>
      <c r="E1205" s="22" t="s">
        <v>45</v>
      </c>
      <c r="F1205" s="24">
        <v>44207</v>
      </c>
      <c r="G1205" s="22" t="s">
        <v>1989</v>
      </c>
      <c r="H1205" s="22"/>
      <c r="I1205" s="22" t="s">
        <v>1989</v>
      </c>
      <c r="J1205" s="22" t="s">
        <v>4401</v>
      </c>
      <c r="K1205" s="22" t="s">
        <v>4690</v>
      </c>
      <c r="L1205" s="22"/>
      <c r="M1205" s="22"/>
      <c r="N1205" s="22"/>
    </row>
    <row r="1206" spans="1:14" x14ac:dyDescent="0.25">
      <c r="A1206" s="22" t="s">
        <v>1988</v>
      </c>
      <c r="B1206" s="22" t="s">
        <v>39</v>
      </c>
      <c r="C1206" s="22" t="s">
        <v>3767</v>
      </c>
      <c r="D1206" s="23">
        <v>25950</v>
      </c>
      <c r="E1206" s="22" t="s">
        <v>42</v>
      </c>
      <c r="F1206" s="24">
        <v>44232</v>
      </c>
      <c r="G1206" s="22" t="s">
        <v>1989</v>
      </c>
      <c r="H1206" s="22" t="s">
        <v>1886</v>
      </c>
      <c r="I1206" s="22" t="s">
        <v>1987</v>
      </c>
      <c r="J1206" s="22" t="s">
        <v>4401</v>
      </c>
      <c r="K1206" s="22" t="s">
        <v>292</v>
      </c>
      <c r="L1206" s="22"/>
      <c r="M1206" s="22"/>
      <c r="N1206" s="22"/>
    </row>
    <row r="1207" spans="1:14" x14ac:dyDescent="0.25">
      <c r="A1207" s="22" t="s">
        <v>2070</v>
      </c>
      <c r="B1207" s="22" t="s">
        <v>39</v>
      </c>
      <c r="C1207" s="22" t="s">
        <v>6669</v>
      </c>
      <c r="D1207" s="23">
        <v>-2329355</v>
      </c>
      <c r="E1207" s="22" t="s">
        <v>57</v>
      </c>
      <c r="F1207" s="24">
        <v>44216</v>
      </c>
      <c r="G1207" s="22" t="s">
        <v>2069</v>
      </c>
      <c r="H1207" s="22" t="s">
        <v>1992</v>
      </c>
      <c r="I1207" s="22" t="s">
        <v>2071</v>
      </c>
      <c r="J1207" s="22" t="s">
        <v>4401</v>
      </c>
      <c r="K1207" s="22" t="s">
        <v>4690</v>
      </c>
      <c r="L1207" s="22"/>
      <c r="M1207" s="22"/>
      <c r="N1207" s="22"/>
    </row>
    <row r="1208" spans="1:14" x14ac:dyDescent="0.25">
      <c r="A1208" s="22" t="s">
        <v>2070</v>
      </c>
      <c r="B1208" s="22" t="s">
        <v>39</v>
      </c>
      <c r="C1208" s="22" t="s">
        <v>6670</v>
      </c>
      <c r="D1208" s="23">
        <v>1321634</v>
      </c>
      <c r="E1208" s="22" t="s">
        <v>45</v>
      </c>
      <c r="F1208" s="24">
        <v>44216</v>
      </c>
      <c r="G1208" s="22" t="s">
        <v>2069</v>
      </c>
      <c r="H1208" s="22"/>
      <c r="I1208" s="22" t="s">
        <v>2069</v>
      </c>
      <c r="J1208" s="22" t="s">
        <v>4401</v>
      </c>
      <c r="K1208" s="22" t="s">
        <v>4690</v>
      </c>
      <c r="L1208" s="22"/>
      <c r="M1208" s="22"/>
      <c r="N1208" s="22"/>
    </row>
    <row r="1209" spans="1:14" x14ac:dyDescent="0.25">
      <c r="A1209" s="22" t="s">
        <v>2068</v>
      </c>
      <c r="B1209" s="22" t="s">
        <v>39</v>
      </c>
      <c r="C1209" s="22" t="s">
        <v>3767</v>
      </c>
      <c r="D1209" s="23">
        <v>1007721</v>
      </c>
      <c r="E1209" s="22" t="s">
        <v>42</v>
      </c>
      <c r="F1209" s="24">
        <v>44260</v>
      </c>
      <c r="G1209" s="22" t="s">
        <v>2069</v>
      </c>
      <c r="H1209" s="22" t="s">
        <v>1741</v>
      </c>
      <c r="I1209" s="22" t="s">
        <v>2067</v>
      </c>
      <c r="J1209" s="22" t="s">
        <v>4401</v>
      </c>
      <c r="K1209" s="22" t="s">
        <v>292</v>
      </c>
      <c r="L1209" s="22"/>
      <c r="M1209" s="22"/>
      <c r="N1209" s="22"/>
    </row>
    <row r="1210" spans="1:14" x14ac:dyDescent="0.25">
      <c r="A1210" s="22" t="s">
        <v>2065</v>
      </c>
      <c r="B1210" s="22" t="s">
        <v>39</v>
      </c>
      <c r="C1210" s="22" t="s">
        <v>6669</v>
      </c>
      <c r="D1210" s="23">
        <v>-329800</v>
      </c>
      <c r="E1210" s="22" t="s">
        <v>57</v>
      </c>
      <c r="F1210" s="24">
        <v>44219</v>
      </c>
      <c r="G1210" s="22" t="s">
        <v>2056</v>
      </c>
      <c r="H1210" s="22" t="s">
        <v>2066</v>
      </c>
      <c r="I1210" s="22" t="s">
        <v>2064</v>
      </c>
      <c r="J1210" s="22" t="s">
        <v>4401</v>
      </c>
      <c r="K1210" s="22" t="s">
        <v>4690</v>
      </c>
      <c r="L1210" s="22"/>
      <c r="M1210" s="22"/>
      <c r="N1210" s="22"/>
    </row>
    <row r="1211" spans="1:14" x14ac:dyDescent="0.25">
      <c r="A1211" s="22" t="s">
        <v>1990</v>
      </c>
      <c r="B1211" s="22" t="s">
        <v>39</v>
      </c>
      <c r="C1211" s="22" t="s">
        <v>6669</v>
      </c>
      <c r="D1211" s="23">
        <v>-27750</v>
      </c>
      <c r="E1211" s="22" t="s">
        <v>45</v>
      </c>
      <c r="F1211" s="24">
        <v>44207</v>
      </c>
      <c r="G1211" s="22" t="s">
        <v>2056</v>
      </c>
      <c r="H1211" s="22" t="s">
        <v>2063</v>
      </c>
      <c r="I1211" s="22" t="s">
        <v>1989</v>
      </c>
      <c r="J1211" s="22" t="s">
        <v>4401</v>
      </c>
      <c r="K1211" s="22" t="s">
        <v>4690</v>
      </c>
      <c r="L1211" s="22"/>
      <c r="M1211" s="22"/>
      <c r="N1211" s="22"/>
    </row>
    <row r="1212" spans="1:14" x14ac:dyDescent="0.25">
      <c r="A1212" s="22" t="s">
        <v>2058</v>
      </c>
      <c r="B1212" s="22" t="s">
        <v>39</v>
      </c>
      <c r="C1212" s="22" t="s">
        <v>6670</v>
      </c>
      <c r="D1212" s="23">
        <v>83778</v>
      </c>
      <c r="E1212" s="22" t="s">
        <v>45</v>
      </c>
      <c r="F1212" s="24">
        <v>44228</v>
      </c>
      <c r="G1212" s="22" t="s">
        <v>2056</v>
      </c>
      <c r="H1212" s="22"/>
      <c r="I1212" s="22" t="s">
        <v>2056</v>
      </c>
      <c r="J1212" s="22" t="s">
        <v>4466</v>
      </c>
      <c r="K1212" s="22" t="s">
        <v>4519</v>
      </c>
      <c r="L1212" s="22"/>
      <c r="M1212" s="22"/>
      <c r="N1212" s="22"/>
    </row>
    <row r="1213" spans="1:14" x14ac:dyDescent="0.25">
      <c r="A1213" s="22" t="s">
        <v>2058</v>
      </c>
      <c r="B1213" s="22" t="s">
        <v>39</v>
      </c>
      <c r="C1213" s="22" t="s">
        <v>6670</v>
      </c>
      <c r="D1213" s="23">
        <v>-83018</v>
      </c>
      <c r="E1213" s="22" t="s">
        <v>45</v>
      </c>
      <c r="F1213" s="24">
        <v>44228</v>
      </c>
      <c r="G1213" s="22" t="s">
        <v>2056</v>
      </c>
      <c r="H1213" s="22"/>
      <c r="I1213" s="22" t="s">
        <v>2056</v>
      </c>
      <c r="J1213" s="22" t="s">
        <v>4401</v>
      </c>
      <c r="K1213" s="22" t="s">
        <v>4519</v>
      </c>
      <c r="L1213" s="22"/>
      <c r="M1213" s="22"/>
      <c r="N1213" s="22"/>
    </row>
    <row r="1214" spans="1:14" x14ac:dyDescent="0.25">
      <c r="A1214" s="22" t="s">
        <v>2061</v>
      </c>
      <c r="B1214" s="22" t="s">
        <v>39</v>
      </c>
      <c r="C1214" s="22" t="s">
        <v>6671</v>
      </c>
      <c r="D1214" s="23">
        <v>-29200</v>
      </c>
      <c r="E1214" s="22" t="s">
        <v>57</v>
      </c>
      <c r="F1214" s="24">
        <v>44225</v>
      </c>
      <c r="G1214" s="22" t="s">
        <v>2056</v>
      </c>
      <c r="H1214" s="22" t="s">
        <v>2062</v>
      </c>
      <c r="I1214" s="22" t="s">
        <v>2060</v>
      </c>
      <c r="J1214" s="22" t="s">
        <v>4466</v>
      </c>
      <c r="K1214" s="22" t="s">
        <v>103</v>
      </c>
      <c r="L1214" s="22"/>
      <c r="M1214" s="22"/>
      <c r="N1214" s="22"/>
    </row>
    <row r="1215" spans="1:14" x14ac:dyDescent="0.25">
      <c r="A1215" s="22" t="s">
        <v>2058</v>
      </c>
      <c r="B1215" s="22" t="s">
        <v>39</v>
      </c>
      <c r="C1215" s="22" t="s">
        <v>6672</v>
      </c>
      <c r="D1215" s="23">
        <v>-54578</v>
      </c>
      <c r="E1215" s="22" t="s">
        <v>57</v>
      </c>
      <c r="F1215" s="24">
        <v>44228</v>
      </c>
      <c r="G1215" s="22" t="s">
        <v>2056</v>
      </c>
      <c r="H1215" s="22" t="s">
        <v>2059</v>
      </c>
      <c r="I1215" s="22" t="s">
        <v>2057</v>
      </c>
      <c r="J1215" s="22" t="s">
        <v>4466</v>
      </c>
      <c r="K1215" s="22" t="s">
        <v>4519</v>
      </c>
      <c r="L1215" s="22"/>
      <c r="M1215" s="22"/>
      <c r="N1215" s="22"/>
    </row>
    <row r="1216" spans="1:14" x14ac:dyDescent="0.25">
      <c r="A1216" s="22" t="s">
        <v>2055</v>
      </c>
      <c r="B1216" s="22" t="s">
        <v>39</v>
      </c>
      <c r="C1216" s="22" t="s">
        <v>3767</v>
      </c>
      <c r="D1216" s="23">
        <v>440568</v>
      </c>
      <c r="E1216" s="22" t="s">
        <v>42</v>
      </c>
      <c r="F1216" s="24">
        <v>44295</v>
      </c>
      <c r="G1216" s="22" t="s">
        <v>2056</v>
      </c>
      <c r="H1216" s="22" t="s">
        <v>1812</v>
      </c>
      <c r="I1216" s="22" t="s">
        <v>2054</v>
      </c>
      <c r="J1216" s="22" t="s">
        <v>4401</v>
      </c>
      <c r="K1216" s="22" t="s">
        <v>292</v>
      </c>
      <c r="L1216" s="22"/>
      <c r="M1216" s="22"/>
      <c r="N1216" s="22"/>
    </row>
    <row r="1217" spans="1:14" x14ac:dyDescent="0.25">
      <c r="A1217" s="22" t="s">
        <v>6370</v>
      </c>
      <c r="B1217" s="22" t="s">
        <v>39</v>
      </c>
      <c r="C1217" s="22" t="s">
        <v>6667</v>
      </c>
      <c r="D1217" s="23">
        <v>-2610201</v>
      </c>
      <c r="E1217" s="22" t="s">
        <v>45</v>
      </c>
      <c r="F1217" s="24">
        <v>44172</v>
      </c>
      <c r="G1217" s="22" t="s">
        <v>6673</v>
      </c>
      <c r="H1217" s="22"/>
      <c r="I1217" s="22" t="s">
        <v>6673</v>
      </c>
      <c r="J1217" s="22" t="s">
        <v>4401</v>
      </c>
      <c r="K1217" s="22" t="s">
        <v>6371</v>
      </c>
      <c r="L1217" s="22"/>
      <c r="M1217" s="22"/>
      <c r="N1217" s="22"/>
    </row>
    <row r="1218" spans="1:14" x14ac:dyDescent="0.25">
      <c r="A1218" s="22" t="s">
        <v>6675</v>
      </c>
      <c r="B1218" s="22" t="s">
        <v>39</v>
      </c>
      <c r="C1218" s="22" t="s">
        <v>6674</v>
      </c>
      <c r="D1218" s="23">
        <v>-93772</v>
      </c>
      <c r="E1218" s="22" t="s">
        <v>57</v>
      </c>
      <c r="F1218" s="24">
        <v>44246</v>
      </c>
      <c r="G1218" s="22" t="s">
        <v>6673</v>
      </c>
      <c r="H1218" s="22" t="s">
        <v>6676</v>
      </c>
      <c r="I1218" s="22" t="s">
        <v>6677</v>
      </c>
      <c r="J1218" s="22" t="s">
        <v>4401</v>
      </c>
      <c r="K1218" s="22" t="s">
        <v>4519</v>
      </c>
      <c r="L1218" s="22"/>
      <c r="M1218" s="22"/>
      <c r="N1218" s="22"/>
    </row>
    <row r="1219" spans="1:14" x14ac:dyDescent="0.25">
      <c r="A1219" s="22" t="s">
        <v>6678</v>
      </c>
      <c r="B1219" s="22" t="s">
        <v>39</v>
      </c>
      <c r="C1219" s="22" t="s">
        <v>6674</v>
      </c>
      <c r="D1219" s="23">
        <v>-103600</v>
      </c>
      <c r="E1219" s="22" t="s">
        <v>57</v>
      </c>
      <c r="F1219" s="24">
        <v>44254</v>
      </c>
      <c r="G1219" s="22" t="s">
        <v>6673</v>
      </c>
      <c r="H1219" s="22" t="s">
        <v>637</v>
      </c>
      <c r="I1219" s="22" t="s">
        <v>6679</v>
      </c>
      <c r="J1219" s="22" t="s">
        <v>4401</v>
      </c>
      <c r="K1219" s="22" t="s">
        <v>4519</v>
      </c>
      <c r="L1219" s="22"/>
      <c r="M1219" s="22"/>
      <c r="N1219" s="22"/>
    </row>
    <row r="1220" spans="1:14" x14ac:dyDescent="0.25">
      <c r="A1220" s="22" t="s">
        <v>6370</v>
      </c>
      <c r="B1220" s="22" t="s">
        <v>39</v>
      </c>
      <c r="C1220" s="22" t="s">
        <v>47</v>
      </c>
      <c r="D1220" s="23">
        <v>2807573</v>
      </c>
      <c r="E1220" s="22" t="s">
        <v>45</v>
      </c>
      <c r="F1220" s="24">
        <v>44172</v>
      </c>
      <c r="G1220" s="22" t="s">
        <v>6673</v>
      </c>
      <c r="H1220" s="22" t="s">
        <v>6553</v>
      </c>
      <c r="I1220" s="22" t="s">
        <v>6542</v>
      </c>
      <c r="J1220" s="22" t="s">
        <v>4401</v>
      </c>
      <c r="K1220" s="22" t="s">
        <v>6371</v>
      </c>
      <c r="L1220" s="22"/>
      <c r="M1220" s="22"/>
      <c r="N1220" s="22"/>
    </row>
    <row r="1221" spans="1:14" x14ac:dyDescent="0.25">
      <c r="A1221" s="22" t="s">
        <v>2003</v>
      </c>
      <c r="B1221" s="22" t="s">
        <v>39</v>
      </c>
      <c r="C1221" s="22" t="s">
        <v>6680</v>
      </c>
      <c r="D1221" s="23">
        <v>74785</v>
      </c>
      <c r="E1221" s="22" t="s">
        <v>45</v>
      </c>
      <c r="F1221" s="24">
        <v>44209</v>
      </c>
      <c r="G1221" s="22" t="s">
        <v>2047</v>
      </c>
      <c r="H1221" s="22"/>
      <c r="I1221" s="22" t="s">
        <v>2047</v>
      </c>
      <c r="J1221" s="22" t="s">
        <v>4401</v>
      </c>
      <c r="K1221" s="22" t="s">
        <v>4759</v>
      </c>
      <c r="L1221" s="22"/>
      <c r="M1221" s="22"/>
      <c r="N1221" s="22"/>
    </row>
    <row r="1222" spans="1:14" x14ac:dyDescent="0.25">
      <c r="A1222" s="22" t="s">
        <v>2003</v>
      </c>
      <c r="B1222" s="22" t="s">
        <v>39</v>
      </c>
      <c r="C1222" s="22" t="s">
        <v>6668</v>
      </c>
      <c r="D1222" s="23">
        <v>-176292</v>
      </c>
      <c r="E1222" s="22" t="s">
        <v>45</v>
      </c>
      <c r="F1222" s="24">
        <v>44209</v>
      </c>
      <c r="G1222" s="22" t="s">
        <v>2047</v>
      </c>
      <c r="H1222" s="22" t="s">
        <v>2053</v>
      </c>
      <c r="I1222" s="22" t="s">
        <v>2001</v>
      </c>
      <c r="J1222" s="22" t="s">
        <v>4401</v>
      </c>
      <c r="K1222" s="22" t="s">
        <v>4759</v>
      </c>
      <c r="L1222" s="22"/>
      <c r="M1222" s="22"/>
      <c r="N1222" s="22"/>
    </row>
    <row r="1223" spans="1:14" x14ac:dyDescent="0.25">
      <c r="A1223" s="22" t="s">
        <v>2052</v>
      </c>
      <c r="B1223" s="22" t="s">
        <v>39</v>
      </c>
      <c r="C1223" s="22" t="s">
        <v>3504</v>
      </c>
      <c r="D1223" s="23">
        <v>101507</v>
      </c>
      <c r="E1223" s="22" t="s">
        <v>42</v>
      </c>
      <c r="F1223" s="24">
        <v>44260</v>
      </c>
      <c r="G1223" s="22" t="s">
        <v>2047</v>
      </c>
      <c r="H1223" s="22" t="s">
        <v>1741</v>
      </c>
      <c r="I1223" s="22" t="s">
        <v>2051</v>
      </c>
      <c r="J1223" s="22" t="s">
        <v>4401</v>
      </c>
      <c r="K1223" s="22" t="s">
        <v>292</v>
      </c>
      <c r="L1223" s="22"/>
      <c r="M1223" s="22"/>
      <c r="N1223" s="22"/>
    </row>
    <row r="1224" spans="1:14" x14ac:dyDescent="0.25">
      <c r="A1224" s="22" t="s">
        <v>2044</v>
      </c>
      <c r="B1224" s="22" t="s">
        <v>39</v>
      </c>
      <c r="C1224" s="22" t="s">
        <v>6680</v>
      </c>
      <c r="D1224" s="23">
        <v>216724</v>
      </c>
      <c r="E1224" s="22" t="s">
        <v>45</v>
      </c>
      <c r="F1224" s="24">
        <v>44205</v>
      </c>
      <c r="G1224" s="22" t="s">
        <v>2043</v>
      </c>
      <c r="H1224" s="22"/>
      <c r="I1224" s="22" t="s">
        <v>2043</v>
      </c>
      <c r="J1224" s="22" t="s">
        <v>4466</v>
      </c>
      <c r="K1224" s="22" t="s">
        <v>4759</v>
      </c>
      <c r="L1224" s="22"/>
      <c r="M1224" s="22"/>
      <c r="N1224" s="22"/>
    </row>
    <row r="1225" spans="1:14" x14ac:dyDescent="0.25">
      <c r="A1225" s="22" t="s">
        <v>2044</v>
      </c>
      <c r="B1225" s="22" t="s">
        <v>39</v>
      </c>
      <c r="C1225" s="22" t="s">
        <v>6680</v>
      </c>
      <c r="D1225" s="23">
        <v>-33577</v>
      </c>
      <c r="E1225" s="22" t="s">
        <v>45</v>
      </c>
      <c r="F1225" s="24">
        <v>44205</v>
      </c>
      <c r="G1225" s="22" t="s">
        <v>2043</v>
      </c>
      <c r="H1225" s="22"/>
      <c r="I1225" s="22" t="s">
        <v>2043</v>
      </c>
      <c r="J1225" s="22" t="s">
        <v>4401</v>
      </c>
      <c r="K1225" s="22" t="s">
        <v>4759</v>
      </c>
      <c r="L1225" s="22"/>
      <c r="M1225" s="22"/>
      <c r="N1225" s="22"/>
    </row>
    <row r="1226" spans="1:14" x14ac:dyDescent="0.25">
      <c r="A1226" s="22" t="s">
        <v>2044</v>
      </c>
      <c r="B1226" s="22" t="s">
        <v>39</v>
      </c>
      <c r="C1226" s="22" t="s">
        <v>6681</v>
      </c>
      <c r="D1226" s="23">
        <v>-216724</v>
      </c>
      <c r="E1226" s="22" t="s">
        <v>57</v>
      </c>
      <c r="F1226" s="24">
        <v>44205</v>
      </c>
      <c r="G1226" s="22" t="s">
        <v>2043</v>
      </c>
      <c r="H1226" s="22" t="s">
        <v>2050</v>
      </c>
      <c r="I1226" s="22" t="s">
        <v>2049</v>
      </c>
      <c r="J1226" s="22" t="s">
        <v>4466</v>
      </c>
      <c r="K1226" s="22" t="s">
        <v>4759</v>
      </c>
      <c r="L1226" s="22"/>
      <c r="M1226" s="22"/>
      <c r="N1226" s="22"/>
    </row>
    <row r="1227" spans="1:14" x14ac:dyDescent="0.25">
      <c r="A1227" s="22" t="s">
        <v>2003</v>
      </c>
      <c r="B1227" s="22" t="s">
        <v>39</v>
      </c>
      <c r="C1227" s="22" t="s">
        <v>6668</v>
      </c>
      <c r="D1227" s="23">
        <v>-74785</v>
      </c>
      <c r="E1227" s="22" t="s">
        <v>45</v>
      </c>
      <c r="F1227" s="24">
        <v>44209</v>
      </c>
      <c r="G1227" s="22" t="s">
        <v>2043</v>
      </c>
      <c r="H1227" s="22" t="s">
        <v>2048</v>
      </c>
      <c r="I1227" s="22" t="s">
        <v>2047</v>
      </c>
      <c r="J1227" s="22" t="s">
        <v>4401</v>
      </c>
      <c r="K1227" s="22" t="s">
        <v>4759</v>
      </c>
      <c r="L1227" s="22"/>
      <c r="M1227" s="22"/>
      <c r="N1227" s="22"/>
    </row>
    <row r="1228" spans="1:14" x14ac:dyDescent="0.25">
      <c r="A1228" s="22" t="s">
        <v>2041</v>
      </c>
      <c r="B1228" s="22" t="s">
        <v>39</v>
      </c>
      <c r="C1228" s="22" t="s">
        <v>3504</v>
      </c>
      <c r="D1228" s="23">
        <v>108362</v>
      </c>
      <c r="E1228" s="22" t="s">
        <v>42</v>
      </c>
      <c r="F1228" s="24">
        <v>44260</v>
      </c>
      <c r="G1228" s="22" t="s">
        <v>2043</v>
      </c>
      <c r="H1228" s="22" t="s">
        <v>1741</v>
      </c>
      <c r="I1228" s="22" t="s">
        <v>2046</v>
      </c>
      <c r="J1228" s="22" t="s">
        <v>4401</v>
      </c>
      <c r="K1228" s="22" t="s">
        <v>292</v>
      </c>
      <c r="L1228" s="22"/>
      <c r="M1228" s="22"/>
      <c r="N1228" s="22"/>
    </row>
    <row r="1229" spans="1:14" x14ac:dyDescent="0.25">
      <c r="A1229" s="22" t="s">
        <v>2044</v>
      </c>
      <c r="B1229" s="22" t="s">
        <v>39</v>
      </c>
      <c r="C1229" s="22" t="s">
        <v>6680</v>
      </c>
      <c r="D1229" s="23">
        <v>183147</v>
      </c>
      <c r="E1229" s="22" t="s">
        <v>45</v>
      </c>
      <c r="F1229" s="24">
        <v>44205</v>
      </c>
      <c r="G1229" s="22" t="s">
        <v>2042</v>
      </c>
      <c r="H1229" s="22"/>
      <c r="I1229" s="22" t="s">
        <v>2042</v>
      </c>
      <c r="J1229" s="22" t="s">
        <v>4466</v>
      </c>
      <c r="K1229" s="22" t="s">
        <v>4759</v>
      </c>
      <c r="L1229" s="22"/>
      <c r="M1229" s="22"/>
      <c r="N1229" s="22"/>
    </row>
    <row r="1230" spans="1:14" x14ac:dyDescent="0.25">
      <c r="A1230" s="22" t="s">
        <v>2044</v>
      </c>
      <c r="B1230" s="22" t="s">
        <v>39</v>
      </c>
      <c r="C1230" s="22" t="s">
        <v>6680</v>
      </c>
      <c r="D1230" s="23">
        <v>-165673</v>
      </c>
      <c r="E1230" s="22" t="s">
        <v>45</v>
      </c>
      <c r="F1230" s="24">
        <v>44205</v>
      </c>
      <c r="G1230" s="22" t="s">
        <v>2042</v>
      </c>
      <c r="H1230" s="22"/>
      <c r="I1230" s="22" t="s">
        <v>2042</v>
      </c>
      <c r="J1230" s="22" t="s">
        <v>4401</v>
      </c>
      <c r="K1230" s="22" t="s">
        <v>4759</v>
      </c>
      <c r="L1230" s="22"/>
      <c r="M1230" s="22"/>
      <c r="N1230" s="22"/>
    </row>
    <row r="1231" spans="1:14" x14ac:dyDescent="0.25">
      <c r="A1231" s="22" t="s">
        <v>2044</v>
      </c>
      <c r="B1231" s="22" t="s">
        <v>39</v>
      </c>
      <c r="C1231" s="22" t="s">
        <v>6681</v>
      </c>
      <c r="D1231" s="23">
        <v>-183147</v>
      </c>
      <c r="E1231" s="22" t="s">
        <v>45</v>
      </c>
      <c r="F1231" s="24">
        <v>44205</v>
      </c>
      <c r="G1231" s="22" t="s">
        <v>2042</v>
      </c>
      <c r="H1231" s="22" t="s">
        <v>2045</v>
      </c>
      <c r="I1231" s="22" t="s">
        <v>2043</v>
      </c>
      <c r="J1231" s="22" t="s">
        <v>4466</v>
      </c>
      <c r="K1231" s="22" t="s">
        <v>4759</v>
      </c>
      <c r="L1231" s="22"/>
      <c r="M1231" s="22"/>
      <c r="N1231" s="22"/>
    </row>
    <row r="1232" spans="1:14" x14ac:dyDescent="0.25">
      <c r="A1232" s="22" t="s">
        <v>2041</v>
      </c>
      <c r="B1232" s="22" t="s">
        <v>39</v>
      </c>
      <c r="C1232" s="22" t="s">
        <v>3504</v>
      </c>
      <c r="D1232" s="23">
        <v>165673</v>
      </c>
      <c r="E1232" s="22" t="s">
        <v>42</v>
      </c>
      <c r="F1232" s="24">
        <v>44295</v>
      </c>
      <c r="G1232" s="22" t="s">
        <v>2042</v>
      </c>
      <c r="H1232" s="22" t="s">
        <v>1812</v>
      </c>
      <c r="I1232" s="22" t="s">
        <v>2040</v>
      </c>
      <c r="J1232" s="22" t="s">
        <v>4401</v>
      </c>
      <c r="K1232" s="22" t="s">
        <v>292</v>
      </c>
      <c r="L1232" s="22"/>
      <c r="M1232" s="22"/>
      <c r="N1232" s="22"/>
    </row>
    <row r="1233" spans="1:14" x14ac:dyDescent="0.25">
      <c r="A1233" s="22" t="s">
        <v>6683</v>
      </c>
      <c r="B1233" s="22" t="s">
        <v>39</v>
      </c>
      <c r="C1233" s="22" t="s">
        <v>6682</v>
      </c>
      <c r="D1233" s="23">
        <v>1226247</v>
      </c>
      <c r="E1233" s="22" t="s">
        <v>45</v>
      </c>
      <c r="F1233" s="24">
        <v>44222</v>
      </c>
      <c r="G1233" s="22" t="s">
        <v>6684</v>
      </c>
      <c r="H1233" s="22"/>
      <c r="I1233" s="22" t="s">
        <v>6684</v>
      </c>
      <c r="J1233" s="22" t="s">
        <v>4466</v>
      </c>
      <c r="K1233" s="22" t="s">
        <v>4460</v>
      </c>
      <c r="L1233" s="22"/>
      <c r="M1233" s="22"/>
      <c r="N1233" s="22"/>
    </row>
    <row r="1234" spans="1:14" x14ac:dyDescent="0.25">
      <c r="A1234" s="22" t="s">
        <v>6683</v>
      </c>
      <c r="B1234" s="22" t="s">
        <v>39</v>
      </c>
      <c r="C1234" s="22" t="s">
        <v>6682</v>
      </c>
      <c r="D1234" s="23">
        <v>-449575</v>
      </c>
      <c r="E1234" s="22" t="s">
        <v>45</v>
      </c>
      <c r="F1234" s="24">
        <v>44222</v>
      </c>
      <c r="G1234" s="22" t="s">
        <v>6684</v>
      </c>
      <c r="H1234" s="22"/>
      <c r="I1234" s="22" t="s">
        <v>6684</v>
      </c>
      <c r="J1234" s="22" t="s">
        <v>4401</v>
      </c>
      <c r="K1234" s="22" t="s">
        <v>4460</v>
      </c>
      <c r="L1234" s="22"/>
      <c r="M1234" s="22"/>
      <c r="N1234" s="22"/>
    </row>
    <row r="1235" spans="1:14" x14ac:dyDescent="0.25">
      <c r="A1235" s="22" t="s">
        <v>6686</v>
      </c>
      <c r="B1235" s="22" t="s">
        <v>39</v>
      </c>
      <c r="C1235" s="22" t="s">
        <v>6685</v>
      </c>
      <c r="D1235" s="23">
        <v>-1171669</v>
      </c>
      <c r="E1235" s="22" t="s">
        <v>57</v>
      </c>
      <c r="F1235" s="24">
        <v>44202</v>
      </c>
      <c r="G1235" s="22" t="s">
        <v>6684</v>
      </c>
      <c r="H1235" s="22" t="s">
        <v>6687</v>
      </c>
      <c r="I1235" s="22" t="s">
        <v>6688</v>
      </c>
      <c r="J1235" s="22" t="s">
        <v>4466</v>
      </c>
      <c r="K1235" s="22" t="s">
        <v>78</v>
      </c>
      <c r="L1235" s="22"/>
      <c r="M1235" s="22"/>
      <c r="N1235" s="22"/>
    </row>
    <row r="1236" spans="1:14" x14ac:dyDescent="0.25">
      <c r="A1236" s="22" t="s">
        <v>6690</v>
      </c>
      <c r="B1236" s="22" t="s">
        <v>39</v>
      </c>
      <c r="C1236" s="22" t="s">
        <v>6689</v>
      </c>
      <c r="D1236" s="23">
        <v>-54578</v>
      </c>
      <c r="E1236" s="22" t="s">
        <v>57</v>
      </c>
      <c r="F1236" s="24">
        <v>44215</v>
      </c>
      <c r="G1236" s="22" t="s">
        <v>6684</v>
      </c>
      <c r="H1236" s="22" t="s">
        <v>6691</v>
      </c>
      <c r="I1236" s="22" t="s">
        <v>6692</v>
      </c>
      <c r="J1236" s="22" t="s">
        <v>4466</v>
      </c>
      <c r="K1236" s="22" t="s">
        <v>6693</v>
      </c>
      <c r="L1236" s="22"/>
      <c r="M1236" s="22"/>
      <c r="N1236" s="22"/>
    </row>
    <row r="1237" spans="1:14" x14ac:dyDescent="0.25">
      <c r="A1237" s="22" t="s">
        <v>6683</v>
      </c>
      <c r="B1237" s="22" t="s">
        <v>39</v>
      </c>
      <c r="C1237" s="22" t="s">
        <v>6694</v>
      </c>
      <c r="D1237" s="23">
        <v>-1227871</v>
      </c>
      <c r="E1237" s="22" t="s">
        <v>57</v>
      </c>
      <c r="F1237" s="24">
        <v>44222</v>
      </c>
      <c r="G1237" s="22" t="s">
        <v>6684</v>
      </c>
      <c r="H1237" s="22" t="s">
        <v>2623</v>
      </c>
      <c r="I1237" s="22" t="s">
        <v>6695</v>
      </c>
      <c r="J1237" s="22" t="s">
        <v>4401</v>
      </c>
      <c r="K1237" s="22" t="s">
        <v>4460</v>
      </c>
      <c r="L1237" s="22"/>
      <c r="M1237" s="22"/>
      <c r="N1237" s="22"/>
    </row>
    <row r="1238" spans="1:14" x14ac:dyDescent="0.25">
      <c r="A1238" s="22" t="s">
        <v>6696</v>
      </c>
      <c r="B1238" s="22" t="s">
        <v>39</v>
      </c>
      <c r="C1238" s="22" t="s">
        <v>5029</v>
      </c>
      <c r="D1238" s="23">
        <v>1677446</v>
      </c>
      <c r="E1238" s="22" t="s">
        <v>42</v>
      </c>
      <c r="F1238" s="24">
        <v>44144</v>
      </c>
      <c r="G1238" s="22" t="s">
        <v>6684</v>
      </c>
      <c r="H1238" s="22" t="s">
        <v>1741</v>
      </c>
      <c r="I1238" s="22" t="s">
        <v>6697</v>
      </c>
      <c r="J1238" s="22" t="s">
        <v>4401</v>
      </c>
      <c r="K1238" s="22" t="s">
        <v>292</v>
      </c>
      <c r="L1238" s="22"/>
      <c r="M1238" s="22"/>
      <c r="N1238" s="22"/>
    </row>
    <row r="1239" spans="1:14" x14ac:dyDescent="0.25">
      <c r="A1239" s="22" t="s">
        <v>6699</v>
      </c>
      <c r="B1239" s="22" t="s">
        <v>39</v>
      </c>
      <c r="C1239" s="22" t="s">
        <v>6698</v>
      </c>
      <c r="D1239" s="23">
        <v>191600</v>
      </c>
      <c r="E1239" s="22" t="s">
        <v>45</v>
      </c>
      <c r="F1239" s="24">
        <v>44237</v>
      </c>
      <c r="G1239" s="22" t="s">
        <v>6700</v>
      </c>
      <c r="H1239" s="22"/>
      <c r="I1239" s="22" t="s">
        <v>6700</v>
      </c>
      <c r="J1239" s="22" t="s">
        <v>4552</v>
      </c>
      <c r="K1239" s="22" t="s">
        <v>4557</v>
      </c>
      <c r="L1239" s="22"/>
      <c r="M1239" s="22"/>
      <c r="N1239" s="22"/>
    </row>
    <row r="1240" spans="1:14" x14ac:dyDescent="0.25">
      <c r="A1240" s="22" t="s">
        <v>6699</v>
      </c>
      <c r="B1240" s="22" t="s">
        <v>39</v>
      </c>
      <c r="C1240" s="22" t="s">
        <v>6698</v>
      </c>
      <c r="D1240" s="23">
        <v>-188967</v>
      </c>
      <c r="E1240" s="22" t="s">
        <v>45</v>
      </c>
      <c r="F1240" s="24">
        <v>44237</v>
      </c>
      <c r="G1240" s="22" t="s">
        <v>6700</v>
      </c>
      <c r="H1240" s="22"/>
      <c r="I1240" s="22" t="s">
        <v>6700</v>
      </c>
      <c r="J1240" s="22" t="s">
        <v>4401</v>
      </c>
      <c r="K1240" s="22" t="s">
        <v>4557</v>
      </c>
      <c r="L1240" s="22"/>
      <c r="M1240" s="22"/>
      <c r="N1240" s="22"/>
    </row>
    <row r="1241" spans="1:14" x14ac:dyDescent="0.25">
      <c r="A1241" s="22" t="s">
        <v>6699</v>
      </c>
      <c r="B1241" s="22" t="s">
        <v>39</v>
      </c>
      <c r="C1241" s="22" t="s">
        <v>6701</v>
      </c>
      <c r="D1241" s="23">
        <v>-191600</v>
      </c>
      <c r="E1241" s="22" t="s">
        <v>57</v>
      </c>
      <c r="F1241" s="24">
        <v>44237</v>
      </c>
      <c r="G1241" s="22" t="s">
        <v>6700</v>
      </c>
      <c r="H1241" s="22" t="s">
        <v>2801</v>
      </c>
      <c r="I1241" s="22" t="s">
        <v>6702</v>
      </c>
      <c r="J1241" s="22" t="s">
        <v>4552</v>
      </c>
      <c r="K1241" s="22" t="s">
        <v>4557</v>
      </c>
      <c r="L1241" s="22"/>
      <c r="M1241" s="22"/>
      <c r="N1241" s="22"/>
    </row>
    <row r="1242" spans="1:14" x14ac:dyDescent="0.25">
      <c r="A1242" s="22" t="s">
        <v>2027</v>
      </c>
      <c r="B1242" s="22" t="s">
        <v>39</v>
      </c>
      <c r="C1242" s="22" t="s">
        <v>4403</v>
      </c>
      <c r="D1242" s="23">
        <v>188967</v>
      </c>
      <c r="E1242" s="22" t="s">
        <v>45</v>
      </c>
      <c r="F1242" s="24">
        <v>44260</v>
      </c>
      <c r="G1242" s="22" t="s">
        <v>6700</v>
      </c>
      <c r="H1242" s="22" t="s">
        <v>6703</v>
      </c>
      <c r="I1242" s="22" t="s">
        <v>2028</v>
      </c>
      <c r="J1242" s="22" t="s">
        <v>4401</v>
      </c>
      <c r="K1242" s="22" t="s">
        <v>6571</v>
      </c>
      <c r="L1242" s="22"/>
      <c r="M1242" s="22"/>
      <c r="N1242" s="22"/>
    </row>
    <row r="1243" spans="1:14" x14ac:dyDescent="0.25">
      <c r="A1243" s="22" t="s">
        <v>6704</v>
      </c>
      <c r="B1243" s="22" t="s">
        <v>39</v>
      </c>
      <c r="C1243" s="22" t="s">
        <v>6698</v>
      </c>
      <c r="D1243" s="23">
        <v>243164</v>
      </c>
      <c r="E1243" s="22" t="s">
        <v>45</v>
      </c>
      <c r="F1243" s="24">
        <v>44237</v>
      </c>
      <c r="G1243" s="22" t="s">
        <v>6705</v>
      </c>
      <c r="H1243" s="22"/>
      <c r="I1243" s="22" t="s">
        <v>6705</v>
      </c>
      <c r="J1243" s="22" t="s">
        <v>4466</v>
      </c>
      <c r="K1243" s="22" t="s">
        <v>4557</v>
      </c>
      <c r="L1243" s="22"/>
      <c r="M1243" s="22"/>
      <c r="N1243" s="22"/>
    </row>
    <row r="1244" spans="1:14" x14ac:dyDescent="0.25">
      <c r="A1244" s="22" t="s">
        <v>6704</v>
      </c>
      <c r="B1244" s="22" t="s">
        <v>39</v>
      </c>
      <c r="C1244" s="22" t="s">
        <v>6698</v>
      </c>
      <c r="D1244" s="23">
        <v>1556606</v>
      </c>
      <c r="E1244" s="22" t="s">
        <v>45</v>
      </c>
      <c r="F1244" s="24">
        <v>44237</v>
      </c>
      <c r="G1244" s="22" t="s">
        <v>6705</v>
      </c>
      <c r="H1244" s="22"/>
      <c r="I1244" s="22" t="s">
        <v>6705</v>
      </c>
      <c r="J1244" s="22" t="s">
        <v>4552</v>
      </c>
      <c r="K1244" s="22" t="s">
        <v>4557</v>
      </c>
      <c r="L1244" s="22"/>
      <c r="M1244" s="22"/>
      <c r="N1244" s="22"/>
    </row>
    <row r="1245" spans="1:14" x14ac:dyDescent="0.25">
      <c r="A1245" s="22" t="s">
        <v>6704</v>
      </c>
      <c r="B1245" s="22" t="s">
        <v>39</v>
      </c>
      <c r="C1245" s="22" t="s">
        <v>6698</v>
      </c>
      <c r="D1245" s="23">
        <v>-3552858</v>
      </c>
      <c r="E1245" s="22" t="s">
        <v>45</v>
      </c>
      <c r="F1245" s="24">
        <v>44237</v>
      </c>
      <c r="G1245" s="22" t="s">
        <v>6705</v>
      </c>
      <c r="H1245" s="22"/>
      <c r="I1245" s="22" t="s">
        <v>6705</v>
      </c>
      <c r="J1245" s="22" t="s">
        <v>4401</v>
      </c>
      <c r="K1245" s="22" t="s">
        <v>4557</v>
      </c>
      <c r="L1245" s="22"/>
      <c r="M1245" s="22"/>
      <c r="N1245" s="22"/>
    </row>
    <row r="1246" spans="1:14" x14ac:dyDescent="0.25">
      <c r="A1246" s="22" t="s">
        <v>6704</v>
      </c>
      <c r="B1246" s="22" t="s">
        <v>39</v>
      </c>
      <c r="C1246" s="22" t="s">
        <v>6698</v>
      </c>
      <c r="D1246" s="23">
        <v>1795800</v>
      </c>
      <c r="E1246" s="22" t="s">
        <v>45</v>
      </c>
      <c r="F1246" s="24">
        <v>44237</v>
      </c>
      <c r="G1246" s="22" t="s">
        <v>6705</v>
      </c>
      <c r="H1246" s="22"/>
      <c r="I1246" s="22" t="s">
        <v>6705</v>
      </c>
      <c r="J1246" s="22" t="s">
        <v>4407</v>
      </c>
      <c r="K1246" s="22" t="s">
        <v>4557</v>
      </c>
      <c r="L1246" s="22"/>
      <c r="M1246" s="22"/>
      <c r="N1246" s="22"/>
    </row>
    <row r="1247" spans="1:14" x14ac:dyDescent="0.25">
      <c r="A1247" s="22" t="s">
        <v>6707</v>
      </c>
      <c r="B1247" s="22" t="s">
        <v>39</v>
      </c>
      <c r="C1247" s="22" t="s">
        <v>6706</v>
      </c>
      <c r="D1247" s="23">
        <v>-120600</v>
      </c>
      <c r="E1247" s="22" t="s">
        <v>57</v>
      </c>
      <c r="F1247" s="24">
        <v>44126</v>
      </c>
      <c r="G1247" s="22" t="s">
        <v>6705</v>
      </c>
      <c r="H1247" s="22" t="s">
        <v>897</v>
      </c>
      <c r="I1247" s="22" t="s">
        <v>6708</v>
      </c>
      <c r="J1247" s="22" t="s">
        <v>4552</v>
      </c>
      <c r="K1247" s="22" t="s">
        <v>4557</v>
      </c>
      <c r="L1247" s="22"/>
      <c r="M1247" s="22"/>
      <c r="N1247" s="22"/>
    </row>
    <row r="1248" spans="1:14" x14ac:dyDescent="0.25">
      <c r="A1248" s="22" t="s">
        <v>6710</v>
      </c>
      <c r="B1248" s="22" t="s">
        <v>39</v>
      </c>
      <c r="C1248" s="22" t="s">
        <v>6709</v>
      </c>
      <c r="D1248" s="23">
        <v>-29200</v>
      </c>
      <c r="E1248" s="22" t="s">
        <v>57</v>
      </c>
      <c r="F1248" s="24">
        <v>44204</v>
      </c>
      <c r="G1248" s="22" t="s">
        <v>6705</v>
      </c>
      <c r="H1248" s="22" t="s">
        <v>1345</v>
      </c>
      <c r="I1248" s="22" t="s">
        <v>6711</v>
      </c>
      <c r="J1248" s="22" t="s">
        <v>4552</v>
      </c>
      <c r="K1248" s="22" t="s">
        <v>4557</v>
      </c>
      <c r="L1248" s="22"/>
      <c r="M1248" s="22"/>
      <c r="N1248" s="22"/>
    </row>
    <row r="1249" spans="1:14" x14ac:dyDescent="0.25">
      <c r="A1249" s="22" t="s">
        <v>6712</v>
      </c>
      <c r="B1249" s="22" t="s">
        <v>39</v>
      </c>
      <c r="C1249" s="22" t="s">
        <v>6709</v>
      </c>
      <c r="D1249" s="23">
        <v>-43700</v>
      </c>
      <c r="E1249" s="22" t="s">
        <v>57</v>
      </c>
      <c r="F1249" s="24">
        <v>44210</v>
      </c>
      <c r="G1249" s="22" t="s">
        <v>6705</v>
      </c>
      <c r="H1249" s="22" t="s">
        <v>836</v>
      </c>
      <c r="I1249" s="22" t="s">
        <v>6713</v>
      </c>
      <c r="J1249" s="22" t="s">
        <v>4552</v>
      </c>
      <c r="K1249" s="22" t="s">
        <v>4557</v>
      </c>
      <c r="L1249" s="22"/>
      <c r="M1249" s="22"/>
      <c r="N1249" s="22"/>
    </row>
    <row r="1250" spans="1:14" x14ac:dyDescent="0.25">
      <c r="A1250" s="22" t="s">
        <v>6714</v>
      </c>
      <c r="B1250" s="22" t="s">
        <v>39</v>
      </c>
      <c r="C1250" s="22" t="s">
        <v>6709</v>
      </c>
      <c r="D1250" s="23">
        <v>-33600</v>
      </c>
      <c r="E1250" s="22" t="s">
        <v>57</v>
      </c>
      <c r="F1250" s="24">
        <v>44211</v>
      </c>
      <c r="G1250" s="22" t="s">
        <v>6705</v>
      </c>
      <c r="H1250" s="22" t="s">
        <v>1345</v>
      </c>
      <c r="I1250" s="22" t="s">
        <v>6715</v>
      </c>
      <c r="J1250" s="22" t="s">
        <v>4552</v>
      </c>
      <c r="K1250" s="22" t="s">
        <v>4557</v>
      </c>
      <c r="L1250" s="22"/>
      <c r="M1250" s="22"/>
      <c r="N1250" s="22"/>
    </row>
    <row r="1251" spans="1:14" x14ac:dyDescent="0.25">
      <c r="A1251" s="22" t="s">
        <v>6716</v>
      </c>
      <c r="B1251" s="22" t="s">
        <v>39</v>
      </c>
      <c r="C1251" s="22" t="s">
        <v>6709</v>
      </c>
      <c r="D1251" s="23">
        <v>-6200</v>
      </c>
      <c r="E1251" s="22" t="s">
        <v>57</v>
      </c>
      <c r="F1251" s="24">
        <v>44215</v>
      </c>
      <c r="G1251" s="22" t="s">
        <v>6705</v>
      </c>
      <c r="H1251" s="22" t="s">
        <v>559</v>
      </c>
      <c r="I1251" s="22" t="s">
        <v>6717</v>
      </c>
      <c r="J1251" s="22" t="s">
        <v>4552</v>
      </c>
      <c r="K1251" s="22" t="s">
        <v>4557</v>
      </c>
      <c r="L1251" s="22"/>
      <c r="M1251" s="22"/>
      <c r="N1251" s="22"/>
    </row>
    <row r="1252" spans="1:14" x14ac:dyDescent="0.25">
      <c r="A1252" s="22" t="s">
        <v>6718</v>
      </c>
      <c r="B1252" s="22" t="s">
        <v>39</v>
      </c>
      <c r="C1252" s="22" t="s">
        <v>6709</v>
      </c>
      <c r="D1252" s="23">
        <v>-18800</v>
      </c>
      <c r="E1252" s="22" t="s">
        <v>57</v>
      </c>
      <c r="F1252" s="24">
        <v>44218</v>
      </c>
      <c r="G1252" s="22" t="s">
        <v>6705</v>
      </c>
      <c r="H1252" s="22" t="s">
        <v>788</v>
      </c>
      <c r="I1252" s="22" t="s">
        <v>6719</v>
      </c>
      <c r="J1252" s="22" t="s">
        <v>4552</v>
      </c>
      <c r="K1252" s="22" t="s">
        <v>4557</v>
      </c>
      <c r="L1252" s="22"/>
      <c r="M1252" s="22"/>
      <c r="N1252" s="22"/>
    </row>
    <row r="1253" spans="1:14" x14ac:dyDescent="0.25">
      <c r="A1253" s="22" t="s">
        <v>6720</v>
      </c>
      <c r="B1253" s="22" t="s">
        <v>39</v>
      </c>
      <c r="C1253" s="22" t="s">
        <v>6709</v>
      </c>
      <c r="D1253" s="23">
        <v>-29200</v>
      </c>
      <c r="E1253" s="22" t="s">
        <v>57</v>
      </c>
      <c r="F1253" s="24">
        <v>44218</v>
      </c>
      <c r="G1253" s="22" t="s">
        <v>6705</v>
      </c>
      <c r="H1253" s="22" t="s">
        <v>820</v>
      </c>
      <c r="I1253" s="22" t="s">
        <v>6721</v>
      </c>
      <c r="J1253" s="22" t="s">
        <v>4552</v>
      </c>
      <c r="K1253" s="22" t="s">
        <v>4557</v>
      </c>
      <c r="L1253" s="22"/>
      <c r="M1253" s="22"/>
      <c r="N1253" s="22"/>
    </row>
    <row r="1254" spans="1:14" x14ac:dyDescent="0.25">
      <c r="A1254" s="22" t="s">
        <v>6723</v>
      </c>
      <c r="B1254" s="22" t="s">
        <v>39</v>
      </c>
      <c r="C1254" s="22" t="s">
        <v>6722</v>
      </c>
      <c r="D1254" s="23">
        <v>-32700</v>
      </c>
      <c r="E1254" s="22" t="s">
        <v>57</v>
      </c>
      <c r="F1254" s="24">
        <v>44203</v>
      </c>
      <c r="G1254" s="22" t="s">
        <v>6705</v>
      </c>
      <c r="H1254" s="22" t="s">
        <v>532</v>
      </c>
      <c r="I1254" s="22" t="s">
        <v>6724</v>
      </c>
      <c r="J1254" s="22" t="s">
        <v>4407</v>
      </c>
      <c r="K1254" s="22" t="s">
        <v>4557</v>
      </c>
      <c r="L1254" s="22"/>
      <c r="M1254" s="22"/>
      <c r="N1254" s="22"/>
    </row>
    <row r="1255" spans="1:14" x14ac:dyDescent="0.25">
      <c r="A1255" s="22" t="s">
        <v>6725</v>
      </c>
      <c r="B1255" s="22" t="s">
        <v>39</v>
      </c>
      <c r="C1255" s="22" t="s">
        <v>6722</v>
      </c>
      <c r="D1255" s="23">
        <v>-420000</v>
      </c>
      <c r="E1255" s="22" t="s">
        <v>57</v>
      </c>
      <c r="F1255" s="24">
        <v>44208</v>
      </c>
      <c r="G1255" s="22" t="s">
        <v>6705</v>
      </c>
      <c r="H1255" s="22" t="s">
        <v>919</v>
      </c>
      <c r="I1255" s="22" t="s">
        <v>6726</v>
      </c>
      <c r="J1255" s="22" t="s">
        <v>4407</v>
      </c>
      <c r="K1255" s="22" t="s">
        <v>4557</v>
      </c>
      <c r="L1255" s="22"/>
      <c r="M1255" s="22"/>
      <c r="N1255" s="22"/>
    </row>
    <row r="1256" spans="1:14" x14ac:dyDescent="0.25">
      <c r="A1256" s="22" t="s">
        <v>6727</v>
      </c>
      <c r="B1256" s="22" t="s">
        <v>39</v>
      </c>
      <c r="C1256" s="22" t="s">
        <v>6722</v>
      </c>
      <c r="D1256" s="23">
        <v>-47200</v>
      </c>
      <c r="E1256" s="22" t="s">
        <v>57</v>
      </c>
      <c r="F1256" s="24">
        <v>44208</v>
      </c>
      <c r="G1256" s="22" t="s">
        <v>6705</v>
      </c>
      <c r="H1256" s="22" t="s">
        <v>919</v>
      </c>
      <c r="I1256" s="22" t="s">
        <v>6728</v>
      </c>
      <c r="J1256" s="22" t="s">
        <v>4407</v>
      </c>
      <c r="K1256" s="22" t="s">
        <v>4557</v>
      </c>
      <c r="L1256" s="22"/>
      <c r="M1256" s="22"/>
      <c r="N1256" s="22"/>
    </row>
    <row r="1257" spans="1:14" x14ac:dyDescent="0.25">
      <c r="A1257" s="22" t="s">
        <v>6729</v>
      </c>
      <c r="B1257" s="22" t="s">
        <v>39</v>
      </c>
      <c r="C1257" s="22" t="s">
        <v>6722</v>
      </c>
      <c r="D1257" s="23">
        <v>-31600</v>
      </c>
      <c r="E1257" s="22" t="s">
        <v>57</v>
      </c>
      <c r="F1257" s="24">
        <v>44209</v>
      </c>
      <c r="G1257" s="22" t="s">
        <v>6705</v>
      </c>
      <c r="H1257" s="22" t="s">
        <v>298</v>
      </c>
      <c r="I1257" s="22" t="s">
        <v>6730</v>
      </c>
      <c r="J1257" s="22" t="s">
        <v>4407</v>
      </c>
      <c r="K1257" s="22" t="s">
        <v>4557</v>
      </c>
      <c r="L1257" s="22"/>
      <c r="M1257" s="22"/>
      <c r="N1257" s="22"/>
    </row>
    <row r="1258" spans="1:14" x14ac:dyDescent="0.25">
      <c r="A1258" s="22" t="s">
        <v>6731</v>
      </c>
      <c r="B1258" s="22" t="s">
        <v>39</v>
      </c>
      <c r="C1258" s="22" t="s">
        <v>6722</v>
      </c>
      <c r="D1258" s="23">
        <v>-36200</v>
      </c>
      <c r="E1258" s="22" t="s">
        <v>57</v>
      </c>
      <c r="F1258" s="24">
        <v>44210</v>
      </c>
      <c r="G1258" s="22" t="s">
        <v>6705</v>
      </c>
      <c r="H1258" s="22" t="s">
        <v>532</v>
      </c>
      <c r="I1258" s="22" t="s">
        <v>6732</v>
      </c>
      <c r="J1258" s="22" t="s">
        <v>4407</v>
      </c>
      <c r="K1258" s="22" t="s">
        <v>4557</v>
      </c>
      <c r="L1258" s="22"/>
      <c r="M1258" s="22"/>
      <c r="N1258" s="22"/>
    </row>
    <row r="1259" spans="1:14" x14ac:dyDescent="0.25">
      <c r="A1259" s="22" t="s">
        <v>6733</v>
      </c>
      <c r="B1259" s="22" t="s">
        <v>39</v>
      </c>
      <c r="C1259" s="22" t="s">
        <v>6722</v>
      </c>
      <c r="D1259" s="23">
        <v>-32700</v>
      </c>
      <c r="E1259" s="22" t="s">
        <v>57</v>
      </c>
      <c r="F1259" s="24">
        <v>44210</v>
      </c>
      <c r="G1259" s="22" t="s">
        <v>6705</v>
      </c>
      <c r="H1259" s="22" t="s">
        <v>1805</v>
      </c>
      <c r="I1259" s="22" t="s">
        <v>6734</v>
      </c>
      <c r="J1259" s="22" t="s">
        <v>4407</v>
      </c>
      <c r="K1259" s="22" t="s">
        <v>4557</v>
      </c>
      <c r="L1259" s="22"/>
      <c r="M1259" s="22"/>
      <c r="N1259" s="22"/>
    </row>
    <row r="1260" spans="1:14" x14ac:dyDescent="0.25">
      <c r="A1260" s="22" t="s">
        <v>6735</v>
      </c>
      <c r="B1260" s="22" t="s">
        <v>39</v>
      </c>
      <c r="C1260" s="22" t="s">
        <v>6722</v>
      </c>
      <c r="D1260" s="23">
        <v>-47200</v>
      </c>
      <c r="E1260" s="22" t="s">
        <v>57</v>
      </c>
      <c r="F1260" s="24">
        <v>44214</v>
      </c>
      <c r="G1260" s="22" t="s">
        <v>6705</v>
      </c>
      <c r="H1260" s="22" t="s">
        <v>919</v>
      </c>
      <c r="I1260" s="22" t="s">
        <v>6736</v>
      </c>
      <c r="J1260" s="22" t="s">
        <v>4407</v>
      </c>
      <c r="K1260" s="22" t="s">
        <v>4557</v>
      </c>
      <c r="L1260" s="22"/>
      <c r="M1260" s="22"/>
      <c r="N1260" s="22"/>
    </row>
    <row r="1261" spans="1:14" x14ac:dyDescent="0.25">
      <c r="A1261" s="22" t="s">
        <v>6737</v>
      </c>
      <c r="B1261" s="22" t="s">
        <v>39</v>
      </c>
      <c r="C1261" s="22" t="s">
        <v>6722</v>
      </c>
      <c r="D1261" s="23">
        <v>-22300</v>
      </c>
      <c r="E1261" s="22" t="s">
        <v>57</v>
      </c>
      <c r="F1261" s="24">
        <v>44218</v>
      </c>
      <c r="G1261" s="22" t="s">
        <v>6705</v>
      </c>
      <c r="H1261" s="22" t="s">
        <v>532</v>
      </c>
      <c r="I1261" s="22" t="s">
        <v>6738</v>
      </c>
      <c r="J1261" s="22" t="s">
        <v>4407</v>
      </c>
      <c r="K1261" s="22" t="s">
        <v>4557</v>
      </c>
      <c r="L1261" s="22"/>
      <c r="M1261" s="22"/>
      <c r="N1261" s="22"/>
    </row>
    <row r="1262" spans="1:14" x14ac:dyDescent="0.25">
      <c r="A1262" s="22" t="s">
        <v>6739</v>
      </c>
      <c r="B1262" s="22" t="s">
        <v>39</v>
      </c>
      <c r="C1262" s="22" t="s">
        <v>6722</v>
      </c>
      <c r="D1262" s="23">
        <v>-10100</v>
      </c>
      <c r="E1262" s="22" t="s">
        <v>57</v>
      </c>
      <c r="F1262" s="24">
        <v>44222</v>
      </c>
      <c r="G1262" s="22" t="s">
        <v>6705</v>
      </c>
      <c r="H1262" s="22" t="s">
        <v>1805</v>
      </c>
      <c r="I1262" s="22" t="s">
        <v>6740</v>
      </c>
      <c r="J1262" s="22" t="s">
        <v>4407</v>
      </c>
      <c r="K1262" s="22" t="s">
        <v>4557</v>
      </c>
      <c r="L1262" s="22"/>
      <c r="M1262" s="22"/>
      <c r="N1262" s="22"/>
    </row>
    <row r="1263" spans="1:14" x14ac:dyDescent="0.25">
      <c r="A1263" s="22" t="s">
        <v>6741</v>
      </c>
      <c r="B1263" s="22" t="s">
        <v>39</v>
      </c>
      <c r="C1263" s="22" t="s">
        <v>6722</v>
      </c>
      <c r="D1263" s="23">
        <v>-23700</v>
      </c>
      <c r="E1263" s="22" t="s">
        <v>57</v>
      </c>
      <c r="F1263" s="24">
        <v>44223</v>
      </c>
      <c r="G1263" s="22" t="s">
        <v>6705</v>
      </c>
      <c r="H1263" s="22" t="s">
        <v>1805</v>
      </c>
      <c r="I1263" s="22" t="s">
        <v>6742</v>
      </c>
      <c r="J1263" s="22" t="s">
        <v>4407</v>
      </c>
      <c r="K1263" s="22" t="s">
        <v>4557</v>
      </c>
      <c r="L1263" s="22"/>
      <c r="M1263" s="22"/>
      <c r="N1263" s="22"/>
    </row>
    <row r="1264" spans="1:14" x14ac:dyDescent="0.25">
      <c r="A1264" s="22" t="s">
        <v>6744</v>
      </c>
      <c r="B1264" s="22" t="s">
        <v>39</v>
      </c>
      <c r="C1264" s="22" t="s">
        <v>6743</v>
      </c>
      <c r="D1264" s="23">
        <v>-101014</v>
      </c>
      <c r="E1264" s="22" t="s">
        <v>57</v>
      </c>
      <c r="F1264" s="24">
        <v>44200</v>
      </c>
      <c r="G1264" s="22" t="s">
        <v>6705</v>
      </c>
      <c r="H1264" s="22" t="s">
        <v>5928</v>
      </c>
      <c r="I1264" s="22" t="s">
        <v>6745</v>
      </c>
      <c r="J1264" s="22" t="s">
        <v>4552</v>
      </c>
      <c r="K1264" s="22" t="s">
        <v>4557</v>
      </c>
      <c r="L1264" s="22"/>
      <c r="M1264" s="22"/>
      <c r="N1264" s="22"/>
    </row>
    <row r="1265" spans="1:14" x14ac:dyDescent="0.25">
      <c r="A1265" s="22" t="s">
        <v>6746</v>
      </c>
      <c r="B1265" s="22" t="s">
        <v>39</v>
      </c>
      <c r="C1265" s="22" t="s">
        <v>6743</v>
      </c>
      <c r="D1265" s="23">
        <v>-280789</v>
      </c>
      <c r="E1265" s="22" t="s">
        <v>57</v>
      </c>
      <c r="F1265" s="24">
        <v>44203</v>
      </c>
      <c r="G1265" s="22" t="s">
        <v>6705</v>
      </c>
      <c r="H1265" s="22" t="s">
        <v>6487</v>
      </c>
      <c r="I1265" s="22" t="s">
        <v>6747</v>
      </c>
      <c r="J1265" s="22" t="s">
        <v>4552</v>
      </c>
      <c r="K1265" s="22" t="s">
        <v>4557</v>
      </c>
      <c r="L1265" s="22"/>
      <c r="M1265" s="22"/>
      <c r="N1265" s="22"/>
    </row>
    <row r="1266" spans="1:14" x14ac:dyDescent="0.25">
      <c r="A1266" s="22" t="s">
        <v>6748</v>
      </c>
      <c r="B1266" s="22" t="s">
        <v>39</v>
      </c>
      <c r="C1266" s="22" t="s">
        <v>6743</v>
      </c>
      <c r="D1266" s="23">
        <v>-55707</v>
      </c>
      <c r="E1266" s="22" t="s">
        <v>57</v>
      </c>
      <c r="F1266" s="24">
        <v>44204</v>
      </c>
      <c r="G1266" s="22" t="s">
        <v>6705</v>
      </c>
      <c r="H1266" s="22" t="s">
        <v>6749</v>
      </c>
      <c r="I1266" s="22" t="s">
        <v>6750</v>
      </c>
      <c r="J1266" s="22" t="s">
        <v>4552</v>
      </c>
      <c r="K1266" s="22" t="s">
        <v>4557</v>
      </c>
      <c r="L1266" s="22"/>
      <c r="M1266" s="22"/>
      <c r="N1266" s="22"/>
    </row>
    <row r="1267" spans="1:14" x14ac:dyDescent="0.25">
      <c r="A1267" s="22" t="s">
        <v>6751</v>
      </c>
      <c r="B1267" s="22" t="s">
        <v>39</v>
      </c>
      <c r="C1267" s="22" t="s">
        <v>6743</v>
      </c>
      <c r="D1267" s="23">
        <v>-53700</v>
      </c>
      <c r="E1267" s="22" t="s">
        <v>57</v>
      </c>
      <c r="F1267" s="24">
        <v>44219</v>
      </c>
      <c r="G1267" s="22" t="s">
        <v>6705</v>
      </c>
      <c r="H1267" s="22" t="s">
        <v>6752</v>
      </c>
      <c r="I1267" s="22" t="s">
        <v>6753</v>
      </c>
      <c r="J1267" s="22" t="s">
        <v>4552</v>
      </c>
      <c r="K1267" s="22" t="s">
        <v>4557</v>
      </c>
      <c r="L1267" s="22"/>
      <c r="M1267" s="22"/>
      <c r="N1267" s="22"/>
    </row>
    <row r="1268" spans="1:14" x14ac:dyDescent="0.25">
      <c r="A1268" s="22" t="s">
        <v>6755</v>
      </c>
      <c r="B1268" s="22" t="s">
        <v>39</v>
      </c>
      <c r="C1268" s="22" t="s">
        <v>6754</v>
      </c>
      <c r="D1268" s="23">
        <v>-185400</v>
      </c>
      <c r="E1268" s="22" t="s">
        <v>57</v>
      </c>
      <c r="F1268" s="24">
        <v>44203</v>
      </c>
      <c r="G1268" s="22" t="s">
        <v>6705</v>
      </c>
      <c r="H1268" s="22" t="s">
        <v>919</v>
      </c>
      <c r="I1268" s="22" t="s">
        <v>6756</v>
      </c>
      <c r="J1268" s="22" t="s">
        <v>4407</v>
      </c>
      <c r="K1268" s="22" t="s">
        <v>4557</v>
      </c>
      <c r="L1268" s="22"/>
      <c r="M1268" s="22"/>
      <c r="N1268" s="22"/>
    </row>
    <row r="1269" spans="1:14" x14ac:dyDescent="0.25">
      <c r="A1269" s="22" t="s">
        <v>6757</v>
      </c>
      <c r="B1269" s="22" t="s">
        <v>39</v>
      </c>
      <c r="C1269" s="22" t="s">
        <v>6754</v>
      </c>
      <c r="D1269" s="23">
        <v>-87500</v>
      </c>
      <c r="E1269" s="22" t="s">
        <v>57</v>
      </c>
      <c r="F1269" s="24">
        <v>44217</v>
      </c>
      <c r="G1269" s="22" t="s">
        <v>6705</v>
      </c>
      <c r="H1269" s="22" t="s">
        <v>532</v>
      </c>
      <c r="I1269" s="22" t="s">
        <v>6758</v>
      </c>
      <c r="J1269" s="22" t="s">
        <v>4407</v>
      </c>
      <c r="K1269" s="22" t="s">
        <v>4557</v>
      </c>
      <c r="L1269" s="22"/>
      <c r="M1269" s="22"/>
      <c r="N1269" s="22"/>
    </row>
    <row r="1270" spans="1:14" x14ac:dyDescent="0.25">
      <c r="A1270" s="22" t="s">
        <v>6683</v>
      </c>
      <c r="B1270" s="22" t="s">
        <v>39</v>
      </c>
      <c r="C1270" s="22" t="s">
        <v>6694</v>
      </c>
      <c r="D1270" s="23">
        <v>-776672</v>
      </c>
      <c r="E1270" s="22" t="s">
        <v>45</v>
      </c>
      <c r="F1270" s="24">
        <v>44222</v>
      </c>
      <c r="G1270" s="22" t="s">
        <v>6705</v>
      </c>
      <c r="H1270" s="22" t="s">
        <v>879</v>
      </c>
      <c r="I1270" s="22" t="s">
        <v>6684</v>
      </c>
      <c r="J1270" s="22" t="s">
        <v>4401</v>
      </c>
      <c r="K1270" s="22" t="s">
        <v>4460</v>
      </c>
      <c r="L1270" s="22"/>
      <c r="M1270" s="22"/>
      <c r="N1270" s="22"/>
    </row>
    <row r="1271" spans="1:14" x14ac:dyDescent="0.25">
      <c r="A1271" s="22" t="s">
        <v>6760</v>
      </c>
      <c r="B1271" s="22" t="s">
        <v>39</v>
      </c>
      <c r="C1271" s="22" t="s">
        <v>6759</v>
      </c>
      <c r="D1271" s="23">
        <v>-53700</v>
      </c>
      <c r="E1271" s="22" t="s">
        <v>57</v>
      </c>
      <c r="F1271" s="24">
        <v>44235</v>
      </c>
      <c r="G1271" s="22" t="s">
        <v>6705</v>
      </c>
      <c r="H1271" s="22" t="s">
        <v>6761</v>
      </c>
      <c r="I1271" s="22" t="s">
        <v>6762</v>
      </c>
      <c r="J1271" s="22" t="s">
        <v>4466</v>
      </c>
      <c r="K1271" s="22" t="s">
        <v>78</v>
      </c>
      <c r="L1271" s="22"/>
      <c r="M1271" s="22"/>
      <c r="N1271" s="22"/>
    </row>
    <row r="1272" spans="1:14" x14ac:dyDescent="0.25">
      <c r="A1272" s="22" t="s">
        <v>6763</v>
      </c>
      <c r="B1272" s="22" t="s">
        <v>39</v>
      </c>
      <c r="C1272" s="22" t="s">
        <v>6759</v>
      </c>
      <c r="D1272" s="23">
        <v>-189464</v>
      </c>
      <c r="E1272" s="22" t="s">
        <v>57</v>
      </c>
      <c r="F1272" s="24">
        <v>44250</v>
      </c>
      <c r="G1272" s="22" t="s">
        <v>6705</v>
      </c>
      <c r="H1272" s="22" t="s">
        <v>6761</v>
      </c>
      <c r="I1272" s="22" t="s">
        <v>6764</v>
      </c>
      <c r="J1272" s="22" t="s">
        <v>4466</v>
      </c>
      <c r="K1272" s="22" t="s">
        <v>78</v>
      </c>
      <c r="L1272" s="22"/>
      <c r="M1272" s="22"/>
      <c r="N1272" s="22"/>
    </row>
    <row r="1273" spans="1:14" x14ac:dyDescent="0.25">
      <c r="A1273" s="22" t="s">
        <v>6766</v>
      </c>
      <c r="B1273" s="22" t="s">
        <v>39</v>
      </c>
      <c r="C1273" s="22" t="s">
        <v>6765</v>
      </c>
      <c r="D1273" s="23">
        <v>-164106</v>
      </c>
      <c r="E1273" s="22" t="s">
        <v>57</v>
      </c>
      <c r="F1273" s="24">
        <v>44232</v>
      </c>
      <c r="G1273" s="22" t="s">
        <v>6705</v>
      </c>
      <c r="H1273" s="22" t="s">
        <v>6767</v>
      </c>
      <c r="I1273" s="22" t="s">
        <v>6768</v>
      </c>
      <c r="J1273" s="22" t="s">
        <v>4552</v>
      </c>
      <c r="K1273" s="22" t="s">
        <v>4557</v>
      </c>
      <c r="L1273" s="22"/>
      <c r="M1273" s="22"/>
      <c r="N1273" s="22"/>
    </row>
    <row r="1274" spans="1:14" x14ac:dyDescent="0.25">
      <c r="A1274" s="22" t="s">
        <v>6769</v>
      </c>
      <c r="B1274" s="22" t="s">
        <v>39</v>
      </c>
      <c r="C1274" s="22" t="s">
        <v>6765</v>
      </c>
      <c r="D1274" s="23">
        <v>-55433</v>
      </c>
      <c r="E1274" s="22" t="s">
        <v>57</v>
      </c>
      <c r="F1274" s="24">
        <v>44243</v>
      </c>
      <c r="G1274" s="22" t="s">
        <v>6705</v>
      </c>
      <c r="H1274" s="22" t="s">
        <v>6770</v>
      </c>
      <c r="I1274" s="22" t="s">
        <v>6771</v>
      </c>
      <c r="J1274" s="22" t="s">
        <v>4552</v>
      </c>
      <c r="K1274" s="22" t="s">
        <v>4557</v>
      </c>
      <c r="L1274" s="22"/>
      <c r="M1274" s="22"/>
      <c r="N1274" s="22"/>
    </row>
    <row r="1275" spans="1:14" x14ac:dyDescent="0.25">
      <c r="A1275" s="22" t="s">
        <v>6772</v>
      </c>
      <c r="B1275" s="22" t="s">
        <v>39</v>
      </c>
      <c r="C1275" s="22" t="s">
        <v>6765</v>
      </c>
      <c r="D1275" s="23">
        <v>-54724</v>
      </c>
      <c r="E1275" s="22" t="s">
        <v>57</v>
      </c>
      <c r="F1275" s="24">
        <v>44245</v>
      </c>
      <c r="G1275" s="22" t="s">
        <v>6705</v>
      </c>
      <c r="H1275" s="22" t="s">
        <v>6749</v>
      </c>
      <c r="I1275" s="22" t="s">
        <v>6773</v>
      </c>
      <c r="J1275" s="22" t="s">
        <v>4552</v>
      </c>
      <c r="K1275" s="22" t="s">
        <v>4557</v>
      </c>
      <c r="L1275" s="22"/>
      <c r="M1275" s="22"/>
      <c r="N1275" s="22"/>
    </row>
    <row r="1276" spans="1:14" x14ac:dyDescent="0.25">
      <c r="A1276" s="22" t="s">
        <v>6774</v>
      </c>
      <c r="B1276" s="22" t="s">
        <v>39</v>
      </c>
      <c r="C1276" s="22" t="s">
        <v>6765</v>
      </c>
      <c r="D1276" s="23">
        <v>-215700</v>
      </c>
      <c r="E1276" s="22" t="s">
        <v>57</v>
      </c>
      <c r="F1276" s="24">
        <v>44258</v>
      </c>
      <c r="G1276" s="22" t="s">
        <v>6705</v>
      </c>
      <c r="H1276" s="22" t="s">
        <v>1619</v>
      </c>
      <c r="I1276" s="22" t="s">
        <v>6775</v>
      </c>
      <c r="J1276" s="22" t="s">
        <v>4552</v>
      </c>
      <c r="K1276" s="22" t="s">
        <v>4557</v>
      </c>
      <c r="L1276" s="22"/>
      <c r="M1276" s="22"/>
      <c r="N1276" s="22"/>
    </row>
    <row r="1277" spans="1:14" x14ac:dyDescent="0.25">
      <c r="A1277" s="22" t="s">
        <v>6777</v>
      </c>
      <c r="B1277" s="22" t="s">
        <v>39</v>
      </c>
      <c r="C1277" s="22" t="s">
        <v>6776</v>
      </c>
      <c r="D1277" s="23">
        <v>-9700</v>
      </c>
      <c r="E1277" s="22" t="s">
        <v>57</v>
      </c>
      <c r="F1277" s="24">
        <v>44228</v>
      </c>
      <c r="G1277" s="22" t="s">
        <v>6705</v>
      </c>
      <c r="H1277" s="22" t="s">
        <v>304</v>
      </c>
      <c r="I1277" s="22" t="s">
        <v>6778</v>
      </c>
      <c r="J1277" s="22" t="s">
        <v>4407</v>
      </c>
      <c r="K1277" s="22" t="s">
        <v>4557</v>
      </c>
      <c r="L1277" s="22"/>
      <c r="M1277" s="22"/>
      <c r="N1277" s="22"/>
    </row>
    <row r="1278" spans="1:14" x14ac:dyDescent="0.25">
      <c r="A1278" s="22" t="s">
        <v>6779</v>
      </c>
      <c r="B1278" s="22" t="s">
        <v>39</v>
      </c>
      <c r="C1278" s="22" t="s">
        <v>6776</v>
      </c>
      <c r="D1278" s="23">
        <v>-32700</v>
      </c>
      <c r="E1278" s="22" t="s">
        <v>57</v>
      </c>
      <c r="F1278" s="24">
        <v>44231</v>
      </c>
      <c r="G1278" s="22" t="s">
        <v>6705</v>
      </c>
      <c r="H1278" s="22" t="s">
        <v>304</v>
      </c>
      <c r="I1278" s="22" t="s">
        <v>6780</v>
      </c>
      <c r="J1278" s="22" t="s">
        <v>4407</v>
      </c>
      <c r="K1278" s="22" t="s">
        <v>4557</v>
      </c>
      <c r="L1278" s="22"/>
      <c r="M1278" s="22"/>
      <c r="N1278" s="22"/>
    </row>
    <row r="1279" spans="1:14" x14ac:dyDescent="0.25">
      <c r="A1279" s="22" t="s">
        <v>6781</v>
      </c>
      <c r="B1279" s="22" t="s">
        <v>39</v>
      </c>
      <c r="C1279" s="22" t="s">
        <v>6776</v>
      </c>
      <c r="D1279" s="23">
        <v>-32700</v>
      </c>
      <c r="E1279" s="22" t="s">
        <v>57</v>
      </c>
      <c r="F1279" s="24">
        <v>44232</v>
      </c>
      <c r="G1279" s="22" t="s">
        <v>6705</v>
      </c>
      <c r="H1279" s="22" t="s">
        <v>764</v>
      </c>
      <c r="I1279" s="22" t="s">
        <v>6782</v>
      </c>
      <c r="J1279" s="22" t="s">
        <v>4407</v>
      </c>
      <c r="K1279" s="22" t="s">
        <v>4557</v>
      </c>
      <c r="L1279" s="22"/>
      <c r="M1279" s="22"/>
      <c r="N1279" s="22"/>
    </row>
    <row r="1280" spans="1:14" x14ac:dyDescent="0.25">
      <c r="A1280" s="22" t="s">
        <v>6783</v>
      </c>
      <c r="B1280" s="22" t="s">
        <v>39</v>
      </c>
      <c r="C1280" s="22" t="s">
        <v>6776</v>
      </c>
      <c r="D1280" s="23">
        <v>-32700</v>
      </c>
      <c r="E1280" s="22" t="s">
        <v>57</v>
      </c>
      <c r="F1280" s="24">
        <v>44232</v>
      </c>
      <c r="G1280" s="22" t="s">
        <v>6705</v>
      </c>
      <c r="H1280" s="22" t="s">
        <v>537</v>
      </c>
      <c r="I1280" s="22" t="s">
        <v>6784</v>
      </c>
      <c r="J1280" s="22" t="s">
        <v>4407</v>
      </c>
      <c r="K1280" s="22" t="s">
        <v>4557</v>
      </c>
      <c r="L1280" s="22"/>
      <c r="M1280" s="22"/>
      <c r="N1280" s="22"/>
    </row>
    <row r="1281" spans="1:14" x14ac:dyDescent="0.25">
      <c r="A1281" s="22" t="s">
        <v>6785</v>
      </c>
      <c r="B1281" s="22" t="s">
        <v>39</v>
      </c>
      <c r="C1281" s="22" t="s">
        <v>6776</v>
      </c>
      <c r="D1281" s="23">
        <v>-47200</v>
      </c>
      <c r="E1281" s="22" t="s">
        <v>57</v>
      </c>
      <c r="F1281" s="24">
        <v>44236</v>
      </c>
      <c r="G1281" s="22" t="s">
        <v>6705</v>
      </c>
      <c r="H1281" s="22" t="s">
        <v>919</v>
      </c>
      <c r="I1281" s="22" t="s">
        <v>6786</v>
      </c>
      <c r="J1281" s="22" t="s">
        <v>4407</v>
      </c>
      <c r="K1281" s="22" t="s">
        <v>4557</v>
      </c>
      <c r="L1281" s="22"/>
      <c r="M1281" s="22"/>
      <c r="N1281" s="22"/>
    </row>
    <row r="1282" spans="1:14" x14ac:dyDescent="0.25">
      <c r="A1282" s="22" t="s">
        <v>6787</v>
      </c>
      <c r="B1282" s="22" t="s">
        <v>39</v>
      </c>
      <c r="C1282" s="22" t="s">
        <v>6776</v>
      </c>
      <c r="D1282" s="23">
        <v>-17700</v>
      </c>
      <c r="E1282" s="22" t="s">
        <v>57</v>
      </c>
      <c r="F1282" s="24">
        <v>44236</v>
      </c>
      <c r="G1282" s="22" t="s">
        <v>6705</v>
      </c>
      <c r="H1282" s="22" t="s">
        <v>919</v>
      </c>
      <c r="I1282" s="22" t="s">
        <v>6788</v>
      </c>
      <c r="J1282" s="22" t="s">
        <v>4407</v>
      </c>
      <c r="K1282" s="22" t="s">
        <v>4557</v>
      </c>
      <c r="L1282" s="22"/>
      <c r="M1282" s="22"/>
      <c r="N1282" s="22"/>
    </row>
    <row r="1283" spans="1:14" x14ac:dyDescent="0.25">
      <c r="A1283" s="22" t="s">
        <v>6789</v>
      </c>
      <c r="B1283" s="22" t="s">
        <v>39</v>
      </c>
      <c r="C1283" s="22" t="s">
        <v>6776</v>
      </c>
      <c r="D1283" s="23">
        <v>-315000</v>
      </c>
      <c r="E1283" s="22" t="s">
        <v>57</v>
      </c>
      <c r="F1283" s="24">
        <v>44238</v>
      </c>
      <c r="G1283" s="22" t="s">
        <v>6705</v>
      </c>
      <c r="H1283" s="22" t="s">
        <v>919</v>
      </c>
      <c r="I1283" s="22" t="s">
        <v>6790</v>
      </c>
      <c r="J1283" s="22" t="s">
        <v>4407</v>
      </c>
      <c r="K1283" s="22" t="s">
        <v>4557</v>
      </c>
      <c r="L1283" s="22"/>
      <c r="M1283" s="22"/>
      <c r="N1283" s="22"/>
    </row>
    <row r="1284" spans="1:14" x14ac:dyDescent="0.25">
      <c r="A1284" s="22" t="s">
        <v>6791</v>
      </c>
      <c r="B1284" s="22" t="s">
        <v>39</v>
      </c>
      <c r="C1284" s="22" t="s">
        <v>6776</v>
      </c>
      <c r="D1284" s="23">
        <v>-47200</v>
      </c>
      <c r="E1284" s="22" t="s">
        <v>57</v>
      </c>
      <c r="F1284" s="24">
        <v>44239</v>
      </c>
      <c r="G1284" s="22" t="s">
        <v>6705</v>
      </c>
      <c r="H1284" s="22" t="s">
        <v>1805</v>
      </c>
      <c r="I1284" s="22" t="s">
        <v>6792</v>
      </c>
      <c r="J1284" s="22" t="s">
        <v>4407</v>
      </c>
      <c r="K1284" s="22" t="s">
        <v>4557</v>
      </c>
      <c r="L1284" s="22"/>
      <c r="M1284" s="22"/>
      <c r="N1284" s="22"/>
    </row>
    <row r="1285" spans="1:14" x14ac:dyDescent="0.25">
      <c r="A1285" s="22" t="s">
        <v>6793</v>
      </c>
      <c r="B1285" s="22" t="s">
        <v>39</v>
      </c>
      <c r="C1285" s="22" t="s">
        <v>6776</v>
      </c>
      <c r="D1285" s="23">
        <v>-32700</v>
      </c>
      <c r="E1285" s="22" t="s">
        <v>57</v>
      </c>
      <c r="F1285" s="24">
        <v>44242</v>
      </c>
      <c r="G1285" s="22" t="s">
        <v>6705</v>
      </c>
      <c r="H1285" s="22" t="s">
        <v>1876</v>
      </c>
      <c r="I1285" s="22" t="s">
        <v>6794</v>
      </c>
      <c r="J1285" s="22" t="s">
        <v>4407</v>
      </c>
      <c r="K1285" s="22" t="s">
        <v>4557</v>
      </c>
      <c r="L1285" s="22"/>
      <c r="M1285" s="22"/>
      <c r="N1285" s="22"/>
    </row>
    <row r="1286" spans="1:14" x14ac:dyDescent="0.25">
      <c r="A1286" s="22" t="s">
        <v>6795</v>
      </c>
      <c r="B1286" s="22" t="s">
        <v>39</v>
      </c>
      <c r="C1286" s="22" t="s">
        <v>6776</v>
      </c>
      <c r="D1286" s="23">
        <v>-23700</v>
      </c>
      <c r="E1286" s="22" t="s">
        <v>57</v>
      </c>
      <c r="F1286" s="24">
        <v>44243</v>
      </c>
      <c r="G1286" s="22" t="s">
        <v>6705</v>
      </c>
      <c r="H1286" s="22" t="s">
        <v>532</v>
      </c>
      <c r="I1286" s="22" t="s">
        <v>6796</v>
      </c>
      <c r="J1286" s="22" t="s">
        <v>4407</v>
      </c>
      <c r="K1286" s="22" t="s">
        <v>4557</v>
      </c>
      <c r="L1286" s="22"/>
      <c r="M1286" s="22"/>
      <c r="N1286" s="22"/>
    </row>
    <row r="1287" spans="1:14" x14ac:dyDescent="0.25">
      <c r="A1287" s="22" t="s">
        <v>6797</v>
      </c>
      <c r="B1287" s="22" t="s">
        <v>39</v>
      </c>
      <c r="C1287" s="22" t="s">
        <v>6776</v>
      </c>
      <c r="D1287" s="23">
        <v>-80800</v>
      </c>
      <c r="E1287" s="22" t="s">
        <v>57</v>
      </c>
      <c r="F1287" s="24">
        <v>44243</v>
      </c>
      <c r="G1287" s="22" t="s">
        <v>6705</v>
      </c>
      <c r="H1287" s="22" t="s">
        <v>532</v>
      </c>
      <c r="I1287" s="22" t="s">
        <v>6798</v>
      </c>
      <c r="J1287" s="22" t="s">
        <v>4407</v>
      </c>
      <c r="K1287" s="22" t="s">
        <v>4557</v>
      </c>
      <c r="L1287" s="22"/>
      <c r="M1287" s="22"/>
      <c r="N1287" s="22"/>
    </row>
    <row r="1288" spans="1:14" x14ac:dyDescent="0.25">
      <c r="A1288" s="22" t="s">
        <v>6799</v>
      </c>
      <c r="B1288" s="22" t="s">
        <v>39</v>
      </c>
      <c r="C1288" s="22" t="s">
        <v>6776</v>
      </c>
      <c r="D1288" s="23">
        <v>-10100</v>
      </c>
      <c r="E1288" s="22" t="s">
        <v>57</v>
      </c>
      <c r="F1288" s="24">
        <v>44244</v>
      </c>
      <c r="G1288" s="22" t="s">
        <v>6705</v>
      </c>
      <c r="H1288" s="22" t="s">
        <v>764</v>
      </c>
      <c r="I1288" s="22" t="s">
        <v>6800</v>
      </c>
      <c r="J1288" s="22" t="s">
        <v>4407</v>
      </c>
      <c r="K1288" s="22" t="s">
        <v>4557</v>
      </c>
      <c r="L1288" s="22"/>
      <c r="M1288" s="22"/>
      <c r="N1288" s="22"/>
    </row>
    <row r="1289" spans="1:14" x14ac:dyDescent="0.25">
      <c r="A1289" s="22" t="s">
        <v>6801</v>
      </c>
      <c r="B1289" s="22" t="s">
        <v>39</v>
      </c>
      <c r="C1289" s="22" t="s">
        <v>6776</v>
      </c>
      <c r="D1289" s="23">
        <v>-32700</v>
      </c>
      <c r="E1289" s="22" t="s">
        <v>57</v>
      </c>
      <c r="F1289" s="24">
        <v>44245</v>
      </c>
      <c r="G1289" s="22" t="s">
        <v>6705</v>
      </c>
      <c r="H1289" s="22" t="s">
        <v>1805</v>
      </c>
      <c r="I1289" s="22" t="s">
        <v>6802</v>
      </c>
      <c r="J1289" s="22" t="s">
        <v>4407</v>
      </c>
      <c r="K1289" s="22" t="s">
        <v>4557</v>
      </c>
      <c r="L1289" s="22"/>
      <c r="M1289" s="22"/>
      <c r="N1289" s="22"/>
    </row>
    <row r="1290" spans="1:14" x14ac:dyDescent="0.25">
      <c r="A1290" s="22" t="s">
        <v>6803</v>
      </c>
      <c r="B1290" s="22" t="s">
        <v>39</v>
      </c>
      <c r="C1290" s="22" t="s">
        <v>6776</v>
      </c>
      <c r="D1290" s="23">
        <v>-32700</v>
      </c>
      <c r="E1290" s="22" t="s">
        <v>57</v>
      </c>
      <c r="F1290" s="24">
        <v>44252</v>
      </c>
      <c r="G1290" s="22" t="s">
        <v>6705</v>
      </c>
      <c r="H1290" s="22" t="s">
        <v>298</v>
      </c>
      <c r="I1290" s="22" t="s">
        <v>6804</v>
      </c>
      <c r="J1290" s="22" t="s">
        <v>4407</v>
      </c>
      <c r="K1290" s="22" t="s">
        <v>4557</v>
      </c>
      <c r="L1290" s="22"/>
      <c r="M1290" s="22"/>
      <c r="N1290" s="22"/>
    </row>
    <row r="1291" spans="1:14" x14ac:dyDescent="0.25">
      <c r="A1291" s="22" t="s">
        <v>6805</v>
      </c>
      <c r="B1291" s="22" t="s">
        <v>39</v>
      </c>
      <c r="C1291" s="22" t="s">
        <v>6776</v>
      </c>
      <c r="D1291" s="23">
        <v>-71600</v>
      </c>
      <c r="E1291" s="22" t="s">
        <v>57</v>
      </c>
      <c r="F1291" s="24">
        <v>44253</v>
      </c>
      <c r="G1291" s="22" t="s">
        <v>6705</v>
      </c>
      <c r="H1291" s="22" t="s">
        <v>1805</v>
      </c>
      <c r="I1291" s="22" t="s">
        <v>6806</v>
      </c>
      <c r="J1291" s="22" t="s">
        <v>4407</v>
      </c>
      <c r="K1291" s="22" t="s">
        <v>4557</v>
      </c>
      <c r="L1291" s="22"/>
      <c r="M1291" s="22"/>
      <c r="N1291" s="22"/>
    </row>
    <row r="1292" spans="1:14" x14ac:dyDescent="0.25">
      <c r="A1292" s="22" t="s">
        <v>6808</v>
      </c>
      <c r="B1292" s="22" t="s">
        <v>39</v>
      </c>
      <c r="C1292" s="22" t="s">
        <v>6807</v>
      </c>
      <c r="D1292" s="23">
        <v>-32700</v>
      </c>
      <c r="E1292" s="22" t="s">
        <v>57</v>
      </c>
      <c r="F1292" s="24">
        <v>44230</v>
      </c>
      <c r="G1292" s="22" t="s">
        <v>6705</v>
      </c>
      <c r="H1292" s="22" t="s">
        <v>2131</v>
      </c>
      <c r="I1292" s="22" t="s">
        <v>6809</v>
      </c>
      <c r="J1292" s="22" t="s">
        <v>4401</v>
      </c>
      <c r="K1292" s="22" t="s">
        <v>78</v>
      </c>
      <c r="L1292" s="22"/>
      <c r="M1292" s="22"/>
      <c r="N1292" s="22"/>
    </row>
    <row r="1293" spans="1:14" x14ac:dyDescent="0.25">
      <c r="A1293" s="22" t="s">
        <v>6810</v>
      </c>
      <c r="B1293" s="22" t="s">
        <v>39</v>
      </c>
      <c r="C1293" s="22" t="s">
        <v>6807</v>
      </c>
      <c r="D1293" s="23">
        <v>-32700</v>
      </c>
      <c r="E1293" s="22" t="s">
        <v>57</v>
      </c>
      <c r="F1293" s="24">
        <v>44230</v>
      </c>
      <c r="G1293" s="22" t="s">
        <v>6705</v>
      </c>
      <c r="H1293" s="22" t="s">
        <v>1815</v>
      </c>
      <c r="I1293" s="22" t="s">
        <v>6811</v>
      </c>
      <c r="J1293" s="22" t="s">
        <v>4401</v>
      </c>
      <c r="K1293" s="22" t="s">
        <v>78</v>
      </c>
      <c r="L1293" s="22"/>
      <c r="M1293" s="22"/>
      <c r="N1293" s="22"/>
    </row>
    <row r="1294" spans="1:14" x14ac:dyDescent="0.25">
      <c r="A1294" s="22" t="s">
        <v>6812</v>
      </c>
      <c r="B1294" s="22" t="s">
        <v>39</v>
      </c>
      <c r="C1294" s="22" t="s">
        <v>6807</v>
      </c>
      <c r="D1294" s="23">
        <v>-32700</v>
      </c>
      <c r="E1294" s="22" t="s">
        <v>57</v>
      </c>
      <c r="F1294" s="24">
        <v>44246</v>
      </c>
      <c r="G1294" s="22" t="s">
        <v>6705</v>
      </c>
      <c r="H1294" s="22" t="s">
        <v>2034</v>
      </c>
      <c r="I1294" s="22" t="s">
        <v>6813</v>
      </c>
      <c r="J1294" s="22" t="s">
        <v>4401</v>
      </c>
      <c r="K1294" s="22" t="s">
        <v>78</v>
      </c>
      <c r="L1294" s="22"/>
      <c r="M1294" s="22"/>
      <c r="N1294" s="22"/>
    </row>
    <row r="1295" spans="1:14" x14ac:dyDescent="0.25">
      <c r="A1295" s="22" t="s">
        <v>6814</v>
      </c>
      <c r="B1295" s="22" t="s">
        <v>39</v>
      </c>
      <c r="C1295" s="22" t="s">
        <v>6701</v>
      </c>
      <c r="D1295" s="23">
        <v>-33200</v>
      </c>
      <c r="E1295" s="22" t="s">
        <v>57</v>
      </c>
      <c r="F1295" s="24">
        <v>44235</v>
      </c>
      <c r="G1295" s="22" t="s">
        <v>6705</v>
      </c>
      <c r="H1295" s="22" t="s">
        <v>478</v>
      </c>
      <c r="I1295" s="22" t="s">
        <v>6815</v>
      </c>
      <c r="J1295" s="22" t="s">
        <v>4552</v>
      </c>
      <c r="K1295" s="22" t="s">
        <v>4557</v>
      </c>
      <c r="L1295" s="22"/>
      <c r="M1295" s="22"/>
      <c r="N1295" s="22"/>
    </row>
    <row r="1296" spans="1:14" x14ac:dyDescent="0.25">
      <c r="A1296" s="22" t="s">
        <v>6816</v>
      </c>
      <c r="B1296" s="22" t="s">
        <v>39</v>
      </c>
      <c r="C1296" s="22" t="s">
        <v>6701</v>
      </c>
      <c r="D1296" s="23">
        <v>-41800</v>
      </c>
      <c r="E1296" s="22" t="s">
        <v>57</v>
      </c>
      <c r="F1296" s="24">
        <v>44236</v>
      </c>
      <c r="G1296" s="22" t="s">
        <v>6705</v>
      </c>
      <c r="H1296" s="22" t="s">
        <v>802</v>
      </c>
      <c r="I1296" s="22" t="s">
        <v>6817</v>
      </c>
      <c r="J1296" s="22" t="s">
        <v>4552</v>
      </c>
      <c r="K1296" s="22" t="s">
        <v>4557</v>
      </c>
      <c r="L1296" s="22"/>
      <c r="M1296" s="22"/>
      <c r="N1296" s="22"/>
    </row>
    <row r="1297" spans="1:14" x14ac:dyDescent="0.25">
      <c r="A1297" s="22" t="s">
        <v>6704</v>
      </c>
      <c r="B1297" s="22" t="s">
        <v>39</v>
      </c>
      <c r="C1297" s="22" t="s">
        <v>6701</v>
      </c>
      <c r="D1297" s="23">
        <v>-105500</v>
      </c>
      <c r="E1297" s="22" t="s">
        <v>57</v>
      </c>
      <c r="F1297" s="24">
        <v>44237</v>
      </c>
      <c r="G1297" s="22" t="s">
        <v>6705</v>
      </c>
      <c r="H1297" s="22" t="s">
        <v>836</v>
      </c>
      <c r="I1297" s="22" t="s">
        <v>6818</v>
      </c>
      <c r="J1297" s="22" t="s">
        <v>4552</v>
      </c>
      <c r="K1297" s="22" t="s">
        <v>4557</v>
      </c>
      <c r="L1297" s="22"/>
      <c r="M1297" s="22"/>
      <c r="N1297" s="22"/>
    </row>
    <row r="1298" spans="1:14" x14ac:dyDescent="0.25">
      <c r="A1298" s="22" t="s">
        <v>6819</v>
      </c>
      <c r="B1298" s="22" t="s">
        <v>39</v>
      </c>
      <c r="C1298" s="22" t="s">
        <v>6701</v>
      </c>
      <c r="D1298" s="23">
        <v>-111000</v>
      </c>
      <c r="E1298" s="22" t="s">
        <v>57</v>
      </c>
      <c r="F1298" s="24">
        <v>44237</v>
      </c>
      <c r="G1298" s="22" t="s">
        <v>6705</v>
      </c>
      <c r="H1298" s="22" t="s">
        <v>836</v>
      </c>
      <c r="I1298" s="22" t="s">
        <v>6820</v>
      </c>
      <c r="J1298" s="22" t="s">
        <v>4552</v>
      </c>
      <c r="K1298" s="22" t="s">
        <v>4557</v>
      </c>
      <c r="L1298" s="22"/>
      <c r="M1298" s="22"/>
      <c r="N1298" s="22"/>
    </row>
    <row r="1299" spans="1:14" x14ac:dyDescent="0.25">
      <c r="A1299" s="22" t="s">
        <v>6699</v>
      </c>
      <c r="B1299" s="22" t="s">
        <v>39</v>
      </c>
      <c r="C1299" s="22" t="s">
        <v>6701</v>
      </c>
      <c r="D1299" s="23">
        <v>-2633</v>
      </c>
      <c r="E1299" s="22" t="s">
        <v>45</v>
      </c>
      <c r="F1299" s="24">
        <v>44237</v>
      </c>
      <c r="G1299" s="22" t="s">
        <v>6705</v>
      </c>
      <c r="H1299" s="22" t="s">
        <v>6821</v>
      </c>
      <c r="I1299" s="22" t="s">
        <v>6700</v>
      </c>
      <c r="J1299" s="22" t="s">
        <v>4552</v>
      </c>
      <c r="K1299" s="22" t="s">
        <v>4557</v>
      </c>
      <c r="L1299" s="22"/>
      <c r="M1299" s="22"/>
      <c r="N1299" s="22"/>
    </row>
    <row r="1300" spans="1:14" x14ac:dyDescent="0.25">
      <c r="A1300" s="22" t="s">
        <v>6822</v>
      </c>
      <c r="B1300" s="22" t="s">
        <v>39</v>
      </c>
      <c r="C1300" s="22" t="s">
        <v>5296</v>
      </c>
      <c r="D1300" s="23">
        <v>4427630</v>
      </c>
      <c r="E1300" s="22" t="s">
        <v>42</v>
      </c>
      <c r="F1300" s="24">
        <v>44144</v>
      </c>
      <c r="G1300" s="22" t="s">
        <v>6705</v>
      </c>
      <c r="H1300" s="22" t="s">
        <v>1741</v>
      </c>
      <c r="I1300" s="22" t="s">
        <v>6823</v>
      </c>
      <c r="J1300" s="22" t="s">
        <v>4401</v>
      </c>
      <c r="K1300" s="22" t="s">
        <v>292</v>
      </c>
      <c r="L1300" s="22"/>
      <c r="M1300" s="22"/>
      <c r="N1300" s="22"/>
    </row>
    <row r="1301" spans="1:14" x14ac:dyDescent="0.25">
      <c r="A1301" s="22" t="s">
        <v>728</v>
      </c>
      <c r="B1301" s="22" t="s">
        <v>39</v>
      </c>
      <c r="C1301" s="22" t="s">
        <v>6698</v>
      </c>
      <c r="D1301" s="23">
        <v>531200</v>
      </c>
      <c r="E1301" s="22" t="s">
        <v>45</v>
      </c>
      <c r="F1301" s="24">
        <v>44255</v>
      </c>
      <c r="G1301" s="22" t="s">
        <v>2246</v>
      </c>
      <c r="H1301" s="22"/>
      <c r="I1301" s="22" t="s">
        <v>2246</v>
      </c>
      <c r="J1301" s="22" t="s">
        <v>4552</v>
      </c>
      <c r="K1301" s="22" t="s">
        <v>4557</v>
      </c>
      <c r="L1301" s="22"/>
      <c r="M1301" s="22"/>
      <c r="N1301" s="22"/>
    </row>
    <row r="1302" spans="1:14" x14ac:dyDescent="0.25">
      <c r="A1302" s="22" t="s">
        <v>728</v>
      </c>
      <c r="B1302" s="22" t="s">
        <v>39</v>
      </c>
      <c r="C1302" s="22" t="s">
        <v>6698</v>
      </c>
      <c r="D1302" s="23">
        <v>-3196820</v>
      </c>
      <c r="E1302" s="22" t="s">
        <v>45</v>
      </c>
      <c r="F1302" s="24">
        <v>44255</v>
      </c>
      <c r="G1302" s="22" t="s">
        <v>2246</v>
      </c>
      <c r="H1302" s="22"/>
      <c r="I1302" s="22" t="s">
        <v>2246</v>
      </c>
      <c r="J1302" s="22" t="s">
        <v>4401</v>
      </c>
      <c r="K1302" s="22" t="s">
        <v>4557</v>
      </c>
      <c r="L1302" s="22"/>
      <c r="M1302" s="22"/>
      <c r="N1302" s="22"/>
    </row>
    <row r="1303" spans="1:14" x14ac:dyDescent="0.25">
      <c r="A1303" s="22" t="s">
        <v>728</v>
      </c>
      <c r="B1303" s="22" t="s">
        <v>39</v>
      </c>
      <c r="C1303" s="22" t="s">
        <v>6698</v>
      </c>
      <c r="D1303" s="23">
        <v>2679334</v>
      </c>
      <c r="E1303" s="22" t="s">
        <v>45</v>
      </c>
      <c r="F1303" s="24">
        <v>44255</v>
      </c>
      <c r="G1303" s="22" t="s">
        <v>2246</v>
      </c>
      <c r="H1303" s="22"/>
      <c r="I1303" s="22" t="s">
        <v>2246</v>
      </c>
      <c r="J1303" s="22" t="s">
        <v>4407</v>
      </c>
      <c r="K1303" s="22" t="s">
        <v>4557</v>
      </c>
      <c r="L1303" s="22"/>
      <c r="M1303" s="22"/>
      <c r="N1303" s="22"/>
    </row>
    <row r="1304" spans="1:14" x14ac:dyDescent="0.25">
      <c r="A1304" s="22" t="s">
        <v>6824</v>
      </c>
      <c r="B1304" s="22" t="s">
        <v>39</v>
      </c>
      <c r="C1304" s="22" t="s">
        <v>6701</v>
      </c>
      <c r="D1304" s="23">
        <v>-36800</v>
      </c>
      <c r="E1304" s="22" t="s">
        <v>57</v>
      </c>
      <c r="F1304" s="24">
        <v>44243</v>
      </c>
      <c r="G1304" s="22" t="s">
        <v>2246</v>
      </c>
      <c r="H1304" s="22" t="s">
        <v>836</v>
      </c>
      <c r="I1304" s="22" t="s">
        <v>6825</v>
      </c>
      <c r="J1304" s="22" t="s">
        <v>4552</v>
      </c>
      <c r="K1304" s="22" t="s">
        <v>4557</v>
      </c>
      <c r="L1304" s="22"/>
      <c r="M1304" s="22"/>
      <c r="N1304" s="22"/>
    </row>
    <row r="1305" spans="1:14" x14ac:dyDescent="0.25">
      <c r="A1305" s="22" t="s">
        <v>6826</v>
      </c>
      <c r="B1305" s="22" t="s">
        <v>39</v>
      </c>
      <c r="C1305" s="22" t="s">
        <v>6701</v>
      </c>
      <c r="D1305" s="23">
        <v>-43700</v>
      </c>
      <c r="E1305" s="22" t="s">
        <v>57</v>
      </c>
      <c r="F1305" s="24">
        <v>44244</v>
      </c>
      <c r="G1305" s="22" t="s">
        <v>2246</v>
      </c>
      <c r="H1305" s="22" t="s">
        <v>836</v>
      </c>
      <c r="I1305" s="22" t="s">
        <v>6827</v>
      </c>
      <c r="J1305" s="22" t="s">
        <v>4552</v>
      </c>
      <c r="K1305" s="22" t="s">
        <v>4557</v>
      </c>
      <c r="L1305" s="22"/>
      <c r="M1305" s="22"/>
      <c r="N1305" s="22"/>
    </row>
    <row r="1306" spans="1:14" x14ac:dyDescent="0.25">
      <c r="A1306" s="22" t="s">
        <v>6828</v>
      </c>
      <c r="B1306" s="22" t="s">
        <v>39</v>
      </c>
      <c r="C1306" s="22" t="s">
        <v>6701</v>
      </c>
      <c r="D1306" s="23">
        <v>-43700</v>
      </c>
      <c r="E1306" s="22" t="s">
        <v>57</v>
      </c>
      <c r="F1306" s="24">
        <v>44246</v>
      </c>
      <c r="G1306" s="22" t="s">
        <v>2246</v>
      </c>
      <c r="H1306" s="22" t="s">
        <v>897</v>
      </c>
      <c r="I1306" s="22" t="s">
        <v>6829</v>
      </c>
      <c r="J1306" s="22" t="s">
        <v>4552</v>
      </c>
      <c r="K1306" s="22" t="s">
        <v>4557</v>
      </c>
      <c r="L1306" s="22"/>
      <c r="M1306" s="22"/>
      <c r="N1306" s="22"/>
    </row>
    <row r="1307" spans="1:14" x14ac:dyDescent="0.25">
      <c r="A1307" s="22" t="s">
        <v>6830</v>
      </c>
      <c r="B1307" s="22" t="s">
        <v>39</v>
      </c>
      <c r="C1307" s="22" t="s">
        <v>6701</v>
      </c>
      <c r="D1307" s="23">
        <v>-41800</v>
      </c>
      <c r="E1307" s="22" t="s">
        <v>57</v>
      </c>
      <c r="F1307" s="24">
        <v>44249</v>
      </c>
      <c r="G1307" s="22" t="s">
        <v>2246</v>
      </c>
      <c r="H1307" s="22" t="s">
        <v>2403</v>
      </c>
      <c r="I1307" s="22" t="s">
        <v>6831</v>
      </c>
      <c r="J1307" s="22" t="s">
        <v>4552</v>
      </c>
      <c r="K1307" s="22" t="s">
        <v>4557</v>
      </c>
      <c r="L1307" s="22"/>
      <c r="M1307" s="22"/>
      <c r="N1307" s="22"/>
    </row>
    <row r="1308" spans="1:14" x14ac:dyDescent="0.25">
      <c r="A1308" s="22" t="s">
        <v>6832</v>
      </c>
      <c r="B1308" s="22" t="s">
        <v>39</v>
      </c>
      <c r="C1308" s="22" t="s">
        <v>6701</v>
      </c>
      <c r="D1308" s="23">
        <v>-101800</v>
      </c>
      <c r="E1308" s="22" t="s">
        <v>57</v>
      </c>
      <c r="F1308" s="24">
        <v>44249</v>
      </c>
      <c r="G1308" s="22" t="s">
        <v>2246</v>
      </c>
      <c r="H1308" s="22" t="s">
        <v>2801</v>
      </c>
      <c r="I1308" s="22" t="s">
        <v>6833</v>
      </c>
      <c r="J1308" s="22" t="s">
        <v>4552</v>
      </c>
      <c r="K1308" s="22" t="s">
        <v>4557</v>
      </c>
      <c r="L1308" s="22"/>
      <c r="M1308" s="22"/>
      <c r="N1308" s="22"/>
    </row>
    <row r="1309" spans="1:14" x14ac:dyDescent="0.25">
      <c r="A1309" s="22" t="s">
        <v>6834</v>
      </c>
      <c r="B1309" s="22" t="s">
        <v>39</v>
      </c>
      <c r="C1309" s="22" t="s">
        <v>6701</v>
      </c>
      <c r="D1309" s="23">
        <v>-96500</v>
      </c>
      <c r="E1309" s="22" t="s">
        <v>57</v>
      </c>
      <c r="F1309" s="24">
        <v>44253</v>
      </c>
      <c r="G1309" s="22" t="s">
        <v>2246</v>
      </c>
      <c r="H1309" s="22" t="s">
        <v>6835</v>
      </c>
      <c r="I1309" s="22" t="s">
        <v>6836</v>
      </c>
      <c r="J1309" s="22" t="s">
        <v>4552</v>
      </c>
      <c r="K1309" s="22" t="s">
        <v>4557</v>
      </c>
      <c r="L1309" s="22"/>
      <c r="M1309" s="22"/>
      <c r="N1309" s="22"/>
    </row>
    <row r="1310" spans="1:14" x14ac:dyDescent="0.25">
      <c r="A1310" s="22" t="s">
        <v>6837</v>
      </c>
      <c r="B1310" s="22" t="s">
        <v>39</v>
      </c>
      <c r="C1310" s="22" t="s">
        <v>6701</v>
      </c>
      <c r="D1310" s="23">
        <v>-68800</v>
      </c>
      <c r="E1310" s="22" t="s">
        <v>57</v>
      </c>
      <c r="F1310" s="24">
        <v>44253</v>
      </c>
      <c r="G1310" s="22" t="s">
        <v>2246</v>
      </c>
      <c r="H1310" s="22" t="s">
        <v>820</v>
      </c>
      <c r="I1310" s="22" t="s">
        <v>6838</v>
      </c>
      <c r="J1310" s="22" t="s">
        <v>4552</v>
      </c>
      <c r="K1310" s="22" t="s">
        <v>4557</v>
      </c>
      <c r="L1310" s="22"/>
      <c r="M1310" s="22"/>
      <c r="N1310" s="22"/>
    </row>
    <row r="1311" spans="1:14" x14ac:dyDescent="0.25">
      <c r="A1311" s="22" t="s">
        <v>6839</v>
      </c>
      <c r="B1311" s="22" t="s">
        <v>39</v>
      </c>
      <c r="C1311" s="22" t="s">
        <v>6701</v>
      </c>
      <c r="D1311" s="23">
        <v>-98100</v>
      </c>
      <c r="E1311" s="22" t="s">
        <v>57</v>
      </c>
      <c r="F1311" s="24">
        <v>44253</v>
      </c>
      <c r="G1311" s="22" t="s">
        <v>2246</v>
      </c>
      <c r="H1311" s="22" t="s">
        <v>478</v>
      </c>
      <c r="I1311" s="22" t="s">
        <v>6840</v>
      </c>
      <c r="J1311" s="22" t="s">
        <v>4552</v>
      </c>
      <c r="K1311" s="22" t="s">
        <v>4557</v>
      </c>
      <c r="L1311" s="22"/>
      <c r="M1311" s="22"/>
      <c r="N1311" s="22"/>
    </row>
    <row r="1312" spans="1:14" x14ac:dyDescent="0.25">
      <c r="A1312" s="22" t="s">
        <v>728</v>
      </c>
      <c r="B1312" s="22" t="s">
        <v>39</v>
      </c>
      <c r="C1312" s="22" t="s">
        <v>4870</v>
      </c>
      <c r="D1312" s="23">
        <v>-1830898</v>
      </c>
      <c r="E1312" s="22" t="s">
        <v>57</v>
      </c>
      <c r="F1312" s="24">
        <v>44255</v>
      </c>
      <c r="G1312" s="22" t="s">
        <v>2246</v>
      </c>
      <c r="H1312" s="22" t="s">
        <v>6841</v>
      </c>
      <c r="I1312" s="22" t="s">
        <v>4872</v>
      </c>
      <c r="J1312" s="22" t="s">
        <v>4407</v>
      </c>
      <c r="K1312" s="22" t="s">
        <v>4557</v>
      </c>
      <c r="L1312" s="22"/>
      <c r="M1312" s="22"/>
      <c r="N1312" s="22"/>
    </row>
    <row r="1313" spans="1:14" x14ac:dyDescent="0.25">
      <c r="A1313" s="22" t="s">
        <v>6843</v>
      </c>
      <c r="B1313" s="22" t="s">
        <v>39</v>
      </c>
      <c r="C1313" s="22" t="s">
        <v>6842</v>
      </c>
      <c r="D1313" s="23">
        <v>-848436</v>
      </c>
      <c r="E1313" s="22" t="s">
        <v>57</v>
      </c>
      <c r="F1313" s="24">
        <v>44250</v>
      </c>
      <c r="G1313" s="22" t="s">
        <v>2246</v>
      </c>
      <c r="H1313" s="22" t="s">
        <v>1815</v>
      </c>
      <c r="I1313" s="22" t="s">
        <v>6844</v>
      </c>
      <c r="J1313" s="22" t="s">
        <v>4407</v>
      </c>
      <c r="K1313" s="22" t="s">
        <v>78</v>
      </c>
      <c r="L1313" s="22"/>
      <c r="M1313" s="22"/>
      <c r="N1313" s="22"/>
    </row>
    <row r="1314" spans="1:14" x14ac:dyDescent="0.25">
      <c r="A1314" s="22" t="s">
        <v>6845</v>
      </c>
      <c r="B1314" s="22" t="s">
        <v>39</v>
      </c>
      <c r="C1314" s="22" t="s">
        <v>40</v>
      </c>
      <c r="D1314" s="23">
        <v>3196820</v>
      </c>
      <c r="E1314" s="22" t="s">
        <v>42</v>
      </c>
      <c r="F1314" s="24">
        <v>44172</v>
      </c>
      <c r="G1314" s="22" t="s">
        <v>2246</v>
      </c>
      <c r="H1314" s="22" t="s">
        <v>1741</v>
      </c>
      <c r="I1314" s="22" t="s">
        <v>6846</v>
      </c>
      <c r="J1314" s="22" t="s">
        <v>4401</v>
      </c>
      <c r="K1314" s="22" t="s">
        <v>292</v>
      </c>
      <c r="L1314" s="22"/>
      <c r="M1314" s="22"/>
      <c r="N1314" s="22"/>
    </row>
    <row r="1315" spans="1:14" x14ac:dyDescent="0.25">
      <c r="A1315" s="22" t="s">
        <v>6847</v>
      </c>
      <c r="B1315" s="22" t="s">
        <v>39</v>
      </c>
      <c r="C1315" s="22" t="s">
        <v>6335</v>
      </c>
      <c r="D1315" s="23">
        <v>-18619</v>
      </c>
      <c r="E1315" s="22" t="s">
        <v>57</v>
      </c>
      <c r="F1315" s="24">
        <v>44164</v>
      </c>
      <c r="G1315" s="22" t="s">
        <v>6848</v>
      </c>
      <c r="H1315" s="22" t="s">
        <v>6388</v>
      </c>
      <c r="I1315" s="22" t="s">
        <v>6849</v>
      </c>
      <c r="J1315" s="22" t="s">
        <v>6850</v>
      </c>
      <c r="K1315" s="22" t="s">
        <v>4816</v>
      </c>
      <c r="L1315" s="22"/>
      <c r="M1315" s="22"/>
      <c r="N1315" s="22"/>
    </row>
    <row r="1316" spans="1:14" x14ac:dyDescent="0.25">
      <c r="A1316" s="22" t="s">
        <v>2070</v>
      </c>
      <c r="B1316" s="22" t="s">
        <v>39</v>
      </c>
      <c r="C1316" s="22" t="s">
        <v>6669</v>
      </c>
      <c r="D1316" s="23">
        <v>-1321634</v>
      </c>
      <c r="E1316" s="22" t="s">
        <v>45</v>
      </c>
      <c r="F1316" s="24">
        <v>44216</v>
      </c>
      <c r="G1316" s="22" t="s">
        <v>6848</v>
      </c>
      <c r="H1316" s="22" t="s">
        <v>2063</v>
      </c>
      <c r="I1316" s="22" t="s">
        <v>2069</v>
      </c>
      <c r="J1316" s="22" t="s">
        <v>4401</v>
      </c>
      <c r="K1316" s="22" t="s">
        <v>4690</v>
      </c>
      <c r="L1316" s="22"/>
      <c r="M1316" s="22"/>
      <c r="N1316" s="22"/>
    </row>
    <row r="1317" spans="1:14" x14ac:dyDescent="0.25">
      <c r="A1317" s="22" t="s">
        <v>6040</v>
      </c>
      <c r="B1317" s="22" t="s">
        <v>39</v>
      </c>
      <c r="C1317" s="22" t="s">
        <v>6698</v>
      </c>
      <c r="D1317" s="23">
        <v>583696</v>
      </c>
      <c r="E1317" s="22" t="s">
        <v>45</v>
      </c>
      <c r="F1317" s="24">
        <v>44053</v>
      </c>
      <c r="G1317" s="22" t="s">
        <v>6848</v>
      </c>
      <c r="H1317" s="22"/>
      <c r="I1317" s="22" t="s">
        <v>6848</v>
      </c>
      <c r="J1317" s="22" t="s">
        <v>4466</v>
      </c>
      <c r="K1317" s="22" t="s">
        <v>2103</v>
      </c>
      <c r="L1317" s="22"/>
      <c r="M1317" s="22"/>
      <c r="N1317" s="22"/>
    </row>
    <row r="1318" spans="1:14" x14ac:dyDescent="0.25">
      <c r="A1318" s="22" t="s">
        <v>6040</v>
      </c>
      <c r="B1318" s="22" t="s">
        <v>39</v>
      </c>
      <c r="C1318" s="22" t="s">
        <v>6698</v>
      </c>
      <c r="D1318" s="23">
        <v>75412</v>
      </c>
      <c r="E1318" s="22" t="s">
        <v>45</v>
      </c>
      <c r="F1318" s="24">
        <v>44053</v>
      </c>
      <c r="G1318" s="22" t="s">
        <v>6848</v>
      </c>
      <c r="H1318" s="22"/>
      <c r="I1318" s="22" t="s">
        <v>6848</v>
      </c>
      <c r="J1318" s="22" t="s">
        <v>4552</v>
      </c>
      <c r="K1318" s="22" t="s">
        <v>2103</v>
      </c>
      <c r="L1318" s="22"/>
      <c r="M1318" s="22"/>
      <c r="N1318" s="22"/>
    </row>
    <row r="1319" spans="1:14" x14ac:dyDescent="0.25">
      <c r="A1319" s="22" t="s">
        <v>6040</v>
      </c>
      <c r="B1319" s="22" t="s">
        <v>39</v>
      </c>
      <c r="C1319" s="22" t="s">
        <v>6698</v>
      </c>
      <c r="D1319" s="23">
        <v>-10063968</v>
      </c>
      <c r="E1319" s="22" t="s">
        <v>45</v>
      </c>
      <c r="F1319" s="24">
        <v>44053</v>
      </c>
      <c r="G1319" s="22" t="s">
        <v>6848</v>
      </c>
      <c r="H1319" s="22"/>
      <c r="I1319" s="22" t="s">
        <v>6848</v>
      </c>
      <c r="J1319" s="22" t="s">
        <v>4401</v>
      </c>
      <c r="K1319" s="22" t="s">
        <v>2103</v>
      </c>
      <c r="L1319" s="22"/>
      <c r="M1319" s="22"/>
      <c r="N1319" s="22"/>
    </row>
    <row r="1320" spans="1:14" x14ac:dyDescent="0.25">
      <c r="A1320" s="22" t="s">
        <v>6040</v>
      </c>
      <c r="B1320" s="22" t="s">
        <v>39</v>
      </c>
      <c r="C1320" s="22" t="s">
        <v>6698</v>
      </c>
      <c r="D1320" s="23">
        <v>55000</v>
      </c>
      <c r="E1320" s="22" t="s">
        <v>45</v>
      </c>
      <c r="F1320" s="24">
        <v>44053</v>
      </c>
      <c r="G1320" s="22" t="s">
        <v>6848</v>
      </c>
      <c r="H1320" s="22"/>
      <c r="I1320" s="22" t="s">
        <v>6848</v>
      </c>
      <c r="J1320" s="22" t="s">
        <v>4407</v>
      </c>
      <c r="K1320" s="22" t="s">
        <v>2103</v>
      </c>
      <c r="L1320" s="22"/>
      <c r="M1320" s="22"/>
      <c r="N1320" s="22"/>
    </row>
    <row r="1321" spans="1:14" x14ac:dyDescent="0.25">
      <c r="A1321" s="22" t="s">
        <v>6040</v>
      </c>
      <c r="B1321" s="22" t="s">
        <v>39</v>
      </c>
      <c r="C1321" s="22" t="s">
        <v>6698</v>
      </c>
      <c r="D1321" s="23">
        <v>18619</v>
      </c>
      <c r="E1321" s="22" t="s">
        <v>45</v>
      </c>
      <c r="F1321" s="24">
        <v>44053</v>
      </c>
      <c r="G1321" s="22" t="s">
        <v>6848</v>
      </c>
      <c r="H1321" s="22"/>
      <c r="I1321" s="22" t="s">
        <v>6848</v>
      </c>
      <c r="J1321" s="22" t="s">
        <v>6850</v>
      </c>
      <c r="K1321" s="22" t="s">
        <v>2103</v>
      </c>
      <c r="L1321" s="22"/>
      <c r="M1321" s="22"/>
      <c r="N1321" s="22"/>
    </row>
    <row r="1322" spans="1:14" x14ac:dyDescent="0.25">
      <c r="A1322" s="22" t="s">
        <v>6851</v>
      </c>
      <c r="B1322" s="22" t="s">
        <v>39</v>
      </c>
      <c r="C1322" s="22" t="s">
        <v>6722</v>
      </c>
      <c r="D1322" s="23">
        <v>-32700</v>
      </c>
      <c r="E1322" s="22" t="s">
        <v>57</v>
      </c>
      <c r="F1322" s="24">
        <v>44203</v>
      </c>
      <c r="G1322" s="22" t="s">
        <v>6848</v>
      </c>
      <c r="H1322" s="22" t="s">
        <v>1386</v>
      </c>
      <c r="I1322" s="22" t="s">
        <v>6852</v>
      </c>
      <c r="J1322" s="22" t="s">
        <v>4407</v>
      </c>
      <c r="K1322" s="22" t="s">
        <v>4557</v>
      </c>
      <c r="L1322" s="22"/>
      <c r="M1322" s="22"/>
      <c r="N1322" s="22"/>
    </row>
    <row r="1323" spans="1:14" x14ac:dyDescent="0.25">
      <c r="A1323" s="22" t="s">
        <v>6853</v>
      </c>
      <c r="B1323" s="22" t="s">
        <v>39</v>
      </c>
      <c r="C1323" s="22" t="s">
        <v>6722</v>
      </c>
      <c r="D1323" s="23">
        <v>-22300</v>
      </c>
      <c r="E1323" s="22" t="s">
        <v>57</v>
      </c>
      <c r="F1323" s="24">
        <v>44208</v>
      </c>
      <c r="G1323" s="22" t="s">
        <v>6848</v>
      </c>
      <c r="H1323" s="22" t="s">
        <v>1386</v>
      </c>
      <c r="I1323" s="22" t="s">
        <v>6854</v>
      </c>
      <c r="J1323" s="22" t="s">
        <v>4407</v>
      </c>
      <c r="K1323" s="22" t="s">
        <v>4557</v>
      </c>
      <c r="L1323" s="22"/>
      <c r="M1323" s="22"/>
      <c r="N1323" s="22"/>
    </row>
    <row r="1324" spans="1:14" x14ac:dyDescent="0.25">
      <c r="A1324" s="22" t="s">
        <v>2044</v>
      </c>
      <c r="B1324" s="22" t="s">
        <v>39</v>
      </c>
      <c r="C1324" s="22" t="s">
        <v>6681</v>
      </c>
      <c r="D1324" s="23">
        <v>-17474</v>
      </c>
      <c r="E1324" s="22" t="s">
        <v>45</v>
      </c>
      <c r="F1324" s="24">
        <v>44205</v>
      </c>
      <c r="G1324" s="22" t="s">
        <v>6848</v>
      </c>
      <c r="H1324" s="22" t="s">
        <v>6855</v>
      </c>
      <c r="I1324" s="22" t="s">
        <v>2042</v>
      </c>
      <c r="J1324" s="22" t="s">
        <v>4466</v>
      </c>
      <c r="K1324" s="22" t="s">
        <v>4759</v>
      </c>
      <c r="L1324" s="22"/>
      <c r="M1324" s="22"/>
      <c r="N1324" s="22"/>
    </row>
    <row r="1325" spans="1:14" x14ac:dyDescent="0.25">
      <c r="A1325" s="22" t="s">
        <v>2017</v>
      </c>
      <c r="B1325" s="22" t="s">
        <v>39</v>
      </c>
      <c r="C1325" s="22" t="s">
        <v>4877</v>
      </c>
      <c r="D1325" s="23">
        <v>-102783</v>
      </c>
      <c r="E1325" s="22" t="s">
        <v>45</v>
      </c>
      <c r="F1325" s="24">
        <v>44221</v>
      </c>
      <c r="G1325" s="22" t="s">
        <v>6848</v>
      </c>
      <c r="H1325" s="22" t="s">
        <v>6856</v>
      </c>
      <c r="I1325" s="22" t="s">
        <v>2015</v>
      </c>
      <c r="J1325" s="22" t="s">
        <v>4401</v>
      </c>
      <c r="K1325" s="22" t="s">
        <v>4880</v>
      </c>
      <c r="L1325" s="22"/>
      <c r="M1325" s="22"/>
      <c r="N1325" s="22"/>
    </row>
    <row r="1326" spans="1:14" x14ac:dyDescent="0.25">
      <c r="A1326" s="22" t="s">
        <v>2011</v>
      </c>
      <c r="B1326" s="22" t="s">
        <v>39</v>
      </c>
      <c r="C1326" s="22" t="s">
        <v>4877</v>
      </c>
      <c r="D1326" s="23">
        <v>-1739189</v>
      </c>
      <c r="E1326" s="22" t="s">
        <v>45</v>
      </c>
      <c r="F1326" s="24">
        <v>44227</v>
      </c>
      <c r="G1326" s="22" t="s">
        <v>6848</v>
      </c>
      <c r="H1326" s="22" t="s">
        <v>6857</v>
      </c>
      <c r="I1326" s="22" t="s">
        <v>2007</v>
      </c>
      <c r="J1326" s="22" t="s">
        <v>4401</v>
      </c>
      <c r="K1326" s="22" t="s">
        <v>4880</v>
      </c>
      <c r="L1326" s="22"/>
      <c r="M1326" s="22"/>
      <c r="N1326" s="22"/>
    </row>
    <row r="1327" spans="1:14" x14ac:dyDescent="0.25">
      <c r="A1327" s="22" t="s">
        <v>1997</v>
      </c>
      <c r="B1327" s="22" t="s">
        <v>39</v>
      </c>
      <c r="C1327" s="22" t="s">
        <v>6666</v>
      </c>
      <c r="D1327" s="23">
        <v>-23573</v>
      </c>
      <c r="E1327" s="22" t="s">
        <v>45</v>
      </c>
      <c r="F1327" s="24">
        <v>44222</v>
      </c>
      <c r="G1327" s="22" t="s">
        <v>6848</v>
      </c>
      <c r="H1327" s="22" t="s">
        <v>6858</v>
      </c>
      <c r="I1327" s="22" t="s">
        <v>1995</v>
      </c>
      <c r="J1327" s="22" t="s">
        <v>4401</v>
      </c>
      <c r="K1327" s="22" t="s">
        <v>6665</v>
      </c>
      <c r="L1327" s="22"/>
      <c r="M1327" s="22"/>
      <c r="N1327" s="22"/>
    </row>
    <row r="1328" spans="1:14" x14ac:dyDescent="0.25">
      <c r="A1328" s="22" t="s">
        <v>2058</v>
      </c>
      <c r="B1328" s="22" t="s">
        <v>39</v>
      </c>
      <c r="C1328" s="22" t="s">
        <v>6672</v>
      </c>
      <c r="D1328" s="23">
        <v>-760</v>
      </c>
      <c r="E1328" s="22" t="s">
        <v>45</v>
      </c>
      <c r="F1328" s="24">
        <v>44228</v>
      </c>
      <c r="G1328" s="22" t="s">
        <v>6848</v>
      </c>
      <c r="H1328" s="22" t="s">
        <v>6859</v>
      </c>
      <c r="I1328" s="22" t="s">
        <v>2056</v>
      </c>
      <c r="J1328" s="22" t="s">
        <v>4466</v>
      </c>
      <c r="K1328" s="22" t="s">
        <v>4519</v>
      </c>
      <c r="L1328" s="22"/>
      <c r="M1328" s="22"/>
      <c r="N1328" s="22"/>
    </row>
    <row r="1329" spans="1:14" x14ac:dyDescent="0.25">
      <c r="A1329" s="22" t="s">
        <v>6861</v>
      </c>
      <c r="B1329" s="22" t="s">
        <v>39</v>
      </c>
      <c r="C1329" s="22" t="s">
        <v>6860</v>
      </c>
      <c r="D1329" s="23">
        <v>-121378</v>
      </c>
      <c r="E1329" s="22" t="s">
        <v>57</v>
      </c>
      <c r="F1329" s="24">
        <v>44238</v>
      </c>
      <c r="G1329" s="22" t="s">
        <v>6848</v>
      </c>
      <c r="H1329" s="22" t="s">
        <v>6862</v>
      </c>
      <c r="I1329" s="22" t="s">
        <v>6863</v>
      </c>
      <c r="J1329" s="22" t="s">
        <v>4466</v>
      </c>
      <c r="K1329" s="22" t="s">
        <v>4707</v>
      </c>
      <c r="L1329" s="22"/>
      <c r="M1329" s="22"/>
      <c r="N1329" s="22"/>
    </row>
    <row r="1330" spans="1:14" x14ac:dyDescent="0.25">
      <c r="A1330" s="22" t="s">
        <v>662</v>
      </c>
      <c r="B1330" s="22" t="s">
        <v>39</v>
      </c>
      <c r="C1330" s="22" t="s">
        <v>4873</v>
      </c>
      <c r="D1330" s="23">
        <v>-17215</v>
      </c>
      <c r="E1330" s="22" t="s">
        <v>57</v>
      </c>
      <c r="F1330" s="24">
        <v>44245</v>
      </c>
      <c r="G1330" s="22" t="s">
        <v>6848</v>
      </c>
      <c r="H1330" s="22" t="s">
        <v>6864</v>
      </c>
      <c r="I1330" s="22" t="s">
        <v>4882</v>
      </c>
      <c r="J1330" s="22" t="s">
        <v>4466</v>
      </c>
      <c r="K1330" s="22" t="s">
        <v>4759</v>
      </c>
      <c r="L1330" s="22"/>
      <c r="M1330" s="22"/>
      <c r="N1330" s="22"/>
    </row>
    <row r="1331" spans="1:14" x14ac:dyDescent="0.25">
      <c r="A1331" s="22" t="s">
        <v>659</v>
      </c>
      <c r="B1331" s="22" t="s">
        <v>39</v>
      </c>
      <c r="C1331" s="22" t="s">
        <v>4873</v>
      </c>
      <c r="D1331" s="23">
        <v>-79896</v>
      </c>
      <c r="E1331" s="22" t="s">
        <v>57</v>
      </c>
      <c r="F1331" s="24">
        <v>44248</v>
      </c>
      <c r="G1331" s="22" t="s">
        <v>6848</v>
      </c>
      <c r="H1331" s="22" t="s">
        <v>6865</v>
      </c>
      <c r="I1331" s="22" t="s">
        <v>4875</v>
      </c>
      <c r="J1331" s="22" t="s">
        <v>4466</v>
      </c>
      <c r="K1331" s="22" t="s">
        <v>4759</v>
      </c>
      <c r="L1331" s="22"/>
      <c r="M1331" s="22"/>
      <c r="N1331" s="22"/>
    </row>
    <row r="1332" spans="1:14" x14ac:dyDescent="0.25">
      <c r="A1332" s="22" t="s">
        <v>589</v>
      </c>
      <c r="B1332" s="22" t="s">
        <v>39</v>
      </c>
      <c r="C1332" s="22" t="s">
        <v>4873</v>
      </c>
      <c r="D1332" s="23">
        <v>-15561</v>
      </c>
      <c r="E1332" s="22" t="s">
        <v>57</v>
      </c>
      <c r="F1332" s="24">
        <v>44253</v>
      </c>
      <c r="G1332" s="22" t="s">
        <v>6848</v>
      </c>
      <c r="H1332" s="22" t="s">
        <v>2004</v>
      </c>
      <c r="I1332" s="22" t="s">
        <v>4884</v>
      </c>
      <c r="J1332" s="22" t="s">
        <v>4466</v>
      </c>
      <c r="K1332" s="22" t="s">
        <v>4759</v>
      </c>
      <c r="L1332" s="22"/>
      <c r="M1332" s="22"/>
      <c r="N1332" s="22"/>
    </row>
    <row r="1333" spans="1:14" x14ac:dyDescent="0.25">
      <c r="A1333" s="22" t="s">
        <v>6867</v>
      </c>
      <c r="B1333" s="22" t="s">
        <v>39</v>
      </c>
      <c r="C1333" s="22" t="s">
        <v>6866</v>
      </c>
      <c r="D1333" s="23">
        <v>-129025</v>
      </c>
      <c r="E1333" s="22" t="s">
        <v>57</v>
      </c>
      <c r="F1333" s="24">
        <v>44253</v>
      </c>
      <c r="G1333" s="22" t="s">
        <v>6848</v>
      </c>
      <c r="H1333" s="22" t="s">
        <v>6635</v>
      </c>
      <c r="I1333" s="22" t="s">
        <v>6868</v>
      </c>
      <c r="J1333" s="22" t="s">
        <v>4466</v>
      </c>
      <c r="K1333" s="22" t="s">
        <v>103</v>
      </c>
      <c r="L1333" s="22"/>
      <c r="M1333" s="22"/>
      <c r="N1333" s="22"/>
    </row>
    <row r="1334" spans="1:14" x14ac:dyDescent="0.25">
      <c r="A1334" s="22" t="s">
        <v>6870</v>
      </c>
      <c r="B1334" s="22" t="s">
        <v>39</v>
      </c>
      <c r="C1334" s="22" t="s">
        <v>6869</v>
      </c>
      <c r="D1334" s="23">
        <v>-22900</v>
      </c>
      <c r="E1334" s="22" t="s">
        <v>57</v>
      </c>
      <c r="F1334" s="24">
        <v>44239</v>
      </c>
      <c r="G1334" s="22" t="s">
        <v>6848</v>
      </c>
      <c r="H1334" s="22" t="s">
        <v>1386</v>
      </c>
      <c r="I1334" s="22" t="s">
        <v>6871</v>
      </c>
      <c r="J1334" s="22" t="s">
        <v>4401</v>
      </c>
      <c r="K1334" s="22" t="s">
        <v>4489</v>
      </c>
      <c r="L1334" s="22"/>
      <c r="M1334" s="22"/>
      <c r="N1334" s="22"/>
    </row>
    <row r="1335" spans="1:14" x14ac:dyDescent="0.25">
      <c r="A1335" s="22" t="s">
        <v>6872</v>
      </c>
      <c r="B1335" s="22" t="s">
        <v>39</v>
      </c>
      <c r="C1335" s="22" t="s">
        <v>6701</v>
      </c>
      <c r="D1335" s="23">
        <v>-32700</v>
      </c>
      <c r="E1335" s="22" t="s">
        <v>57</v>
      </c>
      <c r="F1335" s="24">
        <v>44246</v>
      </c>
      <c r="G1335" s="22" t="s">
        <v>6848</v>
      </c>
      <c r="H1335" s="22" t="s">
        <v>2059</v>
      </c>
      <c r="I1335" s="22" t="s">
        <v>6873</v>
      </c>
      <c r="J1335" s="22" t="s">
        <v>4552</v>
      </c>
      <c r="K1335" s="22" t="s">
        <v>4557</v>
      </c>
      <c r="L1335" s="22"/>
      <c r="M1335" s="22"/>
      <c r="N1335" s="22"/>
    </row>
    <row r="1336" spans="1:14" x14ac:dyDescent="0.25">
      <c r="A1336" s="22" t="s">
        <v>6704</v>
      </c>
      <c r="B1336" s="22" t="s">
        <v>39</v>
      </c>
      <c r="C1336" s="22" t="s">
        <v>6701</v>
      </c>
      <c r="D1336" s="23">
        <v>-42712</v>
      </c>
      <c r="E1336" s="22" t="s">
        <v>45</v>
      </c>
      <c r="F1336" s="24">
        <v>44237</v>
      </c>
      <c r="G1336" s="22" t="s">
        <v>6848</v>
      </c>
      <c r="H1336" s="22" t="s">
        <v>1917</v>
      </c>
      <c r="I1336" s="22" t="s">
        <v>6705</v>
      </c>
      <c r="J1336" s="22" t="s">
        <v>4552</v>
      </c>
      <c r="K1336" s="22" t="s">
        <v>4557</v>
      </c>
      <c r="L1336" s="22"/>
      <c r="M1336" s="22"/>
      <c r="N1336" s="22"/>
    </row>
    <row r="1337" spans="1:14" x14ac:dyDescent="0.25">
      <c r="A1337" s="22" t="s">
        <v>6875</v>
      </c>
      <c r="B1337" s="22" t="s">
        <v>39</v>
      </c>
      <c r="C1337" s="22" t="s">
        <v>6874</v>
      </c>
      <c r="D1337" s="23">
        <v>-29200</v>
      </c>
      <c r="E1337" s="22" t="s">
        <v>57</v>
      </c>
      <c r="F1337" s="24">
        <v>44246</v>
      </c>
      <c r="G1337" s="22" t="s">
        <v>6848</v>
      </c>
      <c r="H1337" s="22" t="s">
        <v>711</v>
      </c>
      <c r="I1337" s="22" t="s">
        <v>6876</v>
      </c>
      <c r="J1337" s="22" t="s">
        <v>4466</v>
      </c>
      <c r="K1337" s="22" t="s">
        <v>4707</v>
      </c>
      <c r="L1337" s="22"/>
      <c r="M1337" s="22"/>
      <c r="N1337" s="22"/>
    </row>
    <row r="1338" spans="1:14" x14ac:dyDescent="0.25">
      <c r="A1338" s="22" t="s">
        <v>6878</v>
      </c>
      <c r="B1338" s="22" t="s">
        <v>39</v>
      </c>
      <c r="C1338" s="22" t="s">
        <v>6877</v>
      </c>
      <c r="D1338" s="23">
        <v>-72319</v>
      </c>
      <c r="E1338" s="22" t="s">
        <v>57</v>
      </c>
      <c r="F1338" s="24">
        <v>44255</v>
      </c>
      <c r="G1338" s="22" t="s">
        <v>6848</v>
      </c>
      <c r="H1338" s="22" t="s">
        <v>6879</v>
      </c>
      <c r="I1338" s="22" t="s">
        <v>6880</v>
      </c>
      <c r="J1338" s="22" t="s">
        <v>4401</v>
      </c>
      <c r="K1338" s="22" t="s">
        <v>4759</v>
      </c>
      <c r="L1338" s="22"/>
      <c r="M1338" s="22"/>
      <c r="N1338" s="22"/>
    </row>
    <row r="1339" spans="1:14" x14ac:dyDescent="0.25">
      <c r="A1339" s="22" t="s">
        <v>3015</v>
      </c>
      <c r="B1339" s="22" t="s">
        <v>39</v>
      </c>
      <c r="C1339" s="22" t="s">
        <v>4835</v>
      </c>
      <c r="D1339" s="23">
        <v>-53203</v>
      </c>
      <c r="E1339" s="22" t="s">
        <v>57</v>
      </c>
      <c r="F1339" s="24">
        <v>44276</v>
      </c>
      <c r="G1339" s="22" t="s">
        <v>6848</v>
      </c>
      <c r="H1339" s="22" t="s">
        <v>6881</v>
      </c>
      <c r="I1339" s="22" t="s">
        <v>4837</v>
      </c>
      <c r="J1339" s="22" t="s">
        <v>4401</v>
      </c>
      <c r="K1339" s="22" t="s">
        <v>4838</v>
      </c>
      <c r="L1339" s="22"/>
      <c r="M1339" s="22"/>
      <c r="N1339" s="22"/>
    </row>
    <row r="1340" spans="1:14" x14ac:dyDescent="0.25">
      <c r="A1340" s="22" t="s">
        <v>6883</v>
      </c>
      <c r="B1340" s="22" t="s">
        <v>39</v>
      </c>
      <c r="C1340" s="22" t="s">
        <v>6882</v>
      </c>
      <c r="D1340" s="23">
        <v>-55707</v>
      </c>
      <c r="E1340" s="22" t="s">
        <v>57</v>
      </c>
      <c r="F1340" s="24">
        <v>44268</v>
      </c>
      <c r="G1340" s="22" t="s">
        <v>6848</v>
      </c>
      <c r="H1340" s="22" t="s">
        <v>6884</v>
      </c>
      <c r="I1340" s="22" t="s">
        <v>6885</v>
      </c>
      <c r="J1340" s="22" t="s">
        <v>4466</v>
      </c>
      <c r="K1340" s="22" t="s">
        <v>6665</v>
      </c>
      <c r="L1340" s="22"/>
      <c r="M1340" s="22"/>
      <c r="N1340" s="22"/>
    </row>
    <row r="1341" spans="1:14" x14ac:dyDescent="0.25">
      <c r="A1341" s="22" t="s">
        <v>6886</v>
      </c>
      <c r="B1341" s="22" t="s">
        <v>39</v>
      </c>
      <c r="C1341" s="22" t="s">
        <v>6882</v>
      </c>
      <c r="D1341" s="23">
        <v>-117480</v>
      </c>
      <c r="E1341" s="22" t="s">
        <v>57</v>
      </c>
      <c r="F1341" s="24">
        <v>44279</v>
      </c>
      <c r="G1341" s="22" t="s">
        <v>6848</v>
      </c>
      <c r="H1341" s="22" t="s">
        <v>6884</v>
      </c>
      <c r="I1341" s="22" t="s">
        <v>6887</v>
      </c>
      <c r="J1341" s="22" t="s">
        <v>4466</v>
      </c>
      <c r="K1341" s="22" t="s">
        <v>6665</v>
      </c>
      <c r="L1341" s="22"/>
      <c r="M1341" s="22"/>
      <c r="N1341" s="22"/>
    </row>
    <row r="1342" spans="1:14" x14ac:dyDescent="0.25">
      <c r="A1342" s="22" t="s">
        <v>6040</v>
      </c>
      <c r="B1342" s="22" t="s">
        <v>39</v>
      </c>
      <c r="C1342" s="22" t="s">
        <v>5296</v>
      </c>
      <c r="D1342" s="23">
        <v>13399569</v>
      </c>
      <c r="E1342" s="22" t="s">
        <v>45</v>
      </c>
      <c r="F1342" s="24">
        <v>44053</v>
      </c>
      <c r="G1342" s="22" t="s">
        <v>6848</v>
      </c>
      <c r="H1342" s="22" t="s">
        <v>6888</v>
      </c>
      <c r="I1342" s="22" t="s">
        <v>6041</v>
      </c>
      <c r="J1342" s="22" t="s">
        <v>4401</v>
      </c>
      <c r="K1342" s="22" t="s">
        <v>2103</v>
      </c>
      <c r="L1342" s="22"/>
      <c r="M1342" s="22"/>
      <c r="N1342" s="22"/>
    </row>
    <row r="1343" spans="1:14" x14ac:dyDescent="0.25">
      <c r="A1343" s="22" t="s">
        <v>2299</v>
      </c>
      <c r="B1343" s="22" t="s">
        <v>39</v>
      </c>
      <c r="C1343" s="22" t="s">
        <v>6889</v>
      </c>
      <c r="D1343" s="23">
        <v>-31600</v>
      </c>
      <c r="E1343" s="22" t="s">
        <v>57</v>
      </c>
      <c r="F1343" s="24">
        <v>44271</v>
      </c>
      <c r="G1343" s="22" t="s">
        <v>2250</v>
      </c>
      <c r="H1343" s="22" t="s">
        <v>711</v>
      </c>
      <c r="I1343" s="22" t="s">
        <v>2298</v>
      </c>
      <c r="J1343" s="22" t="s">
        <v>4552</v>
      </c>
      <c r="K1343" s="22" t="s">
        <v>128</v>
      </c>
      <c r="L1343" s="22"/>
      <c r="M1343" s="22"/>
      <c r="N1343" s="22"/>
    </row>
    <row r="1344" spans="1:14" x14ac:dyDescent="0.25">
      <c r="A1344" s="22" t="s">
        <v>2297</v>
      </c>
      <c r="B1344" s="22" t="s">
        <v>39</v>
      </c>
      <c r="C1344" s="22" t="s">
        <v>6890</v>
      </c>
      <c r="D1344" s="23">
        <v>-53700</v>
      </c>
      <c r="E1344" s="22" t="s">
        <v>57</v>
      </c>
      <c r="F1344" s="24">
        <v>44256</v>
      </c>
      <c r="G1344" s="22" t="s">
        <v>2250</v>
      </c>
      <c r="H1344" s="22" t="s">
        <v>2291</v>
      </c>
      <c r="I1344" s="22" t="s">
        <v>2296</v>
      </c>
      <c r="J1344" s="22" t="s">
        <v>4401</v>
      </c>
      <c r="K1344" s="22" t="s">
        <v>6891</v>
      </c>
      <c r="L1344" s="22"/>
      <c r="M1344" s="22"/>
      <c r="N1344" s="22"/>
    </row>
    <row r="1345" spans="1:14" x14ac:dyDescent="0.25">
      <c r="A1345" s="22" t="s">
        <v>2295</v>
      </c>
      <c r="B1345" s="22" t="s">
        <v>39</v>
      </c>
      <c r="C1345" s="22" t="s">
        <v>6892</v>
      </c>
      <c r="D1345" s="23">
        <v>-32700</v>
      </c>
      <c r="E1345" s="22" t="s">
        <v>57</v>
      </c>
      <c r="F1345" s="24">
        <v>44267</v>
      </c>
      <c r="G1345" s="22" t="s">
        <v>2250</v>
      </c>
      <c r="H1345" s="22" t="s">
        <v>2291</v>
      </c>
      <c r="I1345" s="22" t="s">
        <v>2294</v>
      </c>
      <c r="J1345" s="22" t="s">
        <v>4407</v>
      </c>
      <c r="K1345" s="22" t="s">
        <v>128</v>
      </c>
      <c r="L1345" s="22"/>
      <c r="M1345" s="22"/>
      <c r="N1345" s="22"/>
    </row>
    <row r="1346" spans="1:14" x14ac:dyDescent="0.25">
      <c r="A1346" s="22" t="s">
        <v>2293</v>
      </c>
      <c r="B1346" s="22" t="s">
        <v>39</v>
      </c>
      <c r="C1346" s="22" t="s">
        <v>6892</v>
      </c>
      <c r="D1346" s="23">
        <v>-44200</v>
      </c>
      <c r="E1346" s="22" t="s">
        <v>57</v>
      </c>
      <c r="F1346" s="24">
        <v>44270</v>
      </c>
      <c r="G1346" s="22" t="s">
        <v>2250</v>
      </c>
      <c r="H1346" s="22" t="s">
        <v>2291</v>
      </c>
      <c r="I1346" s="22" t="s">
        <v>2292</v>
      </c>
      <c r="J1346" s="22" t="s">
        <v>4407</v>
      </c>
      <c r="K1346" s="22" t="s">
        <v>128</v>
      </c>
      <c r="L1346" s="22"/>
      <c r="M1346" s="22"/>
      <c r="N1346" s="22"/>
    </row>
    <row r="1347" spans="1:14" x14ac:dyDescent="0.25">
      <c r="A1347" s="22" t="s">
        <v>2290</v>
      </c>
      <c r="B1347" s="22" t="s">
        <v>39</v>
      </c>
      <c r="C1347" s="22" t="s">
        <v>6892</v>
      </c>
      <c r="D1347" s="23">
        <v>-32700</v>
      </c>
      <c r="E1347" s="22" t="s">
        <v>57</v>
      </c>
      <c r="F1347" s="24">
        <v>44281</v>
      </c>
      <c r="G1347" s="22" t="s">
        <v>2250</v>
      </c>
      <c r="H1347" s="22" t="s">
        <v>2291</v>
      </c>
      <c r="I1347" s="22" t="s">
        <v>2289</v>
      </c>
      <c r="J1347" s="22" t="s">
        <v>4407</v>
      </c>
      <c r="K1347" s="22" t="s">
        <v>128</v>
      </c>
      <c r="L1347" s="22"/>
      <c r="M1347" s="22"/>
      <c r="N1347" s="22"/>
    </row>
    <row r="1348" spans="1:14" x14ac:dyDescent="0.25">
      <c r="A1348" s="22" t="s">
        <v>2288</v>
      </c>
      <c r="B1348" s="22" t="s">
        <v>39</v>
      </c>
      <c r="C1348" s="22" t="s">
        <v>6892</v>
      </c>
      <c r="D1348" s="23">
        <v>-31600</v>
      </c>
      <c r="E1348" s="22" t="s">
        <v>57</v>
      </c>
      <c r="F1348" s="24">
        <v>44284</v>
      </c>
      <c r="G1348" s="22" t="s">
        <v>2250</v>
      </c>
      <c r="H1348" s="22" t="s">
        <v>764</v>
      </c>
      <c r="I1348" s="22" t="s">
        <v>2287</v>
      </c>
      <c r="J1348" s="22" t="s">
        <v>4407</v>
      </c>
      <c r="K1348" s="22" t="s">
        <v>128</v>
      </c>
      <c r="L1348" s="22"/>
      <c r="M1348" s="22"/>
      <c r="N1348" s="22"/>
    </row>
    <row r="1349" spans="1:14" x14ac:dyDescent="0.25">
      <c r="A1349" s="22" t="s">
        <v>2251</v>
      </c>
      <c r="B1349" s="22" t="s">
        <v>39</v>
      </c>
      <c r="C1349" s="22" t="s">
        <v>3767</v>
      </c>
      <c r="D1349" s="23">
        <v>226500</v>
      </c>
      <c r="E1349" s="22" t="s">
        <v>42</v>
      </c>
      <c r="F1349" s="24">
        <v>44355</v>
      </c>
      <c r="G1349" s="22" t="s">
        <v>2250</v>
      </c>
      <c r="H1349" s="22" t="s">
        <v>605</v>
      </c>
      <c r="I1349" s="22" t="s">
        <v>2286</v>
      </c>
      <c r="J1349" s="22" t="s">
        <v>4401</v>
      </c>
      <c r="K1349" s="22" t="s">
        <v>292</v>
      </c>
      <c r="L1349" s="22"/>
      <c r="M1349" s="22"/>
      <c r="N1349" s="22"/>
    </row>
    <row r="1350" spans="1:14" x14ac:dyDescent="0.25">
      <c r="A1350" s="22" t="s">
        <v>2251</v>
      </c>
      <c r="B1350" s="22" t="s">
        <v>39</v>
      </c>
      <c r="C1350" s="22" t="s">
        <v>3767</v>
      </c>
      <c r="D1350" s="23">
        <v>31600</v>
      </c>
      <c r="E1350" s="22" t="s">
        <v>45</v>
      </c>
      <c r="F1350" s="24">
        <v>44355</v>
      </c>
      <c r="G1350" s="22" t="s">
        <v>2250</v>
      </c>
      <c r="H1350" s="22" t="s">
        <v>230</v>
      </c>
      <c r="I1350" s="22" t="s">
        <v>2250</v>
      </c>
      <c r="J1350" s="22" t="s">
        <v>4552</v>
      </c>
      <c r="K1350" s="22" t="s">
        <v>292</v>
      </c>
      <c r="L1350" s="22"/>
      <c r="M1350" s="22"/>
      <c r="N1350" s="22"/>
    </row>
    <row r="1351" spans="1:14" x14ac:dyDescent="0.25">
      <c r="A1351" s="22" t="s">
        <v>2251</v>
      </c>
      <c r="B1351" s="22" t="s">
        <v>39</v>
      </c>
      <c r="C1351" s="22" t="s">
        <v>3767</v>
      </c>
      <c r="D1351" s="23">
        <v>-172800</v>
      </c>
      <c r="E1351" s="22" t="s">
        <v>45</v>
      </c>
      <c r="F1351" s="24">
        <v>44355</v>
      </c>
      <c r="G1351" s="22" t="s">
        <v>2250</v>
      </c>
      <c r="H1351" s="22" t="s">
        <v>230</v>
      </c>
      <c r="I1351" s="22" t="s">
        <v>2250</v>
      </c>
      <c r="J1351" s="22" t="s">
        <v>4401</v>
      </c>
      <c r="K1351" s="22" t="s">
        <v>292</v>
      </c>
      <c r="L1351" s="22"/>
      <c r="M1351" s="22"/>
      <c r="N1351" s="22"/>
    </row>
    <row r="1352" spans="1:14" x14ac:dyDescent="0.25">
      <c r="A1352" s="22" t="s">
        <v>2251</v>
      </c>
      <c r="B1352" s="22" t="s">
        <v>39</v>
      </c>
      <c r="C1352" s="22" t="s">
        <v>3767</v>
      </c>
      <c r="D1352" s="23">
        <v>141200</v>
      </c>
      <c r="E1352" s="22" t="s">
        <v>45</v>
      </c>
      <c r="F1352" s="24">
        <v>44355</v>
      </c>
      <c r="G1352" s="22" t="s">
        <v>2250</v>
      </c>
      <c r="H1352" s="22" t="s">
        <v>230</v>
      </c>
      <c r="I1352" s="22" t="s">
        <v>2250</v>
      </c>
      <c r="J1352" s="22" t="s">
        <v>4407</v>
      </c>
      <c r="K1352" s="22" t="s">
        <v>292</v>
      </c>
      <c r="L1352" s="22"/>
      <c r="M1352" s="22"/>
      <c r="N1352" s="22"/>
    </row>
    <row r="1353" spans="1:14" x14ac:dyDescent="0.25">
      <c r="A1353" s="22" t="s">
        <v>3014</v>
      </c>
      <c r="B1353" s="22" t="s">
        <v>39</v>
      </c>
      <c r="C1353" s="22" t="s">
        <v>6893</v>
      </c>
      <c r="D1353" s="23">
        <v>2565540</v>
      </c>
      <c r="E1353" s="22" t="s">
        <v>45</v>
      </c>
      <c r="F1353" s="24">
        <v>44270</v>
      </c>
      <c r="G1353" s="22" t="s">
        <v>6894</v>
      </c>
      <c r="H1353" s="22"/>
      <c r="I1353" s="22" t="s">
        <v>6894</v>
      </c>
      <c r="J1353" s="22" t="s">
        <v>4466</v>
      </c>
      <c r="K1353" s="22" t="s">
        <v>4519</v>
      </c>
      <c r="L1353" s="22"/>
      <c r="M1353" s="22"/>
      <c r="N1353" s="22"/>
    </row>
    <row r="1354" spans="1:14" x14ac:dyDescent="0.25">
      <c r="A1354" s="22" t="s">
        <v>3014</v>
      </c>
      <c r="B1354" s="22" t="s">
        <v>39</v>
      </c>
      <c r="C1354" s="22" t="s">
        <v>6893</v>
      </c>
      <c r="D1354" s="23">
        <v>-2563001</v>
      </c>
      <c r="E1354" s="22" t="s">
        <v>45</v>
      </c>
      <c r="F1354" s="24">
        <v>44270</v>
      </c>
      <c r="G1354" s="22" t="s">
        <v>6894</v>
      </c>
      <c r="H1354" s="22"/>
      <c r="I1354" s="22" t="s">
        <v>6894</v>
      </c>
      <c r="J1354" s="22" t="s">
        <v>4401</v>
      </c>
      <c r="K1354" s="22" t="s">
        <v>4519</v>
      </c>
      <c r="L1354" s="22"/>
      <c r="M1354" s="22"/>
      <c r="N1354" s="22"/>
    </row>
    <row r="1355" spans="1:14" x14ac:dyDescent="0.25">
      <c r="A1355" s="22" t="s">
        <v>6896</v>
      </c>
      <c r="B1355" s="22" t="s">
        <v>39</v>
      </c>
      <c r="C1355" s="22" t="s">
        <v>6895</v>
      </c>
      <c r="D1355" s="23">
        <v>-940100</v>
      </c>
      <c r="E1355" s="22" t="s">
        <v>57</v>
      </c>
      <c r="F1355" s="24">
        <v>44259</v>
      </c>
      <c r="G1355" s="22" t="s">
        <v>6894</v>
      </c>
      <c r="H1355" s="22" t="s">
        <v>2059</v>
      </c>
      <c r="I1355" s="22" t="s">
        <v>6897</v>
      </c>
      <c r="J1355" s="22" t="s">
        <v>4466</v>
      </c>
      <c r="K1355" s="22" t="s">
        <v>83</v>
      </c>
      <c r="L1355" s="22"/>
      <c r="M1355" s="22"/>
      <c r="N1355" s="22"/>
    </row>
    <row r="1356" spans="1:14" x14ac:dyDescent="0.25">
      <c r="A1356" s="22" t="s">
        <v>6898</v>
      </c>
      <c r="B1356" s="22" t="s">
        <v>39</v>
      </c>
      <c r="C1356" s="22" t="s">
        <v>6895</v>
      </c>
      <c r="D1356" s="23">
        <v>-43700</v>
      </c>
      <c r="E1356" s="22" t="s">
        <v>57</v>
      </c>
      <c r="F1356" s="24">
        <v>44274</v>
      </c>
      <c r="G1356" s="22" t="s">
        <v>6894</v>
      </c>
      <c r="H1356" s="22" t="s">
        <v>2059</v>
      </c>
      <c r="I1356" s="22" t="s">
        <v>6899</v>
      </c>
      <c r="J1356" s="22" t="s">
        <v>4466</v>
      </c>
      <c r="K1356" s="22" t="s">
        <v>83</v>
      </c>
      <c r="L1356" s="22"/>
      <c r="M1356" s="22"/>
      <c r="N1356" s="22"/>
    </row>
    <row r="1357" spans="1:14" x14ac:dyDescent="0.25">
      <c r="A1357" s="22" t="s">
        <v>6901</v>
      </c>
      <c r="B1357" s="22" t="s">
        <v>39</v>
      </c>
      <c r="C1357" s="22" t="s">
        <v>6900</v>
      </c>
      <c r="D1357" s="23">
        <v>-1353876</v>
      </c>
      <c r="E1357" s="22" t="s">
        <v>57</v>
      </c>
      <c r="F1357" s="24">
        <v>44274</v>
      </c>
      <c r="G1357" s="22" t="s">
        <v>6894</v>
      </c>
      <c r="H1357" s="22" t="s">
        <v>6543</v>
      </c>
      <c r="I1357" s="22" t="s">
        <v>6902</v>
      </c>
      <c r="J1357" s="22" t="s">
        <v>4466</v>
      </c>
      <c r="K1357" s="22" t="s">
        <v>83</v>
      </c>
      <c r="L1357" s="22"/>
      <c r="M1357" s="22"/>
      <c r="N1357" s="22"/>
    </row>
    <row r="1358" spans="1:14" x14ac:dyDescent="0.25">
      <c r="A1358" s="22" t="s">
        <v>6903</v>
      </c>
      <c r="B1358" s="22" t="s">
        <v>39</v>
      </c>
      <c r="C1358" s="22" t="s">
        <v>6900</v>
      </c>
      <c r="D1358" s="23">
        <v>-227864</v>
      </c>
      <c r="E1358" s="22" t="s">
        <v>57</v>
      </c>
      <c r="F1358" s="24">
        <v>44286</v>
      </c>
      <c r="G1358" s="22" t="s">
        <v>6894</v>
      </c>
      <c r="H1358" s="22" t="s">
        <v>6904</v>
      </c>
      <c r="I1358" s="22" t="s">
        <v>6905</v>
      </c>
      <c r="J1358" s="22" t="s">
        <v>4466</v>
      </c>
      <c r="K1358" s="22" t="s">
        <v>83</v>
      </c>
      <c r="L1358" s="22"/>
      <c r="M1358" s="22"/>
      <c r="N1358" s="22"/>
    </row>
    <row r="1359" spans="1:14" x14ac:dyDescent="0.25">
      <c r="A1359" s="22" t="s">
        <v>3014</v>
      </c>
      <c r="B1359" s="22" t="s">
        <v>39</v>
      </c>
      <c r="C1359" s="22" t="s">
        <v>6906</v>
      </c>
      <c r="D1359" s="23">
        <v>-47200</v>
      </c>
      <c r="E1359" s="22" t="s">
        <v>57</v>
      </c>
      <c r="F1359" s="24">
        <v>44270</v>
      </c>
      <c r="G1359" s="22" t="s">
        <v>6894</v>
      </c>
      <c r="H1359" s="22" t="s">
        <v>637</v>
      </c>
      <c r="I1359" s="22" t="s">
        <v>6907</v>
      </c>
      <c r="J1359" s="22" t="s">
        <v>4401</v>
      </c>
      <c r="K1359" s="22" t="s">
        <v>4519</v>
      </c>
      <c r="L1359" s="22"/>
      <c r="M1359" s="22"/>
      <c r="N1359" s="22"/>
    </row>
    <row r="1360" spans="1:14" x14ac:dyDescent="0.25">
      <c r="A1360" s="22" t="s">
        <v>6370</v>
      </c>
      <c r="B1360" s="22" t="s">
        <v>39</v>
      </c>
      <c r="C1360" s="22" t="s">
        <v>47</v>
      </c>
      <c r="D1360" s="23">
        <v>2610201</v>
      </c>
      <c r="E1360" s="22" t="s">
        <v>45</v>
      </c>
      <c r="F1360" s="24">
        <v>44172</v>
      </c>
      <c r="G1360" s="22" t="s">
        <v>6894</v>
      </c>
      <c r="H1360" s="22" t="s">
        <v>6908</v>
      </c>
      <c r="I1360" s="22" t="s">
        <v>6673</v>
      </c>
      <c r="J1360" s="22" t="s">
        <v>4401</v>
      </c>
      <c r="K1360" s="22" t="s">
        <v>6371</v>
      </c>
      <c r="L1360" s="22"/>
      <c r="M1360" s="22"/>
      <c r="N1360" s="22"/>
    </row>
    <row r="1361" spans="1:14" x14ac:dyDescent="0.25">
      <c r="A1361" s="22" t="s">
        <v>2038</v>
      </c>
      <c r="B1361" s="22" t="s">
        <v>39</v>
      </c>
      <c r="C1361" s="22" t="s">
        <v>6893</v>
      </c>
      <c r="D1361" s="23">
        <v>922</v>
      </c>
      <c r="E1361" s="22" t="s">
        <v>45</v>
      </c>
      <c r="F1361" s="24">
        <v>44292</v>
      </c>
      <c r="G1361" s="22" t="s">
        <v>2039</v>
      </c>
      <c r="H1361" s="22"/>
      <c r="I1361" s="22" t="s">
        <v>2039</v>
      </c>
      <c r="J1361" s="22" t="s">
        <v>4401</v>
      </c>
      <c r="K1361" s="22" t="s">
        <v>128</v>
      </c>
      <c r="L1361" s="22"/>
      <c r="M1361" s="22"/>
      <c r="N1361" s="22"/>
    </row>
    <row r="1362" spans="1:14" x14ac:dyDescent="0.25">
      <c r="A1362" s="22" t="s">
        <v>2038</v>
      </c>
      <c r="B1362" s="22" t="s">
        <v>39</v>
      </c>
      <c r="C1362" s="22" t="s">
        <v>6909</v>
      </c>
      <c r="D1362" s="23">
        <v>-53700</v>
      </c>
      <c r="E1362" s="22" t="s">
        <v>57</v>
      </c>
      <c r="F1362" s="24">
        <v>44292</v>
      </c>
      <c r="G1362" s="22" t="s">
        <v>2039</v>
      </c>
      <c r="H1362" s="22" t="s">
        <v>1322</v>
      </c>
      <c r="I1362" s="22" t="s">
        <v>2037</v>
      </c>
      <c r="J1362" s="22" t="s">
        <v>4401</v>
      </c>
      <c r="K1362" s="22" t="s">
        <v>128</v>
      </c>
      <c r="L1362" s="22"/>
      <c r="M1362" s="22"/>
      <c r="N1362" s="22"/>
    </row>
    <row r="1363" spans="1:14" x14ac:dyDescent="0.25">
      <c r="A1363" s="22" t="s">
        <v>2285</v>
      </c>
      <c r="B1363" s="22" t="s">
        <v>39</v>
      </c>
      <c r="C1363" s="22" t="s">
        <v>47</v>
      </c>
      <c r="D1363" s="23">
        <v>52778</v>
      </c>
      <c r="E1363" s="22" t="s">
        <v>42</v>
      </c>
      <c r="F1363" s="24">
        <v>44214</v>
      </c>
      <c r="G1363" s="22" t="s">
        <v>2039</v>
      </c>
      <c r="H1363" s="22" t="s">
        <v>1741</v>
      </c>
      <c r="I1363" s="22" t="s">
        <v>2284</v>
      </c>
      <c r="J1363" s="22" t="s">
        <v>4401</v>
      </c>
      <c r="K1363" s="22" t="s">
        <v>292</v>
      </c>
      <c r="L1363" s="22"/>
      <c r="M1363" s="22"/>
      <c r="N1363" s="22"/>
    </row>
    <row r="1364" spans="1:14" x14ac:dyDescent="0.25">
      <c r="A1364" s="22" t="s">
        <v>2275</v>
      </c>
      <c r="B1364" s="22" t="s">
        <v>39</v>
      </c>
      <c r="C1364" s="22" t="s">
        <v>6893</v>
      </c>
      <c r="D1364" s="23">
        <v>-25950</v>
      </c>
      <c r="E1364" s="22" t="s">
        <v>45</v>
      </c>
      <c r="F1364" s="24">
        <v>44126</v>
      </c>
      <c r="G1364" s="22" t="s">
        <v>2274</v>
      </c>
      <c r="H1364" s="22"/>
      <c r="I1364" s="22" t="s">
        <v>2274</v>
      </c>
      <c r="J1364" s="22" t="s">
        <v>4401</v>
      </c>
      <c r="K1364" s="22" t="s">
        <v>128</v>
      </c>
      <c r="L1364" s="22"/>
      <c r="M1364" s="22"/>
      <c r="N1364" s="22"/>
    </row>
    <row r="1365" spans="1:14" x14ac:dyDescent="0.25">
      <c r="A1365" s="22" t="s">
        <v>2275</v>
      </c>
      <c r="B1365" s="22" t="s">
        <v>39</v>
      </c>
      <c r="C1365" s="22" t="s">
        <v>6893</v>
      </c>
      <c r="D1365" s="23">
        <v>31700</v>
      </c>
      <c r="E1365" s="22" t="s">
        <v>45</v>
      </c>
      <c r="F1365" s="24">
        <v>44126</v>
      </c>
      <c r="G1365" s="22" t="s">
        <v>2274</v>
      </c>
      <c r="H1365" s="22"/>
      <c r="I1365" s="22" t="s">
        <v>2274</v>
      </c>
      <c r="J1365" s="22" t="s">
        <v>4407</v>
      </c>
      <c r="K1365" s="22" t="s">
        <v>128</v>
      </c>
      <c r="L1365" s="22"/>
      <c r="M1365" s="22"/>
      <c r="N1365" s="22"/>
    </row>
    <row r="1366" spans="1:14" x14ac:dyDescent="0.25">
      <c r="A1366" s="22" t="s">
        <v>2275</v>
      </c>
      <c r="B1366" s="22" t="s">
        <v>39</v>
      </c>
      <c r="C1366" s="22" t="s">
        <v>6910</v>
      </c>
      <c r="D1366" s="23">
        <v>-31700</v>
      </c>
      <c r="E1366" s="22" t="s">
        <v>57</v>
      </c>
      <c r="F1366" s="24">
        <v>44126</v>
      </c>
      <c r="G1366" s="22" t="s">
        <v>2274</v>
      </c>
      <c r="H1366" s="22" t="s">
        <v>2283</v>
      </c>
      <c r="I1366" s="22" t="s">
        <v>2282</v>
      </c>
      <c r="J1366" s="22" t="s">
        <v>4407</v>
      </c>
      <c r="K1366" s="22" t="s">
        <v>128</v>
      </c>
      <c r="L1366" s="22"/>
      <c r="M1366" s="22"/>
      <c r="N1366" s="22"/>
    </row>
    <row r="1367" spans="1:14" x14ac:dyDescent="0.25">
      <c r="A1367" s="22" t="s">
        <v>2281</v>
      </c>
      <c r="B1367" s="22" t="s">
        <v>39</v>
      </c>
      <c r="C1367" s="22" t="s">
        <v>47</v>
      </c>
      <c r="D1367" s="23">
        <v>25950</v>
      </c>
      <c r="E1367" s="22" t="s">
        <v>42</v>
      </c>
      <c r="F1367" s="24">
        <v>44232</v>
      </c>
      <c r="G1367" s="22" t="s">
        <v>2274</v>
      </c>
      <c r="H1367" s="22" t="s">
        <v>1886</v>
      </c>
      <c r="I1367" s="22" t="s">
        <v>2280</v>
      </c>
      <c r="J1367" s="22" t="s">
        <v>4401</v>
      </c>
      <c r="K1367" s="22" t="s">
        <v>292</v>
      </c>
      <c r="L1367" s="22"/>
      <c r="M1367" s="22"/>
      <c r="N1367" s="22"/>
    </row>
    <row r="1368" spans="1:14" x14ac:dyDescent="0.25">
      <c r="A1368" s="22" t="s">
        <v>2271</v>
      </c>
      <c r="B1368" s="22" t="s">
        <v>39</v>
      </c>
      <c r="C1368" s="22" t="s">
        <v>6893</v>
      </c>
      <c r="D1368" s="23">
        <v>6600</v>
      </c>
      <c r="E1368" s="22" t="s">
        <v>45</v>
      </c>
      <c r="F1368" s="24">
        <v>44280</v>
      </c>
      <c r="G1368" s="22" t="s">
        <v>2269</v>
      </c>
      <c r="H1368" s="22"/>
      <c r="I1368" s="22" t="s">
        <v>2269</v>
      </c>
      <c r="J1368" s="22" t="s">
        <v>4466</v>
      </c>
      <c r="K1368" s="22" t="s">
        <v>128</v>
      </c>
      <c r="L1368" s="22"/>
      <c r="M1368" s="22"/>
      <c r="N1368" s="22"/>
    </row>
    <row r="1369" spans="1:14" x14ac:dyDescent="0.25">
      <c r="A1369" s="22" t="s">
        <v>2271</v>
      </c>
      <c r="B1369" s="22" t="s">
        <v>39</v>
      </c>
      <c r="C1369" s="22" t="s">
        <v>6893</v>
      </c>
      <c r="D1369" s="23">
        <v>42200</v>
      </c>
      <c r="E1369" s="22" t="s">
        <v>45</v>
      </c>
      <c r="F1369" s="24">
        <v>44280</v>
      </c>
      <c r="G1369" s="22" t="s">
        <v>2269</v>
      </c>
      <c r="H1369" s="22"/>
      <c r="I1369" s="22" t="s">
        <v>2269</v>
      </c>
      <c r="J1369" s="22" t="s">
        <v>4552</v>
      </c>
      <c r="K1369" s="22" t="s">
        <v>128</v>
      </c>
      <c r="L1369" s="22"/>
      <c r="M1369" s="22"/>
      <c r="N1369" s="22"/>
    </row>
    <row r="1370" spans="1:14" x14ac:dyDescent="0.25">
      <c r="A1370" s="22" t="s">
        <v>2271</v>
      </c>
      <c r="B1370" s="22" t="s">
        <v>39</v>
      </c>
      <c r="C1370" s="22" t="s">
        <v>6893</v>
      </c>
      <c r="D1370" s="23">
        <v>-84752</v>
      </c>
      <c r="E1370" s="22" t="s">
        <v>45</v>
      </c>
      <c r="F1370" s="24">
        <v>44280</v>
      </c>
      <c r="G1370" s="22" t="s">
        <v>2269</v>
      </c>
      <c r="H1370" s="22"/>
      <c r="I1370" s="22" t="s">
        <v>2269</v>
      </c>
      <c r="J1370" s="22" t="s">
        <v>4401</v>
      </c>
      <c r="K1370" s="22" t="s">
        <v>128</v>
      </c>
      <c r="L1370" s="22"/>
      <c r="M1370" s="22"/>
      <c r="N1370" s="22"/>
    </row>
    <row r="1371" spans="1:14" x14ac:dyDescent="0.25">
      <c r="A1371" s="22" t="s">
        <v>2271</v>
      </c>
      <c r="B1371" s="22" t="s">
        <v>39</v>
      </c>
      <c r="C1371" s="22" t="s">
        <v>6893</v>
      </c>
      <c r="D1371" s="23">
        <v>38450</v>
      </c>
      <c r="E1371" s="22" t="s">
        <v>45</v>
      </c>
      <c r="F1371" s="24">
        <v>44280</v>
      </c>
      <c r="G1371" s="22" t="s">
        <v>2269</v>
      </c>
      <c r="H1371" s="22"/>
      <c r="I1371" s="22" t="s">
        <v>2269</v>
      </c>
      <c r="J1371" s="22" t="s">
        <v>4407</v>
      </c>
      <c r="K1371" s="22" t="s">
        <v>128</v>
      </c>
      <c r="L1371" s="22"/>
      <c r="M1371" s="22"/>
      <c r="N1371" s="22"/>
    </row>
    <row r="1372" spans="1:14" x14ac:dyDescent="0.25">
      <c r="A1372" s="22" t="s">
        <v>2278</v>
      </c>
      <c r="B1372" s="22" t="s">
        <v>39</v>
      </c>
      <c r="C1372" s="22" t="s">
        <v>6911</v>
      </c>
      <c r="D1372" s="23">
        <v>-42200</v>
      </c>
      <c r="E1372" s="22" t="s">
        <v>57</v>
      </c>
      <c r="F1372" s="24">
        <v>44118</v>
      </c>
      <c r="G1372" s="22" t="s">
        <v>2269</v>
      </c>
      <c r="H1372" s="22" t="s">
        <v>2279</v>
      </c>
      <c r="I1372" s="22" t="s">
        <v>2277</v>
      </c>
      <c r="J1372" s="22" t="s">
        <v>4552</v>
      </c>
      <c r="K1372" s="22" t="s">
        <v>128</v>
      </c>
      <c r="L1372" s="22"/>
      <c r="M1372" s="22"/>
      <c r="N1372" s="22"/>
    </row>
    <row r="1373" spans="1:14" x14ac:dyDescent="0.25">
      <c r="A1373" s="22" t="s">
        <v>2275</v>
      </c>
      <c r="B1373" s="22" t="s">
        <v>39</v>
      </c>
      <c r="C1373" s="22" t="s">
        <v>6910</v>
      </c>
      <c r="D1373" s="23">
        <v>-5750</v>
      </c>
      <c r="E1373" s="22" t="s">
        <v>45</v>
      </c>
      <c r="F1373" s="24">
        <v>44126</v>
      </c>
      <c r="G1373" s="22" t="s">
        <v>2269</v>
      </c>
      <c r="H1373" s="22" t="s">
        <v>2276</v>
      </c>
      <c r="I1373" s="22" t="s">
        <v>2274</v>
      </c>
      <c r="J1373" s="22" t="s">
        <v>4407</v>
      </c>
      <c r="K1373" s="22" t="s">
        <v>128</v>
      </c>
      <c r="L1373" s="22"/>
      <c r="M1373" s="22"/>
      <c r="N1373" s="22"/>
    </row>
    <row r="1374" spans="1:14" x14ac:dyDescent="0.25">
      <c r="A1374" s="22" t="s">
        <v>2273</v>
      </c>
      <c r="B1374" s="22" t="s">
        <v>39</v>
      </c>
      <c r="C1374" s="22" t="s">
        <v>6912</v>
      </c>
      <c r="D1374" s="23">
        <v>-6600</v>
      </c>
      <c r="E1374" s="22" t="s">
        <v>57</v>
      </c>
      <c r="F1374" s="24">
        <v>44259</v>
      </c>
      <c r="G1374" s="22" t="s">
        <v>2269</v>
      </c>
      <c r="H1374" s="22" t="s">
        <v>2059</v>
      </c>
      <c r="I1374" s="22" t="s">
        <v>2272</v>
      </c>
      <c r="J1374" s="22" t="s">
        <v>4466</v>
      </c>
      <c r="K1374" s="22" t="s">
        <v>83</v>
      </c>
      <c r="L1374" s="22"/>
      <c r="M1374" s="22"/>
      <c r="N1374" s="22"/>
    </row>
    <row r="1375" spans="1:14" x14ac:dyDescent="0.25">
      <c r="A1375" s="22" t="s">
        <v>2271</v>
      </c>
      <c r="B1375" s="22" t="s">
        <v>39</v>
      </c>
      <c r="C1375" s="22" t="s">
        <v>6892</v>
      </c>
      <c r="D1375" s="23">
        <v>-32700</v>
      </c>
      <c r="E1375" s="22" t="s">
        <v>57</v>
      </c>
      <c r="F1375" s="24">
        <v>44280</v>
      </c>
      <c r="G1375" s="22" t="s">
        <v>2269</v>
      </c>
      <c r="H1375" s="22" t="s">
        <v>890</v>
      </c>
      <c r="I1375" s="22" t="s">
        <v>2270</v>
      </c>
      <c r="J1375" s="22" t="s">
        <v>4407</v>
      </c>
      <c r="K1375" s="22" t="s">
        <v>128</v>
      </c>
      <c r="L1375" s="22"/>
      <c r="M1375" s="22"/>
      <c r="N1375" s="22"/>
    </row>
    <row r="1376" spans="1:14" x14ac:dyDescent="0.25">
      <c r="A1376" s="22" t="s">
        <v>2268</v>
      </c>
      <c r="B1376" s="22" t="s">
        <v>39</v>
      </c>
      <c r="C1376" s="22" t="s">
        <v>47</v>
      </c>
      <c r="D1376" s="23">
        <v>84752</v>
      </c>
      <c r="E1376" s="22" t="s">
        <v>42</v>
      </c>
      <c r="F1376" s="24">
        <v>44260</v>
      </c>
      <c r="G1376" s="22" t="s">
        <v>2269</v>
      </c>
      <c r="H1376" s="22" t="s">
        <v>1741</v>
      </c>
      <c r="I1376" s="22" t="s">
        <v>2267</v>
      </c>
      <c r="J1376" s="22" t="s">
        <v>4401</v>
      </c>
      <c r="K1376" s="22" t="s">
        <v>292</v>
      </c>
      <c r="L1376" s="22"/>
      <c r="M1376" s="22"/>
      <c r="N1376" s="22"/>
    </row>
    <row r="1377" spans="1:14" x14ac:dyDescent="0.25">
      <c r="A1377" s="22" t="s">
        <v>2258</v>
      </c>
      <c r="B1377" s="22" t="s">
        <v>39</v>
      </c>
      <c r="C1377" s="22" t="s">
        <v>6893</v>
      </c>
      <c r="D1377" s="23">
        <v>56133</v>
      </c>
      <c r="E1377" s="22" t="s">
        <v>45</v>
      </c>
      <c r="F1377" s="24">
        <v>44259</v>
      </c>
      <c r="G1377" s="22" t="s">
        <v>2257</v>
      </c>
      <c r="H1377" s="22"/>
      <c r="I1377" s="22" t="s">
        <v>2257</v>
      </c>
      <c r="J1377" s="22" t="s">
        <v>4466</v>
      </c>
      <c r="K1377" s="22" t="s">
        <v>83</v>
      </c>
      <c r="L1377" s="22"/>
      <c r="M1377" s="22"/>
      <c r="N1377" s="22"/>
    </row>
    <row r="1378" spans="1:14" x14ac:dyDescent="0.25">
      <c r="A1378" s="22" t="s">
        <v>2258</v>
      </c>
      <c r="B1378" s="22" t="s">
        <v>39</v>
      </c>
      <c r="C1378" s="22" t="s">
        <v>6893</v>
      </c>
      <c r="D1378" s="23">
        <v>-26850</v>
      </c>
      <c r="E1378" s="22" t="s">
        <v>45</v>
      </c>
      <c r="F1378" s="24">
        <v>44259</v>
      </c>
      <c r="G1378" s="22" t="s">
        <v>2257</v>
      </c>
      <c r="H1378" s="22"/>
      <c r="I1378" s="22" t="s">
        <v>2257</v>
      </c>
      <c r="J1378" s="22" t="s">
        <v>4401</v>
      </c>
      <c r="K1378" s="22" t="s">
        <v>83</v>
      </c>
      <c r="L1378" s="22"/>
      <c r="M1378" s="22"/>
      <c r="N1378" s="22"/>
    </row>
    <row r="1379" spans="1:14" x14ac:dyDescent="0.25">
      <c r="A1379" s="22" t="s">
        <v>2258</v>
      </c>
      <c r="B1379" s="22" t="s">
        <v>39</v>
      </c>
      <c r="C1379" s="22" t="s">
        <v>6900</v>
      </c>
      <c r="D1379" s="23">
        <v>-56133</v>
      </c>
      <c r="E1379" s="22" t="s">
        <v>57</v>
      </c>
      <c r="F1379" s="24">
        <v>44259</v>
      </c>
      <c r="G1379" s="22" t="s">
        <v>2257</v>
      </c>
      <c r="H1379" s="22" t="s">
        <v>2266</v>
      </c>
      <c r="I1379" s="22" t="s">
        <v>2265</v>
      </c>
      <c r="J1379" s="22" t="s">
        <v>4466</v>
      </c>
      <c r="K1379" s="22" t="s">
        <v>83</v>
      </c>
      <c r="L1379" s="22"/>
      <c r="M1379" s="22"/>
      <c r="N1379" s="22"/>
    </row>
    <row r="1380" spans="1:14" x14ac:dyDescent="0.25">
      <c r="A1380" s="22" t="s">
        <v>2264</v>
      </c>
      <c r="B1380" s="22" t="s">
        <v>39</v>
      </c>
      <c r="C1380" s="22" t="s">
        <v>47</v>
      </c>
      <c r="D1380" s="23">
        <v>26850</v>
      </c>
      <c r="E1380" s="22" t="s">
        <v>42</v>
      </c>
      <c r="F1380" s="24">
        <v>44260</v>
      </c>
      <c r="G1380" s="22" t="s">
        <v>2257</v>
      </c>
      <c r="H1380" s="22" t="s">
        <v>1741</v>
      </c>
      <c r="I1380" s="22" t="s">
        <v>2263</v>
      </c>
      <c r="J1380" s="22" t="s">
        <v>4401</v>
      </c>
      <c r="K1380" s="22" t="s">
        <v>292</v>
      </c>
      <c r="L1380" s="22"/>
      <c r="M1380" s="22"/>
      <c r="N1380" s="22"/>
    </row>
    <row r="1381" spans="1:14" x14ac:dyDescent="0.25">
      <c r="A1381" s="22" t="s">
        <v>2261</v>
      </c>
      <c r="B1381" s="22" t="s">
        <v>39</v>
      </c>
      <c r="C1381" s="22" t="s">
        <v>6893</v>
      </c>
      <c r="D1381" s="23">
        <v>29283</v>
      </c>
      <c r="E1381" s="22" t="s">
        <v>45</v>
      </c>
      <c r="F1381" s="24">
        <v>44285</v>
      </c>
      <c r="G1381" s="22" t="s">
        <v>2254</v>
      </c>
      <c r="H1381" s="22"/>
      <c r="I1381" s="22" t="s">
        <v>2254</v>
      </c>
      <c r="J1381" s="22" t="s">
        <v>4466</v>
      </c>
      <c r="K1381" s="22" t="s">
        <v>83</v>
      </c>
      <c r="L1381" s="22"/>
      <c r="M1381" s="22"/>
      <c r="N1381" s="22"/>
    </row>
    <row r="1382" spans="1:14" x14ac:dyDescent="0.25">
      <c r="A1382" s="22" t="s">
        <v>2261</v>
      </c>
      <c r="B1382" s="22" t="s">
        <v>39</v>
      </c>
      <c r="C1382" s="22" t="s">
        <v>6893</v>
      </c>
      <c r="D1382" s="23">
        <v>-18657</v>
      </c>
      <c r="E1382" s="22" t="s">
        <v>45</v>
      </c>
      <c r="F1382" s="24">
        <v>44285</v>
      </c>
      <c r="G1382" s="22" t="s">
        <v>2254</v>
      </c>
      <c r="H1382" s="22"/>
      <c r="I1382" s="22" t="s">
        <v>2254</v>
      </c>
      <c r="J1382" s="22" t="s">
        <v>4401</v>
      </c>
      <c r="K1382" s="22" t="s">
        <v>83</v>
      </c>
      <c r="L1382" s="22"/>
      <c r="M1382" s="22"/>
      <c r="N1382" s="22"/>
    </row>
    <row r="1383" spans="1:14" x14ac:dyDescent="0.25">
      <c r="A1383" s="22" t="s">
        <v>2261</v>
      </c>
      <c r="B1383" s="22" t="s">
        <v>39</v>
      </c>
      <c r="C1383" s="22" t="s">
        <v>6913</v>
      </c>
      <c r="D1383" s="23">
        <v>-174100</v>
      </c>
      <c r="E1383" s="22" t="s">
        <v>57</v>
      </c>
      <c r="F1383" s="24">
        <v>44285</v>
      </c>
      <c r="G1383" s="22" t="s">
        <v>2254</v>
      </c>
      <c r="H1383" s="22" t="s">
        <v>2262</v>
      </c>
      <c r="I1383" s="22" t="s">
        <v>2260</v>
      </c>
      <c r="J1383" s="22" t="s">
        <v>4401</v>
      </c>
      <c r="K1383" s="22" t="s">
        <v>83</v>
      </c>
      <c r="L1383" s="22"/>
      <c r="M1383" s="22"/>
      <c r="N1383" s="22"/>
    </row>
    <row r="1384" spans="1:14" x14ac:dyDescent="0.25">
      <c r="A1384" s="22" t="s">
        <v>2258</v>
      </c>
      <c r="B1384" s="22" t="s">
        <v>39</v>
      </c>
      <c r="C1384" s="22" t="s">
        <v>6900</v>
      </c>
      <c r="D1384" s="23">
        <v>-29283</v>
      </c>
      <c r="E1384" s="22" t="s">
        <v>45</v>
      </c>
      <c r="F1384" s="24">
        <v>44259</v>
      </c>
      <c r="G1384" s="22" t="s">
        <v>2254</v>
      </c>
      <c r="H1384" s="22" t="s">
        <v>2259</v>
      </c>
      <c r="I1384" s="22" t="s">
        <v>2257</v>
      </c>
      <c r="J1384" s="22" t="s">
        <v>4466</v>
      </c>
      <c r="K1384" s="22" t="s">
        <v>83</v>
      </c>
      <c r="L1384" s="22"/>
      <c r="M1384" s="22"/>
      <c r="N1384" s="22"/>
    </row>
    <row r="1385" spans="1:14" x14ac:dyDescent="0.25">
      <c r="A1385" s="22" t="s">
        <v>2256</v>
      </c>
      <c r="B1385" s="22" t="s">
        <v>39</v>
      </c>
      <c r="C1385" s="22" t="s">
        <v>6906</v>
      </c>
      <c r="D1385" s="23">
        <v>-87500</v>
      </c>
      <c r="E1385" s="22" t="s">
        <v>57</v>
      </c>
      <c r="F1385" s="24">
        <v>44265</v>
      </c>
      <c r="G1385" s="22" t="s">
        <v>2254</v>
      </c>
      <c r="H1385" s="22" t="s">
        <v>637</v>
      </c>
      <c r="I1385" s="22" t="s">
        <v>2255</v>
      </c>
      <c r="J1385" s="22" t="s">
        <v>4401</v>
      </c>
      <c r="K1385" s="22" t="s">
        <v>4519</v>
      </c>
      <c r="L1385" s="22"/>
      <c r="M1385" s="22"/>
      <c r="N1385" s="22"/>
    </row>
    <row r="1386" spans="1:14" x14ac:dyDescent="0.25">
      <c r="A1386" s="22" t="s">
        <v>2253</v>
      </c>
      <c r="B1386" s="22" t="s">
        <v>39</v>
      </c>
      <c r="C1386" s="22" t="s">
        <v>47</v>
      </c>
      <c r="D1386" s="23">
        <v>280257</v>
      </c>
      <c r="E1386" s="22" t="s">
        <v>42</v>
      </c>
      <c r="F1386" s="24">
        <v>44295</v>
      </c>
      <c r="G1386" s="22" t="s">
        <v>2254</v>
      </c>
      <c r="H1386" s="22" t="s">
        <v>1812</v>
      </c>
      <c r="I1386" s="22" t="s">
        <v>2252</v>
      </c>
      <c r="J1386" s="22" t="s">
        <v>4401</v>
      </c>
      <c r="K1386" s="22" t="s">
        <v>292</v>
      </c>
      <c r="L1386" s="22"/>
      <c r="M1386" s="22"/>
      <c r="N1386" s="22"/>
    </row>
    <row r="1387" spans="1:14" x14ac:dyDescent="0.25">
      <c r="A1387" s="22" t="s">
        <v>2301</v>
      </c>
      <c r="B1387" s="22" t="s">
        <v>39</v>
      </c>
      <c r="C1387" s="22" t="s">
        <v>6893</v>
      </c>
      <c r="D1387" s="23">
        <v>347689</v>
      </c>
      <c r="E1387" s="22" t="s">
        <v>45</v>
      </c>
      <c r="F1387" s="24">
        <v>44214</v>
      </c>
      <c r="G1387" s="22" t="s">
        <v>2302</v>
      </c>
      <c r="H1387" s="22"/>
      <c r="I1387" s="22" t="s">
        <v>2302</v>
      </c>
      <c r="J1387" s="22" t="s">
        <v>4466</v>
      </c>
      <c r="K1387" s="22" t="s">
        <v>292</v>
      </c>
      <c r="L1387" s="22"/>
      <c r="M1387" s="22"/>
      <c r="N1387" s="22"/>
    </row>
    <row r="1388" spans="1:14" x14ac:dyDescent="0.25">
      <c r="A1388" s="22" t="s">
        <v>2301</v>
      </c>
      <c r="B1388" s="22" t="s">
        <v>39</v>
      </c>
      <c r="C1388" s="22" t="s">
        <v>6893</v>
      </c>
      <c r="D1388" s="23">
        <v>992507</v>
      </c>
      <c r="E1388" s="22" t="s">
        <v>45</v>
      </c>
      <c r="F1388" s="24">
        <v>44214</v>
      </c>
      <c r="G1388" s="22" t="s">
        <v>2302</v>
      </c>
      <c r="H1388" s="22"/>
      <c r="I1388" s="22" t="s">
        <v>2302</v>
      </c>
      <c r="J1388" s="22" t="s">
        <v>4552</v>
      </c>
      <c r="K1388" s="22" t="s">
        <v>292</v>
      </c>
      <c r="L1388" s="22"/>
      <c r="M1388" s="22"/>
      <c r="N1388" s="22"/>
    </row>
    <row r="1389" spans="1:14" x14ac:dyDescent="0.25">
      <c r="A1389" s="22" t="s">
        <v>2301</v>
      </c>
      <c r="B1389" s="22" t="s">
        <v>39</v>
      </c>
      <c r="C1389" s="22" t="s">
        <v>6893</v>
      </c>
      <c r="D1389" s="23">
        <v>-38871119</v>
      </c>
      <c r="E1389" s="22" t="s">
        <v>45</v>
      </c>
      <c r="F1389" s="24">
        <v>44214</v>
      </c>
      <c r="G1389" s="22" t="s">
        <v>2302</v>
      </c>
      <c r="H1389" s="22"/>
      <c r="I1389" s="22" t="s">
        <v>2302</v>
      </c>
      <c r="J1389" s="22" t="s">
        <v>4401</v>
      </c>
      <c r="K1389" s="22" t="s">
        <v>292</v>
      </c>
      <c r="L1389" s="22"/>
      <c r="M1389" s="22"/>
      <c r="N1389" s="22"/>
    </row>
    <row r="1390" spans="1:14" x14ac:dyDescent="0.25">
      <c r="A1390" s="22" t="s">
        <v>2326</v>
      </c>
      <c r="B1390" s="22" t="s">
        <v>39</v>
      </c>
      <c r="C1390" s="22" t="s">
        <v>6911</v>
      </c>
      <c r="D1390" s="23">
        <v>-9800</v>
      </c>
      <c r="E1390" s="22" t="s">
        <v>57</v>
      </c>
      <c r="F1390" s="24">
        <v>44105</v>
      </c>
      <c r="G1390" s="22" t="s">
        <v>2302</v>
      </c>
      <c r="H1390" s="22" t="s">
        <v>2279</v>
      </c>
      <c r="I1390" s="22" t="s">
        <v>2325</v>
      </c>
      <c r="J1390" s="22" t="s">
        <v>4552</v>
      </c>
      <c r="K1390" s="22" t="s">
        <v>128</v>
      </c>
      <c r="L1390" s="22"/>
      <c r="M1390" s="22"/>
      <c r="N1390" s="22"/>
    </row>
    <row r="1391" spans="1:14" x14ac:dyDescent="0.25">
      <c r="A1391" s="22" t="s">
        <v>2324</v>
      </c>
      <c r="B1391" s="22" t="s">
        <v>39</v>
      </c>
      <c r="C1391" s="22" t="s">
        <v>6911</v>
      </c>
      <c r="D1391" s="23">
        <v>-630200</v>
      </c>
      <c r="E1391" s="22" t="s">
        <v>57</v>
      </c>
      <c r="F1391" s="24">
        <v>44105</v>
      </c>
      <c r="G1391" s="22" t="s">
        <v>2302</v>
      </c>
      <c r="H1391" s="22" t="s">
        <v>2279</v>
      </c>
      <c r="I1391" s="22" t="s">
        <v>2323</v>
      </c>
      <c r="J1391" s="22" t="s">
        <v>4552</v>
      </c>
      <c r="K1391" s="22" t="s">
        <v>128</v>
      </c>
      <c r="L1391" s="22"/>
      <c r="M1391" s="22"/>
      <c r="N1391" s="22"/>
    </row>
    <row r="1392" spans="1:14" x14ac:dyDescent="0.25">
      <c r="A1392" s="22" t="s">
        <v>2322</v>
      </c>
      <c r="B1392" s="22" t="s">
        <v>39</v>
      </c>
      <c r="C1392" s="22" t="s">
        <v>6911</v>
      </c>
      <c r="D1392" s="23">
        <v>-104900</v>
      </c>
      <c r="E1392" s="22" t="s">
        <v>57</v>
      </c>
      <c r="F1392" s="24">
        <v>44105</v>
      </c>
      <c r="G1392" s="22" t="s">
        <v>2302</v>
      </c>
      <c r="H1392" s="22" t="s">
        <v>2279</v>
      </c>
      <c r="I1392" s="22" t="s">
        <v>2321</v>
      </c>
      <c r="J1392" s="22" t="s">
        <v>4552</v>
      </c>
      <c r="K1392" s="22" t="s">
        <v>128</v>
      </c>
      <c r="L1392" s="22"/>
      <c r="M1392" s="22"/>
      <c r="N1392" s="22"/>
    </row>
    <row r="1393" spans="1:14" x14ac:dyDescent="0.25">
      <c r="A1393" s="22" t="s">
        <v>2320</v>
      </c>
      <c r="B1393" s="22" t="s">
        <v>39</v>
      </c>
      <c r="C1393" s="22" t="s">
        <v>6914</v>
      </c>
      <c r="D1393" s="23">
        <v>-143100</v>
      </c>
      <c r="E1393" s="22" t="s">
        <v>57</v>
      </c>
      <c r="F1393" s="24">
        <v>44257</v>
      </c>
      <c r="G1393" s="22" t="s">
        <v>2302</v>
      </c>
      <c r="H1393" s="22" t="s">
        <v>2059</v>
      </c>
      <c r="I1393" s="22" t="s">
        <v>2319</v>
      </c>
      <c r="J1393" s="22" t="s">
        <v>4552</v>
      </c>
      <c r="K1393" s="22" t="s">
        <v>128</v>
      </c>
      <c r="L1393" s="22"/>
      <c r="M1393" s="22"/>
      <c r="N1393" s="22"/>
    </row>
    <row r="1394" spans="1:14" x14ac:dyDescent="0.25">
      <c r="A1394" s="22" t="s">
        <v>2318</v>
      </c>
      <c r="B1394" s="22" t="s">
        <v>39</v>
      </c>
      <c r="C1394" s="22" t="s">
        <v>6913</v>
      </c>
      <c r="D1394" s="23">
        <v>-54657</v>
      </c>
      <c r="E1394" s="22" t="s">
        <v>57</v>
      </c>
      <c r="F1394" s="24">
        <v>44281</v>
      </c>
      <c r="G1394" s="22" t="s">
        <v>2302</v>
      </c>
      <c r="H1394" s="22" t="s">
        <v>2316</v>
      </c>
      <c r="I1394" s="22" t="s">
        <v>2317</v>
      </c>
      <c r="J1394" s="22" t="s">
        <v>4401</v>
      </c>
      <c r="K1394" s="22" t="s">
        <v>83</v>
      </c>
      <c r="L1394" s="22"/>
      <c r="M1394" s="22"/>
      <c r="N1394" s="22"/>
    </row>
    <row r="1395" spans="1:14" x14ac:dyDescent="0.25">
      <c r="A1395" s="22" t="s">
        <v>2315</v>
      </c>
      <c r="B1395" s="22" t="s">
        <v>39</v>
      </c>
      <c r="C1395" s="22" t="s">
        <v>6913</v>
      </c>
      <c r="D1395" s="23">
        <v>-288788</v>
      </c>
      <c r="E1395" s="22" t="s">
        <v>57</v>
      </c>
      <c r="F1395" s="24">
        <v>44282</v>
      </c>
      <c r="G1395" s="22" t="s">
        <v>2302</v>
      </c>
      <c r="H1395" s="22" t="s">
        <v>2316</v>
      </c>
      <c r="I1395" s="22" t="s">
        <v>2314</v>
      </c>
      <c r="J1395" s="22" t="s">
        <v>4401</v>
      </c>
      <c r="K1395" s="22" t="s">
        <v>83</v>
      </c>
      <c r="L1395" s="22"/>
      <c r="M1395" s="22"/>
      <c r="N1395" s="22"/>
    </row>
    <row r="1396" spans="1:14" x14ac:dyDescent="0.25">
      <c r="A1396" s="22" t="s">
        <v>2312</v>
      </c>
      <c r="B1396" s="22" t="s">
        <v>39</v>
      </c>
      <c r="C1396" s="22" t="s">
        <v>6913</v>
      </c>
      <c r="D1396" s="23">
        <v>-485238</v>
      </c>
      <c r="E1396" s="22" t="s">
        <v>57</v>
      </c>
      <c r="F1396" s="24">
        <v>44285</v>
      </c>
      <c r="G1396" s="22" t="s">
        <v>2302</v>
      </c>
      <c r="H1396" s="22" t="s">
        <v>2313</v>
      </c>
      <c r="I1396" s="22" t="s">
        <v>2311</v>
      </c>
      <c r="J1396" s="22" t="s">
        <v>4401</v>
      </c>
      <c r="K1396" s="22" t="s">
        <v>83</v>
      </c>
      <c r="L1396" s="22"/>
      <c r="M1396" s="22"/>
      <c r="N1396" s="22"/>
    </row>
    <row r="1397" spans="1:14" x14ac:dyDescent="0.25">
      <c r="A1397" s="22" t="s">
        <v>2310</v>
      </c>
      <c r="B1397" s="22" t="s">
        <v>39</v>
      </c>
      <c r="C1397" s="22" t="s">
        <v>6913</v>
      </c>
      <c r="D1397" s="23">
        <v>-845492</v>
      </c>
      <c r="E1397" s="22" t="s">
        <v>57</v>
      </c>
      <c r="F1397" s="24">
        <v>44291</v>
      </c>
      <c r="G1397" s="22" t="s">
        <v>2302</v>
      </c>
      <c r="H1397" s="22" t="s">
        <v>2262</v>
      </c>
      <c r="I1397" s="22" t="s">
        <v>2309</v>
      </c>
      <c r="J1397" s="22" t="s">
        <v>4401</v>
      </c>
      <c r="K1397" s="22" t="s">
        <v>83</v>
      </c>
      <c r="L1397" s="22"/>
      <c r="M1397" s="22"/>
      <c r="N1397" s="22"/>
    </row>
    <row r="1398" spans="1:14" x14ac:dyDescent="0.25">
      <c r="A1398" s="22" t="s">
        <v>2308</v>
      </c>
      <c r="B1398" s="22" t="s">
        <v>39</v>
      </c>
      <c r="C1398" s="22" t="s">
        <v>6900</v>
      </c>
      <c r="D1398" s="23">
        <v>-151089</v>
      </c>
      <c r="E1398" s="22" t="s">
        <v>57</v>
      </c>
      <c r="F1398" s="24">
        <v>44267</v>
      </c>
      <c r="G1398" s="22" t="s">
        <v>2302</v>
      </c>
      <c r="H1398" s="22" t="s">
        <v>2059</v>
      </c>
      <c r="I1398" s="22" t="s">
        <v>2307</v>
      </c>
      <c r="J1398" s="22" t="s">
        <v>4466</v>
      </c>
      <c r="K1398" s="22" t="s">
        <v>83</v>
      </c>
      <c r="L1398" s="22"/>
      <c r="M1398" s="22"/>
      <c r="N1398" s="22"/>
    </row>
    <row r="1399" spans="1:14" x14ac:dyDescent="0.25">
      <c r="A1399" s="22" t="s">
        <v>2306</v>
      </c>
      <c r="B1399" s="22" t="s">
        <v>39</v>
      </c>
      <c r="C1399" s="22" t="s">
        <v>4847</v>
      </c>
      <c r="D1399" s="23">
        <v>-104507</v>
      </c>
      <c r="E1399" s="22" t="s">
        <v>57</v>
      </c>
      <c r="F1399" s="24">
        <v>44282</v>
      </c>
      <c r="G1399" s="22" t="s">
        <v>2302</v>
      </c>
      <c r="H1399" s="22" t="s">
        <v>2059</v>
      </c>
      <c r="I1399" s="22" t="s">
        <v>2305</v>
      </c>
      <c r="J1399" s="22" t="s">
        <v>4552</v>
      </c>
      <c r="K1399" s="22" t="s">
        <v>128</v>
      </c>
      <c r="L1399" s="22"/>
      <c r="M1399" s="22"/>
      <c r="N1399" s="22"/>
    </row>
    <row r="1400" spans="1:14" x14ac:dyDescent="0.25">
      <c r="A1400" s="22" t="s">
        <v>2304</v>
      </c>
      <c r="B1400" s="22" t="s">
        <v>39</v>
      </c>
      <c r="C1400" s="22" t="s">
        <v>6915</v>
      </c>
      <c r="D1400" s="23">
        <v>-196600</v>
      </c>
      <c r="E1400" s="22" t="s">
        <v>57</v>
      </c>
      <c r="F1400" s="24">
        <v>44314</v>
      </c>
      <c r="G1400" s="22" t="s">
        <v>2302</v>
      </c>
      <c r="H1400" s="22" t="s">
        <v>1250</v>
      </c>
      <c r="I1400" s="22" t="s">
        <v>2303</v>
      </c>
      <c r="J1400" s="22" t="s">
        <v>4466</v>
      </c>
      <c r="K1400" s="22" t="s">
        <v>128</v>
      </c>
      <c r="L1400" s="22"/>
      <c r="M1400" s="22"/>
      <c r="N1400" s="22"/>
    </row>
    <row r="1401" spans="1:14" x14ac:dyDescent="0.25">
      <c r="A1401" s="22" t="s">
        <v>2301</v>
      </c>
      <c r="B1401" s="22" t="s">
        <v>39</v>
      </c>
      <c r="C1401" s="22" t="s">
        <v>47</v>
      </c>
      <c r="D1401" s="23">
        <v>40545294</v>
      </c>
      <c r="E1401" s="22" t="s">
        <v>42</v>
      </c>
      <c r="F1401" s="24">
        <v>44214</v>
      </c>
      <c r="G1401" s="22" t="s">
        <v>2302</v>
      </c>
      <c r="H1401" s="22" t="s">
        <v>1741</v>
      </c>
      <c r="I1401" s="22" t="s">
        <v>2300</v>
      </c>
      <c r="J1401" s="22" t="s">
        <v>4401</v>
      </c>
      <c r="K1401" s="22" t="s">
        <v>292</v>
      </c>
      <c r="L1401" s="22"/>
      <c r="M1401" s="22"/>
      <c r="N1401" s="22"/>
    </row>
    <row r="1402" spans="1:14" x14ac:dyDescent="0.25">
      <c r="A1402" s="22" t="s">
        <v>1817</v>
      </c>
      <c r="B1402" s="22" t="s">
        <v>39</v>
      </c>
      <c r="C1402" s="22" t="s">
        <v>6916</v>
      </c>
      <c r="D1402" s="23">
        <v>608218</v>
      </c>
      <c r="E1402" s="22" t="s">
        <v>45</v>
      </c>
      <c r="F1402" s="24">
        <v>44301</v>
      </c>
      <c r="G1402" s="22" t="s">
        <v>1816</v>
      </c>
      <c r="H1402" s="22"/>
      <c r="I1402" s="22" t="s">
        <v>1816</v>
      </c>
      <c r="J1402" s="22" t="s">
        <v>4466</v>
      </c>
      <c r="K1402" s="22" t="s">
        <v>128</v>
      </c>
      <c r="L1402" s="22"/>
      <c r="M1402" s="22"/>
      <c r="N1402" s="22"/>
    </row>
    <row r="1403" spans="1:14" x14ac:dyDescent="0.25">
      <c r="A1403" s="22" t="s">
        <v>1817</v>
      </c>
      <c r="B1403" s="22" t="s">
        <v>39</v>
      </c>
      <c r="C1403" s="22" t="s">
        <v>6916</v>
      </c>
      <c r="D1403" s="23">
        <v>93500</v>
      </c>
      <c r="E1403" s="22" t="s">
        <v>45</v>
      </c>
      <c r="F1403" s="24">
        <v>44301</v>
      </c>
      <c r="G1403" s="22" t="s">
        <v>1816</v>
      </c>
      <c r="H1403" s="22"/>
      <c r="I1403" s="22" t="s">
        <v>1816</v>
      </c>
      <c r="J1403" s="22" t="s">
        <v>4552</v>
      </c>
      <c r="K1403" s="22" t="s">
        <v>128</v>
      </c>
      <c r="L1403" s="22"/>
      <c r="M1403" s="22"/>
      <c r="N1403" s="22"/>
    </row>
    <row r="1404" spans="1:14" x14ac:dyDescent="0.25">
      <c r="A1404" s="22" t="s">
        <v>1817</v>
      </c>
      <c r="B1404" s="22" t="s">
        <v>39</v>
      </c>
      <c r="C1404" s="22" t="s">
        <v>6916</v>
      </c>
      <c r="D1404" s="23">
        <v>-729176</v>
      </c>
      <c r="E1404" s="22" t="s">
        <v>45</v>
      </c>
      <c r="F1404" s="24">
        <v>44301</v>
      </c>
      <c r="G1404" s="22" t="s">
        <v>1816</v>
      </c>
      <c r="H1404" s="22"/>
      <c r="I1404" s="22" t="s">
        <v>1816</v>
      </c>
      <c r="J1404" s="22" t="s">
        <v>4401</v>
      </c>
      <c r="K1404" s="22" t="s">
        <v>128</v>
      </c>
      <c r="L1404" s="22"/>
      <c r="M1404" s="22"/>
      <c r="N1404" s="22"/>
    </row>
    <row r="1405" spans="1:14" x14ac:dyDescent="0.25">
      <c r="A1405" s="22" t="s">
        <v>1817</v>
      </c>
      <c r="B1405" s="22" t="s">
        <v>39</v>
      </c>
      <c r="C1405" s="22" t="s">
        <v>6916</v>
      </c>
      <c r="D1405" s="23">
        <v>32700</v>
      </c>
      <c r="E1405" s="22" t="s">
        <v>45</v>
      </c>
      <c r="F1405" s="24">
        <v>44301</v>
      </c>
      <c r="G1405" s="22" t="s">
        <v>1816</v>
      </c>
      <c r="H1405" s="22"/>
      <c r="I1405" s="22" t="s">
        <v>1816</v>
      </c>
      <c r="J1405" s="22" t="s">
        <v>4407</v>
      </c>
      <c r="K1405" s="22" t="s">
        <v>128</v>
      </c>
      <c r="L1405" s="22"/>
      <c r="M1405" s="22"/>
      <c r="N1405" s="22"/>
    </row>
    <row r="1406" spans="1:14" x14ac:dyDescent="0.25">
      <c r="A1406" s="22" t="s">
        <v>2206</v>
      </c>
      <c r="B1406" s="22" t="s">
        <v>39</v>
      </c>
      <c r="C1406" s="22" t="s">
        <v>6911</v>
      </c>
      <c r="D1406" s="23">
        <v>-23000</v>
      </c>
      <c r="E1406" s="22" t="s">
        <v>57</v>
      </c>
      <c r="F1406" s="24">
        <v>44105</v>
      </c>
      <c r="G1406" s="22" t="s">
        <v>1816</v>
      </c>
      <c r="H1406" s="22" t="s">
        <v>2202</v>
      </c>
      <c r="I1406" s="22" t="s">
        <v>2205</v>
      </c>
      <c r="J1406" s="22" t="s">
        <v>4552</v>
      </c>
      <c r="K1406" s="22" t="s">
        <v>128</v>
      </c>
      <c r="L1406" s="22"/>
      <c r="M1406" s="22"/>
      <c r="N1406" s="22"/>
    </row>
    <row r="1407" spans="1:14" x14ac:dyDescent="0.25">
      <c r="A1407" s="22" t="s">
        <v>2204</v>
      </c>
      <c r="B1407" s="22" t="s">
        <v>39</v>
      </c>
      <c r="C1407" s="22" t="s">
        <v>6911</v>
      </c>
      <c r="D1407" s="23">
        <v>-42200</v>
      </c>
      <c r="E1407" s="22" t="s">
        <v>57</v>
      </c>
      <c r="F1407" s="24">
        <v>44105</v>
      </c>
      <c r="G1407" s="22" t="s">
        <v>1816</v>
      </c>
      <c r="H1407" s="22" t="s">
        <v>2202</v>
      </c>
      <c r="I1407" s="22" t="s">
        <v>2203</v>
      </c>
      <c r="J1407" s="22" t="s">
        <v>4552</v>
      </c>
      <c r="K1407" s="22" t="s">
        <v>128</v>
      </c>
      <c r="L1407" s="22"/>
      <c r="M1407" s="22"/>
      <c r="N1407" s="22"/>
    </row>
    <row r="1408" spans="1:14" x14ac:dyDescent="0.25">
      <c r="A1408" s="22" t="s">
        <v>2201</v>
      </c>
      <c r="B1408" s="22" t="s">
        <v>39</v>
      </c>
      <c r="C1408" s="22" t="s">
        <v>6911</v>
      </c>
      <c r="D1408" s="23">
        <v>-28300</v>
      </c>
      <c r="E1408" s="22" t="s">
        <v>57</v>
      </c>
      <c r="F1408" s="24">
        <v>44105</v>
      </c>
      <c r="G1408" s="22" t="s">
        <v>1816</v>
      </c>
      <c r="H1408" s="22" t="s">
        <v>2202</v>
      </c>
      <c r="I1408" s="22" t="s">
        <v>2200</v>
      </c>
      <c r="J1408" s="22" t="s">
        <v>4552</v>
      </c>
      <c r="K1408" s="22" t="s">
        <v>128</v>
      </c>
      <c r="L1408" s="22"/>
      <c r="M1408" s="22"/>
      <c r="N1408" s="22"/>
    </row>
    <row r="1409" spans="1:14" x14ac:dyDescent="0.25">
      <c r="A1409" s="22" t="s">
        <v>2198</v>
      </c>
      <c r="B1409" s="22" t="s">
        <v>39</v>
      </c>
      <c r="C1409" s="22" t="s">
        <v>6917</v>
      </c>
      <c r="D1409" s="23">
        <v>-1089703</v>
      </c>
      <c r="E1409" s="22" t="s">
        <v>57</v>
      </c>
      <c r="F1409" s="24">
        <v>44285</v>
      </c>
      <c r="G1409" s="22" t="s">
        <v>1816</v>
      </c>
      <c r="H1409" s="22" t="s">
        <v>2199</v>
      </c>
      <c r="I1409" s="22" t="s">
        <v>2197</v>
      </c>
      <c r="J1409" s="22" t="s">
        <v>4401</v>
      </c>
      <c r="K1409" s="22" t="s">
        <v>128</v>
      </c>
      <c r="L1409" s="22"/>
      <c r="M1409" s="22"/>
      <c r="N1409" s="22"/>
    </row>
    <row r="1410" spans="1:14" x14ac:dyDescent="0.25">
      <c r="A1410" s="22" t="s">
        <v>2195</v>
      </c>
      <c r="B1410" s="22" t="s">
        <v>39</v>
      </c>
      <c r="C1410" s="22" t="s">
        <v>6917</v>
      </c>
      <c r="D1410" s="23">
        <v>-53700</v>
      </c>
      <c r="E1410" s="22" t="s">
        <v>57</v>
      </c>
      <c r="F1410" s="24">
        <v>44260</v>
      </c>
      <c r="G1410" s="22" t="s">
        <v>1816</v>
      </c>
      <c r="H1410" s="22" t="s">
        <v>2196</v>
      </c>
      <c r="I1410" s="22" t="s">
        <v>2194</v>
      </c>
      <c r="J1410" s="22" t="s">
        <v>4401</v>
      </c>
      <c r="K1410" s="22" t="s">
        <v>128</v>
      </c>
      <c r="L1410" s="22"/>
      <c r="M1410" s="22"/>
      <c r="N1410" s="22"/>
    </row>
    <row r="1411" spans="1:14" x14ac:dyDescent="0.25">
      <c r="A1411" s="22" t="s">
        <v>2192</v>
      </c>
      <c r="B1411" s="22" t="s">
        <v>39</v>
      </c>
      <c r="C1411" s="22" t="s">
        <v>6918</v>
      </c>
      <c r="D1411" s="23">
        <v>-342126</v>
      </c>
      <c r="E1411" s="22" t="s">
        <v>57</v>
      </c>
      <c r="F1411" s="24">
        <v>44279</v>
      </c>
      <c r="G1411" s="22" t="s">
        <v>1816</v>
      </c>
      <c r="H1411" s="22" t="s">
        <v>2193</v>
      </c>
      <c r="I1411" s="22" t="s">
        <v>2191</v>
      </c>
      <c r="J1411" s="22" t="s">
        <v>4466</v>
      </c>
      <c r="K1411" s="22" t="s">
        <v>128</v>
      </c>
      <c r="L1411" s="22"/>
      <c r="M1411" s="22"/>
      <c r="N1411" s="22"/>
    </row>
    <row r="1412" spans="1:14" x14ac:dyDescent="0.25">
      <c r="A1412" s="22" t="s">
        <v>2189</v>
      </c>
      <c r="B1412" s="22" t="s">
        <v>39</v>
      </c>
      <c r="C1412" s="22" t="s">
        <v>4840</v>
      </c>
      <c r="D1412" s="23">
        <v>-266092</v>
      </c>
      <c r="E1412" s="22" t="s">
        <v>57</v>
      </c>
      <c r="F1412" s="24">
        <v>44141</v>
      </c>
      <c r="G1412" s="22" t="s">
        <v>1816</v>
      </c>
      <c r="H1412" s="22" t="s">
        <v>2190</v>
      </c>
      <c r="I1412" s="22" t="s">
        <v>2188</v>
      </c>
      <c r="J1412" s="22" t="s">
        <v>4466</v>
      </c>
      <c r="K1412" s="22" t="s">
        <v>128</v>
      </c>
      <c r="L1412" s="22"/>
      <c r="M1412" s="22"/>
      <c r="N1412" s="22"/>
    </row>
    <row r="1413" spans="1:14" x14ac:dyDescent="0.25">
      <c r="A1413" s="22" t="s">
        <v>2187</v>
      </c>
      <c r="B1413" s="22" t="s">
        <v>39</v>
      </c>
      <c r="C1413" s="22" t="s">
        <v>6919</v>
      </c>
      <c r="D1413" s="23">
        <v>-32700</v>
      </c>
      <c r="E1413" s="22" t="s">
        <v>57</v>
      </c>
      <c r="F1413" s="24">
        <v>44298</v>
      </c>
      <c r="G1413" s="22" t="s">
        <v>1816</v>
      </c>
      <c r="H1413" s="22" t="s">
        <v>1386</v>
      </c>
      <c r="I1413" s="22" t="s">
        <v>2186</v>
      </c>
      <c r="J1413" s="22" t="s">
        <v>4407</v>
      </c>
      <c r="K1413" s="22" t="s">
        <v>128</v>
      </c>
      <c r="L1413" s="22"/>
      <c r="M1413" s="22"/>
      <c r="N1413" s="22"/>
    </row>
    <row r="1414" spans="1:14" x14ac:dyDescent="0.25">
      <c r="A1414" s="22" t="s">
        <v>1817</v>
      </c>
      <c r="B1414" s="22" t="s">
        <v>39</v>
      </c>
      <c r="C1414" s="22" t="s">
        <v>6920</v>
      </c>
      <c r="D1414" s="23">
        <v>-32700</v>
      </c>
      <c r="E1414" s="22" t="s">
        <v>57</v>
      </c>
      <c r="F1414" s="24">
        <v>44301</v>
      </c>
      <c r="G1414" s="22" t="s">
        <v>1816</v>
      </c>
      <c r="H1414" s="22" t="s">
        <v>1386</v>
      </c>
      <c r="I1414" s="22" t="s">
        <v>2185</v>
      </c>
      <c r="J1414" s="22" t="s">
        <v>4401</v>
      </c>
      <c r="K1414" s="22" t="s">
        <v>128</v>
      </c>
      <c r="L1414" s="22"/>
      <c r="M1414" s="22"/>
      <c r="N1414" s="22"/>
    </row>
    <row r="1415" spans="1:14" x14ac:dyDescent="0.25">
      <c r="A1415" s="22" t="s">
        <v>2184</v>
      </c>
      <c r="B1415" s="22" t="s">
        <v>39</v>
      </c>
      <c r="C1415" s="22" t="s">
        <v>3573</v>
      </c>
      <c r="D1415" s="23">
        <v>1905279</v>
      </c>
      <c r="E1415" s="22" t="s">
        <v>42</v>
      </c>
      <c r="F1415" s="24">
        <v>44355</v>
      </c>
      <c r="G1415" s="22" t="s">
        <v>1816</v>
      </c>
      <c r="H1415" s="22" t="s">
        <v>605</v>
      </c>
      <c r="I1415" s="22" t="s">
        <v>2183</v>
      </c>
      <c r="J1415" s="22" t="s">
        <v>4401</v>
      </c>
      <c r="K1415" s="22" t="s">
        <v>292</v>
      </c>
      <c r="L1415" s="22"/>
      <c r="M1415" s="22"/>
      <c r="N1415" s="22"/>
    </row>
    <row r="1416" spans="1:14" x14ac:dyDescent="0.25">
      <c r="A1416" s="22" t="s">
        <v>2301</v>
      </c>
      <c r="B1416" s="22" t="s">
        <v>39</v>
      </c>
      <c r="C1416" s="22" t="s">
        <v>6916</v>
      </c>
      <c r="D1416" s="23">
        <v>28300</v>
      </c>
      <c r="E1416" s="22" t="s">
        <v>45</v>
      </c>
      <c r="F1416" s="24">
        <v>44214</v>
      </c>
      <c r="G1416" s="22" t="s">
        <v>6921</v>
      </c>
      <c r="H1416" s="22"/>
      <c r="I1416" s="22" t="s">
        <v>6921</v>
      </c>
      <c r="J1416" s="22" t="s">
        <v>4552</v>
      </c>
      <c r="K1416" s="22" t="s">
        <v>292</v>
      </c>
      <c r="L1416" s="22"/>
      <c r="M1416" s="22"/>
      <c r="N1416" s="22"/>
    </row>
    <row r="1417" spans="1:14" x14ac:dyDescent="0.25">
      <c r="A1417" s="22" t="s">
        <v>2301</v>
      </c>
      <c r="B1417" s="22" t="s">
        <v>39</v>
      </c>
      <c r="C1417" s="22" t="s">
        <v>6916</v>
      </c>
      <c r="D1417" s="23">
        <v>-37516836</v>
      </c>
      <c r="E1417" s="22" t="s">
        <v>45</v>
      </c>
      <c r="F1417" s="24">
        <v>44214</v>
      </c>
      <c r="G1417" s="22" t="s">
        <v>6921</v>
      </c>
      <c r="H1417" s="22"/>
      <c r="I1417" s="22" t="s">
        <v>6921</v>
      </c>
      <c r="J1417" s="22" t="s">
        <v>4401</v>
      </c>
      <c r="K1417" s="22" t="s">
        <v>292</v>
      </c>
      <c r="L1417" s="22"/>
      <c r="M1417" s="22"/>
      <c r="N1417" s="22"/>
    </row>
    <row r="1418" spans="1:14" x14ac:dyDescent="0.25">
      <c r="A1418" s="22" t="s">
        <v>2301</v>
      </c>
      <c r="B1418" s="22" t="s">
        <v>39</v>
      </c>
      <c r="C1418" s="22" t="s">
        <v>6916</v>
      </c>
      <c r="D1418" s="23">
        <v>239598</v>
      </c>
      <c r="E1418" s="22" t="s">
        <v>45</v>
      </c>
      <c r="F1418" s="24">
        <v>44214</v>
      </c>
      <c r="G1418" s="22" t="s">
        <v>6921</v>
      </c>
      <c r="H1418" s="22"/>
      <c r="I1418" s="22" t="s">
        <v>6921</v>
      </c>
      <c r="J1418" s="22" t="s">
        <v>4407</v>
      </c>
      <c r="K1418" s="22" t="s">
        <v>292</v>
      </c>
      <c r="L1418" s="22"/>
      <c r="M1418" s="22"/>
      <c r="N1418" s="22"/>
    </row>
    <row r="1419" spans="1:14" x14ac:dyDescent="0.25">
      <c r="A1419" s="22" t="s">
        <v>2261</v>
      </c>
      <c r="B1419" s="22" t="s">
        <v>39</v>
      </c>
      <c r="C1419" s="22" t="s">
        <v>6913</v>
      </c>
      <c r="D1419" s="23">
        <v>-10626</v>
      </c>
      <c r="E1419" s="22" t="s">
        <v>45</v>
      </c>
      <c r="F1419" s="24">
        <v>44285</v>
      </c>
      <c r="G1419" s="22" t="s">
        <v>6921</v>
      </c>
      <c r="H1419" s="22" t="s">
        <v>6922</v>
      </c>
      <c r="I1419" s="22" t="s">
        <v>2254</v>
      </c>
      <c r="J1419" s="22" t="s">
        <v>4401</v>
      </c>
      <c r="K1419" s="22" t="s">
        <v>83</v>
      </c>
      <c r="L1419" s="22"/>
      <c r="M1419" s="22"/>
      <c r="N1419" s="22"/>
    </row>
    <row r="1420" spans="1:14" x14ac:dyDescent="0.25">
      <c r="A1420" s="22" t="s">
        <v>2271</v>
      </c>
      <c r="B1420" s="22" t="s">
        <v>39</v>
      </c>
      <c r="C1420" s="22" t="s">
        <v>6892</v>
      </c>
      <c r="D1420" s="23">
        <v>-2498</v>
      </c>
      <c r="E1420" s="22" t="s">
        <v>45</v>
      </c>
      <c r="F1420" s="24">
        <v>44280</v>
      </c>
      <c r="G1420" s="22" t="s">
        <v>6921</v>
      </c>
      <c r="H1420" s="22" t="s">
        <v>6923</v>
      </c>
      <c r="I1420" s="22" t="s">
        <v>2269</v>
      </c>
      <c r="J1420" s="22" t="s">
        <v>4407</v>
      </c>
      <c r="K1420" s="22" t="s">
        <v>128</v>
      </c>
      <c r="L1420" s="22"/>
      <c r="M1420" s="22"/>
      <c r="N1420" s="22"/>
    </row>
    <row r="1421" spans="1:14" x14ac:dyDescent="0.25">
      <c r="A1421" s="22" t="s">
        <v>3014</v>
      </c>
      <c r="B1421" s="22" t="s">
        <v>39</v>
      </c>
      <c r="C1421" s="22" t="s">
        <v>6906</v>
      </c>
      <c r="D1421" s="23">
        <v>-2539</v>
      </c>
      <c r="E1421" s="22" t="s">
        <v>45</v>
      </c>
      <c r="F1421" s="24">
        <v>44270</v>
      </c>
      <c r="G1421" s="22" t="s">
        <v>6921</v>
      </c>
      <c r="H1421" s="22" t="s">
        <v>1983</v>
      </c>
      <c r="I1421" s="22" t="s">
        <v>6894</v>
      </c>
      <c r="J1421" s="22" t="s">
        <v>4401</v>
      </c>
      <c r="K1421" s="22" t="s">
        <v>4519</v>
      </c>
      <c r="L1421" s="22"/>
      <c r="M1421" s="22"/>
      <c r="N1421" s="22"/>
    </row>
    <row r="1422" spans="1:14" x14ac:dyDescent="0.25">
      <c r="A1422" s="22" t="s">
        <v>6925</v>
      </c>
      <c r="B1422" s="22" t="s">
        <v>39</v>
      </c>
      <c r="C1422" s="22" t="s">
        <v>6924</v>
      </c>
      <c r="D1422" s="23">
        <v>-28300</v>
      </c>
      <c r="E1422" s="22" t="s">
        <v>57</v>
      </c>
      <c r="F1422" s="24">
        <v>44148</v>
      </c>
      <c r="G1422" s="22" t="s">
        <v>6921</v>
      </c>
      <c r="H1422" s="22" t="s">
        <v>2279</v>
      </c>
      <c r="I1422" s="22" t="s">
        <v>6926</v>
      </c>
      <c r="J1422" s="22" t="s">
        <v>4552</v>
      </c>
      <c r="K1422" s="22" t="s">
        <v>128</v>
      </c>
      <c r="L1422" s="22"/>
      <c r="M1422" s="22"/>
      <c r="N1422" s="22"/>
    </row>
    <row r="1423" spans="1:14" x14ac:dyDescent="0.25">
      <c r="A1423" s="22" t="s">
        <v>6928</v>
      </c>
      <c r="B1423" s="22" t="s">
        <v>39</v>
      </c>
      <c r="C1423" s="22" t="s">
        <v>6927</v>
      </c>
      <c r="D1423" s="23">
        <v>-45600</v>
      </c>
      <c r="E1423" s="22" t="s">
        <v>57</v>
      </c>
      <c r="F1423" s="24">
        <v>44140</v>
      </c>
      <c r="G1423" s="22" t="s">
        <v>6921</v>
      </c>
      <c r="H1423" s="22" t="s">
        <v>2283</v>
      </c>
      <c r="I1423" s="22" t="s">
        <v>6929</v>
      </c>
      <c r="J1423" s="22" t="s">
        <v>4407</v>
      </c>
      <c r="K1423" s="22" t="s">
        <v>128</v>
      </c>
      <c r="L1423" s="22"/>
      <c r="M1423" s="22"/>
      <c r="N1423" s="22"/>
    </row>
    <row r="1424" spans="1:14" x14ac:dyDescent="0.25">
      <c r="A1424" s="22" t="s">
        <v>6930</v>
      </c>
      <c r="B1424" s="22" t="s">
        <v>39</v>
      </c>
      <c r="C1424" s="22" t="s">
        <v>6927</v>
      </c>
      <c r="D1424" s="23">
        <v>-31700</v>
      </c>
      <c r="E1424" s="22" t="s">
        <v>57</v>
      </c>
      <c r="F1424" s="24">
        <v>44147</v>
      </c>
      <c r="G1424" s="22" t="s">
        <v>6921</v>
      </c>
      <c r="H1424" s="22" t="s">
        <v>6550</v>
      </c>
      <c r="I1424" s="22" t="s">
        <v>6931</v>
      </c>
      <c r="J1424" s="22" t="s">
        <v>4407</v>
      </c>
      <c r="K1424" s="22" t="s">
        <v>128</v>
      </c>
      <c r="L1424" s="22"/>
      <c r="M1424" s="22"/>
      <c r="N1424" s="22"/>
    </row>
    <row r="1425" spans="1:14" x14ac:dyDescent="0.25">
      <c r="A1425" s="22" t="s">
        <v>2038</v>
      </c>
      <c r="B1425" s="22" t="s">
        <v>39</v>
      </c>
      <c r="C1425" s="22" t="s">
        <v>6909</v>
      </c>
      <c r="D1425" s="23">
        <v>-922</v>
      </c>
      <c r="E1425" s="22" t="s">
        <v>45</v>
      </c>
      <c r="F1425" s="24">
        <v>44292</v>
      </c>
      <c r="G1425" s="22" t="s">
        <v>6921</v>
      </c>
      <c r="H1425" s="22" t="s">
        <v>6932</v>
      </c>
      <c r="I1425" s="22" t="s">
        <v>2039</v>
      </c>
      <c r="J1425" s="22" t="s">
        <v>4401</v>
      </c>
      <c r="K1425" s="22" t="s">
        <v>128</v>
      </c>
      <c r="L1425" s="22"/>
      <c r="M1425" s="22"/>
      <c r="N1425" s="22"/>
    </row>
    <row r="1426" spans="1:14" x14ac:dyDescent="0.25">
      <c r="A1426" s="22" t="s">
        <v>6933</v>
      </c>
      <c r="B1426" s="22" t="s">
        <v>39</v>
      </c>
      <c r="C1426" s="22" t="s">
        <v>6919</v>
      </c>
      <c r="D1426" s="23">
        <v>-32700</v>
      </c>
      <c r="E1426" s="22" t="s">
        <v>57</v>
      </c>
      <c r="F1426" s="24">
        <v>44295</v>
      </c>
      <c r="G1426" s="22" t="s">
        <v>6921</v>
      </c>
      <c r="H1426" s="22" t="s">
        <v>890</v>
      </c>
      <c r="I1426" s="22" t="s">
        <v>6934</v>
      </c>
      <c r="J1426" s="22" t="s">
        <v>4407</v>
      </c>
      <c r="K1426" s="22" t="s">
        <v>128</v>
      </c>
      <c r="L1426" s="22"/>
      <c r="M1426" s="22"/>
      <c r="N1426" s="22"/>
    </row>
    <row r="1427" spans="1:14" x14ac:dyDescent="0.25">
      <c r="A1427" s="22" t="s">
        <v>6935</v>
      </c>
      <c r="B1427" s="22" t="s">
        <v>39</v>
      </c>
      <c r="C1427" s="22" t="s">
        <v>6919</v>
      </c>
      <c r="D1427" s="23">
        <v>-32700</v>
      </c>
      <c r="E1427" s="22" t="s">
        <v>57</v>
      </c>
      <c r="F1427" s="24">
        <v>44299</v>
      </c>
      <c r="G1427" s="22" t="s">
        <v>6921</v>
      </c>
      <c r="H1427" s="22" t="s">
        <v>890</v>
      </c>
      <c r="I1427" s="22" t="s">
        <v>6936</v>
      </c>
      <c r="J1427" s="22" t="s">
        <v>4407</v>
      </c>
      <c r="K1427" s="22" t="s">
        <v>128</v>
      </c>
      <c r="L1427" s="22"/>
      <c r="M1427" s="22"/>
      <c r="N1427" s="22"/>
    </row>
    <row r="1428" spans="1:14" x14ac:dyDescent="0.25">
      <c r="A1428" s="22" t="s">
        <v>6937</v>
      </c>
      <c r="B1428" s="22" t="s">
        <v>39</v>
      </c>
      <c r="C1428" s="22" t="s">
        <v>6919</v>
      </c>
      <c r="D1428" s="23">
        <v>-47200</v>
      </c>
      <c r="E1428" s="22" t="s">
        <v>57</v>
      </c>
      <c r="F1428" s="24">
        <v>44300</v>
      </c>
      <c r="G1428" s="22" t="s">
        <v>6921</v>
      </c>
      <c r="H1428" s="22" t="s">
        <v>890</v>
      </c>
      <c r="I1428" s="22" t="s">
        <v>6938</v>
      </c>
      <c r="J1428" s="22" t="s">
        <v>4407</v>
      </c>
      <c r="K1428" s="22" t="s">
        <v>128</v>
      </c>
      <c r="L1428" s="22"/>
      <c r="M1428" s="22"/>
      <c r="N1428" s="22"/>
    </row>
    <row r="1429" spans="1:14" x14ac:dyDescent="0.25">
      <c r="A1429" s="22" t="s">
        <v>6939</v>
      </c>
      <c r="B1429" s="22" t="s">
        <v>39</v>
      </c>
      <c r="C1429" s="22" t="s">
        <v>6919</v>
      </c>
      <c r="D1429" s="23">
        <v>-47200</v>
      </c>
      <c r="E1429" s="22" t="s">
        <v>57</v>
      </c>
      <c r="F1429" s="24">
        <v>44303</v>
      </c>
      <c r="G1429" s="22" t="s">
        <v>6921</v>
      </c>
      <c r="H1429" s="22" t="s">
        <v>890</v>
      </c>
      <c r="I1429" s="22" t="s">
        <v>6940</v>
      </c>
      <c r="J1429" s="22" t="s">
        <v>4407</v>
      </c>
      <c r="K1429" s="22" t="s">
        <v>128</v>
      </c>
      <c r="L1429" s="22"/>
      <c r="M1429" s="22"/>
      <c r="N1429" s="22"/>
    </row>
    <row r="1430" spans="1:14" x14ac:dyDescent="0.25">
      <c r="A1430" s="22" t="s">
        <v>2301</v>
      </c>
      <c r="B1430" s="22" t="s">
        <v>39</v>
      </c>
      <c r="C1430" s="22" t="s">
        <v>47</v>
      </c>
      <c r="D1430" s="23">
        <v>37530923</v>
      </c>
      <c r="E1430" s="22" t="s">
        <v>45</v>
      </c>
      <c r="F1430" s="24">
        <v>44214</v>
      </c>
      <c r="G1430" s="22" t="s">
        <v>6921</v>
      </c>
      <c r="H1430" s="22" t="s">
        <v>6553</v>
      </c>
      <c r="I1430" s="22" t="s">
        <v>2302</v>
      </c>
      <c r="J1430" s="22" t="s">
        <v>4401</v>
      </c>
      <c r="K1430" s="22" t="s">
        <v>292</v>
      </c>
      <c r="L1430" s="22"/>
      <c r="M1430" s="22"/>
      <c r="N1430" s="22"/>
    </row>
    <row r="1431" spans="1:14" x14ac:dyDescent="0.25">
      <c r="A1431" s="22" t="s">
        <v>1820</v>
      </c>
      <c r="B1431" s="22" t="s">
        <v>39</v>
      </c>
      <c r="C1431" s="22" t="s">
        <v>6941</v>
      </c>
      <c r="D1431" s="23">
        <v>2040641</v>
      </c>
      <c r="E1431" s="22" t="s">
        <v>45</v>
      </c>
      <c r="F1431" s="24">
        <v>44307</v>
      </c>
      <c r="G1431" s="22" t="s">
        <v>1819</v>
      </c>
      <c r="H1431" s="22"/>
      <c r="I1431" s="22" t="s">
        <v>1819</v>
      </c>
      <c r="J1431" s="22" t="s">
        <v>4466</v>
      </c>
      <c r="K1431" s="22" t="s">
        <v>128</v>
      </c>
      <c r="L1431" s="22"/>
      <c r="M1431" s="22"/>
      <c r="N1431" s="22"/>
    </row>
    <row r="1432" spans="1:14" x14ac:dyDescent="0.25">
      <c r="A1432" s="22" t="s">
        <v>1820</v>
      </c>
      <c r="B1432" s="22" t="s">
        <v>39</v>
      </c>
      <c r="C1432" s="22" t="s">
        <v>6941</v>
      </c>
      <c r="D1432" s="23">
        <v>3473019</v>
      </c>
      <c r="E1432" s="22" t="s">
        <v>45</v>
      </c>
      <c r="F1432" s="24">
        <v>44307</v>
      </c>
      <c r="G1432" s="22" t="s">
        <v>1819</v>
      </c>
      <c r="H1432" s="22"/>
      <c r="I1432" s="22" t="s">
        <v>1819</v>
      </c>
      <c r="J1432" s="22" t="s">
        <v>4552</v>
      </c>
      <c r="K1432" s="22" t="s">
        <v>128</v>
      </c>
      <c r="L1432" s="22"/>
      <c r="M1432" s="22"/>
      <c r="N1432" s="22"/>
    </row>
    <row r="1433" spans="1:14" x14ac:dyDescent="0.25">
      <c r="A1433" s="22" t="s">
        <v>1820</v>
      </c>
      <c r="B1433" s="22" t="s">
        <v>39</v>
      </c>
      <c r="C1433" s="22" t="s">
        <v>6941</v>
      </c>
      <c r="D1433" s="23">
        <v>-7073262</v>
      </c>
      <c r="E1433" s="22" t="s">
        <v>45</v>
      </c>
      <c r="F1433" s="24">
        <v>44307</v>
      </c>
      <c r="G1433" s="22" t="s">
        <v>1819</v>
      </c>
      <c r="H1433" s="22"/>
      <c r="I1433" s="22" t="s">
        <v>1819</v>
      </c>
      <c r="J1433" s="22" t="s">
        <v>4401</v>
      </c>
      <c r="K1433" s="22" t="s">
        <v>128</v>
      </c>
      <c r="L1433" s="22"/>
      <c r="M1433" s="22"/>
      <c r="N1433" s="22"/>
    </row>
    <row r="1434" spans="1:14" x14ac:dyDescent="0.25">
      <c r="A1434" s="22" t="s">
        <v>1820</v>
      </c>
      <c r="B1434" s="22" t="s">
        <v>39</v>
      </c>
      <c r="C1434" s="22" t="s">
        <v>6941</v>
      </c>
      <c r="D1434" s="23">
        <v>1577700</v>
      </c>
      <c r="E1434" s="22" t="s">
        <v>45</v>
      </c>
      <c r="F1434" s="24">
        <v>44307</v>
      </c>
      <c r="G1434" s="22" t="s">
        <v>1819</v>
      </c>
      <c r="H1434" s="22"/>
      <c r="I1434" s="22" t="s">
        <v>1819</v>
      </c>
      <c r="J1434" s="22" t="s">
        <v>4407</v>
      </c>
      <c r="K1434" s="22" t="s">
        <v>128</v>
      </c>
      <c r="L1434" s="22"/>
      <c r="M1434" s="22"/>
      <c r="N1434" s="22"/>
    </row>
    <row r="1435" spans="1:14" x14ac:dyDescent="0.25">
      <c r="A1435" s="22" t="s">
        <v>6943</v>
      </c>
      <c r="B1435" s="22" t="s">
        <v>39</v>
      </c>
      <c r="C1435" s="22" t="s">
        <v>6942</v>
      </c>
      <c r="D1435" s="23">
        <v>-105461</v>
      </c>
      <c r="E1435" s="22" t="s">
        <v>57</v>
      </c>
      <c r="F1435" s="24">
        <v>44262</v>
      </c>
      <c r="G1435" s="22" t="s">
        <v>1819</v>
      </c>
      <c r="H1435" s="22" t="s">
        <v>6944</v>
      </c>
      <c r="I1435" s="22" t="s">
        <v>6945</v>
      </c>
      <c r="J1435" s="22" t="s">
        <v>4466</v>
      </c>
      <c r="K1435" s="22" t="s">
        <v>128</v>
      </c>
      <c r="L1435" s="22"/>
      <c r="M1435" s="22"/>
      <c r="N1435" s="22"/>
    </row>
    <row r="1436" spans="1:14" x14ac:dyDescent="0.25">
      <c r="A1436" s="22" t="s">
        <v>6946</v>
      </c>
      <c r="B1436" s="22" t="s">
        <v>39</v>
      </c>
      <c r="C1436" s="22" t="s">
        <v>6942</v>
      </c>
      <c r="D1436" s="23">
        <v>-53700</v>
      </c>
      <c r="E1436" s="22" t="s">
        <v>57</v>
      </c>
      <c r="F1436" s="24">
        <v>44271</v>
      </c>
      <c r="G1436" s="22" t="s">
        <v>1819</v>
      </c>
      <c r="H1436" s="22" t="s">
        <v>6947</v>
      </c>
      <c r="I1436" s="22" t="s">
        <v>6948</v>
      </c>
      <c r="J1436" s="22" t="s">
        <v>4466</v>
      </c>
      <c r="K1436" s="22" t="s">
        <v>128</v>
      </c>
      <c r="L1436" s="22"/>
      <c r="M1436" s="22"/>
      <c r="N1436" s="22"/>
    </row>
    <row r="1437" spans="1:14" x14ac:dyDescent="0.25">
      <c r="A1437" s="22" t="s">
        <v>6949</v>
      </c>
      <c r="B1437" s="22" t="s">
        <v>39</v>
      </c>
      <c r="C1437" s="22" t="s">
        <v>6942</v>
      </c>
      <c r="D1437" s="23">
        <v>-602411</v>
      </c>
      <c r="E1437" s="22" t="s">
        <v>57</v>
      </c>
      <c r="F1437" s="24">
        <v>44274</v>
      </c>
      <c r="G1437" s="22" t="s">
        <v>1819</v>
      </c>
      <c r="H1437" s="22" t="s">
        <v>6944</v>
      </c>
      <c r="I1437" s="22" t="s">
        <v>6950</v>
      </c>
      <c r="J1437" s="22" t="s">
        <v>4552</v>
      </c>
      <c r="K1437" s="22" t="s">
        <v>128</v>
      </c>
      <c r="L1437" s="22"/>
      <c r="M1437" s="22"/>
      <c r="N1437" s="22"/>
    </row>
    <row r="1438" spans="1:14" x14ac:dyDescent="0.25">
      <c r="A1438" s="22" t="s">
        <v>6952</v>
      </c>
      <c r="B1438" s="22" t="s">
        <v>39</v>
      </c>
      <c r="C1438" s="22" t="s">
        <v>6951</v>
      </c>
      <c r="D1438" s="23">
        <v>-1881480</v>
      </c>
      <c r="E1438" s="22" t="s">
        <v>57</v>
      </c>
      <c r="F1438" s="24">
        <v>44268</v>
      </c>
      <c r="G1438" s="22" t="s">
        <v>1819</v>
      </c>
      <c r="H1438" s="22" t="s">
        <v>6037</v>
      </c>
      <c r="I1438" s="22" t="s">
        <v>6953</v>
      </c>
      <c r="J1438" s="22" t="s">
        <v>4466</v>
      </c>
      <c r="K1438" s="22" t="s">
        <v>78</v>
      </c>
      <c r="L1438" s="22"/>
      <c r="M1438" s="22"/>
      <c r="N1438" s="22"/>
    </row>
    <row r="1439" spans="1:14" x14ac:dyDescent="0.25">
      <c r="A1439" s="22" t="s">
        <v>6955</v>
      </c>
      <c r="B1439" s="22" t="s">
        <v>39</v>
      </c>
      <c r="C1439" s="22" t="s">
        <v>6954</v>
      </c>
      <c r="D1439" s="23">
        <v>-352091</v>
      </c>
      <c r="E1439" s="22" t="s">
        <v>57</v>
      </c>
      <c r="F1439" s="24">
        <v>44316</v>
      </c>
      <c r="G1439" s="22" t="s">
        <v>1819</v>
      </c>
      <c r="H1439" s="22" t="s">
        <v>839</v>
      </c>
      <c r="I1439" s="22" t="s">
        <v>6956</v>
      </c>
      <c r="J1439" s="22" t="s">
        <v>4401</v>
      </c>
      <c r="K1439" s="22" t="s">
        <v>128</v>
      </c>
      <c r="L1439" s="22"/>
      <c r="M1439" s="22"/>
      <c r="N1439" s="22"/>
    </row>
    <row r="1440" spans="1:14" x14ac:dyDescent="0.25">
      <c r="A1440" s="22" t="s">
        <v>6957</v>
      </c>
      <c r="B1440" s="22" t="s">
        <v>39</v>
      </c>
      <c r="C1440" s="22" t="s">
        <v>133</v>
      </c>
      <c r="D1440" s="23">
        <v>-43700</v>
      </c>
      <c r="E1440" s="22" t="s">
        <v>57</v>
      </c>
      <c r="F1440" s="24">
        <v>44293</v>
      </c>
      <c r="G1440" s="22" t="s">
        <v>1819</v>
      </c>
      <c r="H1440" s="22" t="s">
        <v>282</v>
      </c>
      <c r="I1440" s="22" t="s">
        <v>6958</v>
      </c>
      <c r="J1440" s="22" t="s">
        <v>4552</v>
      </c>
      <c r="K1440" s="22" t="s">
        <v>128</v>
      </c>
      <c r="L1440" s="22"/>
      <c r="M1440" s="22"/>
      <c r="N1440" s="22"/>
    </row>
    <row r="1441" spans="1:14" x14ac:dyDescent="0.25">
      <c r="A1441" s="22" t="s">
        <v>6959</v>
      </c>
      <c r="B1441" s="22" t="s">
        <v>39</v>
      </c>
      <c r="C1441" s="22" t="s">
        <v>133</v>
      </c>
      <c r="D1441" s="23">
        <v>-29200</v>
      </c>
      <c r="E1441" s="22" t="s">
        <v>57</v>
      </c>
      <c r="F1441" s="24">
        <v>44299</v>
      </c>
      <c r="G1441" s="22" t="s">
        <v>1819</v>
      </c>
      <c r="H1441" s="22" t="s">
        <v>559</v>
      </c>
      <c r="I1441" s="22" t="s">
        <v>6960</v>
      </c>
      <c r="J1441" s="22" t="s">
        <v>4552</v>
      </c>
      <c r="K1441" s="22" t="s">
        <v>128</v>
      </c>
      <c r="L1441" s="22"/>
      <c r="M1441" s="22"/>
      <c r="N1441" s="22"/>
    </row>
    <row r="1442" spans="1:14" x14ac:dyDescent="0.25">
      <c r="A1442" s="22" t="s">
        <v>6961</v>
      </c>
      <c r="B1442" s="22" t="s">
        <v>39</v>
      </c>
      <c r="C1442" s="22" t="s">
        <v>133</v>
      </c>
      <c r="D1442" s="23">
        <v>-29200</v>
      </c>
      <c r="E1442" s="22" t="s">
        <v>57</v>
      </c>
      <c r="F1442" s="24">
        <v>44299</v>
      </c>
      <c r="G1442" s="22" t="s">
        <v>1819</v>
      </c>
      <c r="H1442" s="22" t="s">
        <v>1164</v>
      </c>
      <c r="I1442" s="22" t="s">
        <v>6962</v>
      </c>
      <c r="J1442" s="22" t="s">
        <v>4552</v>
      </c>
      <c r="K1442" s="22" t="s">
        <v>128</v>
      </c>
      <c r="L1442" s="22"/>
      <c r="M1442" s="22"/>
      <c r="N1442" s="22"/>
    </row>
    <row r="1443" spans="1:14" x14ac:dyDescent="0.25">
      <c r="A1443" s="22" t="s">
        <v>6963</v>
      </c>
      <c r="B1443" s="22" t="s">
        <v>39</v>
      </c>
      <c r="C1443" s="22" t="s">
        <v>133</v>
      </c>
      <c r="D1443" s="23">
        <v>-29200</v>
      </c>
      <c r="E1443" s="22" t="s">
        <v>57</v>
      </c>
      <c r="F1443" s="24">
        <v>44302</v>
      </c>
      <c r="G1443" s="22" t="s">
        <v>1819</v>
      </c>
      <c r="H1443" s="22" t="s">
        <v>550</v>
      </c>
      <c r="I1443" s="22" t="s">
        <v>6964</v>
      </c>
      <c r="J1443" s="22" t="s">
        <v>4552</v>
      </c>
      <c r="K1443" s="22" t="s">
        <v>128</v>
      </c>
      <c r="L1443" s="22"/>
      <c r="M1443" s="22"/>
      <c r="N1443" s="22"/>
    </row>
    <row r="1444" spans="1:14" x14ac:dyDescent="0.25">
      <c r="A1444" s="22" t="s">
        <v>6965</v>
      </c>
      <c r="B1444" s="22" t="s">
        <v>39</v>
      </c>
      <c r="C1444" s="22" t="s">
        <v>133</v>
      </c>
      <c r="D1444" s="23">
        <v>-128300</v>
      </c>
      <c r="E1444" s="22" t="s">
        <v>57</v>
      </c>
      <c r="F1444" s="24">
        <v>44302</v>
      </c>
      <c r="G1444" s="22" t="s">
        <v>1819</v>
      </c>
      <c r="H1444" s="22" t="s">
        <v>897</v>
      </c>
      <c r="I1444" s="22" t="s">
        <v>6966</v>
      </c>
      <c r="J1444" s="22" t="s">
        <v>4552</v>
      </c>
      <c r="K1444" s="22" t="s">
        <v>128</v>
      </c>
      <c r="L1444" s="22"/>
      <c r="M1444" s="22"/>
      <c r="N1444" s="22"/>
    </row>
    <row r="1445" spans="1:14" x14ac:dyDescent="0.25">
      <c r="A1445" s="22" t="s">
        <v>6967</v>
      </c>
      <c r="B1445" s="22" t="s">
        <v>39</v>
      </c>
      <c r="C1445" s="22" t="s">
        <v>133</v>
      </c>
      <c r="D1445" s="23">
        <v>-739500</v>
      </c>
      <c r="E1445" s="22" t="s">
        <v>57</v>
      </c>
      <c r="F1445" s="24">
        <v>44303</v>
      </c>
      <c r="G1445" s="22" t="s">
        <v>1819</v>
      </c>
      <c r="H1445" s="22" t="s">
        <v>282</v>
      </c>
      <c r="I1445" s="22" t="s">
        <v>6968</v>
      </c>
      <c r="J1445" s="22" t="s">
        <v>4552</v>
      </c>
      <c r="K1445" s="22" t="s">
        <v>128</v>
      </c>
      <c r="L1445" s="22"/>
      <c r="M1445" s="22"/>
      <c r="N1445" s="22"/>
    </row>
    <row r="1446" spans="1:14" x14ac:dyDescent="0.25">
      <c r="A1446" s="22" t="s">
        <v>6969</v>
      </c>
      <c r="B1446" s="22" t="s">
        <v>39</v>
      </c>
      <c r="C1446" s="22" t="s">
        <v>133</v>
      </c>
      <c r="D1446" s="23">
        <v>-405200</v>
      </c>
      <c r="E1446" s="22" t="s">
        <v>57</v>
      </c>
      <c r="F1446" s="24">
        <v>44303</v>
      </c>
      <c r="G1446" s="22" t="s">
        <v>1819</v>
      </c>
      <c r="H1446" s="22" t="s">
        <v>282</v>
      </c>
      <c r="I1446" s="22" t="s">
        <v>6970</v>
      </c>
      <c r="J1446" s="22" t="s">
        <v>4552</v>
      </c>
      <c r="K1446" s="22" t="s">
        <v>128</v>
      </c>
      <c r="L1446" s="22"/>
      <c r="M1446" s="22"/>
      <c r="N1446" s="22"/>
    </row>
    <row r="1447" spans="1:14" x14ac:dyDescent="0.25">
      <c r="A1447" s="22" t="s">
        <v>6971</v>
      </c>
      <c r="B1447" s="22" t="s">
        <v>39</v>
      </c>
      <c r="C1447" s="22" t="s">
        <v>133</v>
      </c>
      <c r="D1447" s="23">
        <v>-29200</v>
      </c>
      <c r="E1447" s="22" t="s">
        <v>57</v>
      </c>
      <c r="F1447" s="24">
        <v>44305</v>
      </c>
      <c r="G1447" s="22" t="s">
        <v>1819</v>
      </c>
      <c r="H1447" s="22" t="s">
        <v>836</v>
      </c>
      <c r="I1447" s="22" t="s">
        <v>6972</v>
      </c>
      <c r="J1447" s="22" t="s">
        <v>4552</v>
      </c>
      <c r="K1447" s="22" t="s">
        <v>128</v>
      </c>
      <c r="L1447" s="22"/>
      <c r="M1447" s="22"/>
      <c r="N1447" s="22"/>
    </row>
    <row r="1448" spans="1:14" x14ac:dyDescent="0.25">
      <c r="A1448" s="22" t="s">
        <v>6973</v>
      </c>
      <c r="B1448" s="22" t="s">
        <v>39</v>
      </c>
      <c r="C1448" s="22" t="s">
        <v>133</v>
      </c>
      <c r="D1448" s="23">
        <v>-187400</v>
      </c>
      <c r="E1448" s="22" t="s">
        <v>57</v>
      </c>
      <c r="F1448" s="24">
        <v>44306</v>
      </c>
      <c r="G1448" s="22" t="s">
        <v>1819</v>
      </c>
      <c r="H1448" s="22" t="s">
        <v>282</v>
      </c>
      <c r="I1448" s="22" t="s">
        <v>6974</v>
      </c>
      <c r="J1448" s="22" t="s">
        <v>4552</v>
      </c>
      <c r="K1448" s="22" t="s">
        <v>128</v>
      </c>
      <c r="L1448" s="22"/>
      <c r="M1448" s="22"/>
      <c r="N1448" s="22"/>
    </row>
    <row r="1449" spans="1:14" x14ac:dyDescent="0.25">
      <c r="A1449" s="22" t="s">
        <v>6975</v>
      </c>
      <c r="B1449" s="22" t="s">
        <v>39</v>
      </c>
      <c r="C1449" s="22" t="s">
        <v>133</v>
      </c>
      <c r="D1449" s="23">
        <v>-29200</v>
      </c>
      <c r="E1449" s="22" t="s">
        <v>57</v>
      </c>
      <c r="F1449" s="24">
        <v>44312</v>
      </c>
      <c r="G1449" s="22" t="s">
        <v>1819</v>
      </c>
      <c r="H1449" s="22" t="s">
        <v>1786</v>
      </c>
      <c r="I1449" s="22" t="s">
        <v>6976</v>
      </c>
      <c r="J1449" s="22" t="s">
        <v>4552</v>
      </c>
      <c r="K1449" s="22" t="s">
        <v>128</v>
      </c>
      <c r="L1449" s="22"/>
      <c r="M1449" s="22"/>
      <c r="N1449" s="22"/>
    </row>
    <row r="1450" spans="1:14" x14ac:dyDescent="0.25">
      <c r="A1450" s="22" t="s">
        <v>6977</v>
      </c>
      <c r="B1450" s="22" t="s">
        <v>39</v>
      </c>
      <c r="C1450" s="22" t="s">
        <v>133</v>
      </c>
      <c r="D1450" s="23">
        <v>-105500</v>
      </c>
      <c r="E1450" s="22" t="s">
        <v>57</v>
      </c>
      <c r="F1450" s="24">
        <v>44313</v>
      </c>
      <c r="G1450" s="22" t="s">
        <v>1819</v>
      </c>
      <c r="H1450" s="22" t="s">
        <v>309</v>
      </c>
      <c r="I1450" s="22" t="s">
        <v>6978</v>
      </c>
      <c r="J1450" s="22" t="s">
        <v>4552</v>
      </c>
      <c r="K1450" s="22" t="s">
        <v>128</v>
      </c>
      <c r="L1450" s="22"/>
      <c r="M1450" s="22"/>
      <c r="N1450" s="22"/>
    </row>
    <row r="1451" spans="1:14" x14ac:dyDescent="0.25">
      <c r="A1451" s="22" t="s">
        <v>134</v>
      </c>
      <c r="B1451" s="22" t="s">
        <v>39</v>
      </c>
      <c r="C1451" s="22" t="s">
        <v>133</v>
      </c>
      <c r="D1451" s="23">
        <v>-161600</v>
      </c>
      <c r="E1451" s="22" t="s">
        <v>57</v>
      </c>
      <c r="F1451" s="24">
        <v>44314</v>
      </c>
      <c r="G1451" s="22" t="s">
        <v>1819</v>
      </c>
      <c r="H1451" s="22" t="s">
        <v>309</v>
      </c>
      <c r="I1451" s="22" t="s">
        <v>136</v>
      </c>
      <c r="J1451" s="22" t="s">
        <v>4552</v>
      </c>
      <c r="K1451" s="22" t="s">
        <v>128</v>
      </c>
      <c r="L1451" s="22"/>
      <c r="M1451" s="22"/>
      <c r="N1451" s="22"/>
    </row>
    <row r="1452" spans="1:14" x14ac:dyDescent="0.25">
      <c r="A1452" s="22" t="s">
        <v>6979</v>
      </c>
      <c r="B1452" s="22" t="s">
        <v>39</v>
      </c>
      <c r="C1452" s="22" t="s">
        <v>133</v>
      </c>
      <c r="D1452" s="23">
        <v>-41800</v>
      </c>
      <c r="E1452" s="22" t="s">
        <v>57</v>
      </c>
      <c r="F1452" s="24">
        <v>44314</v>
      </c>
      <c r="G1452" s="22" t="s">
        <v>1819</v>
      </c>
      <c r="H1452" s="22" t="s">
        <v>6980</v>
      </c>
      <c r="I1452" s="22" t="s">
        <v>6981</v>
      </c>
      <c r="J1452" s="22" t="s">
        <v>4552</v>
      </c>
      <c r="K1452" s="22" t="s">
        <v>128</v>
      </c>
      <c r="L1452" s="22"/>
      <c r="M1452" s="22"/>
      <c r="N1452" s="22"/>
    </row>
    <row r="1453" spans="1:14" x14ac:dyDescent="0.25">
      <c r="A1453" s="22" t="s">
        <v>6982</v>
      </c>
      <c r="B1453" s="22" t="s">
        <v>39</v>
      </c>
      <c r="C1453" s="22" t="s">
        <v>133</v>
      </c>
      <c r="D1453" s="23">
        <v>-72000</v>
      </c>
      <c r="E1453" s="22" t="s">
        <v>57</v>
      </c>
      <c r="F1453" s="24">
        <v>44315</v>
      </c>
      <c r="G1453" s="22" t="s">
        <v>1819</v>
      </c>
      <c r="H1453" s="22" t="s">
        <v>309</v>
      </c>
      <c r="I1453" s="22" t="s">
        <v>6983</v>
      </c>
      <c r="J1453" s="22" t="s">
        <v>4552</v>
      </c>
      <c r="K1453" s="22" t="s">
        <v>128</v>
      </c>
      <c r="L1453" s="22"/>
      <c r="M1453" s="22"/>
      <c r="N1453" s="22"/>
    </row>
    <row r="1454" spans="1:14" x14ac:dyDescent="0.25">
      <c r="A1454" s="22" t="s">
        <v>6984</v>
      </c>
      <c r="B1454" s="22" t="s">
        <v>39</v>
      </c>
      <c r="C1454" s="22" t="s">
        <v>133</v>
      </c>
      <c r="D1454" s="23">
        <v>-88700</v>
      </c>
      <c r="E1454" s="22" t="s">
        <v>57</v>
      </c>
      <c r="F1454" s="24">
        <v>44315</v>
      </c>
      <c r="G1454" s="22" t="s">
        <v>1819</v>
      </c>
      <c r="H1454" s="22" t="s">
        <v>309</v>
      </c>
      <c r="I1454" s="22" t="s">
        <v>6985</v>
      </c>
      <c r="J1454" s="22" t="s">
        <v>4552</v>
      </c>
      <c r="K1454" s="22" t="s">
        <v>128</v>
      </c>
      <c r="L1454" s="22"/>
      <c r="M1454" s="22"/>
      <c r="N1454" s="22"/>
    </row>
    <row r="1455" spans="1:14" x14ac:dyDescent="0.25">
      <c r="A1455" s="22" t="s">
        <v>6986</v>
      </c>
      <c r="B1455" s="22" t="s">
        <v>39</v>
      </c>
      <c r="C1455" s="22" t="s">
        <v>133</v>
      </c>
      <c r="D1455" s="23">
        <v>-55900</v>
      </c>
      <c r="E1455" s="22" t="s">
        <v>57</v>
      </c>
      <c r="F1455" s="24">
        <v>44315</v>
      </c>
      <c r="G1455" s="22" t="s">
        <v>1819</v>
      </c>
      <c r="H1455" s="22" t="s">
        <v>309</v>
      </c>
      <c r="I1455" s="22" t="s">
        <v>6987</v>
      </c>
      <c r="J1455" s="22" t="s">
        <v>4552</v>
      </c>
      <c r="K1455" s="22" t="s">
        <v>128</v>
      </c>
      <c r="L1455" s="22"/>
      <c r="M1455" s="22"/>
      <c r="N1455" s="22"/>
    </row>
    <row r="1456" spans="1:14" x14ac:dyDescent="0.25">
      <c r="A1456" s="22" t="s">
        <v>6988</v>
      </c>
      <c r="B1456" s="22" t="s">
        <v>39</v>
      </c>
      <c r="C1456" s="22" t="s">
        <v>133</v>
      </c>
      <c r="D1456" s="23">
        <v>-29200</v>
      </c>
      <c r="E1456" s="22" t="s">
        <v>57</v>
      </c>
      <c r="F1456" s="24">
        <v>44316</v>
      </c>
      <c r="G1456" s="22" t="s">
        <v>1819</v>
      </c>
      <c r="H1456" s="22" t="s">
        <v>280</v>
      </c>
      <c r="I1456" s="22" t="s">
        <v>6989</v>
      </c>
      <c r="J1456" s="22" t="s">
        <v>4552</v>
      </c>
      <c r="K1456" s="22" t="s">
        <v>128</v>
      </c>
      <c r="L1456" s="22"/>
      <c r="M1456" s="22"/>
      <c r="N1456" s="22"/>
    </row>
    <row r="1457" spans="1:14" x14ac:dyDescent="0.25">
      <c r="A1457" s="22" t="s">
        <v>6991</v>
      </c>
      <c r="B1457" s="22" t="s">
        <v>39</v>
      </c>
      <c r="C1457" s="22" t="s">
        <v>6990</v>
      </c>
      <c r="D1457" s="23">
        <v>-115700</v>
      </c>
      <c r="E1457" s="22" t="s">
        <v>57</v>
      </c>
      <c r="F1457" s="24">
        <v>44305</v>
      </c>
      <c r="G1457" s="22" t="s">
        <v>1819</v>
      </c>
      <c r="H1457" s="22" t="s">
        <v>309</v>
      </c>
      <c r="I1457" s="22" t="s">
        <v>6992</v>
      </c>
      <c r="J1457" s="22" t="s">
        <v>4552</v>
      </c>
      <c r="K1457" s="22" t="s">
        <v>128</v>
      </c>
      <c r="L1457" s="22"/>
      <c r="M1457" s="22"/>
      <c r="N1457" s="22"/>
    </row>
    <row r="1458" spans="1:14" x14ac:dyDescent="0.25">
      <c r="A1458" s="22" t="s">
        <v>6993</v>
      </c>
      <c r="B1458" s="22" t="s">
        <v>39</v>
      </c>
      <c r="C1458" s="22" t="s">
        <v>6990</v>
      </c>
      <c r="D1458" s="23">
        <v>-161700</v>
      </c>
      <c r="E1458" s="22" t="s">
        <v>57</v>
      </c>
      <c r="F1458" s="24">
        <v>44309</v>
      </c>
      <c r="G1458" s="22" t="s">
        <v>1819</v>
      </c>
      <c r="H1458" s="22" t="s">
        <v>559</v>
      </c>
      <c r="I1458" s="22" t="s">
        <v>6994</v>
      </c>
      <c r="J1458" s="22" t="s">
        <v>4552</v>
      </c>
      <c r="K1458" s="22" t="s">
        <v>128</v>
      </c>
      <c r="L1458" s="22"/>
      <c r="M1458" s="22"/>
      <c r="N1458" s="22"/>
    </row>
    <row r="1459" spans="1:14" x14ac:dyDescent="0.25">
      <c r="A1459" s="22" t="s">
        <v>6996</v>
      </c>
      <c r="B1459" s="22" t="s">
        <v>39</v>
      </c>
      <c r="C1459" s="22" t="s">
        <v>6995</v>
      </c>
      <c r="D1459" s="23">
        <v>-55288</v>
      </c>
      <c r="E1459" s="22" t="s">
        <v>57</v>
      </c>
      <c r="F1459" s="24">
        <v>44291</v>
      </c>
      <c r="G1459" s="22" t="s">
        <v>1819</v>
      </c>
      <c r="H1459" s="22" t="s">
        <v>6997</v>
      </c>
      <c r="I1459" s="22" t="s">
        <v>6998</v>
      </c>
      <c r="J1459" s="22" t="s">
        <v>4552</v>
      </c>
      <c r="K1459" s="22" t="s">
        <v>128</v>
      </c>
      <c r="L1459" s="22"/>
      <c r="M1459" s="22"/>
      <c r="N1459" s="22"/>
    </row>
    <row r="1460" spans="1:14" x14ac:dyDescent="0.25">
      <c r="A1460" s="22" t="s">
        <v>6999</v>
      </c>
      <c r="B1460" s="22" t="s">
        <v>39</v>
      </c>
      <c r="C1460" s="22" t="s">
        <v>6995</v>
      </c>
      <c r="D1460" s="23">
        <v>-165800</v>
      </c>
      <c r="E1460" s="22" t="s">
        <v>57</v>
      </c>
      <c r="F1460" s="24">
        <v>44295</v>
      </c>
      <c r="G1460" s="22" t="s">
        <v>1819</v>
      </c>
      <c r="H1460" s="22" t="s">
        <v>280</v>
      </c>
      <c r="I1460" s="22" t="s">
        <v>7000</v>
      </c>
      <c r="J1460" s="22" t="s">
        <v>4552</v>
      </c>
      <c r="K1460" s="22" t="s">
        <v>128</v>
      </c>
      <c r="L1460" s="22"/>
      <c r="M1460" s="22"/>
      <c r="N1460" s="22"/>
    </row>
    <row r="1461" spans="1:14" x14ac:dyDescent="0.25">
      <c r="A1461" s="22" t="s">
        <v>7001</v>
      </c>
      <c r="B1461" s="22" t="s">
        <v>39</v>
      </c>
      <c r="C1461" s="22" t="s">
        <v>6995</v>
      </c>
      <c r="D1461" s="23">
        <v>-167320</v>
      </c>
      <c r="E1461" s="22" t="s">
        <v>57</v>
      </c>
      <c r="F1461" s="24">
        <v>44312</v>
      </c>
      <c r="G1461" s="22" t="s">
        <v>1819</v>
      </c>
      <c r="H1461" s="22" t="s">
        <v>820</v>
      </c>
      <c r="I1461" s="22" t="s">
        <v>7002</v>
      </c>
      <c r="J1461" s="22" t="s">
        <v>4552</v>
      </c>
      <c r="K1461" s="22" t="s">
        <v>128</v>
      </c>
      <c r="L1461" s="22"/>
      <c r="M1461" s="22"/>
      <c r="N1461" s="22"/>
    </row>
    <row r="1462" spans="1:14" x14ac:dyDescent="0.25">
      <c r="A1462" s="22" t="s">
        <v>7003</v>
      </c>
      <c r="B1462" s="22" t="s">
        <v>39</v>
      </c>
      <c r="C1462" s="22" t="s">
        <v>6919</v>
      </c>
      <c r="D1462" s="23">
        <v>-62700</v>
      </c>
      <c r="E1462" s="22" t="s">
        <v>57</v>
      </c>
      <c r="F1462" s="24">
        <v>44292</v>
      </c>
      <c r="G1462" s="22" t="s">
        <v>1819</v>
      </c>
      <c r="H1462" s="22" t="s">
        <v>764</v>
      </c>
      <c r="I1462" s="22" t="s">
        <v>7004</v>
      </c>
      <c r="J1462" s="22" t="s">
        <v>4407</v>
      </c>
      <c r="K1462" s="22" t="s">
        <v>128</v>
      </c>
      <c r="L1462" s="22"/>
      <c r="M1462" s="22"/>
      <c r="N1462" s="22"/>
    </row>
    <row r="1463" spans="1:14" x14ac:dyDescent="0.25">
      <c r="A1463" s="22" t="s">
        <v>7005</v>
      </c>
      <c r="B1463" s="22" t="s">
        <v>39</v>
      </c>
      <c r="C1463" s="22" t="s">
        <v>6919</v>
      </c>
      <c r="D1463" s="23">
        <v>-31600</v>
      </c>
      <c r="E1463" s="22" t="s">
        <v>57</v>
      </c>
      <c r="F1463" s="24">
        <v>44292</v>
      </c>
      <c r="G1463" s="22" t="s">
        <v>1819</v>
      </c>
      <c r="H1463" s="22" t="s">
        <v>1805</v>
      </c>
      <c r="I1463" s="22" t="s">
        <v>7006</v>
      </c>
      <c r="J1463" s="22" t="s">
        <v>4407</v>
      </c>
      <c r="K1463" s="22" t="s">
        <v>128</v>
      </c>
      <c r="L1463" s="22"/>
      <c r="M1463" s="22"/>
      <c r="N1463" s="22"/>
    </row>
    <row r="1464" spans="1:14" x14ac:dyDescent="0.25">
      <c r="A1464" s="22" t="s">
        <v>7007</v>
      </c>
      <c r="B1464" s="22" t="s">
        <v>39</v>
      </c>
      <c r="C1464" s="22" t="s">
        <v>6919</v>
      </c>
      <c r="D1464" s="23">
        <v>-32700</v>
      </c>
      <c r="E1464" s="22" t="s">
        <v>57</v>
      </c>
      <c r="F1464" s="24">
        <v>44298</v>
      </c>
      <c r="G1464" s="22" t="s">
        <v>1819</v>
      </c>
      <c r="H1464" s="22" t="s">
        <v>989</v>
      </c>
      <c r="I1464" s="22" t="s">
        <v>7008</v>
      </c>
      <c r="J1464" s="22" t="s">
        <v>4407</v>
      </c>
      <c r="K1464" s="22" t="s">
        <v>128</v>
      </c>
      <c r="L1464" s="22"/>
      <c r="M1464" s="22"/>
      <c r="N1464" s="22"/>
    </row>
    <row r="1465" spans="1:14" x14ac:dyDescent="0.25">
      <c r="A1465" s="22" t="s">
        <v>7009</v>
      </c>
      <c r="B1465" s="22" t="s">
        <v>39</v>
      </c>
      <c r="C1465" s="22" t="s">
        <v>6919</v>
      </c>
      <c r="D1465" s="23">
        <v>-65400</v>
      </c>
      <c r="E1465" s="22" t="s">
        <v>57</v>
      </c>
      <c r="F1465" s="24">
        <v>44301</v>
      </c>
      <c r="G1465" s="22" t="s">
        <v>1819</v>
      </c>
      <c r="H1465" s="22" t="s">
        <v>1876</v>
      </c>
      <c r="I1465" s="22" t="s">
        <v>7010</v>
      </c>
      <c r="J1465" s="22" t="s">
        <v>4407</v>
      </c>
      <c r="K1465" s="22" t="s">
        <v>128</v>
      </c>
      <c r="L1465" s="22"/>
      <c r="M1465" s="22"/>
      <c r="N1465" s="22"/>
    </row>
    <row r="1466" spans="1:14" x14ac:dyDescent="0.25">
      <c r="A1466" s="22" t="s">
        <v>7011</v>
      </c>
      <c r="B1466" s="22" t="s">
        <v>39</v>
      </c>
      <c r="C1466" s="22" t="s">
        <v>6919</v>
      </c>
      <c r="D1466" s="23">
        <v>-71600</v>
      </c>
      <c r="E1466" s="22" t="s">
        <v>57</v>
      </c>
      <c r="F1466" s="24">
        <v>44302</v>
      </c>
      <c r="G1466" s="22" t="s">
        <v>1819</v>
      </c>
      <c r="H1466" s="22" t="s">
        <v>1805</v>
      </c>
      <c r="I1466" s="22" t="s">
        <v>7012</v>
      </c>
      <c r="J1466" s="22" t="s">
        <v>4407</v>
      </c>
      <c r="K1466" s="22" t="s">
        <v>128</v>
      </c>
      <c r="L1466" s="22"/>
      <c r="M1466" s="22"/>
      <c r="N1466" s="22"/>
    </row>
    <row r="1467" spans="1:14" x14ac:dyDescent="0.25">
      <c r="A1467" s="22" t="s">
        <v>7013</v>
      </c>
      <c r="B1467" s="22" t="s">
        <v>39</v>
      </c>
      <c r="C1467" s="22" t="s">
        <v>6919</v>
      </c>
      <c r="D1467" s="23">
        <v>-47200</v>
      </c>
      <c r="E1467" s="22" t="s">
        <v>57</v>
      </c>
      <c r="F1467" s="24">
        <v>44302</v>
      </c>
      <c r="G1467" s="22" t="s">
        <v>1819</v>
      </c>
      <c r="H1467" s="22" t="s">
        <v>1805</v>
      </c>
      <c r="I1467" s="22" t="s">
        <v>7014</v>
      </c>
      <c r="J1467" s="22" t="s">
        <v>4407</v>
      </c>
      <c r="K1467" s="22" t="s">
        <v>128</v>
      </c>
      <c r="L1467" s="22"/>
      <c r="M1467" s="22"/>
      <c r="N1467" s="22"/>
    </row>
    <row r="1468" spans="1:14" x14ac:dyDescent="0.25">
      <c r="A1468" s="22" t="s">
        <v>7015</v>
      </c>
      <c r="B1468" s="22" t="s">
        <v>39</v>
      </c>
      <c r="C1468" s="22" t="s">
        <v>6919</v>
      </c>
      <c r="D1468" s="23">
        <v>-32700</v>
      </c>
      <c r="E1468" s="22" t="s">
        <v>57</v>
      </c>
      <c r="F1468" s="24">
        <v>44302</v>
      </c>
      <c r="G1468" s="22" t="s">
        <v>1819</v>
      </c>
      <c r="H1468" s="22" t="s">
        <v>304</v>
      </c>
      <c r="I1468" s="22" t="s">
        <v>7016</v>
      </c>
      <c r="J1468" s="22" t="s">
        <v>4407</v>
      </c>
      <c r="K1468" s="22" t="s">
        <v>128</v>
      </c>
      <c r="L1468" s="22"/>
      <c r="M1468" s="22"/>
      <c r="N1468" s="22"/>
    </row>
    <row r="1469" spans="1:14" x14ac:dyDescent="0.25">
      <c r="A1469" s="22" t="s">
        <v>7017</v>
      </c>
      <c r="B1469" s="22" t="s">
        <v>39</v>
      </c>
      <c r="C1469" s="22" t="s">
        <v>6919</v>
      </c>
      <c r="D1469" s="23">
        <v>-32700</v>
      </c>
      <c r="E1469" s="22" t="s">
        <v>57</v>
      </c>
      <c r="F1469" s="24">
        <v>44302</v>
      </c>
      <c r="G1469" s="22" t="s">
        <v>1819</v>
      </c>
      <c r="H1469" s="22" t="s">
        <v>1167</v>
      </c>
      <c r="I1469" s="22" t="s">
        <v>7018</v>
      </c>
      <c r="J1469" s="22" t="s">
        <v>4407</v>
      </c>
      <c r="K1469" s="22" t="s">
        <v>128</v>
      </c>
      <c r="L1469" s="22"/>
      <c r="M1469" s="22"/>
      <c r="N1469" s="22"/>
    </row>
    <row r="1470" spans="1:14" x14ac:dyDescent="0.25">
      <c r="A1470" s="22" t="s">
        <v>7019</v>
      </c>
      <c r="B1470" s="22" t="s">
        <v>39</v>
      </c>
      <c r="C1470" s="22" t="s">
        <v>6919</v>
      </c>
      <c r="D1470" s="23">
        <v>-71600</v>
      </c>
      <c r="E1470" s="22" t="s">
        <v>57</v>
      </c>
      <c r="F1470" s="24">
        <v>44305</v>
      </c>
      <c r="G1470" s="22" t="s">
        <v>1819</v>
      </c>
      <c r="H1470" s="22" t="s">
        <v>989</v>
      </c>
      <c r="I1470" s="22" t="s">
        <v>7020</v>
      </c>
      <c r="J1470" s="22" t="s">
        <v>4407</v>
      </c>
      <c r="K1470" s="22" t="s">
        <v>128</v>
      </c>
      <c r="L1470" s="22"/>
      <c r="M1470" s="22"/>
      <c r="N1470" s="22"/>
    </row>
    <row r="1471" spans="1:14" x14ac:dyDescent="0.25">
      <c r="A1471" s="22" t="s">
        <v>7021</v>
      </c>
      <c r="B1471" s="22" t="s">
        <v>39</v>
      </c>
      <c r="C1471" s="22" t="s">
        <v>6919</v>
      </c>
      <c r="D1471" s="23">
        <v>-9700</v>
      </c>
      <c r="E1471" s="22" t="s">
        <v>57</v>
      </c>
      <c r="F1471" s="24">
        <v>44305</v>
      </c>
      <c r="G1471" s="22" t="s">
        <v>1819</v>
      </c>
      <c r="H1471" s="22" t="s">
        <v>989</v>
      </c>
      <c r="I1471" s="22" t="s">
        <v>7022</v>
      </c>
      <c r="J1471" s="22" t="s">
        <v>4407</v>
      </c>
      <c r="K1471" s="22" t="s">
        <v>128</v>
      </c>
      <c r="L1471" s="22"/>
      <c r="M1471" s="22"/>
      <c r="N1471" s="22"/>
    </row>
    <row r="1472" spans="1:14" x14ac:dyDescent="0.25">
      <c r="A1472" s="22" t="s">
        <v>7023</v>
      </c>
      <c r="B1472" s="22" t="s">
        <v>39</v>
      </c>
      <c r="C1472" s="22" t="s">
        <v>6919</v>
      </c>
      <c r="D1472" s="23">
        <v>-22300</v>
      </c>
      <c r="E1472" s="22" t="s">
        <v>57</v>
      </c>
      <c r="F1472" s="24">
        <v>44306</v>
      </c>
      <c r="G1472" s="22" t="s">
        <v>1819</v>
      </c>
      <c r="H1472" s="22" t="s">
        <v>989</v>
      </c>
      <c r="I1472" s="22" t="s">
        <v>7024</v>
      </c>
      <c r="J1472" s="22" t="s">
        <v>4407</v>
      </c>
      <c r="K1472" s="22" t="s">
        <v>128</v>
      </c>
      <c r="L1472" s="22"/>
      <c r="M1472" s="22"/>
      <c r="N1472" s="22"/>
    </row>
    <row r="1473" spans="1:14" x14ac:dyDescent="0.25">
      <c r="A1473" s="22" t="s">
        <v>7025</v>
      </c>
      <c r="B1473" s="22" t="s">
        <v>39</v>
      </c>
      <c r="C1473" s="22" t="s">
        <v>6919</v>
      </c>
      <c r="D1473" s="23">
        <v>-47200</v>
      </c>
      <c r="E1473" s="22" t="s">
        <v>57</v>
      </c>
      <c r="F1473" s="24">
        <v>44306</v>
      </c>
      <c r="G1473" s="22" t="s">
        <v>1819</v>
      </c>
      <c r="H1473" s="22" t="s">
        <v>6603</v>
      </c>
      <c r="I1473" s="22" t="s">
        <v>7026</v>
      </c>
      <c r="J1473" s="22" t="s">
        <v>4407</v>
      </c>
      <c r="K1473" s="22" t="s">
        <v>128</v>
      </c>
      <c r="L1473" s="22"/>
      <c r="M1473" s="22"/>
      <c r="N1473" s="22"/>
    </row>
    <row r="1474" spans="1:14" x14ac:dyDescent="0.25">
      <c r="A1474" s="22" t="s">
        <v>1820</v>
      </c>
      <c r="B1474" s="22" t="s">
        <v>39</v>
      </c>
      <c r="C1474" s="22" t="s">
        <v>6919</v>
      </c>
      <c r="D1474" s="23">
        <v>-37600</v>
      </c>
      <c r="E1474" s="22" t="s">
        <v>57</v>
      </c>
      <c r="F1474" s="24">
        <v>44307</v>
      </c>
      <c r="G1474" s="22" t="s">
        <v>1819</v>
      </c>
      <c r="H1474" s="22" t="s">
        <v>537</v>
      </c>
      <c r="I1474" s="22" t="s">
        <v>7027</v>
      </c>
      <c r="J1474" s="22" t="s">
        <v>4407</v>
      </c>
      <c r="K1474" s="22" t="s">
        <v>128</v>
      </c>
      <c r="L1474" s="22"/>
      <c r="M1474" s="22"/>
      <c r="N1474" s="22"/>
    </row>
    <row r="1475" spans="1:14" x14ac:dyDescent="0.25">
      <c r="A1475" s="22" t="s">
        <v>7028</v>
      </c>
      <c r="B1475" s="22" t="s">
        <v>39</v>
      </c>
      <c r="C1475" s="22" t="s">
        <v>6919</v>
      </c>
      <c r="D1475" s="23">
        <v>-31600</v>
      </c>
      <c r="E1475" s="22" t="s">
        <v>57</v>
      </c>
      <c r="F1475" s="24">
        <v>44307</v>
      </c>
      <c r="G1475" s="22" t="s">
        <v>1819</v>
      </c>
      <c r="H1475" s="22" t="s">
        <v>537</v>
      </c>
      <c r="I1475" s="22" t="s">
        <v>7029</v>
      </c>
      <c r="J1475" s="22" t="s">
        <v>4407</v>
      </c>
      <c r="K1475" s="22" t="s">
        <v>128</v>
      </c>
      <c r="L1475" s="22"/>
      <c r="M1475" s="22"/>
      <c r="N1475" s="22"/>
    </row>
    <row r="1476" spans="1:14" x14ac:dyDescent="0.25">
      <c r="A1476" s="22" t="s">
        <v>7030</v>
      </c>
      <c r="B1476" s="22" t="s">
        <v>39</v>
      </c>
      <c r="C1476" s="22" t="s">
        <v>6919</v>
      </c>
      <c r="D1476" s="23">
        <v>-32700</v>
      </c>
      <c r="E1476" s="22" t="s">
        <v>57</v>
      </c>
      <c r="F1476" s="24">
        <v>44308</v>
      </c>
      <c r="G1476" s="22" t="s">
        <v>1819</v>
      </c>
      <c r="H1476" s="22" t="s">
        <v>1167</v>
      </c>
      <c r="I1476" s="22" t="s">
        <v>7031</v>
      </c>
      <c r="J1476" s="22" t="s">
        <v>4407</v>
      </c>
      <c r="K1476" s="22" t="s">
        <v>128</v>
      </c>
      <c r="L1476" s="22"/>
      <c r="M1476" s="22"/>
      <c r="N1476" s="22"/>
    </row>
    <row r="1477" spans="1:14" x14ac:dyDescent="0.25">
      <c r="A1477" s="22" t="s">
        <v>7032</v>
      </c>
      <c r="B1477" s="22" t="s">
        <v>39</v>
      </c>
      <c r="C1477" s="22" t="s">
        <v>6919</v>
      </c>
      <c r="D1477" s="23">
        <v>-37100</v>
      </c>
      <c r="E1477" s="22" t="s">
        <v>57</v>
      </c>
      <c r="F1477" s="24">
        <v>44308</v>
      </c>
      <c r="G1477" s="22" t="s">
        <v>1819</v>
      </c>
      <c r="H1477" s="22" t="s">
        <v>1167</v>
      </c>
      <c r="I1477" s="22" t="s">
        <v>7033</v>
      </c>
      <c r="J1477" s="22" t="s">
        <v>4407</v>
      </c>
      <c r="K1477" s="22" t="s">
        <v>128</v>
      </c>
      <c r="L1477" s="22"/>
      <c r="M1477" s="22"/>
      <c r="N1477" s="22"/>
    </row>
    <row r="1478" spans="1:14" x14ac:dyDescent="0.25">
      <c r="A1478" s="22" t="s">
        <v>7034</v>
      </c>
      <c r="B1478" s="22" t="s">
        <v>39</v>
      </c>
      <c r="C1478" s="22" t="s">
        <v>6919</v>
      </c>
      <c r="D1478" s="23">
        <v>-47200</v>
      </c>
      <c r="E1478" s="22" t="s">
        <v>57</v>
      </c>
      <c r="F1478" s="24">
        <v>44308</v>
      </c>
      <c r="G1478" s="22" t="s">
        <v>1819</v>
      </c>
      <c r="H1478" s="22" t="s">
        <v>764</v>
      </c>
      <c r="I1478" s="22" t="s">
        <v>7035</v>
      </c>
      <c r="J1478" s="22" t="s">
        <v>4407</v>
      </c>
      <c r="K1478" s="22" t="s">
        <v>128</v>
      </c>
      <c r="L1478" s="22"/>
      <c r="M1478" s="22"/>
      <c r="N1478" s="22"/>
    </row>
    <row r="1479" spans="1:14" x14ac:dyDescent="0.25">
      <c r="A1479" s="22" t="s">
        <v>7036</v>
      </c>
      <c r="B1479" s="22" t="s">
        <v>39</v>
      </c>
      <c r="C1479" s="22" t="s">
        <v>6919</v>
      </c>
      <c r="D1479" s="23">
        <v>-22300</v>
      </c>
      <c r="E1479" s="22" t="s">
        <v>57</v>
      </c>
      <c r="F1479" s="24">
        <v>44308</v>
      </c>
      <c r="G1479" s="22" t="s">
        <v>1819</v>
      </c>
      <c r="H1479" s="22" t="s">
        <v>304</v>
      </c>
      <c r="I1479" s="22" t="s">
        <v>7037</v>
      </c>
      <c r="J1479" s="22" t="s">
        <v>4407</v>
      </c>
      <c r="K1479" s="22" t="s">
        <v>128</v>
      </c>
      <c r="L1479" s="22"/>
      <c r="M1479" s="22"/>
      <c r="N1479" s="22"/>
    </row>
    <row r="1480" spans="1:14" x14ac:dyDescent="0.25">
      <c r="A1480" s="22" t="s">
        <v>7038</v>
      </c>
      <c r="B1480" s="22" t="s">
        <v>39</v>
      </c>
      <c r="C1480" s="22" t="s">
        <v>6919</v>
      </c>
      <c r="D1480" s="23">
        <v>-196700</v>
      </c>
      <c r="E1480" s="22" t="s">
        <v>57</v>
      </c>
      <c r="F1480" s="24">
        <v>44308</v>
      </c>
      <c r="G1480" s="22" t="s">
        <v>1819</v>
      </c>
      <c r="H1480" s="22" t="s">
        <v>989</v>
      </c>
      <c r="I1480" s="22" t="s">
        <v>7039</v>
      </c>
      <c r="J1480" s="22" t="s">
        <v>4407</v>
      </c>
      <c r="K1480" s="22" t="s">
        <v>128</v>
      </c>
      <c r="L1480" s="22"/>
      <c r="M1480" s="22"/>
      <c r="N1480" s="22"/>
    </row>
    <row r="1481" spans="1:14" x14ac:dyDescent="0.25">
      <c r="A1481" s="22" t="s">
        <v>7040</v>
      </c>
      <c r="B1481" s="22" t="s">
        <v>39</v>
      </c>
      <c r="C1481" s="22" t="s">
        <v>6919</v>
      </c>
      <c r="D1481" s="23">
        <v>-155100</v>
      </c>
      <c r="E1481" s="22" t="s">
        <v>57</v>
      </c>
      <c r="F1481" s="24">
        <v>44309</v>
      </c>
      <c r="G1481" s="22" t="s">
        <v>1819</v>
      </c>
      <c r="H1481" s="22" t="s">
        <v>1805</v>
      </c>
      <c r="I1481" s="22" t="s">
        <v>7041</v>
      </c>
      <c r="J1481" s="22" t="s">
        <v>4407</v>
      </c>
      <c r="K1481" s="22" t="s">
        <v>128</v>
      </c>
      <c r="L1481" s="22"/>
      <c r="M1481" s="22"/>
      <c r="N1481" s="22"/>
    </row>
    <row r="1482" spans="1:14" x14ac:dyDescent="0.25">
      <c r="A1482" s="22" t="s">
        <v>7042</v>
      </c>
      <c r="B1482" s="22" t="s">
        <v>39</v>
      </c>
      <c r="C1482" s="22" t="s">
        <v>6919</v>
      </c>
      <c r="D1482" s="23">
        <v>-32700</v>
      </c>
      <c r="E1482" s="22" t="s">
        <v>57</v>
      </c>
      <c r="F1482" s="24">
        <v>44312</v>
      </c>
      <c r="G1482" s="22" t="s">
        <v>1819</v>
      </c>
      <c r="H1482" s="22" t="s">
        <v>989</v>
      </c>
      <c r="I1482" s="22" t="s">
        <v>7043</v>
      </c>
      <c r="J1482" s="22" t="s">
        <v>4407</v>
      </c>
      <c r="K1482" s="22" t="s">
        <v>128</v>
      </c>
      <c r="L1482" s="22"/>
      <c r="M1482" s="22"/>
      <c r="N1482" s="22"/>
    </row>
    <row r="1483" spans="1:14" x14ac:dyDescent="0.25">
      <c r="A1483" s="22" t="s">
        <v>7044</v>
      </c>
      <c r="B1483" s="22" t="s">
        <v>39</v>
      </c>
      <c r="C1483" s="22" t="s">
        <v>6919</v>
      </c>
      <c r="D1483" s="23">
        <v>-32700</v>
      </c>
      <c r="E1483" s="22" t="s">
        <v>57</v>
      </c>
      <c r="F1483" s="24">
        <v>44312</v>
      </c>
      <c r="G1483" s="22" t="s">
        <v>1819</v>
      </c>
      <c r="H1483" s="22" t="s">
        <v>542</v>
      </c>
      <c r="I1483" s="22" t="s">
        <v>7045</v>
      </c>
      <c r="J1483" s="22" t="s">
        <v>4407</v>
      </c>
      <c r="K1483" s="22" t="s">
        <v>128</v>
      </c>
      <c r="L1483" s="22"/>
      <c r="M1483" s="22"/>
      <c r="N1483" s="22"/>
    </row>
    <row r="1484" spans="1:14" x14ac:dyDescent="0.25">
      <c r="A1484" s="22" t="s">
        <v>7046</v>
      </c>
      <c r="B1484" s="22" t="s">
        <v>39</v>
      </c>
      <c r="C1484" s="22" t="s">
        <v>6919</v>
      </c>
      <c r="D1484" s="23">
        <v>-424600</v>
      </c>
      <c r="E1484" s="22" t="s">
        <v>57</v>
      </c>
      <c r="F1484" s="24">
        <v>44315</v>
      </c>
      <c r="G1484" s="22" t="s">
        <v>1819</v>
      </c>
      <c r="H1484" s="22" t="s">
        <v>919</v>
      </c>
      <c r="I1484" s="22" t="s">
        <v>7047</v>
      </c>
      <c r="J1484" s="22" t="s">
        <v>4407</v>
      </c>
      <c r="K1484" s="22" t="s">
        <v>128</v>
      </c>
      <c r="L1484" s="22"/>
      <c r="M1484" s="22"/>
      <c r="N1484" s="22"/>
    </row>
    <row r="1485" spans="1:14" x14ac:dyDescent="0.25">
      <c r="A1485" s="22" t="s">
        <v>7048</v>
      </c>
      <c r="B1485" s="22" t="s">
        <v>39</v>
      </c>
      <c r="C1485" s="22" t="s">
        <v>5111</v>
      </c>
      <c r="D1485" s="23">
        <v>7425353</v>
      </c>
      <c r="E1485" s="22" t="s">
        <v>42</v>
      </c>
      <c r="F1485" s="24">
        <v>44053</v>
      </c>
      <c r="G1485" s="22" t="s">
        <v>1819</v>
      </c>
      <c r="H1485" s="22" t="s">
        <v>292</v>
      </c>
      <c r="I1485" s="22" t="s">
        <v>7049</v>
      </c>
      <c r="J1485" s="22" t="s">
        <v>4401</v>
      </c>
      <c r="K1485" s="22" t="s">
        <v>5111</v>
      </c>
      <c r="L1485" s="22"/>
      <c r="M1485" s="22"/>
      <c r="N1485" s="22"/>
    </row>
    <row r="1486" spans="1:14" x14ac:dyDescent="0.25">
      <c r="A1486" s="22" t="s">
        <v>1830</v>
      </c>
      <c r="B1486" s="22" t="s">
        <v>39</v>
      </c>
      <c r="C1486" s="22" t="s">
        <v>6941</v>
      </c>
      <c r="D1486" s="23">
        <v>980200</v>
      </c>
      <c r="E1486" s="22" t="s">
        <v>45</v>
      </c>
      <c r="F1486" s="24">
        <v>44292</v>
      </c>
      <c r="G1486" s="22" t="s">
        <v>1829</v>
      </c>
      <c r="H1486" s="22"/>
      <c r="I1486" s="22" t="s">
        <v>1829</v>
      </c>
      <c r="J1486" s="22" t="s">
        <v>4552</v>
      </c>
      <c r="K1486" s="22" t="s">
        <v>128</v>
      </c>
      <c r="L1486" s="22"/>
      <c r="M1486" s="22"/>
      <c r="N1486" s="22"/>
    </row>
    <row r="1487" spans="1:14" x14ac:dyDescent="0.25">
      <c r="A1487" s="22" t="s">
        <v>1830</v>
      </c>
      <c r="B1487" s="22" t="s">
        <v>39</v>
      </c>
      <c r="C1487" s="22" t="s">
        <v>6941</v>
      </c>
      <c r="D1487" s="23">
        <v>-5245225</v>
      </c>
      <c r="E1487" s="22" t="s">
        <v>45</v>
      </c>
      <c r="F1487" s="24">
        <v>44292</v>
      </c>
      <c r="G1487" s="22" t="s">
        <v>1829</v>
      </c>
      <c r="H1487" s="22"/>
      <c r="I1487" s="22" t="s">
        <v>1829</v>
      </c>
      <c r="J1487" s="22" t="s">
        <v>4401</v>
      </c>
      <c r="K1487" s="22" t="s">
        <v>128</v>
      </c>
      <c r="L1487" s="22"/>
      <c r="M1487" s="22"/>
      <c r="N1487" s="22"/>
    </row>
    <row r="1488" spans="1:14" x14ac:dyDescent="0.25">
      <c r="A1488" s="22" t="s">
        <v>1830</v>
      </c>
      <c r="B1488" s="22" t="s">
        <v>39</v>
      </c>
      <c r="C1488" s="22" t="s">
        <v>6941</v>
      </c>
      <c r="D1488" s="23">
        <v>4311559</v>
      </c>
      <c r="E1488" s="22" t="s">
        <v>45</v>
      </c>
      <c r="F1488" s="24">
        <v>44292</v>
      </c>
      <c r="G1488" s="22" t="s">
        <v>1829</v>
      </c>
      <c r="H1488" s="22"/>
      <c r="I1488" s="22" t="s">
        <v>1829</v>
      </c>
      <c r="J1488" s="22" t="s">
        <v>4407</v>
      </c>
      <c r="K1488" s="22" t="s">
        <v>128</v>
      </c>
      <c r="L1488" s="22"/>
      <c r="M1488" s="22"/>
      <c r="N1488" s="22"/>
    </row>
    <row r="1489" spans="1:14" x14ac:dyDescent="0.25">
      <c r="A1489" s="22" t="s">
        <v>2182</v>
      </c>
      <c r="B1489" s="22" t="s">
        <v>39</v>
      </c>
      <c r="C1489" s="22" t="s">
        <v>7050</v>
      </c>
      <c r="D1489" s="23">
        <v>-42200</v>
      </c>
      <c r="E1489" s="22" t="s">
        <v>57</v>
      </c>
      <c r="F1489" s="24">
        <v>44169</v>
      </c>
      <c r="G1489" s="22" t="s">
        <v>1829</v>
      </c>
      <c r="H1489" s="22" t="s">
        <v>788</v>
      </c>
      <c r="I1489" s="22" t="s">
        <v>2181</v>
      </c>
      <c r="J1489" s="22" t="s">
        <v>4552</v>
      </c>
      <c r="K1489" s="22" t="s">
        <v>128</v>
      </c>
      <c r="L1489" s="22"/>
      <c r="M1489" s="22"/>
      <c r="N1489" s="22"/>
    </row>
    <row r="1490" spans="1:14" x14ac:dyDescent="0.25">
      <c r="A1490" s="22" t="s">
        <v>2180</v>
      </c>
      <c r="B1490" s="22" t="s">
        <v>39</v>
      </c>
      <c r="C1490" s="22" t="s">
        <v>7050</v>
      </c>
      <c r="D1490" s="23">
        <v>-40400</v>
      </c>
      <c r="E1490" s="22" t="s">
        <v>57</v>
      </c>
      <c r="F1490" s="24">
        <v>44176</v>
      </c>
      <c r="G1490" s="22" t="s">
        <v>1829</v>
      </c>
      <c r="H1490" s="22" t="s">
        <v>820</v>
      </c>
      <c r="I1490" s="22" t="s">
        <v>2179</v>
      </c>
      <c r="J1490" s="22" t="s">
        <v>4552</v>
      </c>
      <c r="K1490" s="22" t="s">
        <v>128</v>
      </c>
      <c r="L1490" s="22"/>
      <c r="M1490" s="22"/>
      <c r="N1490" s="22"/>
    </row>
    <row r="1491" spans="1:14" x14ac:dyDescent="0.25">
      <c r="A1491" s="22" t="s">
        <v>2178</v>
      </c>
      <c r="B1491" s="22" t="s">
        <v>39</v>
      </c>
      <c r="C1491" s="22" t="s">
        <v>129</v>
      </c>
      <c r="D1491" s="23">
        <v>-65834</v>
      </c>
      <c r="E1491" s="22" t="s">
        <v>57</v>
      </c>
      <c r="F1491" s="24">
        <v>44310</v>
      </c>
      <c r="G1491" s="22" t="s">
        <v>1829</v>
      </c>
      <c r="H1491" s="22" t="s">
        <v>1805</v>
      </c>
      <c r="I1491" s="22" t="s">
        <v>2177</v>
      </c>
      <c r="J1491" s="22" t="s">
        <v>4407</v>
      </c>
      <c r="K1491" s="22" t="s">
        <v>128</v>
      </c>
      <c r="L1491" s="22"/>
      <c r="M1491" s="22"/>
      <c r="N1491" s="22"/>
    </row>
    <row r="1492" spans="1:14" x14ac:dyDescent="0.25">
      <c r="A1492" s="22" t="s">
        <v>2175</v>
      </c>
      <c r="B1492" s="22" t="s">
        <v>39</v>
      </c>
      <c r="C1492" s="22" t="s">
        <v>129</v>
      </c>
      <c r="D1492" s="23">
        <v>-53700</v>
      </c>
      <c r="E1492" s="22" t="s">
        <v>57</v>
      </c>
      <c r="F1492" s="24">
        <v>44312</v>
      </c>
      <c r="G1492" s="22" t="s">
        <v>1829</v>
      </c>
      <c r="H1492" s="22" t="s">
        <v>2176</v>
      </c>
      <c r="I1492" s="22" t="s">
        <v>2174</v>
      </c>
      <c r="J1492" s="22" t="s">
        <v>4407</v>
      </c>
      <c r="K1492" s="22" t="s">
        <v>128</v>
      </c>
      <c r="L1492" s="22"/>
      <c r="M1492" s="22"/>
      <c r="N1492" s="22"/>
    </row>
    <row r="1493" spans="1:14" x14ac:dyDescent="0.25">
      <c r="A1493" s="22" t="s">
        <v>2172</v>
      </c>
      <c r="B1493" s="22" t="s">
        <v>39</v>
      </c>
      <c r="C1493" s="22" t="s">
        <v>129</v>
      </c>
      <c r="D1493" s="23">
        <v>-4192025</v>
      </c>
      <c r="E1493" s="22" t="s">
        <v>57</v>
      </c>
      <c r="F1493" s="24">
        <v>44313</v>
      </c>
      <c r="G1493" s="22" t="s">
        <v>1829</v>
      </c>
      <c r="H1493" s="22" t="s">
        <v>2173</v>
      </c>
      <c r="I1493" s="22" t="s">
        <v>2171</v>
      </c>
      <c r="J1493" s="22" t="s">
        <v>4407</v>
      </c>
      <c r="K1493" s="22" t="s">
        <v>128</v>
      </c>
      <c r="L1493" s="22"/>
      <c r="M1493" s="22"/>
      <c r="N1493" s="22"/>
    </row>
    <row r="1494" spans="1:14" x14ac:dyDescent="0.25">
      <c r="A1494" s="22" t="s">
        <v>2170</v>
      </c>
      <c r="B1494" s="22" t="s">
        <v>39</v>
      </c>
      <c r="C1494" s="22" t="s">
        <v>133</v>
      </c>
      <c r="D1494" s="23">
        <v>-6600</v>
      </c>
      <c r="E1494" s="22" t="s">
        <v>57</v>
      </c>
      <c r="F1494" s="24">
        <v>44291</v>
      </c>
      <c r="G1494" s="22" t="s">
        <v>1829</v>
      </c>
      <c r="H1494" s="22" t="s">
        <v>280</v>
      </c>
      <c r="I1494" s="22" t="s">
        <v>2169</v>
      </c>
      <c r="J1494" s="22" t="s">
        <v>4552</v>
      </c>
      <c r="K1494" s="22" t="s">
        <v>128</v>
      </c>
      <c r="L1494" s="22"/>
      <c r="M1494" s="22"/>
      <c r="N1494" s="22"/>
    </row>
    <row r="1495" spans="1:14" x14ac:dyDescent="0.25">
      <c r="A1495" s="22" t="s">
        <v>1830</v>
      </c>
      <c r="B1495" s="22" t="s">
        <v>39</v>
      </c>
      <c r="C1495" s="22" t="s">
        <v>133</v>
      </c>
      <c r="D1495" s="23">
        <v>-891000</v>
      </c>
      <c r="E1495" s="22" t="s">
        <v>57</v>
      </c>
      <c r="F1495" s="24">
        <v>44292</v>
      </c>
      <c r="G1495" s="22" t="s">
        <v>1829</v>
      </c>
      <c r="H1495" s="22" t="s">
        <v>280</v>
      </c>
      <c r="I1495" s="22" t="s">
        <v>2168</v>
      </c>
      <c r="J1495" s="22" t="s">
        <v>4552</v>
      </c>
      <c r="K1495" s="22" t="s">
        <v>128</v>
      </c>
      <c r="L1495" s="22"/>
      <c r="M1495" s="22"/>
      <c r="N1495" s="22"/>
    </row>
    <row r="1496" spans="1:14" x14ac:dyDescent="0.25">
      <c r="A1496" s="22" t="s">
        <v>2249</v>
      </c>
      <c r="B1496" s="22" t="s">
        <v>39</v>
      </c>
      <c r="C1496" s="22" t="s">
        <v>3566</v>
      </c>
      <c r="D1496" s="23">
        <v>5245225</v>
      </c>
      <c r="E1496" s="22" t="s">
        <v>42</v>
      </c>
      <c r="F1496" s="24">
        <v>44260</v>
      </c>
      <c r="G1496" s="22" t="s">
        <v>1829</v>
      </c>
      <c r="H1496" s="22" t="s">
        <v>1741</v>
      </c>
      <c r="I1496" s="22" t="s">
        <v>2248</v>
      </c>
      <c r="J1496" s="22" t="s">
        <v>4401</v>
      </c>
      <c r="K1496" s="22" t="s">
        <v>292</v>
      </c>
      <c r="L1496" s="22"/>
      <c r="M1496" s="22"/>
      <c r="N1496" s="22"/>
    </row>
    <row r="1497" spans="1:14" x14ac:dyDescent="0.25">
      <c r="A1497" s="22" t="s">
        <v>7051</v>
      </c>
      <c r="B1497" s="22" t="s">
        <v>39</v>
      </c>
      <c r="C1497" s="22" t="s">
        <v>6941</v>
      </c>
      <c r="D1497" s="23">
        <v>6577768</v>
      </c>
      <c r="E1497" s="22" t="s">
        <v>45</v>
      </c>
      <c r="F1497" s="24">
        <v>44155</v>
      </c>
      <c r="G1497" s="22" t="s">
        <v>7052</v>
      </c>
      <c r="H1497" s="22"/>
      <c r="I1497" s="22" t="s">
        <v>7052</v>
      </c>
      <c r="J1497" s="22" t="s">
        <v>4552</v>
      </c>
      <c r="K1497" s="22" t="s">
        <v>128</v>
      </c>
      <c r="L1497" s="22"/>
      <c r="M1497" s="22"/>
      <c r="N1497" s="22"/>
    </row>
    <row r="1498" spans="1:14" x14ac:dyDescent="0.25">
      <c r="A1498" s="22" t="s">
        <v>7051</v>
      </c>
      <c r="B1498" s="22" t="s">
        <v>39</v>
      </c>
      <c r="C1498" s="22" t="s">
        <v>6941</v>
      </c>
      <c r="D1498" s="23">
        <v>-9331241</v>
      </c>
      <c r="E1498" s="22" t="s">
        <v>45</v>
      </c>
      <c r="F1498" s="24">
        <v>44155</v>
      </c>
      <c r="G1498" s="22" t="s">
        <v>7052</v>
      </c>
      <c r="H1498" s="22"/>
      <c r="I1498" s="22" t="s">
        <v>7052</v>
      </c>
      <c r="J1498" s="22" t="s">
        <v>4401</v>
      </c>
      <c r="K1498" s="22" t="s">
        <v>128</v>
      </c>
      <c r="L1498" s="22"/>
      <c r="M1498" s="22"/>
      <c r="N1498" s="22"/>
    </row>
    <row r="1499" spans="1:14" x14ac:dyDescent="0.25">
      <c r="A1499" s="22" t="s">
        <v>7051</v>
      </c>
      <c r="B1499" s="22" t="s">
        <v>39</v>
      </c>
      <c r="C1499" s="22" t="s">
        <v>6941</v>
      </c>
      <c r="D1499" s="23">
        <v>2759131</v>
      </c>
      <c r="E1499" s="22" t="s">
        <v>45</v>
      </c>
      <c r="F1499" s="24">
        <v>44155</v>
      </c>
      <c r="G1499" s="22" t="s">
        <v>7052</v>
      </c>
      <c r="H1499" s="22"/>
      <c r="I1499" s="22" t="s">
        <v>7052</v>
      </c>
      <c r="J1499" s="22" t="s">
        <v>4407</v>
      </c>
      <c r="K1499" s="22" t="s">
        <v>128</v>
      </c>
      <c r="L1499" s="22"/>
      <c r="M1499" s="22"/>
      <c r="N1499" s="22"/>
    </row>
    <row r="1500" spans="1:14" x14ac:dyDescent="0.25">
      <c r="A1500" s="22" t="s">
        <v>7053</v>
      </c>
      <c r="B1500" s="22" t="s">
        <v>39</v>
      </c>
      <c r="C1500" s="22" t="s">
        <v>6911</v>
      </c>
      <c r="D1500" s="23">
        <v>-6400</v>
      </c>
      <c r="E1500" s="22" t="s">
        <v>57</v>
      </c>
      <c r="F1500" s="24">
        <v>44133</v>
      </c>
      <c r="G1500" s="22" t="s">
        <v>7052</v>
      </c>
      <c r="H1500" s="22" t="s">
        <v>2233</v>
      </c>
      <c r="I1500" s="22" t="s">
        <v>7054</v>
      </c>
      <c r="J1500" s="22" t="s">
        <v>4552</v>
      </c>
      <c r="K1500" s="22" t="s">
        <v>128</v>
      </c>
      <c r="L1500" s="22"/>
      <c r="M1500" s="22"/>
      <c r="N1500" s="22"/>
    </row>
    <row r="1501" spans="1:14" x14ac:dyDescent="0.25">
      <c r="A1501" s="22" t="s">
        <v>7056</v>
      </c>
      <c r="B1501" s="22" t="s">
        <v>39</v>
      </c>
      <c r="C1501" s="22" t="s">
        <v>7055</v>
      </c>
      <c r="D1501" s="23">
        <v>-642731</v>
      </c>
      <c r="E1501" s="22" t="s">
        <v>57</v>
      </c>
      <c r="F1501" s="24">
        <v>44274</v>
      </c>
      <c r="G1501" s="22" t="s">
        <v>7052</v>
      </c>
      <c r="H1501" s="22" t="s">
        <v>919</v>
      </c>
      <c r="I1501" s="22" t="s">
        <v>7057</v>
      </c>
      <c r="J1501" s="22" t="s">
        <v>4407</v>
      </c>
      <c r="K1501" s="22" t="s">
        <v>128</v>
      </c>
      <c r="L1501" s="22"/>
      <c r="M1501" s="22"/>
      <c r="N1501" s="22"/>
    </row>
    <row r="1502" spans="1:14" x14ac:dyDescent="0.25">
      <c r="A1502" s="22" t="s">
        <v>7058</v>
      </c>
      <c r="B1502" s="22" t="s">
        <v>39</v>
      </c>
      <c r="C1502" s="22" t="s">
        <v>4847</v>
      </c>
      <c r="D1502" s="23">
        <v>-53700</v>
      </c>
      <c r="E1502" s="22" t="s">
        <v>57</v>
      </c>
      <c r="F1502" s="24">
        <v>44258</v>
      </c>
      <c r="G1502" s="22" t="s">
        <v>7052</v>
      </c>
      <c r="H1502" s="22" t="s">
        <v>2666</v>
      </c>
      <c r="I1502" s="22" t="s">
        <v>7059</v>
      </c>
      <c r="J1502" s="22" t="s">
        <v>4552</v>
      </c>
      <c r="K1502" s="22" t="s">
        <v>128</v>
      </c>
      <c r="L1502" s="22"/>
      <c r="M1502" s="22"/>
      <c r="N1502" s="22"/>
    </row>
    <row r="1503" spans="1:14" x14ac:dyDescent="0.25">
      <c r="A1503" s="22" t="s">
        <v>7060</v>
      </c>
      <c r="B1503" s="22" t="s">
        <v>39</v>
      </c>
      <c r="C1503" s="22" t="s">
        <v>4847</v>
      </c>
      <c r="D1503" s="23">
        <v>-53700</v>
      </c>
      <c r="E1503" s="22" t="s">
        <v>57</v>
      </c>
      <c r="F1503" s="24">
        <v>44265</v>
      </c>
      <c r="G1503" s="22" t="s">
        <v>7052</v>
      </c>
      <c r="H1503" s="22" t="s">
        <v>2222</v>
      </c>
      <c r="I1503" s="22" t="s">
        <v>7061</v>
      </c>
      <c r="J1503" s="22" t="s">
        <v>4552</v>
      </c>
      <c r="K1503" s="22" t="s">
        <v>128</v>
      </c>
      <c r="L1503" s="22"/>
      <c r="M1503" s="22"/>
      <c r="N1503" s="22"/>
    </row>
    <row r="1504" spans="1:14" x14ac:dyDescent="0.25">
      <c r="A1504" s="22" t="s">
        <v>7062</v>
      </c>
      <c r="B1504" s="22" t="s">
        <v>39</v>
      </c>
      <c r="C1504" s="22" t="s">
        <v>4847</v>
      </c>
      <c r="D1504" s="23">
        <v>-104478</v>
      </c>
      <c r="E1504" s="22" t="s">
        <v>57</v>
      </c>
      <c r="F1504" s="24">
        <v>44267</v>
      </c>
      <c r="G1504" s="22" t="s">
        <v>7052</v>
      </c>
      <c r="H1504" s="22" t="s">
        <v>1619</v>
      </c>
      <c r="I1504" s="22" t="s">
        <v>7063</v>
      </c>
      <c r="J1504" s="22" t="s">
        <v>4552</v>
      </c>
      <c r="K1504" s="22" t="s">
        <v>128</v>
      </c>
      <c r="L1504" s="22"/>
      <c r="M1504" s="22"/>
      <c r="N1504" s="22"/>
    </row>
    <row r="1505" spans="1:14" x14ac:dyDescent="0.25">
      <c r="A1505" s="22" t="s">
        <v>7064</v>
      </c>
      <c r="B1505" s="22" t="s">
        <v>39</v>
      </c>
      <c r="C1505" s="22" t="s">
        <v>4847</v>
      </c>
      <c r="D1505" s="23">
        <v>-103600</v>
      </c>
      <c r="E1505" s="22" t="s">
        <v>57</v>
      </c>
      <c r="F1505" s="24">
        <v>44270</v>
      </c>
      <c r="G1505" s="22" t="s">
        <v>7052</v>
      </c>
      <c r="H1505" s="22" t="s">
        <v>1619</v>
      </c>
      <c r="I1505" s="22" t="s">
        <v>7065</v>
      </c>
      <c r="J1505" s="22" t="s">
        <v>4552</v>
      </c>
      <c r="K1505" s="22" t="s">
        <v>128</v>
      </c>
      <c r="L1505" s="22"/>
      <c r="M1505" s="22"/>
      <c r="N1505" s="22"/>
    </row>
    <row r="1506" spans="1:14" x14ac:dyDescent="0.25">
      <c r="A1506" s="22" t="s">
        <v>1899</v>
      </c>
      <c r="B1506" s="22" t="s">
        <v>39</v>
      </c>
      <c r="C1506" s="22" t="s">
        <v>4847</v>
      </c>
      <c r="D1506" s="23">
        <v>-2104173</v>
      </c>
      <c r="E1506" s="22" t="s">
        <v>57</v>
      </c>
      <c r="F1506" s="24">
        <v>44277</v>
      </c>
      <c r="G1506" s="22" t="s">
        <v>7052</v>
      </c>
      <c r="H1506" s="22" t="s">
        <v>483</v>
      </c>
      <c r="I1506" s="22" t="s">
        <v>4849</v>
      </c>
      <c r="J1506" s="22" t="s">
        <v>4552</v>
      </c>
      <c r="K1506" s="22" t="s">
        <v>128</v>
      </c>
      <c r="L1506" s="22"/>
      <c r="M1506" s="22"/>
      <c r="N1506" s="22"/>
    </row>
    <row r="1507" spans="1:14" x14ac:dyDescent="0.25">
      <c r="A1507" s="22" t="s">
        <v>7066</v>
      </c>
      <c r="B1507" s="22" t="s">
        <v>39</v>
      </c>
      <c r="C1507" s="22" t="s">
        <v>4847</v>
      </c>
      <c r="D1507" s="23">
        <v>-57534</v>
      </c>
      <c r="E1507" s="22" t="s">
        <v>57</v>
      </c>
      <c r="F1507" s="24">
        <v>44277</v>
      </c>
      <c r="G1507" s="22" t="s">
        <v>7052</v>
      </c>
      <c r="H1507" s="22" t="s">
        <v>7067</v>
      </c>
      <c r="I1507" s="22" t="s">
        <v>7068</v>
      </c>
      <c r="J1507" s="22" t="s">
        <v>4552</v>
      </c>
      <c r="K1507" s="22" t="s">
        <v>128</v>
      </c>
      <c r="L1507" s="22"/>
      <c r="M1507" s="22"/>
      <c r="N1507" s="22"/>
    </row>
    <row r="1508" spans="1:14" x14ac:dyDescent="0.25">
      <c r="A1508" s="22" t="s">
        <v>7069</v>
      </c>
      <c r="B1508" s="22" t="s">
        <v>39</v>
      </c>
      <c r="C1508" s="22" t="s">
        <v>4847</v>
      </c>
      <c r="D1508" s="23">
        <v>-66963</v>
      </c>
      <c r="E1508" s="22" t="s">
        <v>57</v>
      </c>
      <c r="F1508" s="24">
        <v>44282</v>
      </c>
      <c r="G1508" s="22" t="s">
        <v>7052</v>
      </c>
      <c r="H1508" s="22" t="s">
        <v>7070</v>
      </c>
      <c r="I1508" s="22" t="s">
        <v>7071</v>
      </c>
      <c r="J1508" s="22" t="s">
        <v>4552</v>
      </c>
      <c r="K1508" s="22" t="s">
        <v>128</v>
      </c>
      <c r="L1508" s="22"/>
      <c r="M1508" s="22"/>
      <c r="N1508" s="22"/>
    </row>
    <row r="1509" spans="1:14" x14ac:dyDescent="0.25">
      <c r="A1509" s="22" t="s">
        <v>7072</v>
      </c>
      <c r="B1509" s="22" t="s">
        <v>39</v>
      </c>
      <c r="C1509" s="22" t="s">
        <v>4847</v>
      </c>
      <c r="D1509" s="23">
        <v>-165800</v>
      </c>
      <c r="E1509" s="22" t="s">
        <v>57</v>
      </c>
      <c r="F1509" s="24">
        <v>44284</v>
      </c>
      <c r="G1509" s="22" t="s">
        <v>7052</v>
      </c>
      <c r="H1509" s="22" t="s">
        <v>280</v>
      </c>
      <c r="I1509" s="22" t="s">
        <v>7073</v>
      </c>
      <c r="J1509" s="22" t="s">
        <v>4552</v>
      </c>
      <c r="K1509" s="22" t="s">
        <v>128</v>
      </c>
      <c r="L1509" s="22"/>
      <c r="M1509" s="22"/>
      <c r="N1509" s="22"/>
    </row>
    <row r="1510" spans="1:14" x14ac:dyDescent="0.25">
      <c r="A1510" s="22" t="s">
        <v>7074</v>
      </c>
      <c r="B1510" s="22" t="s">
        <v>39</v>
      </c>
      <c r="C1510" s="22" t="s">
        <v>4847</v>
      </c>
      <c r="D1510" s="23">
        <v>-3574920</v>
      </c>
      <c r="E1510" s="22" t="s">
        <v>57</v>
      </c>
      <c r="F1510" s="24">
        <v>44285</v>
      </c>
      <c r="G1510" s="22" t="s">
        <v>7052</v>
      </c>
      <c r="H1510" s="22" t="s">
        <v>6980</v>
      </c>
      <c r="I1510" s="22" t="s">
        <v>7075</v>
      </c>
      <c r="J1510" s="22" t="s">
        <v>4552</v>
      </c>
      <c r="K1510" s="22" t="s">
        <v>128</v>
      </c>
      <c r="L1510" s="22"/>
      <c r="M1510" s="22"/>
      <c r="N1510" s="22"/>
    </row>
    <row r="1511" spans="1:14" x14ac:dyDescent="0.25">
      <c r="A1511" s="22" t="s">
        <v>7076</v>
      </c>
      <c r="B1511" s="22" t="s">
        <v>39</v>
      </c>
      <c r="C1511" s="22" t="s">
        <v>4847</v>
      </c>
      <c r="D1511" s="23">
        <v>-53700</v>
      </c>
      <c r="E1511" s="22" t="s">
        <v>57</v>
      </c>
      <c r="F1511" s="24">
        <v>44285</v>
      </c>
      <c r="G1511" s="22" t="s">
        <v>7052</v>
      </c>
      <c r="H1511" s="22" t="s">
        <v>820</v>
      </c>
      <c r="I1511" s="22" t="s">
        <v>7077</v>
      </c>
      <c r="J1511" s="22" t="s">
        <v>4552</v>
      </c>
      <c r="K1511" s="22" t="s">
        <v>128</v>
      </c>
      <c r="L1511" s="22"/>
      <c r="M1511" s="22"/>
      <c r="N1511" s="22"/>
    </row>
    <row r="1512" spans="1:14" x14ac:dyDescent="0.25">
      <c r="A1512" s="22" t="s">
        <v>7078</v>
      </c>
      <c r="B1512" s="22" t="s">
        <v>39</v>
      </c>
      <c r="C1512" s="22" t="s">
        <v>6892</v>
      </c>
      <c r="D1512" s="23">
        <v>-106600</v>
      </c>
      <c r="E1512" s="22" t="s">
        <v>57</v>
      </c>
      <c r="F1512" s="24">
        <v>44258</v>
      </c>
      <c r="G1512" s="22" t="s">
        <v>7052</v>
      </c>
      <c r="H1512" s="22" t="s">
        <v>1876</v>
      </c>
      <c r="I1512" s="22" t="s">
        <v>7079</v>
      </c>
      <c r="J1512" s="22" t="s">
        <v>4407</v>
      </c>
      <c r="K1512" s="22" t="s">
        <v>128</v>
      </c>
      <c r="L1512" s="22"/>
      <c r="M1512" s="22"/>
      <c r="N1512" s="22"/>
    </row>
    <row r="1513" spans="1:14" x14ac:dyDescent="0.25">
      <c r="A1513" s="22" t="s">
        <v>7080</v>
      </c>
      <c r="B1513" s="22" t="s">
        <v>39</v>
      </c>
      <c r="C1513" s="22" t="s">
        <v>6892</v>
      </c>
      <c r="D1513" s="23">
        <v>-44700</v>
      </c>
      <c r="E1513" s="22" t="s">
        <v>57</v>
      </c>
      <c r="F1513" s="24">
        <v>44258</v>
      </c>
      <c r="G1513" s="22" t="s">
        <v>7052</v>
      </c>
      <c r="H1513" s="22" t="s">
        <v>1876</v>
      </c>
      <c r="I1513" s="22" t="s">
        <v>7081</v>
      </c>
      <c r="J1513" s="22" t="s">
        <v>4407</v>
      </c>
      <c r="K1513" s="22" t="s">
        <v>128</v>
      </c>
      <c r="L1513" s="22"/>
      <c r="M1513" s="22"/>
      <c r="N1513" s="22"/>
    </row>
    <row r="1514" spans="1:14" x14ac:dyDescent="0.25">
      <c r="A1514" s="22" t="s">
        <v>7082</v>
      </c>
      <c r="B1514" s="22" t="s">
        <v>39</v>
      </c>
      <c r="C1514" s="22" t="s">
        <v>6892</v>
      </c>
      <c r="D1514" s="23">
        <v>-420000</v>
      </c>
      <c r="E1514" s="22" t="s">
        <v>57</v>
      </c>
      <c r="F1514" s="24">
        <v>44259</v>
      </c>
      <c r="G1514" s="22" t="s">
        <v>7052</v>
      </c>
      <c r="H1514" s="22" t="s">
        <v>919</v>
      </c>
      <c r="I1514" s="22" t="s">
        <v>7083</v>
      </c>
      <c r="J1514" s="22" t="s">
        <v>4407</v>
      </c>
      <c r="K1514" s="22" t="s">
        <v>128</v>
      </c>
      <c r="L1514" s="22"/>
      <c r="M1514" s="22"/>
      <c r="N1514" s="22"/>
    </row>
    <row r="1515" spans="1:14" x14ac:dyDescent="0.25">
      <c r="A1515" s="22" t="s">
        <v>7084</v>
      </c>
      <c r="B1515" s="22" t="s">
        <v>39</v>
      </c>
      <c r="C1515" s="22" t="s">
        <v>6892</v>
      </c>
      <c r="D1515" s="23">
        <v>-222900</v>
      </c>
      <c r="E1515" s="22" t="s">
        <v>57</v>
      </c>
      <c r="F1515" s="24">
        <v>44264</v>
      </c>
      <c r="G1515" s="22" t="s">
        <v>7052</v>
      </c>
      <c r="H1515" s="22" t="s">
        <v>1805</v>
      </c>
      <c r="I1515" s="22" t="s">
        <v>7085</v>
      </c>
      <c r="J1515" s="22" t="s">
        <v>4407</v>
      </c>
      <c r="K1515" s="22" t="s">
        <v>128</v>
      </c>
      <c r="L1515" s="22"/>
      <c r="M1515" s="22"/>
      <c r="N1515" s="22"/>
    </row>
    <row r="1516" spans="1:14" x14ac:dyDescent="0.25">
      <c r="A1516" s="22" t="s">
        <v>7086</v>
      </c>
      <c r="B1516" s="22" t="s">
        <v>39</v>
      </c>
      <c r="C1516" s="22" t="s">
        <v>6892</v>
      </c>
      <c r="D1516" s="23">
        <v>-47200</v>
      </c>
      <c r="E1516" s="22" t="s">
        <v>57</v>
      </c>
      <c r="F1516" s="24">
        <v>44265</v>
      </c>
      <c r="G1516" s="22" t="s">
        <v>7052</v>
      </c>
      <c r="H1516" s="22" t="s">
        <v>1805</v>
      </c>
      <c r="I1516" s="22" t="s">
        <v>7087</v>
      </c>
      <c r="J1516" s="22" t="s">
        <v>4407</v>
      </c>
      <c r="K1516" s="22" t="s">
        <v>128</v>
      </c>
      <c r="L1516" s="22"/>
      <c r="M1516" s="22"/>
      <c r="N1516" s="22"/>
    </row>
    <row r="1517" spans="1:14" x14ac:dyDescent="0.25">
      <c r="A1517" s="22" t="s">
        <v>7088</v>
      </c>
      <c r="B1517" s="22" t="s">
        <v>39</v>
      </c>
      <c r="C1517" s="22" t="s">
        <v>6892</v>
      </c>
      <c r="D1517" s="23">
        <v>-146600</v>
      </c>
      <c r="E1517" s="22" t="s">
        <v>57</v>
      </c>
      <c r="F1517" s="24">
        <v>44268</v>
      </c>
      <c r="G1517" s="22" t="s">
        <v>7052</v>
      </c>
      <c r="H1517" s="22" t="s">
        <v>764</v>
      </c>
      <c r="I1517" s="22" t="s">
        <v>7089</v>
      </c>
      <c r="J1517" s="22" t="s">
        <v>4407</v>
      </c>
      <c r="K1517" s="22" t="s">
        <v>128</v>
      </c>
      <c r="L1517" s="22"/>
      <c r="M1517" s="22"/>
      <c r="N1517" s="22"/>
    </row>
    <row r="1518" spans="1:14" x14ac:dyDescent="0.25">
      <c r="A1518" s="22" t="s">
        <v>7090</v>
      </c>
      <c r="B1518" s="22" t="s">
        <v>39</v>
      </c>
      <c r="C1518" s="22" t="s">
        <v>6892</v>
      </c>
      <c r="D1518" s="23">
        <v>-47200</v>
      </c>
      <c r="E1518" s="22" t="s">
        <v>57</v>
      </c>
      <c r="F1518" s="24">
        <v>44271</v>
      </c>
      <c r="G1518" s="22" t="s">
        <v>7052</v>
      </c>
      <c r="H1518" s="22" t="s">
        <v>1876</v>
      </c>
      <c r="I1518" s="22" t="s">
        <v>7091</v>
      </c>
      <c r="J1518" s="22" t="s">
        <v>4407</v>
      </c>
      <c r="K1518" s="22" t="s">
        <v>128</v>
      </c>
      <c r="L1518" s="22"/>
      <c r="M1518" s="22"/>
      <c r="N1518" s="22"/>
    </row>
    <row r="1519" spans="1:14" x14ac:dyDescent="0.25">
      <c r="A1519" s="22" t="s">
        <v>7092</v>
      </c>
      <c r="B1519" s="22" t="s">
        <v>39</v>
      </c>
      <c r="C1519" s="22" t="s">
        <v>6892</v>
      </c>
      <c r="D1519" s="23">
        <v>-47200</v>
      </c>
      <c r="E1519" s="22" t="s">
        <v>57</v>
      </c>
      <c r="F1519" s="24">
        <v>44272</v>
      </c>
      <c r="G1519" s="22" t="s">
        <v>7052</v>
      </c>
      <c r="H1519" s="22" t="s">
        <v>764</v>
      </c>
      <c r="I1519" s="22" t="s">
        <v>7093</v>
      </c>
      <c r="J1519" s="22" t="s">
        <v>4407</v>
      </c>
      <c r="K1519" s="22" t="s">
        <v>128</v>
      </c>
      <c r="L1519" s="22"/>
      <c r="M1519" s="22"/>
      <c r="N1519" s="22"/>
    </row>
    <row r="1520" spans="1:14" x14ac:dyDescent="0.25">
      <c r="A1520" s="22" t="s">
        <v>7094</v>
      </c>
      <c r="B1520" s="22" t="s">
        <v>39</v>
      </c>
      <c r="C1520" s="22" t="s">
        <v>6892</v>
      </c>
      <c r="D1520" s="23">
        <v>-23700</v>
      </c>
      <c r="E1520" s="22" t="s">
        <v>57</v>
      </c>
      <c r="F1520" s="24">
        <v>44273</v>
      </c>
      <c r="G1520" s="22" t="s">
        <v>7052</v>
      </c>
      <c r="H1520" s="22" t="s">
        <v>764</v>
      </c>
      <c r="I1520" s="22" t="s">
        <v>7095</v>
      </c>
      <c r="J1520" s="22" t="s">
        <v>4407</v>
      </c>
      <c r="K1520" s="22" t="s">
        <v>128</v>
      </c>
      <c r="L1520" s="22"/>
      <c r="M1520" s="22"/>
      <c r="N1520" s="22"/>
    </row>
    <row r="1521" spans="1:14" x14ac:dyDescent="0.25">
      <c r="A1521" s="22" t="s">
        <v>7096</v>
      </c>
      <c r="B1521" s="22" t="s">
        <v>39</v>
      </c>
      <c r="C1521" s="22" t="s">
        <v>6892</v>
      </c>
      <c r="D1521" s="23">
        <v>-22300</v>
      </c>
      <c r="E1521" s="22" t="s">
        <v>57</v>
      </c>
      <c r="F1521" s="24">
        <v>44274</v>
      </c>
      <c r="G1521" s="22" t="s">
        <v>7052</v>
      </c>
      <c r="H1521" s="22" t="s">
        <v>537</v>
      </c>
      <c r="I1521" s="22" t="s">
        <v>7097</v>
      </c>
      <c r="J1521" s="22" t="s">
        <v>4407</v>
      </c>
      <c r="K1521" s="22" t="s">
        <v>128</v>
      </c>
      <c r="L1521" s="22"/>
      <c r="M1521" s="22"/>
      <c r="N1521" s="22"/>
    </row>
    <row r="1522" spans="1:14" x14ac:dyDescent="0.25">
      <c r="A1522" s="22" t="s">
        <v>7098</v>
      </c>
      <c r="B1522" s="22" t="s">
        <v>39</v>
      </c>
      <c r="C1522" s="22" t="s">
        <v>6892</v>
      </c>
      <c r="D1522" s="23">
        <v>-23700</v>
      </c>
      <c r="E1522" s="22" t="s">
        <v>57</v>
      </c>
      <c r="F1522" s="24">
        <v>44278</v>
      </c>
      <c r="G1522" s="22" t="s">
        <v>7052</v>
      </c>
      <c r="H1522" s="22" t="s">
        <v>1805</v>
      </c>
      <c r="I1522" s="22" t="s">
        <v>7099</v>
      </c>
      <c r="J1522" s="22" t="s">
        <v>4407</v>
      </c>
      <c r="K1522" s="22" t="s">
        <v>128</v>
      </c>
      <c r="L1522" s="22"/>
      <c r="M1522" s="22"/>
      <c r="N1522" s="22"/>
    </row>
    <row r="1523" spans="1:14" x14ac:dyDescent="0.25">
      <c r="A1523" s="22" t="s">
        <v>7100</v>
      </c>
      <c r="B1523" s="22" t="s">
        <v>39</v>
      </c>
      <c r="C1523" s="22" t="s">
        <v>6892</v>
      </c>
      <c r="D1523" s="23">
        <v>-22300</v>
      </c>
      <c r="E1523" s="22" t="s">
        <v>57</v>
      </c>
      <c r="F1523" s="24">
        <v>44279</v>
      </c>
      <c r="G1523" s="22" t="s">
        <v>7052</v>
      </c>
      <c r="H1523" s="22" t="s">
        <v>764</v>
      </c>
      <c r="I1523" s="22" t="s">
        <v>7101</v>
      </c>
      <c r="J1523" s="22" t="s">
        <v>4407</v>
      </c>
      <c r="K1523" s="22" t="s">
        <v>128</v>
      </c>
      <c r="L1523" s="22"/>
      <c r="M1523" s="22"/>
      <c r="N1523" s="22"/>
    </row>
    <row r="1524" spans="1:14" x14ac:dyDescent="0.25">
      <c r="A1524" s="22" t="s">
        <v>7102</v>
      </c>
      <c r="B1524" s="22" t="s">
        <v>39</v>
      </c>
      <c r="C1524" s="22" t="s">
        <v>6892</v>
      </c>
      <c r="D1524" s="23">
        <v>-32700</v>
      </c>
      <c r="E1524" s="22" t="s">
        <v>57</v>
      </c>
      <c r="F1524" s="24">
        <v>44280</v>
      </c>
      <c r="G1524" s="22" t="s">
        <v>7052</v>
      </c>
      <c r="H1524" s="22" t="s">
        <v>919</v>
      </c>
      <c r="I1524" s="22" t="s">
        <v>7103</v>
      </c>
      <c r="J1524" s="22" t="s">
        <v>4407</v>
      </c>
      <c r="K1524" s="22" t="s">
        <v>128</v>
      </c>
      <c r="L1524" s="22"/>
      <c r="M1524" s="22"/>
      <c r="N1524" s="22"/>
    </row>
    <row r="1525" spans="1:14" x14ac:dyDescent="0.25">
      <c r="A1525" s="22" t="s">
        <v>7104</v>
      </c>
      <c r="B1525" s="22" t="s">
        <v>39</v>
      </c>
      <c r="C1525" s="22" t="s">
        <v>6892</v>
      </c>
      <c r="D1525" s="23">
        <v>-9700</v>
      </c>
      <c r="E1525" s="22" t="s">
        <v>57</v>
      </c>
      <c r="F1525" s="24">
        <v>44281</v>
      </c>
      <c r="G1525" s="22" t="s">
        <v>7052</v>
      </c>
      <c r="H1525" s="22" t="s">
        <v>537</v>
      </c>
      <c r="I1525" s="22" t="s">
        <v>7105</v>
      </c>
      <c r="J1525" s="22" t="s">
        <v>4407</v>
      </c>
      <c r="K1525" s="22" t="s">
        <v>128</v>
      </c>
      <c r="L1525" s="22"/>
      <c r="M1525" s="22"/>
      <c r="N1525" s="22"/>
    </row>
    <row r="1526" spans="1:14" x14ac:dyDescent="0.25">
      <c r="A1526" s="22" t="s">
        <v>7106</v>
      </c>
      <c r="B1526" s="22" t="s">
        <v>39</v>
      </c>
      <c r="C1526" s="22" t="s">
        <v>6892</v>
      </c>
      <c r="D1526" s="23">
        <v>-32700</v>
      </c>
      <c r="E1526" s="22" t="s">
        <v>57</v>
      </c>
      <c r="F1526" s="24">
        <v>44281</v>
      </c>
      <c r="G1526" s="22" t="s">
        <v>7052</v>
      </c>
      <c r="H1526" s="22" t="s">
        <v>6603</v>
      </c>
      <c r="I1526" s="22" t="s">
        <v>7107</v>
      </c>
      <c r="J1526" s="22" t="s">
        <v>4407</v>
      </c>
      <c r="K1526" s="22" t="s">
        <v>128</v>
      </c>
      <c r="L1526" s="22"/>
      <c r="M1526" s="22"/>
      <c r="N1526" s="22"/>
    </row>
    <row r="1527" spans="1:14" x14ac:dyDescent="0.25">
      <c r="A1527" s="22" t="s">
        <v>7108</v>
      </c>
      <c r="B1527" s="22" t="s">
        <v>39</v>
      </c>
      <c r="C1527" s="22" t="s">
        <v>6892</v>
      </c>
      <c r="D1527" s="23">
        <v>-126200</v>
      </c>
      <c r="E1527" s="22" t="s">
        <v>57</v>
      </c>
      <c r="F1527" s="24">
        <v>44284</v>
      </c>
      <c r="G1527" s="22" t="s">
        <v>7052</v>
      </c>
      <c r="H1527" s="22" t="s">
        <v>919</v>
      </c>
      <c r="I1527" s="22" t="s">
        <v>7109</v>
      </c>
      <c r="J1527" s="22" t="s">
        <v>4407</v>
      </c>
      <c r="K1527" s="22" t="s">
        <v>128</v>
      </c>
      <c r="L1527" s="22"/>
      <c r="M1527" s="22"/>
      <c r="N1527" s="22"/>
    </row>
    <row r="1528" spans="1:14" x14ac:dyDescent="0.25">
      <c r="A1528" s="22" t="s">
        <v>7110</v>
      </c>
      <c r="B1528" s="22" t="s">
        <v>39</v>
      </c>
      <c r="C1528" s="22" t="s">
        <v>6892</v>
      </c>
      <c r="D1528" s="23">
        <v>-22300</v>
      </c>
      <c r="E1528" s="22" t="s">
        <v>57</v>
      </c>
      <c r="F1528" s="24">
        <v>44285</v>
      </c>
      <c r="G1528" s="22" t="s">
        <v>7052</v>
      </c>
      <c r="H1528" s="22" t="s">
        <v>298</v>
      </c>
      <c r="I1528" s="22" t="s">
        <v>7111</v>
      </c>
      <c r="J1528" s="22" t="s">
        <v>4407</v>
      </c>
      <c r="K1528" s="22" t="s">
        <v>128</v>
      </c>
      <c r="L1528" s="22"/>
      <c r="M1528" s="22"/>
      <c r="N1528" s="22"/>
    </row>
    <row r="1529" spans="1:14" x14ac:dyDescent="0.25">
      <c r="A1529" s="22" t="s">
        <v>7112</v>
      </c>
      <c r="B1529" s="22" t="s">
        <v>39</v>
      </c>
      <c r="C1529" s="22" t="s">
        <v>6892</v>
      </c>
      <c r="D1529" s="23">
        <v>-79000</v>
      </c>
      <c r="E1529" s="22" t="s">
        <v>57</v>
      </c>
      <c r="F1529" s="24">
        <v>44286</v>
      </c>
      <c r="G1529" s="22" t="s">
        <v>7052</v>
      </c>
      <c r="H1529" s="22" t="s">
        <v>298</v>
      </c>
      <c r="I1529" s="22" t="s">
        <v>7113</v>
      </c>
      <c r="J1529" s="22" t="s">
        <v>4407</v>
      </c>
      <c r="K1529" s="22" t="s">
        <v>128</v>
      </c>
      <c r="L1529" s="22"/>
      <c r="M1529" s="22"/>
      <c r="N1529" s="22"/>
    </row>
    <row r="1530" spans="1:14" x14ac:dyDescent="0.25">
      <c r="A1530" s="22" t="s">
        <v>7114</v>
      </c>
      <c r="B1530" s="22" t="s">
        <v>39</v>
      </c>
      <c r="C1530" s="22" t="s">
        <v>6924</v>
      </c>
      <c r="D1530" s="23">
        <v>-19600</v>
      </c>
      <c r="E1530" s="22" t="s">
        <v>57</v>
      </c>
      <c r="F1530" s="24">
        <v>44141</v>
      </c>
      <c r="G1530" s="22" t="s">
        <v>7052</v>
      </c>
      <c r="H1530" s="22" t="s">
        <v>2233</v>
      </c>
      <c r="I1530" s="22" t="s">
        <v>7115</v>
      </c>
      <c r="J1530" s="22" t="s">
        <v>4552</v>
      </c>
      <c r="K1530" s="22" t="s">
        <v>128</v>
      </c>
      <c r="L1530" s="22"/>
      <c r="M1530" s="22"/>
      <c r="N1530" s="22"/>
    </row>
    <row r="1531" spans="1:14" x14ac:dyDescent="0.25">
      <c r="A1531" s="22" t="s">
        <v>7116</v>
      </c>
      <c r="B1531" s="22" t="s">
        <v>39</v>
      </c>
      <c r="C1531" s="22" t="s">
        <v>6924</v>
      </c>
      <c r="D1531" s="23">
        <v>-42200</v>
      </c>
      <c r="E1531" s="22" t="s">
        <v>57</v>
      </c>
      <c r="F1531" s="24">
        <v>44141</v>
      </c>
      <c r="G1531" s="22" t="s">
        <v>7052</v>
      </c>
      <c r="H1531" s="22" t="s">
        <v>2233</v>
      </c>
      <c r="I1531" s="22" t="s">
        <v>7117</v>
      </c>
      <c r="J1531" s="22" t="s">
        <v>4552</v>
      </c>
      <c r="K1531" s="22" t="s">
        <v>128</v>
      </c>
      <c r="L1531" s="22"/>
      <c r="M1531" s="22"/>
      <c r="N1531" s="22"/>
    </row>
    <row r="1532" spans="1:14" x14ac:dyDescent="0.25">
      <c r="A1532" s="22" t="s">
        <v>7118</v>
      </c>
      <c r="B1532" s="22" t="s">
        <v>39</v>
      </c>
      <c r="C1532" s="22" t="s">
        <v>6924</v>
      </c>
      <c r="D1532" s="23">
        <v>-6300</v>
      </c>
      <c r="E1532" s="22" t="s">
        <v>57</v>
      </c>
      <c r="F1532" s="24">
        <v>44144</v>
      </c>
      <c r="G1532" s="22" t="s">
        <v>7052</v>
      </c>
      <c r="H1532" s="22" t="s">
        <v>2233</v>
      </c>
      <c r="I1532" s="22" t="s">
        <v>7119</v>
      </c>
      <c r="J1532" s="22" t="s">
        <v>4552</v>
      </c>
      <c r="K1532" s="22" t="s">
        <v>128</v>
      </c>
      <c r="L1532" s="22"/>
      <c r="M1532" s="22"/>
      <c r="N1532" s="22"/>
    </row>
    <row r="1533" spans="1:14" x14ac:dyDescent="0.25">
      <c r="A1533" s="22" t="s">
        <v>7120</v>
      </c>
      <c r="B1533" s="22" t="s">
        <v>39</v>
      </c>
      <c r="C1533" s="22" t="s">
        <v>6924</v>
      </c>
      <c r="D1533" s="23">
        <v>-65900</v>
      </c>
      <c r="E1533" s="22" t="s">
        <v>57</v>
      </c>
      <c r="F1533" s="24">
        <v>44144</v>
      </c>
      <c r="G1533" s="22" t="s">
        <v>7052</v>
      </c>
      <c r="H1533" s="22" t="s">
        <v>2233</v>
      </c>
      <c r="I1533" s="22" t="s">
        <v>7121</v>
      </c>
      <c r="J1533" s="22" t="s">
        <v>4552</v>
      </c>
      <c r="K1533" s="22" t="s">
        <v>128</v>
      </c>
      <c r="L1533" s="22"/>
      <c r="M1533" s="22"/>
      <c r="N1533" s="22"/>
    </row>
    <row r="1534" spans="1:14" x14ac:dyDescent="0.25">
      <c r="A1534" s="22" t="s">
        <v>7122</v>
      </c>
      <c r="B1534" s="22" t="s">
        <v>39</v>
      </c>
      <c r="C1534" s="22" t="s">
        <v>6924</v>
      </c>
      <c r="D1534" s="23">
        <v>-20300</v>
      </c>
      <c r="E1534" s="22" t="s">
        <v>57</v>
      </c>
      <c r="F1534" s="24">
        <v>44146</v>
      </c>
      <c r="G1534" s="22" t="s">
        <v>7052</v>
      </c>
      <c r="H1534" s="22" t="s">
        <v>2233</v>
      </c>
      <c r="I1534" s="22" t="s">
        <v>7123</v>
      </c>
      <c r="J1534" s="22" t="s">
        <v>4552</v>
      </c>
      <c r="K1534" s="22" t="s">
        <v>128</v>
      </c>
      <c r="L1534" s="22"/>
      <c r="M1534" s="22"/>
      <c r="N1534" s="22"/>
    </row>
    <row r="1535" spans="1:14" x14ac:dyDescent="0.25">
      <c r="A1535" s="22" t="s">
        <v>7124</v>
      </c>
      <c r="B1535" s="22" t="s">
        <v>39</v>
      </c>
      <c r="C1535" s="22" t="s">
        <v>6924</v>
      </c>
      <c r="D1535" s="23">
        <v>-42200</v>
      </c>
      <c r="E1535" s="22" t="s">
        <v>57</v>
      </c>
      <c r="F1535" s="24">
        <v>44148</v>
      </c>
      <c r="G1535" s="22" t="s">
        <v>7052</v>
      </c>
      <c r="H1535" s="22" t="s">
        <v>897</v>
      </c>
      <c r="I1535" s="22" t="s">
        <v>7125</v>
      </c>
      <c r="J1535" s="22" t="s">
        <v>4552</v>
      </c>
      <c r="K1535" s="22" t="s">
        <v>128</v>
      </c>
      <c r="L1535" s="22"/>
      <c r="M1535" s="22"/>
      <c r="N1535" s="22"/>
    </row>
    <row r="1536" spans="1:14" x14ac:dyDescent="0.25">
      <c r="A1536" s="22" t="s">
        <v>7126</v>
      </c>
      <c r="B1536" s="22" t="s">
        <v>39</v>
      </c>
      <c r="C1536" s="22" t="s">
        <v>6924</v>
      </c>
      <c r="D1536" s="23">
        <v>-28300</v>
      </c>
      <c r="E1536" s="22" t="s">
        <v>57</v>
      </c>
      <c r="F1536" s="24">
        <v>44148</v>
      </c>
      <c r="G1536" s="22" t="s">
        <v>7052</v>
      </c>
      <c r="H1536" s="22" t="s">
        <v>2233</v>
      </c>
      <c r="I1536" s="22" t="s">
        <v>7127</v>
      </c>
      <c r="J1536" s="22" t="s">
        <v>4552</v>
      </c>
      <c r="K1536" s="22" t="s">
        <v>128</v>
      </c>
      <c r="L1536" s="22"/>
      <c r="M1536" s="22"/>
      <c r="N1536" s="22"/>
    </row>
    <row r="1537" spans="1:14" x14ac:dyDescent="0.25">
      <c r="A1537" s="22" t="s">
        <v>7128</v>
      </c>
      <c r="B1537" s="22" t="s">
        <v>39</v>
      </c>
      <c r="C1537" s="22" t="s">
        <v>6924</v>
      </c>
      <c r="D1537" s="23">
        <v>-8000</v>
      </c>
      <c r="E1537" s="22" t="s">
        <v>57</v>
      </c>
      <c r="F1537" s="24">
        <v>44165</v>
      </c>
      <c r="G1537" s="22" t="s">
        <v>7052</v>
      </c>
      <c r="H1537" s="22" t="s">
        <v>559</v>
      </c>
      <c r="I1537" s="22" t="s">
        <v>7129</v>
      </c>
      <c r="J1537" s="22" t="s">
        <v>4552</v>
      </c>
      <c r="K1537" s="22" t="s">
        <v>128</v>
      </c>
      <c r="L1537" s="22"/>
      <c r="M1537" s="22"/>
      <c r="N1537" s="22"/>
    </row>
    <row r="1538" spans="1:14" x14ac:dyDescent="0.25">
      <c r="A1538" s="22" t="s">
        <v>7130</v>
      </c>
      <c r="B1538" s="22" t="s">
        <v>39</v>
      </c>
      <c r="C1538" s="22" t="s">
        <v>6927</v>
      </c>
      <c r="D1538" s="23">
        <v>-104300</v>
      </c>
      <c r="E1538" s="22" t="s">
        <v>57</v>
      </c>
      <c r="F1538" s="24">
        <v>44138</v>
      </c>
      <c r="G1538" s="22" t="s">
        <v>7052</v>
      </c>
      <c r="H1538" s="22" t="s">
        <v>1348</v>
      </c>
      <c r="I1538" s="22" t="s">
        <v>7131</v>
      </c>
      <c r="J1538" s="22" t="s">
        <v>4407</v>
      </c>
      <c r="K1538" s="22" t="s">
        <v>128</v>
      </c>
      <c r="L1538" s="22"/>
      <c r="M1538" s="22"/>
      <c r="N1538" s="22"/>
    </row>
    <row r="1539" spans="1:14" x14ac:dyDescent="0.25">
      <c r="A1539" s="22" t="s">
        <v>7132</v>
      </c>
      <c r="B1539" s="22" t="s">
        <v>39</v>
      </c>
      <c r="C1539" s="22" t="s">
        <v>6927</v>
      </c>
      <c r="D1539" s="23">
        <v>-211900</v>
      </c>
      <c r="E1539" s="22" t="s">
        <v>57</v>
      </c>
      <c r="F1539" s="24">
        <v>44138</v>
      </c>
      <c r="G1539" s="22" t="s">
        <v>7052</v>
      </c>
      <c r="H1539" s="22" t="s">
        <v>6592</v>
      </c>
      <c r="I1539" s="22" t="s">
        <v>7133</v>
      </c>
      <c r="J1539" s="22" t="s">
        <v>4407</v>
      </c>
      <c r="K1539" s="22" t="s">
        <v>128</v>
      </c>
      <c r="L1539" s="22"/>
      <c r="M1539" s="22"/>
      <c r="N1539" s="22"/>
    </row>
    <row r="1540" spans="1:14" x14ac:dyDescent="0.25">
      <c r="A1540" s="22" t="s">
        <v>7134</v>
      </c>
      <c r="B1540" s="22" t="s">
        <v>39</v>
      </c>
      <c r="C1540" s="22" t="s">
        <v>6927</v>
      </c>
      <c r="D1540" s="23">
        <v>-97800</v>
      </c>
      <c r="E1540" s="22" t="s">
        <v>57</v>
      </c>
      <c r="F1540" s="24">
        <v>44144</v>
      </c>
      <c r="G1540" s="22" t="s">
        <v>7052</v>
      </c>
      <c r="H1540" s="22" t="s">
        <v>2222</v>
      </c>
      <c r="I1540" s="22" t="s">
        <v>7135</v>
      </c>
      <c r="J1540" s="22" t="s">
        <v>4407</v>
      </c>
      <c r="K1540" s="22" t="s">
        <v>128</v>
      </c>
      <c r="L1540" s="22"/>
      <c r="M1540" s="22"/>
      <c r="N1540" s="22"/>
    </row>
    <row r="1541" spans="1:14" x14ac:dyDescent="0.25">
      <c r="A1541" s="22" t="s">
        <v>7136</v>
      </c>
      <c r="B1541" s="22" t="s">
        <v>39</v>
      </c>
      <c r="C1541" s="22" t="s">
        <v>6927</v>
      </c>
      <c r="D1541" s="23">
        <v>-31700</v>
      </c>
      <c r="E1541" s="22" t="s">
        <v>57</v>
      </c>
      <c r="F1541" s="24">
        <v>44144</v>
      </c>
      <c r="G1541" s="22" t="s">
        <v>7052</v>
      </c>
      <c r="H1541" s="22" t="s">
        <v>919</v>
      </c>
      <c r="I1541" s="22" t="s">
        <v>7137</v>
      </c>
      <c r="J1541" s="22" t="s">
        <v>4407</v>
      </c>
      <c r="K1541" s="22" t="s">
        <v>128</v>
      </c>
      <c r="L1541" s="22"/>
      <c r="M1541" s="22"/>
      <c r="N1541" s="22"/>
    </row>
    <row r="1542" spans="1:14" x14ac:dyDescent="0.25">
      <c r="A1542" s="22" t="s">
        <v>7138</v>
      </c>
      <c r="B1542" s="22" t="s">
        <v>39</v>
      </c>
      <c r="C1542" s="22" t="s">
        <v>6927</v>
      </c>
      <c r="D1542" s="23">
        <v>-31700</v>
      </c>
      <c r="E1542" s="22" t="s">
        <v>57</v>
      </c>
      <c r="F1542" s="24">
        <v>44147</v>
      </c>
      <c r="G1542" s="22" t="s">
        <v>7052</v>
      </c>
      <c r="H1542" s="22" t="s">
        <v>532</v>
      </c>
      <c r="I1542" s="22" t="s">
        <v>7139</v>
      </c>
      <c r="J1542" s="22" t="s">
        <v>4407</v>
      </c>
      <c r="K1542" s="22" t="s">
        <v>128</v>
      </c>
      <c r="L1542" s="22"/>
      <c r="M1542" s="22"/>
      <c r="N1542" s="22"/>
    </row>
    <row r="1543" spans="1:14" x14ac:dyDescent="0.25">
      <c r="A1543" s="22" t="s">
        <v>7140</v>
      </c>
      <c r="B1543" s="22" t="s">
        <v>39</v>
      </c>
      <c r="C1543" s="22" t="s">
        <v>6927</v>
      </c>
      <c r="D1543" s="23">
        <v>-31700</v>
      </c>
      <c r="E1543" s="22" t="s">
        <v>57</v>
      </c>
      <c r="F1543" s="24">
        <v>44147</v>
      </c>
      <c r="G1543" s="22" t="s">
        <v>7052</v>
      </c>
      <c r="H1543" s="22" t="s">
        <v>1876</v>
      </c>
      <c r="I1543" s="22" t="s">
        <v>7141</v>
      </c>
      <c r="J1543" s="22" t="s">
        <v>4407</v>
      </c>
      <c r="K1543" s="22" t="s">
        <v>128</v>
      </c>
      <c r="L1543" s="22"/>
      <c r="M1543" s="22"/>
      <c r="N1543" s="22"/>
    </row>
    <row r="1544" spans="1:14" x14ac:dyDescent="0.25">
      <c r="A1544" s="22" t="s">
        <v>7142</v>
      </c>
      <c r="B1544" s="22" t="s">
        <v>39</v>
      </c>
      <c r="C1544" s="22" t="s">
        <v>6927</v>
      </c>
      <c r="D1544" s="23">
        <v>-89000</v>
      </c>
      <c r="E1544" s="22" t="s">
        <v>57</v>
      </c>
      <c r="F1544" s="24">
        <v>44154</v>
      </c>
      <c r="G1544" s="22" t="s">
        <v>7052</v>
      </c>
      <c r="H1544" s="22" t="s">
        <v>7143</v>
      </c>
      <c r="I1544" s="22" t="s">
        <v>7144</v>
      </c>
      <c r="J1544" s="22" t="s">
        <v>4407</v>
      </c>
      <c r="K1544" s="22" t="s">
        <v>128</v>
      </c>
      <c r="L1544" s="22"/>
      <c r="M1544" s="22"/>
      <c r="N1544" s="22"/>
    </row>
    <row r="1545" spans="1:14" x14ac:dyDescent="0.25">
      <c r="A1545" s="22" t="s">
        <v>7145</v>
      </c>
      <c r="B1545" s="22" t="s">
        <v>39</v>
      </c>
      <c r="C1545" s="22" t="s">
        <v>6927</v>
      </c>
      <c r="D1545" s="23">
        <v>-9700</v>
      </c>
      <c r="E1545" s="22" t="s">
        <v>57</v>
      </c>
      <c r="F1545" s="24">
        <v>44155</v>
      </c>
      <c r="G1545" s="22" t="s">
        <v>7052</v>
      </c>
      <c r="H1545" s="22" t="s">
        <v>2222</v>
      </c>
      <c r="I1545" s="22" t="s">
        <v>7146</v>
      </c>
      <c r="J1545" s="22" t="s">
        <v>4407</v>
      </c>
      <c r="K1545" s="22" t="s">
        <v>128</v>
      </c>
      <c r="L1545" s="22"/>
      <c r="M1545" s="22"/>
      <c r="N1545" s="22"/>
    </row>
    <row r="1546" spans="1:14" x14ac:dyDescent="0.25">
      <c r="A1546" s="22" t="s">
        <v>7051</v>
      </c>
      <c r="B1546" s="22" t="s">
        <v>39</v>
      </c>
      <c r="C1546" s="22" t="s">
        <v>6927</v>
      </c>
      <c r="D1546" s="23">
        <v>-31600</v>
      </c>
      <c r="E1546" s="22" t="s">
        <v>57</v>
      </c>
      <c r="F1546" s="24">
        <v>44155</v>
      </c>
      <c r="G1546" s="22" t="s">
        <v>7052</v>
      </c>
      <c r="H1546" s="22" t="s">
        <v>2222</v>
      </c>
      <c r="I1546" s="22" t="s">
        <v>7147</v>
      </c>
      <c r="J1546" s="22" t="s">
        <v>4407</v>
      </c>
      <c r="K1546" s="22" t="s">
        <v>128</v>
      </c>
      <c r="L1546" s="22"/>
      <c r="M1546" s="22"/>
      <c r="N1546" s="22"/>
    </row>
    <row r="1547" spans="1:14" x14ac:dyDescent="0.25">
      <c r="A1547" s="22" t="s">
        <v>6040</v>
      </c>
      <c r="B1547" s="22" t="s">
        <v>39</v>
      </c>
      <c r="C1547" s="22" t="s">
        <v>5296</v>
      </c>
      <c r="D1547" s="23">
        <v>9331241</v>
      </c>
      <c r="E1547" s="22" t="s">
        <v>45</v>
      </c>
      <c r="F1547" s="24">
        <v>44053</v>
      </c>
      <c r="G1547" s="22" t="s">
        <v>7052</v>
      </c>
      <c r="H1547" s="22" t="s">
        <v>7148</v>
      </c>
      <c r="I1547" s="22" t="s">
        <v>6848</v>
      </c>
      <c r="J1547" s="22" t="s">
        <v>4401</v>
      </c>
      <c r="K1547" s="22" t="s">
        <v>2103</v>
      </c>
      <c r="L1547" s="22"/>
      <c r="M1547" s="22"/>
      <c r="N1547" s="22"/>
    </row>
    <row r="1548" spans="1:14" x14ac:dyDescent="0.25">
      <c r="A1548" s="22" t="s">
        <v>7149</v>
      </c>
      <c r="B1548" s="22" t="s">
        <v>39</v>
      </c>
      <c r="C1548" s="22" t="s">
        <v>6941</v>
      </c>
      <c r="D1548" s="23">
        <v>-50856</v>
      </c>
      <c r="E1548" s="22" t="s">
        <v>45</v>
      </c>
      <c r="F1548" s="24">
        <v>44126</v>
      </c>
      <c r="G1548" s="22" t="s">
        <v>7150</v>
      </c>
      <c r="H1548" s="22"/>
      <c r="I1548" s="22" t="s">
        <v>7150</v>
      </c>
      <c r="J1548" s="22" t="s">
        <v>4401</v>
      </c>
      <c r="K1548" s="22" t="s">
        <v>128</v>
      </c>
      <c r="L1548" s="22"/>
      <c r="M1548" s="22"/>
      <c r="N1548" s="22"/>
    </row>
    <row r="1549" spans="1:14" x14ac:dyDescent="0.25">
      <c r="A1549" s="22" t="s">
        <v>7149</v>
      </c>
      <c r="B1549" s="22" t="s">
        <v>39</v>
      </c>
      <c r="C1549" s="22" t="s">
        <v>6941</v>
      </c>
      <c r="D1549" s="23">
        <v>63400</v>
      </c>
      <c r="E1549" s="22" t="s">
        <v>45</v>
      </c>
      <c r="F1549" s="24">
        <v>44126</v>
      </c>
      <c r="G1549" s="22" t="s">
        <v>7150</v>
      </c>
      <c r="H1549" s="22"/>
      <c r="I1549" s="22" t="s">
        <v>7150</v>
      </c>
      <c r="J1549" s="22" t="s">
        <v>4407</v>
      </c>
      <c r="K1549" s="22" t="s">
        <v>128</v>
      </c>
      <c r="L1549" s="22"/>
      <c r="M1549" s="22"/>
      <c r="N1549" s="22"/>
    </row>
    <row r="1550" spans="1:14" x14ac:dyDescent="0.25">
      <c r="A1550" s="22" t="s">
        <v>7151</v>
      </c>
      <c r="B1550" s="22" t="s">
        <v>39</v>
      </c>
      <c r="C1550" s="22" t="s">
        <v>6910</v>
      </c>
      <c r="D1550" s="23">
        <v>-31700</v>
      </c>
      <c r="E1550" s="22" t="s">
        <v>57</v>
      </c>
      <c r="F1550" s="24">
        <v>44126</v>
      </c>
      <c r="G1550" s="22" t="s">
        <v>7150</v>
      </c>
      <c r="H1550" s="22" t="s">
        <v>6592</v>
      </c>
      <c r="I1550" s="22" t="s">
        <v>7152</v>
      </c>
      <c r="J1550" s="22" t="s">
        <v>4407</v>
      </c>
      <c r="K1550" s="22" t="s">
        <v>128</v>
      </c>
      <c r="L1550" s="22"/>
      <c r="M1550" s="22"/>
      <c r="N1550" s="22"/>
    </row>
    <row r="1551" spans="1:14" x14ac:dyDescent="0.25">
      <c r="A1551" s="22" t="s">
        <v>7149</v>
      </c>
      <c r="B1551" s="22" t="s">
        <v>39</v>
      </c>
      <c r="C1551" s="22" t="s">
        <v>6910</v>
      </c>
      <c r="D1551" s="23">
        <v>-31700</v>
      </c>
      <c r="E1551" s="22" t="s">
        <v>57</v>
      </c>
      <c r="F1551" s="24">
        <v>44126</v>
      </c>
      <c r="G1551" s="22" t="s">
        <v>7150</v>
      </c>
      <c r="H1551" s="22" t="s">
        <v>7153</v>
      </c>
      <c r="I1551" s="22" t="s">
        <v>7154</v>
      </c>
      <c r="J1551" s="22" t="s">
        <v>4407</v>
      </c>
      <c r="K1551" s="22" t="s">
        <v>128</v>
      </c>
      <c r="L1551" s="22"/>
      <c r="M1551" s="22"/>
      <c r="N1551" s="22"/>
    </row>
    <row r="1552" spans="1:14" x14ac:dyDescent="0.25">
      <c r="A1552" s="22" t="s">
        <v>6622</v>
      </c>
      <c r="B1552" s="22" t="s">
        <v>39</v>
      </c>
      <c r="C1552" s="22" t="s">
        <v>40</v>
      </c>
      <c r="D1552" s="23">
        <v>50856</v>
      </c>
      <c r="E1552" s="22" t="s">
        <v>45</v>
      </c>
      <c r="F1552" s="24">
        <v>44172</v>
      </c>
      <c r="G1552" s="22" t="s">
        <v>7150</v>
      </c>
      <c r="H1552" s="22" t="s">
        <v>7155</v>
      </c>
      <c r="I1552" s="22" t="s">
        <v>6572</v>
      </c>
      <c r="J1552" s="22" t="s">
        <v>4401</v>
      </c>
      <c r="K1552" s="22" t="s">
        <v>6571</v>
      </c>
      <c r="L1552" s="22"/>
      <c r="M1552" s="22"/>
      <c r="N1552" s="22"/>
    </row>
    <row r="1553" spans="1:14" x14ac:dyDescent="0.25">
      <c r="A1553" s="22" t="s">
        <v>1702</v>
      </c>
      <c r="B1553" s="22" t="s">
        <v>39</v>
      </c>
      <c r="C1553" s="22" t="s">
        <v>6941</v>
      </c>
      <c r="D1553" s="23">
        <v>674374</v>
      </c>
      <c r="E1553" s="22" t="s">
        <v>45</v>
      </c>
      <c r="F1553" s="24">
        <v>44304</v>
      </c>
      <c r="G1553" s="22" t="s">
        <v>1701</v>
      </c>
      <c r="H1553" s="22"/>
      <c r="I1553" s="22" t="s">
        <v>1701</v>
      </c>
      <c r="J1553" s="22" t="s">
        <v>4466</v>
      </c>
      <c r="K1553" s="22" t="s">
        <v>128</v>
      </c>
      <c r="L1553" s="22"/>
      <c r="M1553" s="22"/>
      <c r="N1553" s="22"/>
    </row>
    <row r="1554" spans="1:14" x14ac:dyDescent="0.25">
      <c r="A1554" s="22" t="s">
        <v>1702</v>
      </c>
      <c r="B1554" s="22" t="s">
        <v>39</v>
      </c>
      <c r="C1554" s="22" t="s">
        <v>6941</v>
      </c>
      <c r="D1554" s="23">
        <v>4198700</v>
      </c>
      <c r="E1554" s="22" t="s">
        <v>45</v>
      </c>
      <c r="F1554" s="24">
        <v>44304</v>
      </c>
      <c r="G1554" s="22" t="s">
        <v>1701</v>
      </c>
      <c r="H1554" s="22"/>
      <c r="I1554" s="22" t="s">
        <v>1701</v>
      </c>
      <c r="J1554" s="22" t="s">
        <v>4552</v>
      </c>
      <c r="K1554" s="22" t="s">
        <v>128</v>
      </c>
      <c r="L1554" s="22"/>
      <c r="M1554" s="22"/>
      <c r="N1554" s="22"/>
    </row>
    <row r="1555" spans="1:14" x14ac:dyDescent="0.25">
      <c r="A1555" s="22" t="s">
        <v>1702</v>
      </c>
      <c r="B1555" s="22" t="s">
        <v>39</v>
      </c>
      <c r="C1555" s="22" t="s">
        <v>6941</v>
      </c>
      <c r="D1555" s="23">
        <v>-18084526</v>
      </c>
      <c r="E1555" s="22" t="s">
        <v>45</v>
      </c>
      <c r="F1555" s="24">
        <v>44304</v>
      </c>
      <c r="G1555" s="22" t="s">
        <v>1701</v>
      </c>
      <c r="H1555" s="22"/>
      <c r="I1555" s="22" t="s">
        <v>1701</v>
      </c>
      <c r="J1555" s="22" t="s">
        <v>4401</v>
      </c>
      <c r="K1555" s="22" t="s">
        <v>128</v>
      </c>
      <c r="L1555" s="22"/>
      <c r="M1555" s="22"/>
      <c r="N1555" s="22"/>
    </row>
    <row r="1556" spans="1:14" x14ac:dyDescent="0.25">
      <c r="A1556" s="22" t="s">
        <v>1702</v>
      </c>
      <c r="B1556" s="22" t="s">
        <v>39</v>
      </c>
      <c r="C1556" s="22" t="s">
        <v>6941</v>
      </c>
      <c r="D1556" s="23">
        <v>13432142</v>
      </c>
      <c r="E1556" s="22" t="s">
        <v>45</v>
      </c>
      <c r="F1556" s="24">
        <v>44304</v>
      </c>
      <c r="G1556" s="22" t="s">
        <v>1701</v>
      </c>
      <c r="H1556" s="22"/>
      <c r="I1556" s="22" t="s">
        <v>1701</v>
      </c>
      <c r="J1556" s="22" t="s">
        <v>4407</v>
      </c>
      <c r="K1556" s="22" t="s">
        <v>128</v>
      </c>
      <c r="L1556" s="22"/>
      <c r="M1556" s="22"/>
      <c r="N1556" s="22"/>
    </row>
    <row r="1557" spans="1:14" x14ac:dyDescent="0.25">
      <c r="A1557" s="22" t="s">
        <v>728</v>
      </c>
      <c r="B1557" s="22" t="s">
        <v>39</v>
      </c>
      <c r="C1557" s="22" t="s">
        <v>4870</v>
      </c>
      <c r="D1557" s="23">
        <v>-13714</v>
      </c>
      <c r="E1557" s="22" t="s">
        <v>45</v>
      </c>
      <c r="F1557" s="24">
        <v>44255</v>
      </c>
      <c r="G1557" s="22" t="s">
        <v>1701</v>
      </c>
      <c r="H1557" s="22" t="s">
        <v>2247</v>
      </c>
      <c r="I1557" s="22" t="s">
        <v>2246</v>
      </c>
      <c r="J1557" s="22" t="s">
        <v>4407</v>
      </c>
      <c r="K1557" s="22" t="s">
        <v>4557</v>
      </c>
      <c r="L1557" s="22"/>
      <c r="M1557" s="22"/>
      <c r="N1557" s="22"/>
    </row>
    <row r="1558" spans="1:14" x14ac:dyDescent="0.25">
      <c r="A1558" s="22" t="s">
        <v>2245</v>
      </c>
      <c r="B1558" s="22" t="s">
        <v>39</v>
      </c>
      <c r="C1558" s="22" t="s">
        <v>6911</v>
      </c>
      <c r="D1558" s="23">
        <v>-42200</v>
      </c>
      <c r="E1558" s="22" t="s">
        <v>57</v>
      </c>
      <c r="F1558" s="24">
        <v>44106</v>
      </c>
      <c r="G1558" s="22" t="s">
        <v>1701</v>
      </c>
      <c r="H1558" s="22" t="s">
        <v>511</v>
      </c>
      <c r="I1558" s="22" t="s">
        <v>2244</v>
      </c>
      <c r="J1558" s="22" t="s">
        <v>4552</v>
      </c>
      <c r="K1558" s="22" t="s">
        <v>128</v>
      </c>
      <c r="L1558" s="22"/>
      <c r="M1558" s="22"/>
      <c r="N1558" s="22"/>
    </row>
    <row r="1559" spans="1:14" x14ac:dyDescent="0.25">
      <c r="A1559" s="22" t="s">
        <v>2243</v>
      </c>
      <c r="B1559" s="22" t="s">
        <v>39</v>
      </c>
      <c r="C1559" s="22" t="s">
        <v>6911</v>
      </c>
      <c r="D1559" s="23">
        <v>-35500</v>
      </c>
      <c r="E1559" s="22" t="s">
        <v>57</v>
      </c>
      <c r="F1559" s="24">
        <v>44110</v>
      </c>
      <c r="G1559" s="22" t="s">
        <v>1701</v>
      </c>
      <c r="H1559" s="22" t="s">
        <v>1802</v>
      </c>
      <c r="I1559" s="22" t="s">
        <v>2242</v>
      </c>
      <c r="J1559" s="22" t="s">
        <v>4552</v>
      </c>
      <c r="K1559" s="22" t="s">
        <v>128</v>
      </c>
      <c r="L1559" s="22"/>
      <c r="M1559" s="22"/>
      <c r="N1559" s="22"/>
    </row>
    <row r="1560" spans="1:14" x14ac:dyDescent="0.25">
      <c r="A1560" s="22" t="s">
        <v>2241</v>
      </c>
      <c r="B1560" s="22" t="s">
        <v>39</v>
      </c>
      <c r="C1560" s="22" t="s">
        <v>6911</v>
      </c>
      <c r="D1560" s="23">
        <v>-28100</v>
      </c>
      <c r="E1560" s="22" t="s">
        <v>57</v>
      </c>
      <c r="F1560" s="24">
        <v>44119</v>
      </c>
      <c r="G1560" s="22" t="s">
        <v>1701</v>
      </c>
      <c r="H1560" s="22" t="s">
        <v>820</v>
      </c>
      <c r="I1560" s="22" t="s">
        <v>2240</v>
      </c>
      <c r="J1560" s="22" t="s">
        <v>4552</v>
      </c>
      <c r="K1560" s="22" t="s">
        <v>128</v>
      </c>
      <c r="L1560" s="22"/>
      <c r="M1560" s="22"/>
      <c r="N1560" s="22"/>
    </row>
    <row r="1561" spans="1:14" x14ac:dyDescent="0.25">
      <c r="A1561" s="22" t="s">
        <v>2239</v>
      </c>
      <c r="B1561" s="22" t="s">
        <v>39</v>
      </c>
      <c r="C1561" s="22" t="s">
        <v>6911</v>
      </c>
      <c r="D1561" s="23">
        <v>-42200</v>
      </c>
      <c r="E1561" s="22" t="s">
        <v>57</v>
      </c>
      <c r="F1561" s="24">
        <v>44119</v>
      </c>
      <c r="G1561" s="22" t="s">
        <v>1701</v>
      </c>
      <c r="H1561" s="22" t="s">
        <v>897</v>
      </c>
      <c r="I1561" s="22" t="s">
        <v>2238</v>
      </c>
      <c r="J1561" s="22" t="s">
        <v>4552</v>
      </c>
      <c r="K1561" s="22" t="s">
        <v>128</v>
      </c>
      <c r="L1561" s="22"/>
      <c r="M1561" s="22"/>
      <c r="N1561" s="22"/>
    </row>
    <row r="1562" spans="1:14" x14ac:dyDescent="0.25">
      <c r="A1562" s="22" t="s">
        <v>2237</v>
      </c>
      <c r="B1562" s="22" t="s">
        <v>39</v>
      </c>
      <c r="C1562" s="22" t="s">
        <v>6911</v>
      </c>
      <c r="D1562" s="23">
        <v>-31700</v>
      </c>
      <c r="E1562" s="22" t="s">
        <v>57</v>
      </c>
      <c r="F1562" s="24">
        <v>44132</v>
      </c>
      <c r="G1562" s="22" t="s">
        <v>1701</v>
      </c>
      <c r="H1562" s="22" t="s">
        <v>2233</v>
      </c>
      <c r="I1562" s="22" t="s">
        <v>2236</v>
      </c>
      <c r="J1562" s="22" t="s">
        <v>4552</v>
      </c>
      <c r="K1562" s="22" t="s">
        <v>128</v>
      </c>
      <c r="L1562" s="22"/>
      <c r="M1562" s="22"/>
      <c r="N1562" s="22"/>
    </row>
    <row r="1563" spans="1:14" x14ac:dyDescent="0.25">
      <c r="A1563" s="22" t="s">
        <v>2235</v>
      </c>
      <c r="B1563" s="22" t="s">
        <v>39</v>
      </c>
      <c r="C1563" s="22" t="s">
        <v>6911</v>
      </c>
      <c r="D1563" s="23">
        <v>-763700</v>
      </c>
      <c r="E1563" s="22" t="s">
        <v>57</v>
      </c>
      <c r="F1563" s="24">
        <v>44133</v>
      </c>
      <c r="G1563" s="22" t="s">
        <v>1701</v>
      </c>
      <c r="H1563" s="22" t="s">
        <v>2233</v>
      </c>
      <c r="I1563" s="22" t="s">
        <v>2234</v>
      </c>
      <c r="J1563" s="22" t="s">
        <v>4552</v>
      </c>
      <c r="K1563" s="22" t="s">
        <v>128</v>
      </c>
      <c r="L1563" s="22"/>
      <c r="M1563" s="22"/>
      <c r="N1563" s="22"/>
    </row>
    <row r="1564" spans="1:14" x14ac:dyDescent="0.25">
      <c r="A1564" s="22" t="s">
        <v>2232</v>
      </c>
      <c r="B1564" s="22" t="s">
        <v>39</v>
      </c>
      <c r="C1564" s="22" t="s">
        <v>6911</v>
      </c>
      <c r="D1564" s="23">
        <v>-18100</v>
      </c>
      <c r="E1564" s="22" t="s">
        <v>57</v>
      </c>
      <c r="F1564" s="24">
        <v>44133</v>
      </c>
      <c r="G1564" s="22" t="s">
        <v>1701</v>
      </c>
      <c r="H1564" s="22" t="s">
        <v>2233</v>
      </c>
      <c r="I1564" s="22" t="s">
        <v>2231</v>
      </c>
      <c r="J1564" s="22" t="s">
        <v>4552</v>
      </c>
      <c r="K1564" s="22" t="s">
        <v>128</v>
      </c>
      <c r="L1564" s="22"/>
      <c r="M1564" s="22"/>
      <c r="N1564" s="22"/>
    </row>
    <row r="1565" spans="1:14" x14ac:dyDescent="0.25">
      <c r="A1565" s="22" t="s">
        <v>2230</v>
      </c>
      <c r="B1565" s="22" t="s">
        <v>39</v>
      </c>
      <c r="C1565" s="22" t="s">
        <v>6911</v>
      </c>
      <c r="D1565" s="23">
        <v>-118600</v>
      </c>
      <c r="E1565" s="22" t="s">
        <v>57</v>
      </c>
      <c r="F1565" s="24">
        <v>44140</v>
      </c>
      <c r="G1565" s="22" t="s">
        <v>1701</v>
      </c>
      <c r="H1565" s="22" t="s">
        <v>1345</v>
      </c>
      <c r="I1565" s="22" t="s">
        <v>2229</v>
      </c>
      <c r="J1565" s="22" t="s">
        <v>4552</v>
      </c>
      <c r="K1565" s="22" t="s">
        <v>128</v>
      </c>
      <c r="L1565" s="22"/>
      <c r="M1565" s="22"/>
      <c r="N1565" s="22"/>
    </row>
    <row r="1566" spans="1:14" x14ac:dyDescent="0.25">
      <c r="A1566" s="22" t="s">
        <v>2228</v>
      </c>
      <c r="B1566" s="22" t="s">
        <v>39</v>
      </c>
      <c r="C1566" s="22" t="s">
        <v>6910</v>
      </c>
      <c r="D1566" s="23">
        <v>-31700</v>
      </c>
      <c r="E1566" s="22" t="s">
        <v>57</v>
      </c>
      <c r="F1566" s="24">
        <v>44110</v>
      </c>
      <c r="G1566" s="22" t="s">
        <v>1701</v>
      </c>
      <c r="H1566" s="22" t="s">
        <v>550</v>
      </c>
      <c r="I1566" s="22" t="s">
        <v>2227</v>
      </c>
      <c r="J1566" s="22" t="s">
        <v>4407</v>
      </c>
      <c r="K1566" s="22" t="s">
        <v>128</v>
      </c>
      <c r="L1566" s="22"/>
      <c r="M1566" s="22"/>
      <c r="N1566" s="22"/>
    </row>
    <row r="1567" spans="1:14" x14ac:dyDescent="0.25">
      <c r="A1567" s="22" t="s">
        <v>2226</v>
      </c>
      <c r="B1567" s="22" t="s">
        <v>39</v>
      </c>
      <c r="C1567" s="22" t="s">
        <v>6910</v>
      </c>
      <c r="D1567" s="23">
        <v>-31700</v>
      </c>
      <c r="E1567" s="22" t="s">
        <v>57</v>
      </c>
      <c r="F1567" s="24">
        <v>44110</v>
      </c>
      <c r="G1567" s="22" t="s">
        <v>1701</v>
      </c>
      <c r="H1567" s="22" t="s">
        <v>304</v>
      </c>
      <c r="I1567" s="22" t="s">
        <v>2225</v>
      </c>
      <c r="J1567" s="22" t="s">
        <v>4407</v>
      </c>
      <c r="K1567" s="22" t="s">
        <v>128</v>
      </c>
      <c r="L1567" s="22"/>
      <c r="M1567" s="22"/>
      <c r="N1567" s="22"/>
    </row>
    <row r="1568" spans="1:14" x14ac:dyDescent="0.25">
      <c r="A1568" s="22" t="s">
        <v>2224</v>
      </c>
      <c r="B1568" s="22" t="s">
        <v>39</v>
      </c>
      <c r="C1568" s="22" t="s">
        <v>6910</v>
      </c>
      <c r="D1568" s="23">
        <v>-31700</v>
      </c>
      <c r="E1568" s="22" t="s">
        <v>57</v>
      </c>
      <c r="F1568" s="24">
        <v>44112</v>
      </c>
      <c r="G1568" s="22" t="s">
        <v>1701</v>
      </c>
      <c r="H1568" s="22" t="s">
        <v>2222</v>
      </c>
      <c r="I1568" s="22" t="s">
        <v>2223</v>
      </c>
      <c r="J1568" s="22" t="s">
        <v>4407</v>
      </c>
      <c r="K1568" s="22" t="s">
        <v>128</v>
      </c>
      <c r="L1568" s="22"/>
      <c r="M1568" s="22"/>
      <c r="N1568" s="22"/>
    </row>
    <row r="1569" spans="1:14" x14ac:dyDescent="0.25">
      <c r="A1569" s="22" t="s">
        <v>2221</v>
      </c>
      <c r="B1569" s="22" t="s">
        <v>39</v>
      </c>
      <c r="C1569" s="22" t="s">
        <v>6910</v>
      </c>
      <c r="D1569" s="23">
        <v>-35000</v>
      </c>
      <c r="E1569" s="22" t="s">
        <v>57</v>
      </c>
      <c r="F1569" s="24">
        <v>44120</v>
      </c>
      <c r="G1569" s="22" t="s">
        <v>1701</v>
      </c>
      <c r="H1569" s="22" t="s">
        <v>2222</v>
      </c>
      <c r="I1569" s="22" t="s">
        <v>2220</v>
      </c>
      <c r="J1569" s="22" t="s">
        <v>4407</v>
      </c>
      <c r="K1569" s="22" t="s">
        <v>128</v>
      </c>
      <c r="L1569" s="22"/>
      <c r="M1569" s="22"/>
      <c r="N1569" s="22"/>
    </row>
    <row r="1570" spans="1:14" x14ac:dyDescent="0.25">
      <c r="A1570" s="22" t="s">
        <v>2219</v>
      </c>
      <c r="B1570" s="22" t="s">
        <v>39</v>
      </c>
      <c r="C1570" s="22" t="s">
        <v>6910</v>
      </c>
      <c r="D1570" s="23">
        <v>-31700</v>
      </c>
      <c r="E1570" s="22" t="s">
        <v>57</v>
      </c>
      <c r="F1570" s="24">
        <v>44124</v>
      </c>
      <c r="G1570" s="22" t="s">
        <v>1701</v>
      </c>
      <c r="H1570" s="22" t="s">
        <v>1348</v>
      </c>
      <c r="I1570" s="22" t="s">
        <v>2218</v>
      </c>
      <c r="J1570" s="22" t="s">
        <v>4407</v>
      </c>
      <c r="K1570" s="22" t="s">
        <v>128</v>
      </c>
      <c r="L1570" s="22"/>
      <c r="M1570" s="22"/>
      <c r="N1570" s="22"/>
    </row>
    <row r="1571" spans="1:14" x14ac:dyDescent="0.25">
      <c r="A1571" s="22" t="s">
        <v>2217</v>
      </c>
      <c r="B1571" s="22" t="s">
        <v>39</v>
      </c>
      <c r="C1571" s="22" t="s">
        <v>6910</v>
      </c>
      <c r="D1571" s="23">
        <v>-75000</v>
      </c>
      <c r="E1571" s="22" t="s">
        <v>57</v>
      </c>
      <c r="F1571" s="24">
        <v>44130</v>
      </c>
      <c r="G1571" s="22" t="s">
        <v>1701</v>
      </c>
      <c r="H1571" s="22" t="s">
        <v>304</v>
      </c>
      <c r="I1571" s="22" t="s">
        <v>2216</v>
      </c>
      <c r="J1571" s="22" t="s">
        <v>4407</v>
      </c>
      <c r="K1571" s="22" t="s">
        <v>128</v>
      </c>
      <c r="L1571" s="22"/>
      <c r="M1571" s="22"/>
      <c r="N1571" s="22"/>
    </row>
    <row r="1572" spans="1:14" x14ac:dyDescent="0.25">
      <c r="A1572" s="22" t="s">
        <v>2215</v>
      </c>
      <c r="B1572" s="22" t="s">
        <v>39</v>
      </c>
      <c r="C1572" s="22" t="s">
        <v>6910</v>
      </c>
      <c r="D1572" s="23">
        <v>-108300</v>
      </c>
      <c r="E1572" s="22" t="s">
        <v>57</v>
      </c>
      <c r="F1572" s="24">
        <v>44130</v>
      </c>
      <c r="G1572" s="22" t="s">
        <v>1701</v>
      </c>
      <c r="H1572" s="22" t="s">
        <v>550</v>
      </c>
      <c r="I1572" s="22" t="s">
        <v>2214</v>
      </c>
      <c r="J1572" s="22" t="s">
        <v>4407</v>
      </c>
      <c r="K1572" s="22" t="s">
        <v>128</v>
      </c>
      <c r="L1572" s="22"/>
      <c r="M1572" s="22"/>
      <c r="N1572" s="22"/>
    </row>
    <row r="1573" spans="1:14" x14ac:dyDescent="0.25">
      <c r="A1573" s="22" t="s">
        <v>2213</v>
      </c>
      <c r="B1573" s="22" t="s">
        <v>39</v>
      </c>
      <c r="C1573" s="22" t="s">
        <v>6910</v>
      </c>
      <c r="D1573" s="23">
        <v>-31700</v>
      </c>
      <c r="E1573" s="22" t="s">
        <v>57</v>
      </c>
      <c r="F1573" s="24">
        <v>44133</v>
      </c>
      <c r="G1573" s="22" t="s">
        <v>1701</v>
      </c>
      <c r="H1573" s="22" t="s">
        <v>550</v>
      </c>
      <c r="I1573" s="22" t="s">
        <v>2212</v>
      </c>
      <c r="J1573" s="22" t="s">
        <v>4407</v>
      </c>
      <c r="K1573" s="22" t="s">
        <v>128</v>
      </c>
      <c r="L1573" s="22"/>
      <c r="M1573" s="22"/>
      <c r="N1573" s="22"/>
    </row>
    <row r="1574" spans="1:14" x14ac:dyDescent="0.25">
      <c r="A1574" s="22" t="s">
        <v>2210</v>
      </c>
      <c r="B1574" s="22" t="s">
        <v>39</v>
      </c>
      <c r="C1574" s="22" t="s">
        <v>4851</v>
      </c>
      <c r="D1574" s="23">
        <v>-1325376</v>
      </c>
      <c r="E1574" s="22" t="s">
        <v>57</v>
      </c>
      <c r="F1574" s="24">
        <v>44113</v>
      </c>
      <c r="G1574" s="22" t="s">
        <v>1701</v>
      </c>
      <c r="H1574" s="22" t="s">
        <v>2211</v>
      </c>
      <c r="I1574" s="22" t="s">
        <v>2209</v>
      </c>
      <c r="J1574" s="22" t="s">
        <v>4407</v>
      </c>
      <c r="K1574" s="22" t="s">
        <v>128</v>
      </c>
      <c r="L1574" s="22"/>
      <c r="M1574" s="22"/>
      <c r="N1574" s="22"/>
    </row>
    <row r="1575" spans="1:14" x14ac:dyDescent="0.25">
      <c r="A1575" s="22" t="s">
        <v>2208</v>
      </c>
      <c r="B1575" s="22" t="s">
        <v>39</v>
      </c>
      <c r="C1575" s="22" t="s">
        <v>4851</v>
      </c>
      <c r="D1575" s="23">
        <v>-177544</v>
      </c>
      <c r="E1575" s="22" t="s">
        <v>57</v>
      </c>
      <c r="F1575" s="24">
        <v>44128</v>
      </c>
      <c r="G1575" s="22" t="s">
        <v>1701</v>
      </c>
      <c r="H1575" s="22" t="s">
        <v>764</v>
      </c>
      <c r="I1575" s="22" t="s">
        <v>2207</v>
      </c>
      <c r="J1575" s="22" t="s">
        <v>4407</v>
      </c>
      <c r="K1575" s="22" t="s">
        <v>128</v>
      </c>
      <c r="L1575" s="22"/>
      <c r="M1575" s="22"/>
      <c r="N1575" s="22"/>
    </row>
    <row r="1576" spans="1:14" x14ac:dyDescent="0.25">
      <c r="A1576" s="22" t="s">
        <v>1804</v>
      </c>
      <c r="B1576" s="22" t="s">
        <v>39</v>
      </c>
      <c r="C1576" s="22" t="s">
        <v>4851</v>
      </c>
      <c r="D1576" s="23">
        <v>-160200</v>
      </c>
      <c r="E1576" s="22" t="s">
        <v>57</v>
      </c>
      <c r="F1576" s="24">
        <v>44133</v>
      </c>
      <c r="G1576" s="22" t="s">
        <v>1701</v>
      </c>
      <c r="H1576" s="22" t="s">
        <v>1805</v>
      </c>
      <c r="I1576" s="22" t="s">
        <v>1803</v>
      </c>
      <c r="J1576" s="22" t="s">
        <v>4407</v>
      </c>
      <c r="K1576" s="22" t="s">
        <v>128</v>
      </c>
      <c r="L1576" s="22"/>
      <c r="M1576" s="22"/>
      <c r="N1576" s="22"/>
    </row>
    <row r="1577" spans="1:14" x14ac:dyDescent="0.25">
      <c r="A1577" s="22" t="s">
        <v>1801</v>
      </c>
      <c r="B1577" s="22" t="s">
        <v>39</v>
      </c>
      <c r="C1577" s="22" t="s">
        <v>7156</v>
      </c>
      <c r="D1577" s="23">
        <v>-2025000</v>
      </c>
      <c r="E1577" s="22" t="s">
        <v>57</v>
      </c>
      <c r="F1577" s="24">
        <v>44134</v>
      </c>
      <c r="G1577" s="22" t="s">
        <v>1701</v>
      </c>
      <c r="H1577" s="22" t="s">
        <v>1802</v>
      </c>
      <c r="I1577" s="22" t="s">
        <v>1800</v>
      </c>
      <c r="J1577" s="22" t="s">
        <v>4552</v>
      </c>
      <c r="K1577" s="22" t="s">
        <v>128</v>
      </c>
      <c r="L1577" s="22"/>
      <c r="M1577" s="22"/>
      <c r="N1577" s="22"/>
    </row>
    <row r="1578" spans="1:14" x14ac:dyDescent="0.25">
      <c r="A1578" s="22" t="s">
        <v>1799</v>
      </c>
      <c r="B1578" s="22" t="s">
        <v>39</v>
      </c>
      <c r="C1578" s="22" t="s">
        <v>6914</v>
      </c>
      <c r="D1578" s="23">
        <v>-39000</v>
      </c>
      <c r="E1578" s="22" t="s">
        <v>57</v>
      </c>
      <c r="F1578" s="24">
        <v>44256</v>
      </c>
      <c r="G1578" s="22" t="s">
        <v>1701</v>
      </c>
      <c r="H1578" s="22" t="s">
        <v>478</v>
      </c>
      <c r="I1578" s="22" t="s">
        <v>1798</v>
      </c>
      <c r="J1578" s="22" t="s">
        <v>4552</v>
      </c>
      <c r="K1578" s="22" t="s">
        <v>128</v>
      </c>
      <c r="L1578" s="22"/>
      <c r="M1578" s="22"/>
      <c r="N1578" s="22"/>
    </row>
    <row r="1579" spans="1:14" x14ac:dyDescent="0.25">
      <c r="A1579" s="22" t="s">
        <v>1797</v>
      </c>
      <c r="B1579" s="22" t="s">
        <v>39</v>
      </c>
      <c r="C1579" s="22" t="s">
        <v>6889</v>
      </c>
      <c r="D1579" s="23">
        <v>-43700</v>
      </c>
      <c r="E1579" s="22" t="s">
        <v>57</v>
      </c>
      <c r="F1579" s="24">
        <v>44264</v>
      </c>
      <c r="G1579" s="22" t="s">
        <v>1701</v>
      </c>
      <c r="H1579" s="22" t="s">
        <v>309</v>
      </c>
      <c r="I1579" s="22" t="s">
        <v>1796</v>
      </c>
      <c r="J1579" s="22" t="s">
        <v>4552</v>
      </c>
      <c r="K1579" s="22" t="s">
        <v>128</v>
      </c>
      <c r="L1579" s="22"/>
      <c r="M1579" s="22"/>
      <c r="N1579" s="22"/>
    </row>
    <row r="1580" spans="1:14" x14ac:dyDescent="0.25">
      <c r="A1580" s="22" t="s">
        <v>1795</v>
      </c>
      <c r="B1580" s="22" t="s">
        <v>39</v>
      </c>
      <c r="C1580" s="22" t="s">
        <v>6889</v>
      </c>
      <c r="D1580" s="23">
        <v>-43700</v>
      </c>
      <c r="E1580" s="22" t="s">
        <v>57</v>
      </c>
      <c r="F1580" s="24">
        <v>44272</v>
      </c>
      <c r="G1580" s="22" t="s">
        <v>1701</v>
      </c>
      <c r="H1580" s="22" t="s">
        <v>483</v>
      </c>
      <c r="I1580" s="22" t="s">
        <v>1794</v>
      </c>
      <c r="J1580" s="22" t="s">
        <v>4552</v>
      </c>
      <c r="K1580" s="22" t="s">
        <v>128</v>
      </c>
      <c r="L1580" s="22"/>
      <c r="M1580" s="22"/>
      <c r="N1580" s="22"/>
    </row>
    <row r="1581" spans="1:14" x14ac:dyDescent="0.25">
      <c r="A1581" s="22" t="s">
        <v>1793</v>
      </c>
      <c r="B1581" s="22" t="s">
        <v>39</v>
      </c>
      <c r="C1581" s="22" t="s">
        <v>6889</v>
      </c>
      <c r="D1581" s="23">
        <v>-6200</v>
      </c>
      <c r="E1581" s="22" t="s">
        <v>57</v>
      </c>
      <c r="F1581" s="24">
        <v>44272</v>
      </c>
      <c r="G1581" s="22" t="s">
        <v>1701</v>
      </c>
      <c r="H1581" s="22" t="s">
        <v>820</v>
      </c>
      <c r="I1581" s="22" t="s">
        <v>1792</v>
      </c>
      <c r="J1581" s="22" t="s">
        <v>4552</v>
      </c>
      <c r="K1581" s="22" t="s">
        <v>128</v>
      </c>
      <c r="L1581" s="22"/>
      <c r="M1581" s="22"/>
      <c r="N1581" s="22"/>
    </row>
    <row r="1582" spans="1:14" x14ac:dyDescent="0.25">
      <c r="A1582" s="22" t="s">
        <v>1790</v>
      </c>
      <c r="B1582" s="22" t="s">
        <v>39</v>
      </c>
      <c r="C1582" s="22" t="s">
        <v>6889</v>
      </c>
      <c r="D1582" s="23">
        <v>-92700</v>
      </c>
      <c r="E1582" s="22" t="s">
        <v>57</v>
      </c>
      <c r="F1582" s="24">
        <v>44272</v>
      </c>
      <c r="G1582" s="22" t="s">
        <v>1701</v>
      </c>
      <c r="H1582" s="22" t="s">
        <v>1791</v>
      </c>
      <c r="I1582" s="22" t="s">
        <v>1789</v>
      </c>
      <c r="J1582" s="22" t="s">
        <v>4552</v>
      </c>
      <c r="K1582" s="22" t="s">
        <v>128</v>
      </c>
      <c r="L1582" s="22"/>
      <c r="M1582" s="22"/>
      <c r="N1582" s="22"/>
    </row>
    <row r="1583" spans="1:14" x14ac:dyDescent="0.25">
      <c r="A1583" s="22" t="s">
        <v>1788</v>
      </c>
      <c r="B1583" s="22" t="s">
        <v>39</v>
      </c>
      <c r="C1583" s="22" t="s">
        <v>6889</v>
      </c>
      <c r="D1583" s="23">
        <v>-29200</v>
      </c>
      <c r="E1583" s="22" t="s">
        <v>57</v>
      </c>
      <c r="F1583" s="24">
        <v>44273</v>
      </c>
      <c r="G1583" s="22" t="s">
        <v>1701</v>
      </c>
      <c r="H1583" s="22" t="s">
        <v>280</v>
      </c>
      <c r="I1583" s="22" t="s">
        <v>1787</v>
      </c>
      <c r="J1583" s="22" t="s">
        <v>4552</v>
      </c>
      <c r="K1583" s="22" t="s">
        <v>128</v>
      </c>
      <c r="L1583" s="22"/>
      <c r="M1583" s="22"/>
      <c r="N1583" s="22"/>
    </row>
    <row r="1584" spans="1:14" x14ac:dyDescent="0.25">
      <c r="A1584" s="22" t="s">
        <v>1785</v>
      </c>
      <c r="B1584" s="22" t="s">
        <v>39</v>
      </c>
      <c r="C1584" s="22" t="s">
        <v>6889</v>
      </c>
      <c r="D1584" s="23">
        <v>-18800</v>
      </c>
      <c r="E1584" s="22" t="s">
        <v>57</v>
      </c>
      <c r="F1584" s="24">
        <v>44274</v>
      </c>
      <c r="G1584" s="22" t="s">
        <v>1701</v>
      </c>
      <c r="H1584" s="22" t="s">
        <v>1786</v>
      </c>
      <c r="I1584" s="22" t="s">
        <v>1784</v>
      </c>
      <c r="J1584" s="22" t="s">
        <v>4552</v>
      </c>
      <c r="K1584" s="22" t="s">
        <v>128</v>
      </c>
      <c r="L1584" s="22"/>
      <c r="M1584" s="22"/>
      <c r="N1584" s="22"/>
    </row>
    <row r="1585" spans="1:14" x14ac:dyDescent="0.25">
      <c r="A1585" s="22" t="s">
        <v>1783</v>
      </c>
      <c r="B1585" s="22" t="s">
        <v>39</v>
      </c>
      <c r="C1585" s="22" t="s">
        <v>6889</v>
      </c>
      <c r="D1585" s="23">
        <v>-206500</v>
      </c>
      <c r="E1585" s="22" t="s">
        <v>57</v>
      </c>
      <c r="F1585" s="24">
        <v>44279</v>
      </c>
      <c r="G1585" s="22" t="s">
        <v>1701</v>
      </c>
      <c r="H1585" s="22" t="s">
        <v>897</v>
      </c>
      <c r="I1585" s="22" t="s">
        <v>1782</v>
      </c>
      <c r="J1585" s="22" t="s">
        <v>4552</v>
      </c>
      <c r="K1585" s="22" t="s">
        <v>128</v>
      </c>
      <c r="L1585" s="22"/>
      <c r="M1585" s="22"/>
      <c r="N1585" s="22"/>
    </row>
    <row r="1586" spans="1:14" x14ac:dyDescent="0.25">
      <c r="A1586" s="22" t="s">
        <v>1781</v>
      </c>
      <c r="B1586" s="22" t="s">
        <v>39</v>
      </c>
      <c r="C1586" s="22" t="s">
        <v>6889</v>
      </c>
      <c r="D1586" s="23">
        <v>-43700</v>
      </c>
      <c r="E1586" s="22" t="s">
        <v>57</v>
      </c>
      <c r="F1586" s="24">
        <v>44280</v>
      </c>
      <c r="G1586" s="22" t="s">
        <v>1701</v>
      </c>
      <c r="H1586" s="22" t="s">
        <v>820</v>
      </c>
      <c r="I1586" s="22" t="s">
        <v>1780</v>
      </c>
      <c r="J1586" s="22" t="s">
        <v>4552</v>
      </c>
      <c r="K1586" s="22" t="s">
        <v>128</v>
      </c>
      <c r="L1586" s="22"/>
      <c r="M1586" s="22"/>
      <c r="N1586" s="22"/>
    </row>
    <row r="1587" spans="1:14" x14ac:dyDescent="0.25">
      <c r="A1587" s="22" t="s">
        <v>1779</v>
      </c>
      <c r="B1587" s="22" t="s">
        <v>39</v>
      </c>
      <c r="C1587" s="22" t="s">
        <v>6889</v>
      </c>
      <c r="D1587" s="23">
        <v>-29200</v>
      </c>
      <c r="E1587" s="22" t="s">
        <v>57</v>
      </c>
      <c r="F1587" s="24">
        <v>44281</v>
      </c>
      <c r="G1587" s="22" t="s">
        <v>1701</v>
      </c>
      <c r="H1587" s="22" t="s">
        <v>280</v>
      </c>
      <c r="I1587" s="22" t="s">
        <v>1778</v>
      </c>
      <c r="J1587" s="22" t="s">
        <v>4552</v>
      </c>
      <c r="K1587" s="22" t="s">
        <v>128</v>
      </c>
      <c r="L1587" s="22"/>
      <c r="M1587" s="22"/>
      <c r="N1587" s="22"/>
    </row>
    <row r="1588" spans="1:14" x14ac:dyDescent="0.25">
      <c r="A1588" s="22" t="s">
        <v>1777</v>
      </c>
      <c r="B1588" s="22" t="s">
        <v>39</v>
      </c>
      <c r="C1588" s="22" t="s">
        <v>6889</v>
      </c>
      <c r="D1588" s="23">
        <v>-43700</v>
      </c>
      <c r="E1588" s="22" t="s">
        <v>57</v>
      </c>
      <c r="F1588" s="24">
        <v>44284</v>
      </c>
      <c r="G1588" s="22" t="s">
        <v>1701</v>
      </c>
      <c r="H1588" s="22" t="s">
        <v>836</v>
      </c>
      <c r="I1588" s="22" t="s">
        <v>1776</v>
      </c>
      <c r="J1588" s="22" t="s">
        <v>4552</v>
      </c>
      <c r="K1588" s="22" t="s">
        <v>128</v>
      </c>
      <c r="L1588" s="22"/>
      <c r="M1588" s="22"/>
      <c r="N1588" s="22"/>
    </row>
    <row r="1589" spans="1:14" x14ac:dyDescent="0.25">
      <c r="A1589" s="22" t="s">
        <v>1775</v>
      </c>
      <c r="B1589" s="22" t="s">
        <v>39</v>
      </c>
      <c r="C1589" s="22" t="s">
        <v>6889</v>
      </c>
      <c r="D1589" s="23">
        <v>-497200</v>
      </c>
      <c r="E1589" s="22" t="s">
        <v>57</v>
      </c>
      <c r="F1589" s="24">
        <v>44284</v>
      </c>
      <c r="G1589" s="22" t="s">
        <v>1701</v>
      </c>
      <c r="H1589" s="22" t="s">
        <v>309</v>
      </c>
      <c r="I1589" s="22" t="s">
        <v>1774</v>
      </c>
      <c r="J1589" s="22" t="s">
        <v>4552</v>
      </c>
      <c r="K1589" s="22" t="s">
        <v>128</v>
      </c>
      <c r="L1589" s="22"/>
      <c r="M1589" s="22"/>
      <c r="N1589" s="22"/>
    </row>
    <row r="1590" spans="1:14" x14ac:dyDescent="0.25">
      <c r="A1590" s="22" t="s">
        <v>1772</v>
      </c>
      <c r="B1590" s="22" t="s">
        <v>39</v>
      </c>
      <c r="C1590" s="22" t="s">
        <v>7055</v>
      </c>
      <c r="D1590" s="23">
        <v>-442780</v>
      </c>
      <c r="E1590" s="22" t="s">
        <v>57</v>
      </c>
      <c r="F1590" s="24">
        <v>44260</v>
      </c>
      <c r="G1590" s="22" t="s">
        <v>1701</v>
      </c>
      <c r="H1590" s="22" t="s">
        <v>1773</v>
      </c>
      <c r="I1590" s="22" t="s">
        <v>1771</v>
      </c>
      <c r="J1590" s="22" t="s">
        <v>4407</v>
      </c>
      <c r="K1590" s="22" t="s">
        <v>128</v>
      </c>
      <c r="L1590" s="22"/>
      <c r="M1590" s="22"/>
      <c r="N1590" s="22"/>
    </row>
    <row r="1591" spans="1:14" x14ac:dyDescent="0.25">
      <c r="A1591" s="22" t="s">
        <v>1770</v>
      </c>
      <c r="B1591" s="22" t="s">
        <v>39</v>
      </c>
      <c r="C1591" s="22" t="s">
        <v>7055</v>
      </c>
      <c r="D1591" s="23">
        <v>-98462</v>
      </c>
      <c r="E1591" s="22" t="s">
        <v>57</v>
      </c>
      <c r="F1591" s="24">
        <v>44268</v>
      </c>
      <c r="G1591" s="22" t="s">
        <v>1701</v>
      </c>
      <c r="H1591" s="22" t="s">
        <v>919</v>
      </c>
      <c r="I1591" s="22" t="s">
        <v>1769</v>
      </c>
      <c r="J1591" s="22" t="s">
        <v>4407</v>
      </c>
      <c r="K1591" s="22" t="s">
        <v>128</v>
      </c>
      <c r="L1591" s="22"/>
      <c r="M1591" s="22"/>
      <c r="N1591" s="22"/>
    </row>
    <row r="1592" spans="1:14" x14ac:dyDescent="0.25">
      <c r="A1592" s="22" t="s">
        <v>1768</v>
      </c>
      <c r="B1592" s="22" t="s">
        <v>39</v>
      </c>
      <c r="C1592" s="22" t="s">
        <v>7055</v>
      </c>
      <c r="D1592" s="23">
        <v>-64445</v>
      </c>
      <c r="E1592" s="22" t="s">
        <v>57</v>
      </c>
      <c r="F1592" s="24">
        <v>44272</v>
      </c>
      <c r="G1592" s="22" t="s">
        <v>1701</v>
      </c>
      <c r="H1592" s="22" t="s">
        <v>919</v>
      </c>
      <c r="I1592" s="22" t="s">
        <v>1767</v>
      </c>
      <c r="J1592" s="22" t="s">
        <v>4407</v>
      </c>
      <c r="K1592" s="22" t="s">
        <v>128</v>
      </c>
      <c r="L1592" s="22"/>
      <c r="M1592" s="22"/>
      <c r="N1592" s="22"/>
    </row>
    <row r="1593" spans="1:14" x14ac:dyDescent="0.25">
      <c r="A1593" s="22" t="s">
        <v>1766</v>
      </c>
      <c r="B1593" s="22" t="s">
        <v>39</v>
      </c>
      <c r="C1593" s="22" t="s">
        <v>6927</v>
      </c>
      <c r="D1593" s="23">
        <v>-45600</v>
      </c>
      <c r="E1593" s="22" t="s">
        <v>57</v>
      </c>
      <c r="F1593" s="24">
        <v>44155</v>
      </c>
      <c r="G1593" s="22" t="s">
        <v>1701</v>
      </c>
      <c r="H1593" s="22" t="s">
        <v>550</v>
      </c>
      <c r="I1593" s="22" t="s">
        <v>1765</v>
      </c>
      <c r="J1593" s="22" t="s">
        <v>4407</v>
      </c>
      <c r="K1593" s="22" t="s">
        <v>128</v>
      </c>
      <c r="L1593" s="22"/>
      <c r="M1593" s="22"/>
      <c r="N1593" s="22"/>
    </row>
    <row r="1594" spans="1:14" x14ac:dyDescent="0.25">
      <c r="A1594" s="22" t="s">
        <v>1764</v>
      </c>
      <c r="B1594" s="22" t="s">
        <v>39</v>
      </c>
      <c r="C1594" s="22" t="s">
        <v>6927</v>
      </c>
      <c r="D1594" s="23">
        <v>-45600</v>
      </c>
      <c r="E1594" s="22" t="s">
        <v>57</v>
      </c>
      <c r="F1594" s="24">
        <v>44165</v>
      </c>
      <c r="G1594" s="22" t="s">
        <v>1701</v>
      </c>
      <c r="H1594" s="22" t="s">
        <v>989</v>
      </c>
      <c r="I1594" s="22" t="s">
        <v>1763</v>
      </c>
      <c r="J1594" s="22" t="s">
        <v>4407</v>
      </c>
      <c r="K1594" s="22" t="s">
        <v>128</v>
      </c>
      <c r="L1594" s="22"/>
      <c r="M1594" s="22"/>
      <c r="N1594" s="22"/>
    </row>
    <row r="1595" spans="1:14" x14ac:dyDescent="0.25">
      <c r="A1595" s="22" t="s">
        <v>125</v>
      </c>
      <c r="B1595" s="22" t="s">
        <v>39</v>
      </c>
      <c r="C1595" s="22" t="s">
        <v>124</v>
      </c>
      <c r="D1595" s="23">
        <v>-10681621</v>
      </c>
      <c r="E1595" s="22" t="s">
        <v>57</v>
      </c>
      <c r="F1595" s="24">
        <v>44152</v>
      </c>
      <c r="G1595" s="22" t="s">
        <v>1701</v>
      </c>
      <c r="H1595" s="22" t="s">
        <v>1762</v>
      </c>
      <c r="I1595" s="22" t="s">
        <v>127</v>
      </c>
      <c r="J1595" s="22" t="s">
        <v>4407</v>
      </c>
      <c r="K1595" s="22" t="s">
        <v>128</v>
      </c>
      <c r="L1595" s="22"/>
      <c r="M1595" s="22"/>
      <c r="N1595" s="22"/>
    </row>
    <row r="1596" spans="1:14" x14ac:dyDescent="0.25">
      <c r="A1596" s="22" t="s">
        <v>1702</v>
      </c>
      <c r="B1596" s="22" t="s">
        <v>39</v>
      </c>
      <c r="C1596" s="22" t="s">
        <v>7157</v>
      </c>
      <c r="D1596" s="23">
        <v>-674374</v>
      </c>
      <c r="E1596" s="22" t="s">
        <v>57</v>
      </c>
      <c r="F1596" s="24">
        <v>44304</v>
      </c>
      <c r="G1596" s="22" t="s">
        <v>1701</v>
      </c>
      <c r="H1596" s="22" t="s">
        <v>1761</v>
      </c>
      <c r="I1596" s="22" t="s">
        <v>1760</v>
      </c>
      <c r="J1596" s="22" t="s">
        <v>4466</v>
      </c>
      <c r="K1596" s="22" t="s">
        <v>128</v>
      </c>
      <c r="L1596" s="22"/>
      <c r="M1596" s="22"/>
      <c r="N1596" s="22"/>
    </row>
    <row r="1597" spans="1:14" x14ac:dyDescent="0.25">
      <c r="A1597" s="22" t="s">
        <v>1759</v>
      </c>
      <c r="B1597" s="22" t="s">
        <v>39</v>
      </c>
      <c r="C1597" s="22" t="s">
        <v>40</v>
      </c>
      <c r="D1597" s="23">
        <v>18084526</v>
      </c>
      <c r="E1597" s="22" t="s">
        <v>42</v>
      </c>
      <c r="F1597" s="24">
        <v>44214</v>
      </c>
      <c r="G1597" s="22" t="s">
        <v>1701</v>
      </c>
      <c r="H1597" s="22" t="s">
        <v>1741</v>
      </c>
      <c r="I1597" s="22" t="s">
        <v>1758</v>
      </c>
      <c r="J1597" s="22" t="s">
        <v>4401</v>
      </c>
      <c r="K1597" s="22" t="s">
        <v>292</v>
      </c>
      <c r="L1597" s="22"/>
      <c r="M1597" s="22"/>
      <c r="N1597" s="22"/>
    </row>
    <row r="1598" spans="1:14" x14ac:dyDescent="0.25">
      <c r="A1598" s="22" t="s">
        <v>6419</v>
      </c>
      <c r="B1598" s="22" t="s">
        <v>39</v>
      </c>
      <c r="C1598" s="22" t="s">
        <v>7158</v>
      </c>
      <c r="D1598" s="23">
        <v>-1864864</v>
      </c>
      <c r="E1598" s="22" t="s">
        <v>45</v>
      </c>
      <c r="F1598" s="24">
        <v>44144</v>
      </c>
      <c r="G1598" s="22" t="s">
        <v>7159</v>
      </c>
      <c r="H1598" s="22"/>
      <c r="I1598" s="22" t="s">
        <v>7159</v>
      </c>
      <c r="J1598" s="22" t="s">
        <v>4401</v>
      </c>
      <c r="K1598" s="22" t="s">
        <v>6420</v>
      </c>
      <c r="L1598" s="22"/>
      <c r="M1598" s="22"/>
      <c r="N1598" s="22"/>
    </row>
    <row r="1599" spans="1:14" x14ac:dyDescent="0.25">
      <c r="A1599" s="22" t="s">
        <v>6419</v>
      </c>
      <c r="B1599" s="22" t="s">
        <v>39</v>
      </c>
      <c r="C1599" s="22" t="s">
        <v>7158</v>
      </c>
      <c r="D1599" s="23">
        <v>562400</v>
      </c>
      <c r="E1599" s="22" t="s">
        <v>45</v>
      </c>
      <c r="F1599" s="24">
        <v>44144</v>
      </c>
      <c r="G1599" s="22" t="s">
        <v>7159</v>
      </c>
      <c r="H1599" s="22"/>
      <c r="I1599" s="22" t="s">
        <v>7159</v>
      </c>
      <c r="J1599" s="22" t="s">
        <v>4407</v>
      </c>
      <c r="K1599" s="22" t="s">
        <v>6420</v>
      </c>
      <c r="L1599" s="22"/>
      <c r="M1599" s="22"/>
      <c r="N1599" s="22"/>
    </row>
    <row r="1600" spans="1:14" x14ac:dyDescent="0.25">
      <c r="A1600" s="22" t="s">
        <v>7160</v>
      </c>
      <c r="B1600" s="22" t="s">
        <v>39</v>
      </c>
      <c r="C1600" s="22" t="s">
        <v>6892</v>
      </c>
      <c r="D1600" s="23">
        <v>-32700</v>
      </c>
      <c r="E1600" s="22" t="s">
        <v>57</v>
      </c>
      <c r="F1600" s="24">
        <v>44263</v>
      </c>
      <c r="G1600" s="22" t="s">
        <v>7159</v>
      </c>
      <c r="H1600" s="22" t="s">
        <v>611</v>
      </c>
      <c r="I1600" s="22" t="s">
        <v>7161</v>
      </c>
      <c r="J1600" s="22" t="s">
        <v>4407</v>
      </c>
      <c r="K1600" s="22" t="s">
        <v>128</v>
      </c>
      <c r="L1600" s="22"/>
      <c r="M1600" s="22"/>
      <c r="N1600" s="22"/>
    </row>
    <row r="1601" spans="1:14" x14ac:dyDescent="0.25">
      <c r="A1601" s="22" t="s">
        <v>3017</v>
      </c>
      <c r="B1601" s="22" t="s">
        <v>39</v>
      </c>
      <c r="C1601" s="22" t="s">
        <v>6892</v>
      </c>
      <c r="D1601" s="23">
        <v>-22600</v>
      </c>
      <c r="E1601" s="22" t="s">
        <v>57</v>
      </c>
      <c r="F1601" s="24">
        <v>44285</v>
      </c>
      <c r="G1601" s="22" t="s">
        <v>7159</v>
      </c>
      <c r="H1601" s="22" t="s">
        <v>611</v>
      </c>
      <c r="I1601" s="22" t="s">
        <v>7162</v>
      </c>
      <c r="J1601" s="22" t="s">
        <v>4407</v>
      </c>
      <c r="K1601" s="22" t="s">
        <v>128</v>
      </c>
      <c r="L1601" s="22"/>
      <c r="M1601" s="22"/>
      <c r="N1601" s="22"/>
    </row>
    <row r="1602" spans="1:14" x14ac:dyDescent="0.25">
      <c r="A1602" s="22" t="s">
        <v>3018</v>
      </c>
      <c r="B1602" s="22" t="s">
        <v>39</v>
      </c>
      <c r="C1602" s="22" t="s">
        <v>6892</v>
      </c>
      <c r="D1602" s="23">
        <v>-44200</v>
      </c>
      <c r="E1602" s="22" t="s">
        <v>57</v>
      </c>
      <c r="F1602" s="24">
        <v>44285</v>
      </c>
      <c r="G1602" s="22" t="s">
        <v>7159</v>
      </c>
      <c r="H1602" s="22" t="s">
        <v>1731</v>
      </c>
      <c r="I1602" s="22" t="s">
        <v>7163</v>
      </c>
      <c r="J1602" s="22" t="s">
        <v>4407</v>
      </c>
      <c r="K1602" s="22" t="s">
        <v>128</v>
      </c>
      <c r="L1602" s="22"/>
      <c r="M1602" s="22"/>
      <c r="N1602" s="22"/>
    </row>
    <row r="1603" spans="1:14" x14ac:dyDescent="0.25">
      <c r="A1603" s="22" t="s">
        <v>3020</v>
      </c>
      <c r="B1603" s="22" t="s">
        <v>39</v>
      </c>
      <c r="C1603" s="22" t="s">
        <v>6919</v>
      </c>
      <c r="D1603" s="23">
        <v>-22300</v>
      </c>
      <c r="E1603" s="22" t="s">
        <v>57</v>
      </c>
      <c r="F1603" s="24">
        <v>44291</v>
      </c>
      <c r="G1603" s="22" t="s">
        <v>7159</v>
      </c>
      <c r="H1603" s="22" t="s">
        <v>611</v>
      </c>
      <c r="I1603" s="22" t="s">
        <v>7164</v>
      </c>
      <c r="J1603" s="22" t="s">
        <v>4407</v>
      </c>
      <c r="K1603" s="22" t="s">
        <v>128</v>
      </c>
      <c r="L1603" s="22"/>
      <c r="M1603" s="22"/>
      <c r="N1603" s="22"/>
    </row>
    <row r="1604" spans="1:14" x14ac:dyDescent="0.25">
      <c r="A1604" s="22" t="s">
        <v>3021</v>
      </c>
      <c r="B1604" s="22" t="s">
        <v>39</v>
      </c>
      <c r="C1604" s="22" t="s">
        <v>6919</v>
      </c>
      <c r="D1604" s="23">
        <v>-22300</v>
      </c>
      <c r="E1604" s="22" t="s">
        <v>57</v>
      </c>
      <c r="F1604" s="24">
        <v>44291</v>
      </c>
      <c r="G1604" s="22" t="s">
        <v>7159</v>
      </c>
      <c r="H1604" s="22" t="s">
        <v>1731</v>
      </c>
      <c r="I1604" s="22" t="s">
        <v>7165</v>
      </c>
      <c r="J1604" s="22" t="s">
        <v>4407</v>
      </c>
      <c r="K1604" s="22" t="s">
        <v>128</v>
      </c>
      <c r="L1604" s="22"/>
      <c r="M1604" s="22"/>
      <c r="N1604" s="22"/>
    </row>
    <row r="1605" spans="1:14" x14ac:dyDescent="0.25">
      <c r="A1605" s="22" t="s">
        <v>3023</v>
      </c>
      <c r="B1605" s="22" t="s">
        <v>39</v>
      </c>
      <c r="C1605" s="22" t="s">
        <v>6919</v>
      </c>
      <c r="D1605" s="23">
        <v>-47200</v>
      </c>
      <c r="E1605" s="22" t="s">
        <v>57</v>
      </c>
      <c r="F1605" s="24">
        <v>44293</v>
      </c>
      <c r="G1605" s="22" t="s">
        <v>7159</v>
      </c>
      <c r="H1605" s="22" t="s">
        <v>611</v>
      </c>
      <c r="I1605" s="22" t="s">
        <v>7166</v>
      </c>
      <c r="J1605" s="22" t="s">
        <v>4407</v>
      </c>
      <c r="K1605" s="22" t="s">
        <v>128</v>
      </c>
      <c r="L1605" s="22"/>
      <c r="M1605" s="22"/>
      <c r="N1605" s="22"/>
    </row>
    <row r="1606" spans="1:14" x14ac:dyDescent="0.25">
      <c r="A1606" s="22" t="s">
        <v>3024</v>
      </c>
      <c r="B1606" s="22" t="s">
        <v>39</v>
      </c>
      <c r="C1606" s="22" t="s">
        <v>6919</v>
      </c>
      <c r="D1606" s="23">
        <v>-32700</v>
      </c>
      <c r="E1606" s="22" t="s">
        <v>57</v>
      </c>
      <c r="F1606" s="24">
        <v>44293</v>
      </c>
      <c r="G1606" s="22" t="s">
        <v>7159</v>
      </c>
      <c r="H1606" s="22" t="s">
        <v>608</v>
      </c>
      <c r="I1606" s="22" t="s">
        <v>7167</v>
      </c>
      <c r="J1606" s="22" t="s">
        <v>4407</v>
      </c>
      <c r="K1606" s="22" t="s">
        <v>128</v>
      </c>
      <c r="L1606" s="22"/>
      <c r="M1606" s="22"/>
      <c r="N1606" s="22"/>
    </row>
    <row r="1607" spans="1:14" x14ac:dyDescent="0.25">
      <c r="A1607" s="22" t="s">
        <v>3027</v>
      </c>
      <c r="B1607" s="22" t="s">
        <v>39</v>
      </c>
      <c r="C1607" s="22" t="s">
        <v>6919</v>
      </c>
      <c r="D1607" s="23">
        <v>-109000</v>
      </c>
      <c r="E1607" s="22" t="s">
        <v>57</v>
      </c>
      <c r="F1607" s="24">
        <v>44306</v>
      </c>
      <c r="G1607" s="22" t="s">
        <v>7159</v>
      </c>
      <c r="H1607" s="22" t="s">
        <v>611</v>
      </c>
      <c r="I1607" s="22" t="s">
        <v>7168</v>
      </c>
      <c r="J1607" s="22" t="s">
        <v>4407</v>
      </c>
      <c r="K1607" s="22" t="s">
        <v>128</v>
      </c>
      <c r="L1607" s="22"/>
      <c r="M1607" s="22"/>
      <c r="N1607" s="22"/>
    </row>
    <row r="1608" spans="1:14" x14ac:dyDescent="0.25">
      <c r="A1608" s="22" t="s">
        <v>3028</v>
      </c>
      <c r="B1608" s="22" t="s">
        <v>39</v>
      </c>
      <c r="C1608" s="22" t="s">
        <v>6919</v>
      </c>
      <c r="D1608" s="23">
        <v>-32700</v>
      </c>
      <c r="E1608" s="22" t="s">
        <v>57</v>
      </c>
      <c r="F1608" s="24">
        <v>44308</v>
      </c>
      <c r="G1608" s="22" t="s">
        <v>7159</v>
      </c>
      <c r="H1608" s="22" t="s">
        <v>743</v>
      </c>
      <c r="I1608" s="22" t="s">
        <v>7169</v>
      </c>
      <c r="J1608" s="22" t="s">
        <v>4407</v>
      </c>
      <c r="K1608" s="22" t="s">
        <v>128</v>
      </c>
      <c r="L1608" s="22"/>
      <c r="M1608" s="22"/>
      <c r="N1608" s="22"/>
    </row>
    <row r="1609" spans="1:14" x14ac:dyDescent="0.25">
      <c r="A1609" s="22" t="s">
        <v>3030</v>
      </c>
      <c r="B1609" s="22" t="s">
        <v>39</v>
      </c>
      <c r="C1609" s="22" t="s">
        <v>6919</v>
      </c>
      <c r="D1609" s="23">
        <v>-109000</v>
      </c>
      <c r="E1609" s="22" t="s">
        <v>57</v>
      </c>
      <c r="F1609" s="24">
        <v>44308</v>
      </c>
      <c r="G1609" s="22" t="s">
        <v>7159</v>
      </c>
      <c r="H1609" s="22" t="s">
        <v>1731</v>
      </c>
      <c r="I1609" s="22" t="s">
        <v>7170</v>
      </c>
      <c r="J1609" s="22" t="s">
        <v>4407</v>
      </c>
      <c r="K1609" s="22" t="s">
        <v>128</v>
      </c>
      <c r="L1609" s="22"/>
      <c r="M1609" s="22"/>
      <c r="N1609" s="22"/>
    </row>
    <row r="1610" spans="1:14" x14ac:dyDescent="0.25">
      <c r="A1610" s="22" t="s">
        <v>3031</v>
      </c>
      <c r="B1610" s="22" t="s">
        <v>39</v>
      </c>
      <c r="C1610" s="22" t="s">
        <v>6919</v>
      </c>
      <c r="D1610" s="23">
        <v>-32700</v>
      </c>
      <c r="E1610" s="22" t="s">
        <v>57</v>
      </c>
      <c r="F1610" s="24">
        <v>44309</v>
      </c>
      <c r="G1610" s="22" t="s">
        <v>7159</v>
      </c>
      <c r="H1610" s="22" t="s">
        <v>1731</v>
      </c>
      <c r="I1610" s="22" t="s">
        <v>7171</v>
      </c>
      <c r="J1610" s="22" t="s">
        <v>4407</v>
      </c>
      <c r="K1610" s="22" t="s">
        <v>128</v>
      </c>
      <c r="L1610" s="22"/>
      <c r="M1610" s="22"/>
      <c r="N1610" s="22"/>
    </row>
    <row r="1611" spans="1:14" x14ac:dyDescent="0.25">
      <c r="A1611" s="22" t="s">
        <v>3032</v>
      </c>
      <c r="B1611" s="22" t="s">
        <v>39</v>
      </c>
      <c r="C1611" s="22" t="s">
        <v>6919</v>
      </c>
      <c r="D1611" s="23">
        <v>-32700</v>
      </c>
      <c r="E1611" s="22" t="s">
        <v>57</v>
      </c>
      <c r="F1611" s="24">
        <v>44309</v>
      </c>
      <c r="G1611" s="22" t="s">
        <v>7159</v>
      </c>
      <c r="H1611" s="22" t="s">
        <v>608</v>
      </c>
      <c r="I1611" s="22" t="s">
        <v>7172</v>
      </c>
      <c r="J1611" s="22" t="s">
        <v>4407</v>
      </c>
      <c r="K1611" s="22" t="s">
        <v>128</v>
      </c>
      <c r="L1611" s="22"/>
      <c r="M1611" s="22"/>
      <c r="N1611" s="22"/>
    </row>
    <row r="1612" spans="1:14" x14ac:dyDescent="0.25">
      <c r="A1612" s="22" t="s">
        <v>3033</v>
      </c>
      <c r="B1612" s="22" t="s">
        <v>39</v>
      </c>
      <c r="C1612" s="22" t="s">
        <v>6919</v>
      </c>
      <c r="D1612" s="23">
        <v>-22300</v>
      </c>
      <c r="E1612" s="22" t="s">
        <v>57</v>
      </c>
      <c r="F1612" s="24">
        <v>44309</v>
      </c>
      <c r="G1612" s="22" t="s">
        <v>7159</v>
      </c>
      <c r="H1612" s="22" t="s">
        <v>608</v>
      </c>
      <c r="I1612" s="22" t="s">
        <v>7173</v>
      </c>
      <c r="J1612" s="22" t="s">
        <v>4407</v>
      </c>
      <c r="K1612" s="22" t="s">
        <v>128</v>
      </c>
      <c r="L1612" s="22"/>
      <c r="M1612" s="22"/>
      <c r="N1612" s="22"/>
    </row>
    <row r="1613" spans="1:14" x14ac:dyDescent="0.25">
      <c r="A1613" s="22" t="s">
        <v>6419</v>
      </c>
      <c r="B1613" s="22" t="s">
        <v>39</v>
      </c>
      <c r="C1613" s="22" t="s">
        <v>6421</v>
      </c>
      <c r="D1613" s="23">
        <v>1864864</v>
      </c>
      <c r="E1613" s="22" t="s">
        <v>45</v>
      </c>
      <c r="F1613" s="24">
        <v>44144</v>
      </c>
      <c r="G1613" s="22" t="s">
        <v>7159</v>
      </c>
      <c r="H1613" s="22" t="s">
        <v>7174</v>
      </c>
      <c r="I1613" s="22" t="s">
        <v>6417</v>
      </c>
      <c r="J1613" s="22" t="s">
        <v>4401</v>
      </c>
      <c r="K1613" s="22" t="s">
        <v>6420</v>
      </c>
      <c r="L1613" s="22"/>
      <c r="M1613" s="22"/>
      <c r="N1613" s="22"/>
    </row>
    <row r="1614" spans="1:14" x14ac:dyDescent="0.25">
      <c r="A1614" s="22" t="s">
        <v>2301</v>
      </c>
      <c r="B1614" s="22" t="s">
        <v>39</v>
      </c>
      <c r="C1614" s="22" t="s">
        <v>7158</v>
      </c>
      <c r="D1614" s="23">
        <v>3341709</v>
      </c>
      <c r="E1614" s="22" t="s">
        <v>45</v>
      </c>
      <c r="F1614" s="24">
        <v>44214</v>
      </c>
      <c r="G1614" s="22" t="s">
        <v>7175</v>
      </c>
      <c r="H1614" s="22"/>
      <c r="I1614" s="22" t="s">
        <v>7175</v>
      </c>
      <c r="J1614" s="22" t="s">
        <v>4466</v>
      </c>
      <c r="K1614" s="22" t="s">
        <v>292</v>
      </c>
      <c r="L1614" s="22"/>
      <c r="M1614" s="22"/>
      <c r="N1614" s="22"/>
    </row>
    <row r="1615" spans="1:14" x14ac:dyDescent="0.25">
      <c r="A1615" s="22" t="s">
        <v>2301</v>
      </c>
      <c r="B1615" s="22" t="s">
        <v>39</v>
      </c>
      <c r="C1615" s="22" t="s">
        <v>7158</v>
      </c>
      <c r="D1615" s="23">
        <v>-37226638</v>
      </c>
      <c r="E1615" s="22" t="s">
        <v>45</v>
      </c>
      <c r="F1615" s="24">
        <v>44214</v>
      </c>
      <c r="G1615" s="22" t="s">
        <v>7175</v>
      </c>
      <c r="H1615" s="22"/>
      <c r="I1615" s="22" t="s">
        <v>7175</v>
      </c>
      <c r="J1615" s="22" t="s">
        <v>4401</v>
      </c>
      <c r="K1615" s="22" t="s">
        <v>292</v>
      </c>
      <c r="L1615" s="22"/>
      <c r="M1615" s="22"/>
      <c r="N1615" s="22"/>
    </row>
    <row r="1616" spans="1:14" x14ac:dyDescent="0.25">
      <c r="A1616" s="22" t="s">
        <v>7177</v>
      </c>
      <c r="B1616" s="22" t="s">
        <v>39</v>
      </c>
      <c r="C1616" s="22" t="s">
        <v>7176</v>
      </c>
      <c r="D1616" s="23">
        <v>-53700</v>
      </c>
      <c r="E1616" s="22" t="s">
        <v>57</v>
      </c>
      <c r="F1616" s="24">
        <v>44328</v>
      </c>
      <c r="G1616" s="22" t="s">
        <v>7175</v>
      </c>
      <c r="H1616" s="22" t="s">
        <v>1131</v>
      </c>
      <c r="I1616" s="22" t="s">
        <v>7178</v>
      </c>
      <c r="J1616" s="22" t="s">
        <v>4466</v>
      </c>
      <c r="K1616" s="22" t="s">
        <v>128</v>
      </c>
      <c r="L1616" s="22"/>
      <c r="M1616" s="22"/>
      <c r="N1616" s="22"/>
    </row>
    <row r="1617" spans="1:14" x14ac:dyDescent="0.25">
      <c r="A1617" s="22" t="s">
        <v>7180</v>
      </c>
      <c r="B1617" s="22" t="s">
        <v>39</v>
      </c>
      <c r="C1617" s="22" t="s">
        <v>7179</v>
      </c>
      <c r="D1617" s="23">
        <v>-533835</v>
      </c>
      <c r="E1617" s="22" t="s">
        <v>57</v>
      </c>
      <c r="F1617" s="24">
        <v>44366</v>
      </c>
      <c r="G1617" s="22" t="s">
        <v>7175</v>
      </c>
      <c r="H1617" s="22" t="s">
        <v>7181</v>
      </c>
      <c r="I1617" s="22" t="s">
        <v>7182</v>
      </c>
      <c r="J1617" s="22" t="s">
        <v>4466</v>
      </c>
      <c r="K1617" s="22" t="s">
        <v>128</v>
      </c>
      <c r="L1617" s="22"/>
      <c r="M1617" s="22"/>
      <c r="N1617" s="22"/>
    </row>
    <row r="1618" spans="1:14" x14ac:dyDescent="0.25">
      <c r="A1618" s="22" t="s">
        <v>7183</v>
      </c>
      <c r="B1618" s="22" t="s">
        <v>39</v>
      </c>
      <c r="C1618" s="22" t="s">
        <v>7179</v>
      </c>
      <c r="D1618" s="23">
        <v>-2071474</v>
      </c>
      <c r="E1618" s="22" t="s">
        <v>57</v>
      </c>
      <c r="F1618" s="24">
        <v>44376</v>
      </c>
      <c r="G1618" s="22" t="s">
        <v>7175</v>
      </c>
      <c r="H1618" s="22" t="s">
        <v>6543</v>
      </c>
      <c r="I1618" s="22" t="s">
        <v>7184</v>
      </c>
      <c r="J1618" s="22" t="s">
        <v>4466</v>
      </c>
      <c r="K1618" s="22" t="s">
        <v>128</v>
      </c>
      <c r="L1618" s="22"/>
      <c r="M1618" s="22"/>
      <c r="N1618" s="22"/>
    </row>
    <row r="1619" spans="1:14" x14ac:dyDescent="0.25">
      <c r="A1619" s="22" t="s">
        <v>7185</v>
      </c>
      <c r="B1619" s="22" t="s">
        <v>39</v>
      </c>
      <c r="C1619" s="22" t="s">
        <v>7179</v>
      </c>
      <c r="D1619" s="23">
        <v>-682700</v>
      </c>
      <c r="E1619" s="22" t="s">
        <v>57</v>
      </c>
      <c r="F1619" s="24">
        <v>44384</v>
      </c>
      <c r="G1619" s="22" t="s">
        <v>7175</v>
      </c>
      <c r="H1619" s="22" t="s">
        <v>7186</v>
      </c>
      <c r="I1619" s="22" t="s">
        <v>7187</v>
      </c>
      <c r="J1619" s="22" t="s">
        <v>4466</v>
      </c>
      <c r="K1619" s="22" t="s">
        <v>128</v>
      </c>
      <c r="L1619" s="22"/>
      <c r="M1619" s="22"/>
      <c r="N1619" s="22"/>
    </row>
    <row r="1620" spans="1:14" x14ac:dyDescent="0.25">
      <c r="A1620" s="22" t="s">
        <v>7189</v>
      </c>
      <c r="B1620" s="22" t="s">
        <v>39</v>
      </c>
      <c r="C1620" s="22" t="s">
        <v>7188</v>
      </c>
      <c r="D1620" s="23">
        <v>-22300</v>
      </c>
      <c r="E1620" s="22" t="s">
        <v>57</v>
      </c>
      <c r="F1620" s="24">
        <v>44369</v>
      </c>
      <c r="G1620" s="22" t="s">
        <v>7175</v>
      </c>
      <c r="H1620" s="22" t="s">
        <v>637</v>
      </c>
      <c r="I1620" s="22" t="s">
        <v>7190</v>
      </c>
      <c r="J1620" s="22" t="s">
        <v>4401</v>
      </c>
      <c r="K1620" s="22" t="s">
        <v>128</v>
      </c>
      <c r="L1620" s="22"/>
      <c r="M1620" s="22"/>
      <c r="N1620" s="22"/>
    </row>
    <row r="1621" spans="1:14" x14ac:dyDescent="0.25">
      <c r="A1621" s="22" t="s">
        <v>2301</v>
      </c>
      <c r="B1621" s="22" t="s">
        <v>39</v>
      </c>
      <c r="C1621" s="22" t="s">
        <v>47</v>
      </c>
      <c r="D1621" s="23">
        <v>37248938</v>
      </c>
      <c r="E1621" s="22" t="s">
        <v>45</v>
      </c>
      <c r="F1621" s="24">
        <v>44214</v>
      </c>
      <c r="G1621" s="22" t="s">
        <v>7175</v>
      </c>
      <c r="H1621" s="22" t="s">
        <v>6908</v>
      </c>
      <c r="I1621" s="22" t="s">
        <v>6921</v>
      </c>
      <c r="J1621" s="22" t="s">
        <v>4401</v>
      </c>
      <c r="K1621" s="22" t="s">
        <v>292</v>
      </c>
      <c r="L1621" s="22"/>
      <c r="M1621" s="22"/>
      <c r="N1621" s="22"/>
    </row>
    <row r="1622" spans="1:14" x14ac:dyDescent="0.25">
      <c r="A1622" s="22" t="s">
        <v>1748</v>
      </c>
      <c r="B1622" s="22" t="s">
        <v>39</v>
      </c>
      <c r="C1622" s="22" t="s">
        <v>7191</v>
      </c>
      <c r="D1622" s="23">
        <v>1119902</v>
      </c>
      <c r="E1622" s="22" t="s">
        <v>45</v>
      </c>
      <c r="F1622" s="24">
        <v>44269</v>
      </c>
      <c r="G1622" s="22" t="s">
        <v>1747</v>
      </c>
      <c r="H1622" s="22"/>
      <c r="I1622" s="22" t="s">
        <v>1747</v>
      </c>
      <c r="J1622" s="22" t="s">
        <v>4401</v>
      </c>
      <c r="K1622" s="22" t="s">
        <v>128</v>
      </c>
      <c r="L1622" s="22"/>
      <c r="M1622" s="22"/>
      <c r="N1622" s="22"/>
    </row>
    <row r="1623" spans="1:14" x14ac:dyDescent="0.25">
      <c r="A1623" s="22" t="s">
        <v>1748</v>
      </c>
      <c r="B1623" s="22" t="s">
        <v>39</v>
      </c>
      <c r="C1623" s="22" t="s">
        <v>7192</v>
      </c>
      <c r="D1623" s="23">
        <v>-2616130</v>
      </c>
      <c r="E1623" s="22" t="s">
        <v>57</v>
      </c>
      <c r="F1623" s="24">
        <v>44269</v>
      </c>
      <c r="G1623" s="22" t="s">
        <v>1747</v>
      </c>
      <c r="H1623" s="22" t="s">
        <v>1753</v>
      </c>
      <c r="I1623" s="22" t="s">
        <v>1752</v>
      </c>
      <c r="J1623" s="22" t="s">
        <v>4401</v>
      </c>
      <c r="K1623" s="22" t="s">
        <v>128</v>
      </c>
      <c r="L1623" s="22"/>
      <c r="M1623" s="22"/>
      <c r="N1623" s="22"/>
    </row>
    <row r="1624" spans="1:14" x14ac:dyDescent="0.25">
      <c r="A1624" s="22" t="s">
        <v>1751</v>
      </c>
      <c r="B1624" s="22" t="s">
        <v>39</v>
      </c>
      <c r="C1624" s="22" t="s">
        <v>3504</v>
      </c>
      <c r="D1624" s="23">
        <v>1496228</v>
      </c>
      <c r="E1624" s="22" t="s">
        <v>42</v>
      </c>
      <c r="F1624" s="24">
        <v>44355</v>
      </c>
      <c r="G1624" s="22" t="s">
        <v>1747</v>
      </c>
      <c r="H1624" s="22" t="s">
        <v>605</v>
      </c>
      <c r="I1624" s="22" t="s">
        <v>1750</v>
      </c>
      <c r="J1624" s="22" t="s">
        <v>4401</v>
      </c>
      <c r="K1624" s="22" t="s">
        <v>292</v>
      </c>
      <c r="L1624" s="22"/>
      <c r="M1624" s="22"/>
      <c r="N1624" s="22"/>
    </row>
    <row r="1625" spans="1:14" x14ac:dyDescent="0.25">
      <c r="A1625" s="22" t="s">
        <v>1748</v>
      </c>
      <c r="B1625" s="22" t="s">
        <v>39</v>
      </c>
      <c r="C1625" s="22" t="s">
        <v>7191</v>
      </c>
      <c r="D1625" s="23">
        <v>947168</v>
      </c>
      <c r="E1625" s="22" t="s">
        <v>45</v>
      </c>
      <c r="F1625" s="24">
        <v>44269</v>
      </c>
      <c r="G1625" s="22" t="s">
        <v>1746</v>
      </c>
      <c r="H1625" s="22"/>
      <c r="I1625" s="22" t="s">
        <v>1746</v>
      </c>
      <c r="J1625" s="22" t="s">
        <v>4401</v>
      </c>
      <c r="K1625" s="22" t="s">
        <v>128</v>
      </c>
      <c r="L1625" s="22"/>
      <c r="M1625" s="22"/>
      <c r="N1625" s="22"/>
    </row>
    <row r="1626" spans="1:14" x14ac:dyDescent="0.25">
      <c r="A1626" s="22" t="s">
        <v>1748</v>
      </c>
      <c r="B1626" s="22" t="s">
        <v>39</v>
      </c>
      <c r="C1626" s="22" t="s">
        <v>7192</v>
      </c>
      <c r="D1626" s="23">
        <v>-1119902</v>
      </c>
      <c r="E1626" s="22" t="s">
        <v>45</v>
      </c>
      <c r="F1626" s="24">
        <v>44269</v>
      </c>
      <c r="G1626" s="22" t="s">
        <v>1746</v>
      </c>
      <c r="H1626" s="22" t="s">
        <v>1749</v>
      </c>
      <c r="I1626" s="22" t="s">
        <v>1747</v>
      </c>
      <c r="J1626" s="22" t="s">
        <v>4401</v>
      </c>
      <c r="K1626" s="22" t="s">
        <v>128</v>
      </c>
      <c r="L1626" s="22"/>
      <c r="M1626" s="22"/>
      <c r="N1626" s="22"/>
    </row>
    <row r="1627" spans="1:14" x14ac:dyDescent="0.25">
      <c r="A1627" s="22" t="s">
        <v>1745</v>
      </c>
      <c r="B1627" s="22" t="s">
        <v>39</v>
      </c>
      <c r="C1627" s="22" t="s">
        <v>3504</v>
      </c>
      <c r="D1627" s="23">
        <v>172734</v>
      </c>
      <c r="E1627" s="22" t="s">
        <v>42</v>
      </c>
      <c r="F1627" s="24">
        <v>44385</v>
      </c>
      <c r="G1627" s="22" t="s">
        <v>1746</v>
      </c>
      <c r="H1627" s="22" t="s">
        <v>1671</v>
      </c>
      <c r="I1627" s="22" t="s">
        <v>1744</v>
      </c>
      <c r="J1627" s="22" t="s">
        <v>4401</v>
      </c>
      <c r="K1627" s="22" t="s">
        <v>292</v>
      </c>
      <c r="L1627" s="22"/>
      <c r="M1627" s="22"/>
      <c r="N1627" s="22"/>
    </row>
    <row r="1628" spans="1:14" x14ac:dyDescent="0.25">
      <c r="A1628" s="22" t="s">
        <v>2642</v>
      </c>
      <c r="B1628" s="22" t="s">
        <v>39</v>
      </c>
      <c r="C1628" s="22" t="s">
        <v>7193</v>
      </c>
      <c r="D1628" s="23">
        <v>2284759</v>
      </c>
      <c r="E1628" s="22" t="s">
        <v>45</v>
      </c>
      <c r="F1628" s="24">
        <v>44258</v>
      </c>
      <c r="G1628" s="22" t="s">
        <v>7194</v>
      </c>
      <c r="H1628" s="22"/>
      <c r="I1628" s="22" t="s">
        <v>7194</v>
      </c>
      <c r="J1628" s="22" t="s">
        <v>4466</v>
      </c>
      <c r="K1628" s="22" t="s">
        <v>128</v>
      </c>
      <c r="L1628" s="22"/>
      <c r="M1628" s="22"/>
      <c r="N1628" s="22"/>
    </row>
    <row r="1629" spans="1:14" x14ac:dyDescent="0.25">
      <c r="A1629" s="22" t="s">
        <v>2642</v>
      </c>
      <c r="B1629" s="22" t="s">
        <v>39</v>
      </c>
      <c r="C1629" s="22" t="s">
        <v>7193</v>
      </c>
      <c r="D1629" s="23">
        <v>241000</v>
      </c>
      <c r="E1629" s="22" t="s">
        <v>45</v>
      </c>
      <c r="F1629" s="24">
        <v>44258</v>
      </c>
      <c r="G1629" s="22" t="s">
        <v>7194</v>
      </c>
      <c r="H1629" s="22"/>
      <c r="I1629" s="22" t="s">
        <v>7194</v>
      </c>
      <c r="J1629" s="22" t="s">
        <v>4552</v>
      </c>
      <c r="K1629" s="22" t="s">
        <v>128</v>
      </c>
      <c r="L1629" s="22"/>
      <c r="M1629" s="22"/>
      <c r="N1629" s="22"/>
    </row>
    <row r="1630" spans="1:14" x14ac:dyDescent="0.25">
      <c r="A1630" s="22" t="s">
        <v>2642</v>
      </c>
      <c r="B1630" s="22" t="s">
        <v>39</v>
      </c>
      <c r="C1630" s="22" t="s">
        <v>7193</v>
      </c>
      <c r="D1630" s="23">
        <v>-1910654</v>
      </c>
      <c r="E1630" s="22" t="s">
        <v>45</v>
      </c>
      <c r="F1630" s="24">
        <v>44258</v>
      </c>
      <c r="G1630" s="22" t="s">
        <v>7194</v>
      </c>
      <c r="H1630" s="22"/>
      <c r="I1630" s="22" t="s">
        <v>7194</v>
      </c>
      <c r="J1630" s="22" t="s">
        <v>4401</v>
      </c>
      <c r="K1630" s="22" t="s">
        <v>128</v>
      </c>
      <c r="L1630" s="22"/>
      <c r="M1630" s="22"/>
      <c r="N1630" s="22"/>
    </row>
    <row r="1631" spans="1:14" x14ac:dyDescent="0.25">
      <c r="A1631" s="22" t="s">
        <v>7196</v>
      </c>
      <c r="B1631" s="22" t="s">
        <v>39</v>
      </c>
      <c r="C1631" s="22" t="s">
        <v>7195</v>
      </c>
      <c r="D1631" s="23">
        <v>-660951</v>
      </c>
      <c r="E1631" s="22" t="s">
        <v>57</v>
      </c>
      <c r="F1631" s="24">
        <v>44255</v>
      </c>
      <c r="G1631" s="22" t="s">
        <v>7194</v>
      </c>
      <c r="H1631" s="22" t="s">
        <v>7197</v>
      </c>
      <c r="I1631" s="22" t="s">
        <v>7198</v>
      </c>
      <c r="J1631" s="22" t="s">
        <v>4466</v>
      </c>
      <c r="K1631" s="22" t="s">
        <v>128</v>
      </c>
      <c r="L1631" s="22"/>
      <c r="M1631" s="22"/>
      <c r="N1631" s="22"/>
    </row>
    <row r="1632" spans="1:14" x14ac:dyDescent="0.25">
      <c r="A1632" s="22" t="s">
        <v>2642</v>
      </c>
      <c r="B1632" s="22" t="s">
        <v>39</v>
      </c>
      <c r="C1632" s="22" t="s">
        <v>4867</v>
      </c>
      <c r="D1632" s="23">
        <v>-999658</v>
      </c>
      <c r="E1632" s="22" t="s">
        <v>57</v>
      </c>
      <c r="F1632" s="24">
        <v>44258</v>
      </c>
      <c r="G1632" s="22" t="s">
        <v>7194</v>
      </c>
      <c r="H1632" s="22" t="s">
        <v>1707</v>
      </c>
      <c r="I1632" s="22" t="s">
        <v>4869</v>
      </c>
      <c r="J1632" s="22" t="s">
        <v>4466</v>
      </c>
      <c r="K1632" s="22" t="s">
        <v>128</v>
      </c>
      <c r="L1632" s="22"/>
      <c r="M1632" s="22"/>
      <c r="N1632" s="22"/>
    </row>
    <row r="1633" spans="1:14" x14ac:dyDescent="0.25">
      <c r="A1633" s="22" t="s">
        <v>7199</v>
      </c>
      <c r="B1633" s="22" t="s">
        <v>39</v>
      </c>
      <c r="C1633" s="22" t="s">
        <v>6889</v>
      </c>
      <c r="D1633" s="23">
        <v>-29200</v>
      </c>
      <c r="E1633" s="22" t="s">
        <v>57</v>
      </c>
      <c r="F1633" s="24">
        <v>44274</v>
      </c>
      <c r="G1633" s="22" t="s">
        <v>7194</v>
      </c>
      <c r="H1633" s="22" t="s">
        <v>2062</v>
      </c>
      <c r="I1633" s="22" t="s">
        <v>7200</v>
      </c>
      <c r="J1633" s="22" t="s">
        <v>4552</v>
      </c>
      <c r="K1633" s="22" t="s">
        <v>128</v>
      </c>
      <c r="L1633" s="22"/>
      <c r="M1633" s="22"/>
      <c r="N1633" s="22"/>
    </row>
    <row r="1634" spans="1:14" x14ac:dyDescent="0.25">
      <c r="A1634" s="22" t="s">
        <v>7201</v>
      </c>
      <c r="B1634" s="22" t="s">
        <v>39</v>
      </c>
      <c r="C1634" s="22" t="s">
        <v>6889</v>
      </c>
      <c r="D1634" s="23">
        <v>-43700</v>
      </c>
      <c r="E1634" s="22" t="s">
        <v>57</v>
      </c>
      <c r="F1634" s="24">
        <v>44280</v>
      </c>
      <c r="G1634" s="22" t="s">
        <v>7194</v>
      </c>
      <c r="H1634" s="22" t="s">
        <v>2062</v>
      </c>
      <c r="I1634" s="22" t="s">
        <v>7202</v>
      </c>
      <c r="J1634" s="22" t="s">
        <v>4552</v>
      </c>
      <c r="K1634" s="22" t="s">
        <v>128</v>
      </c>
      <c r="L1634" s="22"/>
      <c r="M1634" s="22"/>
      <c r="N1634" s="22"/>
    </row>
    <row r="1635" spans="1:14" x14ac:dyDescent="0.25">
      <c r="A1635" s="22" t="s">
        <v>7203</v>
      </c>
      <c r="B1635" s="22" t="s">
        <v>39</v>
      </c>
      <c r="C1635" s="22" t="s">
        <v>6889</v>
      </c>
      <c r="D1635" s="23">
        <v>-6200</v>
      </c>
      <c r="E1635" s="22" t="s">
        <v>57</v>
      </c>
      <c r="F1635" s="24">
        <v>44281</v>
      </c>
      <c r="G1635" s="22" t="s">
        <v>7194</v>
      </c>
      <c r="H1635" s="22" t="s">
        <v>2062</v>
      </c>
      <c r="I1635" s="22" t="s">
        <v>7204</v>
      </c>
      <c r="J1635" s="22" t="s">
        <v>4552</v>
      </c>
      <c r="K1635" s="22" t="s">
        <v>128</v>
      </c>
      <c r="L1635" s="22"/>
      <c r="M1635" s="22"/>
      <c r="N1635" s="22"/>
    </row>
    <row r="1636" spans="1:14" x14ac:dyDescent="0.25">
      <c r="A1636" s="22" t="s">
        <v>7205</v>
      </c>
      <c r="B1636" s="22" t="s">
        <v>39</v>
      </c>
      <c r="C1636" s="22" t="s">
        <v>6990</v>
      </c>
      <c r="D1636" s="23">
        <v>-18800</v>
      </c>
      <c r="E1636" s="22" t="s">
        <v>57</v>
      </c>
      <c r="F1636" s="24">
        <v>44295</v>
      </c>
      <c r="G1636" s="22" t="s">
        <v>7194</v>
      </c>
      <c r="H1636" s="22" t="s">
        <v>2062</v>
      </c>
      <c r="I1636" s="22" t="s">
        <v>7206</v>
      </c>
      <c r="J1636" s="22" t="s">
        <v>4552</v>
      </c>
      <c r="K1636" s="22" t="s">
        <v>128</v>
      </c>
      <c r="L1636" s="22"/>
      <c r="M1636" s="22"/>
      <c r="N1636" s="22"/>
    </row>
    <row r="1637" spans="1:14" x14ac:dyDescent="0.25">
      <c r="A1637" s="22" t="s">
        <v>7208</v>
      </c>
      <c r="B1637" s="22" t="s">
        <v>39</v>
      </c>
      <c r="C1637" s="22" t="s">
        <v>7207</v>
      </c>
      <c r="D1637" s="23">
        <v>-53700</v>
      </c>
      <c r="E1637" s="22" t="s">
        <v>57</v>
      </c>
      <c r="F1637" s="24">
        <v>44302</v>
      </c>
      <c r="G1637" s="22" t="s">
        <v>7194</v>
      </c>
      <c r="H1637" s="22" t="s">
        <v>6635</v>
      </c>
      <c r="I1637" s="22" t="s">
        <v>7209</v>
      </c>
      <c r="J1637" s="22" t="s">
        <v>4466</v>
      </c>
      <c r="K1637" s="22" t="s">
        <v>128</v>
      </c>
      <c r="L1637" s="22"/>
      <c r="M1637" s="22"/>
      <c r="N1637" s="22"/>
    </row>
    <row r="1638" spans="1:14" x14ac:dyDescent="0.25">
      <c r="A1638" s="22" t="s">
        <v>7210</v>
      </c>
      <c r="B1638" s="22" t="s">
        <v>39</v>
      </c>
      <c r="C1638" s="22" t="s">
        <v>7207</v>
      </c>
      <c r="D1638" s="23">
        <v>-55707</v>
      </c>
      <c r="E1638" s="22" t="s">
        <v>57</v>
      </c>
      <c r="F1638" s="24">
        <v>44305</v>
      </c>
      <c r="G1638" s="22" t="s">
        <v>7194</v>
      </c>
      <c r="H1638" s="22" t="s">
        <v>6635</v>
      </c>
      <c r="I1638" s="22" t="s">
        <v>7211</v>
      </c>
      <c r="J1638" s="22" t="s">
        <v>4466</v>
      </c>
      <c r="K1638" s="22" t="s">
        <v>128</v>
      </c>
      <c r="L1638" s="22"/>
      <c r="M1638" s="22"/>
      <c r="N1638" s="22"/>
    </row>
    <row r="1639" spans="1:14" x14ac:dyDescent="0.25">
      <c r="A1639" s="22" t="s">
        <v>7213</v>
      </c>
      <c r="B1639" s="22" t="s">
        <v>39</v>
      </c>
      <c r="C1639" s="22" t="s">
        <v>7212</v>
      </c>
      <c r="D1639" s="23">
        <v>-103600</v>
      </c>
      <c r="E1639" s="22" t="s">
        <v>57</v>
      </c>
      <c r="F1639" s="24">
        <v>44330</v>
      </c>
      <c r="G1639" s="22" t="s">
        <v>7194</v>
      </c>
      <c r="H1639" s="22" t="s">
        <v>7214</v>
      </c>
      <c r="I1639" s="22" t="s">
        <v>7215</v>
      </c>
      <c r="J1639" s="22" t="s">
        <v>4401</v>
      </c>
      <c r="K1639" s="22" t="s">
        <v>128</v>
      </c>
      <c r="L1639" s="22"/>
      <c r="M1639" s="22"/>
      <c r="N1639" s="22"/>
    </row>
    <row r="1640" spans="1:14" x14ac:dyDescent="0.25">
      <c r="A1640" s="22" t="s">
        <v>7216</v>
      </c>
      <c r="B1640" s="22" t="s">
        <v>39</v>
      </c>
      <c r="C1640" s="22" t="s">
        <v>7212</v>
      </c>
      <c r="D1640" s="23">
        <v>-103600</v>
      </c>
      <c r="E1640" s="22" t="s">
        <v>57</v>
      </c>
      <c r="F1640" s="24">
        <v>44343</v>
      </c>
      <c r="G1640" s="22" t="s">
        <v>7194</v>
      </c>
      <c r="H1640" s="22" t="s">
        <v>7214</v>
      </c>
      <c r="I1640" s="22" t="s">
        <v>7217</v>
      </c>
      <c r="J1640" s="22" t="s">
        <v>4401</v>
      </c>
      <c r="K1640" s="22" t="s">
        <v>128</v>
      </c>
      <c r="L1640" s="22"/>
      <c r="M1640" s="22"/>
      <c r="N1640" s="22"/>
    </row>
    <row r="1641" spans="1:14" x14ac:dyDescent="0.25">
      <c r="A1641" s="22" t="s">
        <v>7218</v>
      </c>
      <c r="B1641" s="22" t="s">
        <v>39</v>
      </c>
      <c r="C1641" s="22" t="s">
        <v>7212</v>
      </c>
      <c r="D1641" s="23">
        <v>-54657</v>
      </c>
      <c r="E1641" s="22" t="s">
        <v>57</v>
      </c>
      <c r="F1641" s="24">
        <v>44325</v>
      </c>
      <c r="G1641" s="22" t="s">
        <v>7194</v>
      </c>
      <c r="H1641" s="22" t="s">
        <v>7219</v>
      </c>
      <c r="I1641" s="22" t="s">
        <v>7220</v>
      </c>
      <c r="J1641" s="22" t="s">
        <v>4401</v>
      </c>
      <c r="K1641" s="22" t="s">
        <v>128</v>
      </c>
      <c r="L1641" s="22"/>
      <c r="M1641" s="22"/>
      <c r="N1641" s="22"/>
    </row>
    <row r="1642" spans="1:14" x14ac:dyDescent="0.25">
      <c r="A1642" s="22" t="s">
        <v>7221</v>
      </c>
      <c r="B1642" s="22" t="s">
        <v>39</v>
      </c>
      <c r="C1642" s="22" t="s">
        <v>7212</v>
      </c>
      <c r="D1642" s="23">
        <v>-53700</v>
      </c>
      <c r="E1642" s="22" t="s">
        <v>57</v>
      </c>
      <c r="F1642" s="24">
        <v>44328</v>
      </c>
      <c r="G1642" s="22" t="s">
        <v>7194</v>
      </c>
      <c r="H1642" s="22" t="s">
        <v>7222</v>
      </c>
      <c r="I1642" s="22" t="s">
        <v>7223</v>
      </c>
      <c r="J1642" s="22" t="s">
        <v>4401</v>
      </c>
      <c r="K1642" s="22" t="s">
        <v>128</v>
      </c>
      <c r="L1642" s="22"/>
      <c r="M1642" s="22"/>
      <c r="N1642" s="22"/>
    </row>
    <row r="1643" spans="1:14" x14ac:dyDescent="0.25">
      <c r="A1643" s="22" t="s">
        <v>7225</v>
      </c>
      <c r="B1643" s="22" t="s">
        <v>39</v>
      </c>
      <c r="C1643" s="22" t="s">
        <v>7224</v>
      </c>
      <c r="D1643" s="23">
        <v>-514743</v>
      </c>
      <c r="E1643" s="22" t="s">
        <v>57</v>
      </c>
      <c r="F1643" s="24">
        <v>44343</v>
      </c>
      <c r="G1643" s="22" t="s">
        <v>7194</v>
      </c>
      <c r="H1643" s="22" t="s">
        <v>7226</v>
      </c>
      <c r="I1643" s="22" t="s">
        <v>7227</v>
      </c>
      <c r="J1643" s="22" t="s">
        <v>4466</v>
      </c>
      <c r="K1643" s="22" t="s">
        <v>128</v>
      </c>
      <c r="L1643" s="22"/>
      <c r="M1643" s="22"/>
      <c r="N1643" s="22"/>
    </row>
    <row r="1644" spans="1:14" x14ac:dyDescent="0.25">
      <c r="A1644" s="22" t="s">
        <v>7229</v>
      </c>
      <c r="B1644" s="22" t="s">
        <v>39</v>
      </c>
      <c r="C1644" s="22" t="s">
        <v>7228</v>
      </c>
      <c r="D1644" s="23">
        <v>-143100</v>
      </c>
      <c r="E1644" s="22" t="s">
        <v>57</v>
      </c>
      <c r="F1644" s="24">
        <v>44341</v>
      </c>
      <c r="G1644" s="22" t="s">
        <v>7194</v>
      </c>
      <c r="H1644" s="22" t="s">
        <v>839</v>
      </c>
      <c r="I1644" s="22" t="s">
        <v>7230</v>
      </c>
      <c r="J1644" s="22" t="s">
        <v>4552</v>
      </c>
      <c r="K1644" s="22" t="s">
        <v>128</v>
      </c>
      <c r="L1644" s="22"/>
      <c r="M1644" s="22"/>
      <c r="N1644" s="22"/>
    </row>
    <row r="1645" spans="1:14" x14ac:dyDescent="0.25">
      <c r="A1645" s="22" t="s">
        <v>6238</v>
      </c>
      <c r="B1645" s="22" t="s">
        <v>39</v>
      </c>
      <c r="C1645" s="22" t="s">
        <v>5081</v>
      </c>
      <c r="D1645" s="23">
        <v>2226211</v>
      </c>
      <c r="E1645" s="22" t="s">
        <v>45</v>
      </c>
      <c r="F1645" s="24">
        <v>44053</v>
      </c>
      <c r="G1645" s="22" t="s">
        <v>7194</v>
      </c>
      <c r="H1645" s="22" t="s">
        <v>6029</v>
      </c>
      <c r="I1645" s="22" t="s">
        <v>6239</v>
      </c>
      <c r="J1645" s="22" t="s">
        <v>4401</v>
      </c>
      <c r="K1645" s="22" t="s">
        <v>6238</v>
      </c>
      <c r="L1645" s="22"/>
      <c r="M1645" s="22"/>
      <c r="N1645" s="22"/>
    </row>
    <row r="1646" spans="1:14" x14ac:dyDescent="0.25">
      <c r="A1646" s="22" t="s">
        <v>1842</v>
      </c>
      <c r="B1646" s="22" t="s">
        <v>39</v>
      </c>
      <c r="C1646" s="22" t="s">
        <v>7193</v>
      </c>
      <c r="D1646" s="23">
        <v>948994</v>
      </c>
      <c r="E1646" s="22" t="s">
        <v>45</v>
      </c>
      <c r="F1646" s="24">
        <v>44308</v>
      </c>
      <c r="G1646" s="22" t="s">
        <v>1841</v>
      </c>
      <c r="H1646" s="22"/>
      <c r="I1646" s="22" t="s">
        <v>1841</v>
      </c>
      <c r="J1646" s="22" t="s">
        <v>4466</v>
      </c>
      <c r="K1646" s="22" t="s">
        <v>128</v>
      </c>
      <c r="L1646" s="22"/>
      <c r="M1646" s="22"/>
      <c r="N1646" s="22"/>
    </row>
    <row r="1647" spans="1:14" x14ac:dyDescent="0.25">
      <c r="A1647" s="22" t="s">
        <v>1842</v>
      </c>
      <c r="B1647" s="22" t="s">
        <v>39</v>
      </c>
      <c r="C1647" s="22" t="s">
        <v>7193</v>
      </c>
      <c r="D1647" s="23">
        <v>1667640</v>
      </c>
      <c r="E1647" s="22" t="s">
        <v>45</v>
      </c>
      <c r="F1647" s="24">
        <v>44308</v>
      </c>
      <c r="G1647" s="22" t="s">
        <v>1841</v>
      </c>
      <c r="H1647" s="22"/>
      <c r="I1647" s="22" t="s">
        <v>1841</v>
      </c>
      <c r="J1647" s="22" t="s">
        <v>4552</v>
      </c>
      <c r="K1647" s="22" t="s">
        <v>128</v>
      </c>
      <c r="L1647" s="22"/>
      <c r="M1647" s="22"/>
      <c r="N1647" s="22"/>
    </row>
    <row r="1648" spans="1:14" x14ac:dyDescent="0.25">
      <c r="A1648" s="22" t="s">
        <v>1842</v>
      </c>
      <c r="B1648" s="22" t="s">
        <v>39</v>
      </c>
      <c r="C1648" s="22" t="s">
        <v>7193</v>
      </c>
      <c r="D1648" s="23">
        <v>-4728294</v>
      </c>
      <c r="E1648" s="22" t="s">
        <v>45</v>
      </c>
      <c r="F1648" s="24">
        <v>44308</v>
      </c>
      <c r="G1648" s="22" t="s">
        <v>1841</v>
      </c>
      <c r="H1648" s="22"/>
      <c r="I1648" s="22" t="s">
        <v>1841</v>
      </c>
      <c r="J1648" s="22" t="s">
        <v>4401</v>
      </c>
      <c r="K1648" s="22" t="s">
        <v>128</v>
      </c>
      <c r="L1648" s="22"/>
      <c r="M1648" s="22"/>
      <c r="N1648" s="22"/>
    </row>
    <row r="1649" spans="1:14" x14ac:dyDescent="0.25">
      <c r="A1649" s="22" t="s">
        <v>1842</v>
      </c>
      <c r="B1649" s="22" t="s">
        <v>39</v>
      </c>
      <c r="C1649" s="22" t="s">
        <v>7193</v>
      </c>
      <c r="D1649" s="23">
        <v>2218747</v>
      </c>
      <c r="E1649" s="22" t="s">
        <v>45</v>
      </c>
      <c r="F1649" s="24">
        <v>44308</v>
      </c>
      <c r="G1649" s="22" t="s">
        <v>1841</v>
      </c>
      <c r="H1649" s="22"/>
      <c r="I1649" s="22" t="s">
        <v>1841</v>
      </c>
      <c r="J1649" s="22" t="s">
        <v>4407</v>
      </c>
      <c r="K1649" s="22" t="s">
        <v>128</v>
      </c>
      <c r="L1649" s="22"/>
      <c r="M1649" s="22"/>
      <c r="N1649" s="22"/>
    </row>
    <row r="1650" spans="1:14" x14ac:dyDescent="0.25">
      <c r="A1650" s="22" t="s">
        <v>7231</v>
      </c>
      <c r="B1650" s="22" t="s">
        <v>39</v>
      </c>
      <c r="C1650" s="22" t="s">
        <v>4867</v>
      </c>
      <c r="D1650" s="23">
        <v>-54578</v>
      </c>
      <c r="E1650" s="22" t="s">
        <v>57</v>
      </c>
      <c r="F1650" s="24">
        <v>44246</v>
      </c>
      <c r="G1650" s="22" t="s">
        <v>1841</v>
      </c>
      <c r="H1650" s="22" t="s">
        <v>7232</v>
      </c>
      <c r="I1650" s="22" t="s">
        <v>7233</v>
      </c>
      <c r="J1650" s="22" t="s">
        <v>4466</v>
      </c>
      <c r="K1650" s="22" t="s">
        <v>128</v>
      </c>
      <c r="L1650" s="22"/>
      <c r="M1650" s="22"/>
      <c r="N1650" s="22"/>
    </row>
    <row r="1651" spans="1:14" x14ac:dyDescent="0.25">
      <c r="A1651" s="22" t="s">
        <v>2642</v>
      </c>
      <c r="B1651" s="22" t="s">
        <v>39</v>
      </c>
      <c r="C1651" s="22" t="s">
        <v>4867</v>
      </c>
      <c r="D1651" s="23">
        <v>-615105</v>
      </c>
      <c r="E1651" s="22" t="s">
        <v>45</v>
      </c>
      <c r="F1651" s="24">
        <v>44258</v>
      </c>
      <c r="G1651" s="22" t="s">
        <v>1841</v>
      </c>
      <c r="H1651" s="22" t="s">
        <v>7234</v>
      </c>
      <c r="I1651" s="22" t="s">
        <v>7194</v>
      </c>
      <c r="J1651" s="22" t="s">
        <v>4466</v>
      </c>
      <c r="K1651" s="22" t="s">
        <v>128</v>
      </c>
      <c r="L1651" s="22"/>
      <c r="M1651" s="22"/>
      <c r="N1651" s="22"/>
    </row>
    <row r="1652" spans="1:14" x14ac:dyDescent="0.25">
      <c r="A1652" s="22" t="s">
        <v>7235</v>
      </c>
      <c r="B1652" s="22" t="s">
        <v>39</v>
      </c>
      <c r="C1652" s="22" t="s">
        <v>6911</v>
      </c>
      <c r="D1652" s="23">
        <v>-57200</v>
      </c>
      <c r="E1652" s="22" t="s">
        <v>57</v>
      </c>
      <c r="F1652" s="24">
        <v>44106</v>
      </c>
      <c r="G1652" s="22" t="s">
        <v>1841</v>
      </c>
      <c r="H1652" s="22" t="s">
        <v>6342</v>
      </c>
      <c r="I1652" s="22" t="s">
        <v>7236</v>
      </c>
      <c r="J1652" s="22" t="s">
        <v>4552</v>
      </c>
      <c r="K1652" s="22" t="s">
        <v>128</v>
      </c>
      <c r="L1652" s="22"/>
      <c r="M1652" s="22"/>
      <c r="N1652" s="22"/>
    </row>
    <row r="1653" spans="1:14" x14ac:dyDescent="0.25">
      <c r="A1653" s="22" t="s">
        <v>7237</v>
      </c>
      <c r="B1653" s="22" t="s">
        <v>39</v>
      </c>
      <c r="C1653" s="22" t="s">
        <v>6911</v>
      </c>
      <c r="D1653" s="23">
        <v>-42200</v>
      </c>
      <c r="E1653" s="22" t="s">
        <v>57</v>
      </c>
      <c r="F1653" s="24">
        <v>44106</v>
      </c>
      <c r="G1653" s="22" t="s">
        <v>1841</v>
      </c>
      <c r="H1653" s="22" t="s">
        <v>5746</v>
      </c>
      <c r="I1653" s="22" t="s">
        <v>7238</v>
      </c>
      <c r="J1653" s="22" t="s">
        <v>4552</v>
      </c>
      <c r="K1653" s="22" t="s">
        <v>128</v>
      </c>
      <c r="L1653" s="22"/>
      <c r="M1653" s="22"/>
      <c r="N1653" s="22"/>
    </row>
    <row r="1654" spans="1:14" x14ac:dyDescent="0.25">
      <c r="A1654" s="22" t="s">
        <v>7239</v>
      </c>
      <c r="B1654" s="22" t="s">
        <v>39</v>
      </c>
      <c r="C1654" s="22" t="s">
        <v>6911</v>
      </c>
      <c r="D1654" s="23">
        <v>-6700</v>
      </c>
      <c r="E1654" s="22" t="s">
        <v>57</v>
      </c>
      <c r="F1654" s="24">
        <v>44119</v>
      </c>
      <c r="G1654" s="22" t="s">
        <v>1841</v>
      </c>
      <c r="H1654" s="22" t="s">
        <v>6342</v>
      </c>
      <c r="I1654" s="22" t="s">
        <v>7240</v>
      </c>
      <c r="J1654" s="22" t="s">
        <v>4552</v>
      </c>
      <c r="K1654" s="22" t="s">
        <v>128</v>
      </c>
      <c r="L1654" s="22"/>
      <c r="M1654" s="22"/>
      <c r="N1654" s="22"/>
    </row>
    <row r="1655" spans="1:14" x14ac:dyDescent="0.25">
      <c r="A1655" s="22" t="s">
        <v>7241</v>
      </c>
      <c r="B1655" s="22" t="s">
        <v>39</v>
      </c>
      <c r="C1655" s="22" t="s">
        <v>6911</v>
      </c>
      <c r="D1655" s="23">
        <v>-28300</v>
      </c>
      <c r="E1655" s="22" t="s">
        <v>57</v>
      </c>
      <c r="F1655" s="24">
        <v>44134</v>
      </c>
      <c r="G1655" s="22" t="s">
        <v>1841</v>
      </c>
      <c r="H1655" s="22" t="s">
        <v>5746</v>
      </c>
      <c r="I1655" s="22" t="s">
        <v>7242</v>
      </c>
      <c r="J1655" s="22" t="s">
        <v>4552</v>
      </c>
      <c r="K1655" s="22" t="s">
        <v>128</v>
      </c>
      <c r="L1655" s="22"/>
      <c r="M1655" s="22"/>
      <c r="N1655" s="22"/>
    </row>
    <row r="1656" spans="1:14" x14ac:dyDescent="0.25">
      <c r="A1656" s="22" t="s">
        <v>7149</v>
      </c>
      <c r="B1656" s="22" t="s">
        <v>39</v>
      </c>
      <c r="C1656" s="22" t="s">
        <v>6910</v>
      </c>
      <c r="D1656" s="23">
        <v>-12544</v>
      </c>
      <c r="E1656" s="22" t="s">
        <v>45</v>
      </c>
      <c r="F1656" s="24">
        <v>44126</v>
      </c>
      <c r="G1656" s="22" t="s">
        <v>1841</v>
      </c>
      <c r="H1656" s="22" t="s">
        <v>7243</v>
      </c>
      <c r="I1656" s="22" t="s">
        <v>7150</v>
      </c>
      <c r="J1656" s="22" t="s">
        <v>4407</v>
      </c>
      <c r="K1656" s="22" t="s">
        <v>128</v>
      </c>
      <c r="L1656" s="22"/>
      <c r="M1656" s="22"/>
      <c r="N1656" s="22"/>
    </row>
    <row r="1657" spans="1:14" x14ac:dyDescent="0.25">
      <c r="A1657" s="22" t="s">
        <v>4842</v>
      </c>
      <c r="B1657" s="22" t="s">
        <v>39</v>
      </c>
      <c r="C1657" s="22" t="s">
        <v>4844</v>
      </c>
      <c r="D1657" s="23">
        <v>-2200545</v>
      </c>
      <c r="E1657" s="22" t="s">
        <v>57</v>
      </c>
      <c r="F1657" s="24">
        <v>44117</v>
      </c>
      <c r="G1657" s="22" t="s">
        <v>1841</v>
      </c>
      <c r="H1657" s="22" t="s">
        <v>7244</v>
      </c>
      <c r="I1657" s="22" t="s">
        <v>4846</v>
      </c>
      <c r="J1657" s="22" t="s">
        <v>4407</v>
      </c>
      <c r="K1657" s="22" t="s">
        <v>78</v>
      </c>
      <c r="L1657" s="22"/>
      <c r="M1657" s="22"/>
      <c r="N1657" s="22"/>
    </row>
    <row r="1658" spans="1:14" x14ac:dyDescent="0.25">
      <c r="A1658" s="22" t="s">
        <v>7245</v>
      </c>
      <c r="B1658" s="22" t="s">
        <v>39</v>
      </c>
      <c r="C1658" s="22" t="s">
        <v>6889</v>
      </c>
      <c r="D1658" s="23">
        <v>-41800</v>
      </c>
      <c r="E1658" s="22" t="s">
        <v>57</v>
      </c>
      <c r="F1658" s="24">
        <v>44260</v>
      </c>
      <c r="G1658" s="22" t="s">
        <v>1841</v>
      </c>
      <c r="H1658" s="22" t="s">
        <v>711</v>
      </c>
      <c r="I1658" s="22" t="s">
        <v>7246</v>
      </c>
      <c r="J1658" s="22" t="s">
        <v>4552</v>
      </c>
      <c r="K1658" s="22" t="s">
        <v>128</v>
      </c>
      <c r="L1658" s="22"/>
      <c r="M1658" s="22"/>
      <c r="N1658" s="22"/>
    </row>
    <row r="1659" spans="1:14" x14ac:dyDescent="0.25">
      <c r="A1659" s="22" t="s">
        <v>7247</v>
      </c>
      <c r="B1659" s="22" t="s">
        <v>39</v>
      </c>
      <c r="C1659" s="22" t="s">
        <v>6889</v>
      </c>
      <c r="D1659" s="23">
        <v>-153500</v>
      </c>
      <c r="E1659" s="22" t="s">
        <v>57</v>
      </c>
      <c r="F1659" s="24">
        <v>44267</v>
      </c>
      <c r="G1659" s="22" t="s">
        <v>1841</v>
      </c>
      <c r="H1659" s="22" t="s">
        <v>711</v>
      </c>
      <c r="I1659" s="22" t="s">
        <v>7248</v>
      </c>
      <c r="J1659" s="22" t="s">
        <v>4552</v>
      </c>
      <c r="K1659" s="22" t="s">
        <v>128</v>
      </c>
      <c r="L1659" s="22"/>
      <c r="M1659" s="22"/>
      <c r="N1659" s="22"/>
    </row>
    <row r="1660" spans="1:14" x14ac:dyDescent="0.25">
      <c r="A1660" s="22" t="s">
        <v>7249</v>
      </c>
      <c r="B1660" s="22" t="s">
        <v>39</v>
      </c>
      <c r="C1660" s="22" t="s">
        <v>6889</v>
      </c>
      <c r="D1660" s="23">
        <v>-68800</v>
      </c>
      <c r="E1660" s="22" t="s">
        <v>57</v>
      </c>
      <c r="F1660" s="24">
        <v>44278</v>
      </c>
      <c r="G1660" s="22" t="s">
        <v>1841</v>
      </c>
      <c r="H1660" s="22" t="s">
        <v>711</v>
      </c>
      <c r="I1660" s="22" t="s">
        <v>7250</v>
      </c>
      <c r="J1660" s="22" t="s">
        <v>4552</v>
      </c>
      <c r="K1660" s="22" t="s">
        <v>128</v>
      </c>
      <c r="L1660" s="22"/>
      <c r="M1660" s="22"/>
      <c r="N1660" s="22"/>
    </row>
    <row r="1661" spans="1:14" x14ac:dyDescent="0.25">
      <c r="A1661" s="22" t="s">
        <v>7251</v>
      </c>
      <c r="B1661" s="22" t="s">
        <v>39</v>
      </c>
      <c r="C1661" s="22" t="s">
        <v>6889</v>
      </c>
      <c r="D1661" s="23">
        <v>-29200</v>
      </c>
      <c r="E1661" s="22" t="s">
        <v>57</v>
      </c>
      <c r="F1661" s="24">
        <v>44281</v>
      </c>
      <c r="G1661" s="22" t="s">
        <v>1841</v>
      </c>
      <c r="H1661" s="22" t="s">
        <v>667</v>
      </c>
      <c r="I1661" s="22" t="s">
        <v>7252</v>
      </c>
      <c r="J1661" s="22" t="s">
        <v>4552</v>
      </c>
      <c r="K1661" s="22" t="s">
        <v>128</v>
      </c>
      <c r="L1661" s="22"/>
      <c r="M1661" s="22"/>
      <c r="N1661" s="22"/>
    </row>
    <row r="1662" spans="1:14" x14ac:dyDescent="0.25">
      <c r="A1662" s="22" t="s">
        <v>7254</v>
      </c>
      <c r="B1662" s="22" t="s">
        <v>39</v>
      </c>
      <c r="C1662" s="22" t="s">
        <v>7253</v>
      </c>
      <c r="D1662" s="23">
        <v>-37100</v>
      </c>
      <c r="E1662" s="22" t="s">
        <v>57</v>
      </c>
      <c r="F1662" s="24">
        <v>44260</v>
      </c>
      <c r="G1662" s="22" t="s">
        <v>1841</v>
      </c>
      <c r="H1662" s="22" t="s">
        <v>5746</v>
      </c>
      <c r="I1662" s="22" t="s">
        <v>7255</v>
      </c>
      <c r="J1662" s="22" t="s">
        <v>4466</v>
      </c>
      <c r="K1662" s="22" t="s">
        <v>128</v>
      </c>
      <c r="L1662" s="22"/>
      <c r="M1662" s="22"/>
      <c r="N1662" s="22"/>
    </row>
    <row r="1663" spans="1:14" x14ac:dyDescent="0.25">
      <c r="A1663" s="22" t="s">
        <v>1748</v>
      </c>
      <c r="B1663" s="22" t="s">
        <v>39</v>
      </c>
      <c r="C1663" s="22" t="s">
        <v>7192</v>
      </c>
      <c r="D1663" s="23">
        <v>-947168</v>
      </c>
      <c r="E1663" s="22" t="s">
        <v>45</v>
      </c>
      <c r="F1663" s="24">
        <v>44269</v>
      </c>
      <c r="G1663" s="22" t="s">
        <v>1841</v>
      </c>
      <c r="H1663" s="22" t="s">
        <v>7256</v>
      </c>
      <c r="I1663" s="22" t="s">
        <v>1746</v>
      </c>
      <c r="J1663" s="22" t="s">
        <v>4401</v>
      </c>
      <c r="K1663" s="22" t="s">
        <v>128</v>
      </c>
      <c r="L1663" s="22"/>
      <c r="M1663" s="22"/>
      <c r="N1663" s="22"/>
    </row>
    <row r="1664" spans="1:14" x14ac:dyDescent="0.25">
      <c r="A1664" s="22" t="s">
        <v>7257</v>
      </c>
      <c r="B1664" s="22" t="s">
        <v>39</v>
      </c>
      <c r="C1664" s="22" t="s">
        <v>6918</v>
      </c>
      <c r="D1664" s="23">
        <v>-242211</v>
      </c>
      <c r="E1664" s="22" t="s">
        <v>57</v>
      </c>
      <c r="F1664" s="24">
        <v>44257</v>
      </c>
      <c r="G1664" s="22" t="s">
        <v>1841</v>
      </c>
      <c r="H1664" s="22" t="s">
        <v>2193</v>
      </c>
      <c r="I1664" s="22" t="s">
        <v>7258</v>
      </c>
      <c r="J1664" s="22" t="s">
        <v>4466</v>
      </c>
      <c r="K1664" s="22" t="s">
        <v>128</v>
      </c>
      <c r="L1664" s="22"/>
      <c r="M1664" s="22"/>
      <c r="N1664" s="22"/>
    </row>
    <row r="1665" spans="1:14" x14ac:dyDescent="0.25">
      <c r="A1665" s="22" t="s">
        <v>7260</v>
      </c>
      <c r="B1665" s="22" t="s">
        <v>39</v>
      </c>
      <c r="C1665" s="22" t="s">
        <v>7259</v>
      </c>
      <c r="D1665" s="23">
        <v>-32700</v>
      </c>
      <c r="E1665" s="22" t="s">
        <v>57</v>
      </c>
      <c r="F1665" s="24">
        <v>44281</v>
      </c>
      <c r="G1665" s="22" t="s">
        <v>1841</v>
      </c>
      <c r="H1665" s="22" t="s">
        <v>2034</v>
      </c>
      <c r="I1665" s="22" t="s">
        <v>7261</v>
      </c>
      <c r="J1665" s="22" t="s">
        <v>4401</v>
      </c>
      <c r="K1665" s="22" t="s">
        <v>78</v>
      </c>
      <c r="L1665" s="22"/>
      <c r="M1665" s="22"/>
      <c r="N1665" s="22"/>
    </row>
    <row r="1666" spans="1:14" x14ac:dyDescent="0.25">
      <c r="A1666" s="22" t="s">
        <v>7263</v>
      </c>
      <c r="B1666" s="22" t="s">
        <v>39</v>
      </c>
      <c r="C1666" s="22" t="s">
        <v>7262</v>
      </c>
      <c r="D1666" s="23">
        <v>-1197740</v>
      </c>
      <c r="E1666" s="22" t="s">
        <v>57</v>
      </c>
      <c r="F1666" s="24">
        <v>44111</v>
      </c>
      <c r="G1666" s="22" t="s">
        <v>1841</v>
      </c>
      <c r="H1666" s="22" t="s">
        <v>2202</v>
      </c>
      <c r="I1666" s="22" t="s">
        <v>7264</v>
      </c>
      <c r="J1666" s="22" t="s">
        <v>4552</v>
      </c>
      <c r="K1666" s="22" t="s">
        <v>128</v>
      </c>
      <c r="L1666" s="22"/>
      <c r="M1666" s="22"/>
      <c r="N1666" s="22"/>
    </row>
    <row r="1667" spans="1:14" x14ac:dyDescent="0.25">
      <c r="A1667" s="22" t="s">
        <v>7266</v>
      </c>
      <c r="B1667" s="22" t="s">
        <v>39</v>
      </c>
      <c r="C1667" s="22" t="s">
        <v>7265</v>
      </c>
      <c r="D1667" s="23">
        <v>-975944</v>
      </c>
      <c r="E1667" s="22" t="s">
        <v>57</v>
      </c>
      <c r="F1667" s="24">
        <v>44111</v>
      </c>
      <c r="G1667" s="22" t="s">
        <v>1841</v>
      </c>
      <c r="H1667" s="22" t="s">
        <v>7267</v>
      </c>
      <c r="I1667" s="22" t="s">
        <v>7268</v>
      </c>
      <c r="J1667" s="22" t="s">
        <v>4401</v>
      </c>
      <c r="K1667" s="22" t="s">
        <v>128</v>
      </c>
      <c r="L1667" s="22"/>
      <c r="M1667" s="22"/>
      <c r="N1667" s="22"/>
    </row>
    <row r="1668" spans="1:14" x14ac:dyDescent="0.25">
      <c r="A1668" s="22" t="s">
        <v>7269</v>
      </c>
      <c r="B1668" s="22" t="s">
        <v>39</v>
      </c>
      <c r="C1668" s="22" t="s">
        <v>6924</v>
      </c>
      <c r="D1668" s="23">
        <v>-42200</v>
      </c>
      <c r="E1668" s="22" t="s">
        <v>57</v>
      </c>
      <c r="F1668" s="24">
        <v>44139</v>
      </c>
      <c r="G1668" s="22" t="s">
        <v>1841</v>
      </c>
      <c r="H1668" s="22" t="s">
        <v>5746</v>
      </c>
      <c r="I1668" s="22" t="s">
        <v>7270</v>
      </c>
      <c r="J1668" s="22" t="s">
        <v>4552</v>
      </c>
      <c r="K1668" s="22" t="s">
        <v>128</v>
      </c>
      <c r="L1668" s="22"/>
      <c r="M1668" s="22"/>
      <c r="N1668" s="22"/>
    </row>
    <row r="1669" spans="1:14" x14ac:dyDescent="0.25">
      <c r="A1669" s="22" t="s">
        <v>7051</v>
      </c>
      <c r="B1669" s="22" t="s">
        <v>39</v>
      </c>
      <c r="C1669" s="22" t="s">
        <v>6927</v>
      </c>
      <c r="D1669" s="23">
        <v>-5658</v>
      </c>
      <c r="E1669" s="22" t="s">
        <v>45</v>
      </c>
      <c r="F1669" s="24">
        <v>44155</v>
      </c>
      <c r="G1669" s="22" t="s">
        <v>1841</v>
      </c>
      <c r="H1669" s="22" t="s">
        <v>7271</v>
      </c>
      <c r="I1669" s="22" t="s">
        <v>7052</v>
      </c>
      <c r="J1669" s="22" t="s">
        <v>4407</v>
      </c>
      <c r="K1669" s="22" t="s">
        <v>128</v>
      </c>
      <c r="L1669" s="22"/>
      <c r="M1669" s="22"/>
      <c r="N1669" s="22"/>
    </row>
    <row r="1670" spans="1:14" x14ac:dyDescent="0.25">
      <c r="A1670" s="22" t="s">
        <v>7273</v>
      </c>
      <c r="B1670" s="22" t="s">
        <v>39</v>
      </c>
      <c r="C1670" s="22" t="s">
        <v>7272</v>
      </c>
      <c r="D1670" s="23">
        <v>-185091</v>
      </c>
      <c r="E1670" s="22" t="s">
        <v>57</v>
      </c>
      <c r="F1670" s="24">
        <v>44150</v>
      </c>
      <c r="G1670" s="22" t="s">
        <v>1841</v>
      </c>
      <c r="H1670" s="22" t="s">
        <v>319</v>
      </c>
      <c r="I1670" s="22" t="s">
        <v>7274</v>
      </c>
      <c r="J1670" s="22" t="s">
        <v>4401</v>
      </c>
      <c r="K1670" s="22" t="s">
        <v>128</v>
      </c>
      <c r="L1670" s="22"/>
      <c r="M1670" s="22"/>
      <c r="N1670" s="22"/>
    </row>
    <row r="1671" spans="1:14" x14ac:dyDescent="0.25">
      <c r="A1671" s="22" t="s">
        <v>1842</v>
      </c>
      <c r="B1671" s="22" t="s">
        <v>39</v>
      </c>
      <c r="C1671" s="22" t="s">
        <v>4831</v>
      </c>
      <c r="D1671" s="23">
        <v>-387914</v>
      </c>
      <c r="E1671" s="22" t="s">
        <v>57</v>
      </c>
      <c r="F1671" s="24">
        <v>44308</v>
      </c>
      <c r="G1671" s="22" t="s">
        <v>1841</v>
      </c>
      <c r="H1671" s="22" t="s">
        <v>7275</v>
      </c>
      <c r="I1671" s="22" t="s">
        <v>4833</v>
      </c>
      <c r="J1671" s="22" t="s">
        <v>4401</v>
      </c>
      <c r="K1671" s="22" t="s">
        <v>128</v>
      </c>
      <c r="L1671" s="22"/>
      <c r="M1671" s="22"/>
      <c r="N1671" s="22"/>
    </row>
    <row r="1672" spans="1:14" x14ac:dyDescent="0.25">
      <c r="A1672" s="22" t="s">
        <v>7276</v>
      </c>
      <c r="B1672" s="22" t="s">
        <v>39</v>
      </c>
      <c r="C1672" s="22" t="s">
        <v>3643</v>
      </c>
      <c r="D1672" s="23">
        <v>7257111</v>
      </c>
      <c r="E1672" s="22" t="s">
        <v>42</v>
      </c>
      <c r="F1672" s="24">
        <v>44172</v>
      </c>
      <c r="G1672" s="22" t="s">
        <v>1841</v>
      </c>
      <c r="H1672" s="22" t="s">
        <v>1741</v>
      </c>
      <c r="I1672" s="22" t="s">
        <v>7277</v>
      </c>
      <c r="J1672" s="22" t="s">
        <v>4401</v>
      </c>
      <c r="K1672" s="22" t="s">
        <v>292</v>
      </c>
      <c r="L1672" s="22"/>
      <c r="M1672" s="22"/>
      <c r="N1672" s="22"/>
    </row>
    <row r="1673" spans="1:14" x14ac:dyDescent="0.25">
      <c r="A1673" s="22" t="s">
        <v>130</v>
      </c>
      <c r="B1673" s="22" t="s">
        <v>39</v>
      </c>
      <c r="C1673" s="22" t="s">
        <v>7193</v>
      </c>
      <c r="D1673" s="23">
        <v>-413404</v>
      </c>
      <c r="E1673" s="22" t="s">
        <v>45</v>
      </c>
      <c r="F1673" s="24">
        <v>44314</v>
      </c>
      <c r="G1673" s="22" t="s">
        <v>1757</v>
      </c>
      <c r="H1673" s="22"/>
      <c r="I1673" s="22" t="s">
        <v>1757</v>
      </c>
      <c r="J1673" s="22" t="s">
        <v>4401</v>
      </c>
      <c r="K1673" s="22" t="s">
        <v>128</v>
      </c>
      <c r="L1673" s="22"/>
      <c r="M1673" s="22"/>
      <c r="N1673" s="22"/>
    </row>
    <row r="1674" spans="1:14" x14ac:dyDescent="0.25">
      <c r="A1674" s="22" t="s">
        <v>130</v>
      </c>
      <c r="B1674" s="22" t="s">
        <v>39</v>
      </c>
      <c r="C1674" s="22" t="s">
        <v>7193</v>
      </c>
      <c r="D1674" s="23">
        <v>1986540</v>
      </c>
      <c r="E1674" s="22" t="s">
        <v>45</v>
      </c>
      <c r="F1674" s="24">
        <v>44314</v>
      </c>
      <c r="G1674" s="22" t="s">
        <v>1757</v>
      </c>
      <c r="H1674" s="22"/>
      <c r="I1674" s="22" t="s">
        <v>1757</v>
      </c>
      <c r="J1674" s="22" t="s">
        <v>4407</v>
      </c>
      <c r="K1674" s="22" t="s">
        <v>128</v>
      </c>
      <c r="L1674" s="22"/>
      <c r="M1674" s="22"/>
      <c r="N1674" s="22"/>
    </row>
    <row r="1675" spans="1:14" x14ac:dyDescent="0.25">
      <c r="A1675" s="22" t="s">
        <v>1842</v>
      </c>
      <c r="B1675" s="22" t="s">
        <v>39</v>
      </c>
      <c r="C1675" s="22" t="s">
        <v>4831</v>
      </c>
      <c r="D1675" s="23">
        <v>-107087</v>
      </c>
      <c r="E1675" s="22" t="s">
        <v>45</v>
      </c>
      <c r="F1675" s="24">
        <v>44308</v>
      </c>
      <c r="G1675" s="22" t="s">
        <v>1757</v>
      </c>
      <c r="H1675" s="22" t="s">
        <v>1843</v>
      </c>
      <c r="I1675" s="22" t="s">
        <v>1841</v>
      </c>
      <c r="J1675" s="22" t="s">
        <v>4401</v>
      </c>
      <c r="K1675" s="22" t="s">
        <v>128</v>
      </c>
      <c r="L1675" s="22"/>
      <c r="M1675" s="22"/>
      <c r="N1675" s="22"/>
    </row>
    <row r="1676" spans="1:14" x14ac:dyDescent="0.25">
      <c r="A1676" s="22" t="s">
        <v>1839</v>
      </c>
      <c r="B1676" s="22" t="s">
        <v>39</v>
      </c>
      <c r="C1676" s="22" t="s">
        <v>7278</v>
      </c>
      <c r="D1676" s="23">
        <v>-54657</v>
      </c>
      <c r="E1676" s="22" t="s">
        <v>57</v>
      </c>
      <c r="F1676" s="24">
        <v>44307</v>
      </c>
      <c r="G1676" s="22" t="s">
        <v>1757</v>
      </c>
      <c r="H1676" s="22" t="s">
        <v>1840</v>
      </c>
      <c r="I1676" s="22" t="s">
        <v>1838</v>
      </c>
      <c r="J1676" s="22" t="s">
        <v>4401</v>
      </c>
      <c r="K1676" s="22" t="s">
        <v>128</v>
      </c>
      <c r="L1676" s="22"/>
      <c r="M1676" s="22"/>
      <c r="N1676" s="22"/>
    </row>
    <row r="1677" spans="1:14" x14ac:dyDescent="0.25">
      <c r="A1677" s="22" t="s">
        <v>130</v>
      </c>
      <c r="B1677" s="22" t="s">
        <v>39</v>
      </c>
      <c r="C1677" s="22" t="s">
        <v>129</v>
      </c>
      <c r="D1677" s="23">
        <v>-1986540</v>
      </c>
      <c r="E1677" s="22" t="s">
        <v>57</v>
      </c>
      <c r="F1677" s="24">
        <v>44314</v>
      </c>
      <c r="G1677" s="22" t="s">
        <v>1757</v>
      </c>
      <c r="H1677" s="22" t="s">
        <v>1837</v>
      </c>
      <c r="I1677" s="22" t="s">
        <v>132</v>
      </c>
      <c r="J1677" s="22" t="s">
        <v>4407</v>
      </c>
      <c r="K1677" s="22" t="s">
        <v>128</v>
      </c>
      <c r="L1677" s="22"/>
      <c r="M1677" s="22"/>
      <c r="N1677" s="22"/>
    </row>
    <row r="1678" spans="1:14" x14ac:dyDescent="0.25">
      <c r="A1678" s="22" t="s">
        <v>1836</v>
      </c>
      <c r="B1678" s="22" t="s">
        <v>39</v>
      </c>
      <c r="C1678" s="22" t="s">
        <v>3643</v>
      </c>
      <c r="D1678" s="23">
        <v>575148</v>
      </c>
      <c r="E1678" s="22" t="s">
        <v>42</v>
      </c>
      <c r="F1678" s="24">
        <v>44260</v>
      </c>
      <c r="G1678" s="22" t="s">
        <v>1757</v>
      </c>
      <c r="H1678" s="22" t="s">
        <v>1741</v>
      </c>
      <c r="I1678" s="22" t="s">
        <v>1835</v>
      </c>
      <c r="J1678" s="22" t="s">
        <v>4401</v>
      </c>
      <c r="K1678" s="22" t="s">
        <v>292</v>
      </c>
      <c r="L1678" s="22"/>
      <c r="M1678" s="22"/>
      <c r="N1678" s="22"/>
    </row>
    <row r="1679" spans="1:14" x14ac:dyDescent="0.25">
      <c r="A1679" s="22" t="s">
        <v>1699</v>
      </c>
      <c r="B1679" s="22" t="s">
        <v>39</v>
      </c>
      <c r="C1679" s="22" t="s">
        <v>7193</v>
      </c>
      <c r="D1679" s="23">
        <v>403338</v>
      </c>
      <c r="E1679" s="22" t="s">
        <v>45</v>
      </c>
      <c r="F1679" s="24">
        <v>44301</v>
      </c>
      <c r="G1679" s="22" t="s">
        <v>1698</v>
      </c>
      <c r="H1679" s="22"/>
      <c r="I1679" s="22" t="s">
        <v>1698</v>
      </c>
      <c r="J1679" s="22" t="s">
        <v>4466</v>
      </c>
      <c r="K1679" s="22" t="s">
        <v>128</v>
      </c>
      <c r="L1679" s="22"/>
      <c r="M1679" s="22"/>
      <c r="N1679" s="22"/>
    </row>
    <row r="1680" spans="1:14" x14ac:dyDescent="0.25">
      <c r="A1680" s="22" t="s">
        <v>1699</v>
      </c>
      <c r="B1680" s="22" t="s">
        <v>39</v>
      </c>
      <c r="C1680" s="22" t="s">
        <v>7193</v>
      </c>
      <c r="D1680" s="23">
        <v>75734</v>
      </c>
      <c r="E1680" s="22" t="s">
        <v>45</v>
      </c>
      <c r="F1680" s="24">
        <v>44301</v>
      </c>
      <c r="G1680" s="22" t="s">
        <v>1698</v>
      </c>
      <c r="H1680" s="22"/>
      <c r="I1680" s="22" t="s">
        <v>1698</v>
      </c>
      <c r="J1680" s="22" t="s">
        <v>4552</v>
      </c>
      <c r="K1680" s="22" t="s">
        <v>128</v>
      </c>
      <c r="L1680" s="22"/>
      <c r="M1680" s="22"/>
      <c r="N1680" s="22"/>
    </row>
    <row r="1681" spans="1:14" x14ac:dyDescent="0.25">
      <c r="A1681" s="22" t="s">
        <v>1699</v>
      </c>
      <c r="B1681" s="22" t="s">
        <v>39</v>
      </c>
      <c r="C1681" s="22" t="s">
        <v>7193</v>
      </c>
      <c r="D1681" s="23">
        <v>-2249170</v>
      </c>
      <c r="E1681" s="22" t="s">
        <v>45</v>
      </c>
      <c r="F1681" s="24">
        <v>44301</v>
      </c>
      <c r="G1681" s="22" t="s">
        <v>1698</v>
      </c>
      <c r="H1681" s="22"/>
      <c r="I1681" s="22" t="s">
        <v>1698</v>
      </c>
      <c r="J1681" s="22" t="s">
        <v>4401</v>
      </c>
      <c r="K1681" s="22" t="s">
        <v>128</v>
      </c>
      <c r="L1681" s="22"/>
      <c r="M1681" s="22"/>
      <c r="N1681" s="22"/>
    </row>
    <row r="1682" spans="1:14" x14ac:dyDescent="0.25">
      <c r="A1682" s="22" t="s">
        <v>1699</v>
      </c>
      <c r="B1682" s="22" t="s">
        <v>39</v>
      </c>
      <c r="C1682" s="22" t="s">
        <v>7193</v>
      </c>
      <c r="D1682" s="23">
        <v>1903334</v>
      </c>
      <c r="E1682" s="22" t="s">
        <v>45</v>
      </c>
      <c r="F1682" s="24">
        <v>44301</v>
      </c>
      <c r="G1682" s="22" t="s">
        <v>1698</v>
      </c>
      <c r="H1682" s="22"/>
      <c r="I1682" s="22" t="s">
        <v>1698</v>
      </c>
      <c r="J1682" s="22" t="s">
        <v>4407</v>
      </c>
      <c r="K1682" s="22" t="s">
        <v>128</v>
      </c>
      <c r="L1682" s="22"/>
      <c r="M1682" s="22"/>
      <c r="N1682" s="22"/>
    </row>
    <row r="1683" spans="1:14" x14ac:dyDescent="0.25">
      <c r="A1683" s="22" t="s">
        <v>130</v>
      </c>
      <c r="B1683" s="22" t="s">
        <v>39</v>
      </c>
      <c r="C1683" s="22" t="s">
        <v>129</v>
      </c>
      <c r="D1683" s="23">
        <v>-1573136</v>
      </c>
      <c r="E1683" s="22" t="s">
        <v>45</v>
      </c>
      <c r="F1683" s="24">
        <v>44314</v>
      </c>
      <c r="G1683" s="22" t="s">
        <v>1698</v>
      </c>
      <c r="H1683" s="22" t="s">
        <v>1834</v>
      </c>
      <c r="I1683" s="22" t="s">
        <v>1757</v>
      </c>
      <c r="J1683" s="22" t="s">
        <v>4407</v>
      </c>
      <c r="K1683" s="22" t="s">
        <v>128</v>
      </c>
      <c r="L1683" s="22"/>
      <c r="M1683" s="22"/>
      <c r="N1683" s="22"/>
    </row>
    <row r="1684" spans="1:14" x14ac:dyDescent="0.25">
      <c r="A1684" s="22" t="s">
        <v>1833</v>
      </c>
      <c r="B1684" s="22" t="s">
        <v>39</v>
      </c>
      <c r="C1684" s="22" t="s">
        <v>133</v>
      </c>
      <c r="D1684" s="23">
        <v>-29200</v>
      </c>
      <c r="E1684" s="22" t="s">
        <v>57</v>
      </c>
      <c r="F1684" s="24">
        <v>44298</v>
      </c>
      <c r="G1684" s="22" t="s">
        <v>1698</v>
      </c>
      <c r="H1684" s="22" t="s">
        <v>1345</v>
      </c>
      <c r="I1684" s="22" t="s">
        <v>1832</v>
      </c>
      <c r="J1684" s="22" t="s">
        <v>4552</v>
      </c>
      <c r="K1684" s="22" t="s">
        <v>128</v>
      </c>
      <c r="L1684" s="22"/>
      <c r="M1684" s="22"/>
      <c r="N1684" s="22"/>
    </row>
    <row r="1685" spans="1:14" x14ac:dyDescent="0.25">
      <c r="A1685" s="22" t="s">
        <v>1830</v>
      </c>
      <c r="B1685" s="22" t="s">
        <v>39</v>
      </c>
      <c r="C1685" s="22" t="s">
        <v>133</v>
      </c>
      <c r="D1685" s="23">
        <v>-46534</v>
      </c>
      <c r="E1685" s="22" t="s">
        <v>45</v>
      </c>
      <c r="F1685" s="24">
        <v>44292</v>
      </c>
      <c r="G1685" s="22" t="s">
        <v>1698</v>
      </c>
      <c r="H1685" s="22" t="s">
        <v>1831</v>
      </c>
      <c r="I1685" s="22" t="s">
        <v>1829</v>
      </c>
      <c r="J1685" s="22" t="s">
        <v>4552</v>
      </c>
      <c r="K1685" s="22" t="s">
        <v>128</v>
      </c>
      <c r="L1685" s="22"/>
      <c r="M1685" s="22"/>
      <c r="N1685" s="22"/>
    </row>
    <row r="1686" spans="1:14" x14ac:dyDescent="0.25">
      <c r="A1686" s="22" t="s">
        <v>1828</v>
      </c>
      <c r="B1686" s="22" t="s">
        <v>39</v>
      </c>
      <c r="C1686" s="22" t="s">
        <v>7279</v>
      </c>
      <c r="D1686" s="23">
        <v>-151600</v>
      </c>
      <c r="E1686" s="22" t="s">
        <v>57</v>
      </c>
      <c r="F1686" s="24">
        <v>44309</v>
      </c>
      <c r="G1686" s="22" t="s">
        <v>1698</v>
      </c>
      <c r="H1686" s="22" t="s">
        <v>1713</v>
      </c>
      <c r="I1686" s="22" t="s">
        <v>1827</v>
      </c>
      <c r="J1686" s="22" t="s">
        <v>4466</v>
      </c>
      <c r="K1686" s="22" t="s">
        <v>128</v>
      </c>
      <c r="L1686" s="22"/>
      <c r="M1686" s="22"/>
      <c r="N1686" s="22"/>
    </row>
    <row r="1687" spans="1:14" x14ac:dyDescent="0.25">
      <c r="A1687" s="22" t="s">
        <v>1699</v>
      </c>
      <c r="B1687" s="22" t="s">
        <v>39</v>
      </c>
      <c r="C1687" s="22" t="s">
        <v>7157</v>
      </c>
      <c r="D1687" s="23">
        <v>-251738</v>
      </c>
      <c r="E1687" s="22" t="s">
        <v>57</v>
      </c>
      <c r="F1687" s="24">
        <v>44301</v>
      </c>
      <c r="G1687" s="22" t="s">
        <v>1698</v>
      </c>
      <c r="H1687" s="22" t="s">
        <v>1761</v>
      </c>
      <c r="I1687" s="22" t="s">
        <v>1826</v>
      </c>
      <c r="J1687" s="22" t="s">
        <v>4466</v>
      </c>
      <c r="K1687" s="22" t="s">
        <v>128</v>
      </c>
      <c r="L1687" s="22"/>
      <c r="M1687" s="22"/>
      <c r="N1687" s="22"/>
    </row>
    <row r="1688" spans="1:14" x14ac:dyDescent="0.25">
      <c r="A1688" s="22" t="s">
        <v>1825</v>
      </c>
      <c r="B1688" s="22" t="s">
        <v>39</v>
      </c>
      <c r="C1688" s="22" t="s">
        <v>6919</v>
      </c>
      <c r="D1688" s="23">
        <v>-269300</v>
      </c>
      <c r="E1688" s="22" t="s">
        <v>57</v>
      </c>
      <c r="F1688" s="24">
        <v>44307</v>
      </c>
      <c r="G1688" s="22" t="s">
        <v>1698</v>
      </c>
      <c r="H1688" s="22" t="s">
        <v>1815</v>
      </c>
      <c r="I1688" s="22" t="s">
        <v>1824</v>
      </c>
      <c r="J1688" s="22" t="s">
        <v>4407</v>
      </c>
      <c r="K1688" s="22" t="s">
        <v>128</v>
      </c>
      <c r="L1688" s="22"/>
      <c r="M1688" s="22"/>
      <c r="N1688" s="22"/>
    </row>
    <row r="1689" spans="1:14" x14ac:dyDescent="0.25">
      <c r="A1689" s="22" t="s">
        <v>1823</v>
      </c>
      <c r="B1689" s="22" t="s">
        <v>39</v>
      </c>
      <c r="C1689" s="22" t="s">
        <v>6919</v>
      </c>
      <c r="D1689" s="23">
        <v>-10100</v>
      </c>
      <c r="E1689" s="22" t="s">
        <v>57</v>
      </c>
      <c r="F1689" s="24">
        <v>44315</v>
      </c>
      <c r="G1689" s="22" t="s">
        <v>1698</v>
      </c>
      <c r="H1689" s="22" t="s">
        <v>1386</v>
      </c>
      <c r="I1689" s="22" t="s">
        <v>1822</v>
      </c>
      <c r="J1689" s="22" t="s">
        <v>4407</v>
      </c>
      <c r="K1689" s="22" t="s">
        <v>128</v>
      </c>
      <c r="L1689" s="22"/>
      <c r="M1689" s="22"/>
      <c r="N1689" s="22"/>
    </row>
    <row r="1690" spans="1:14" x14ac:dyDescent="0.25">
      <c r="A1690" s="22" t="s">
        <v>1820</v>
      </c>
      <c r="B1690" s="22" t="s">
        <v>39</v>
      </c>
      <c r="C1690" s="22" t="s">
        <v>6919</v>
      </c>
      <c r="D1690" s="23">
        <v>-18098</v>
      </c>
      <c r="E1690" s="22" t="s">
        <v>45</v>
      </c>
      <c r="F1690" s="24">
        <v>44307</v>
      </c>
      <c r="G1690" s="22" t="s">
        <v>1698</v>
      </c>
      <c r="H1690" s="22" t="s">
        <v>1821</v>
      </c>
      <c r="I1690" s="22" t="s">
        <v>1819</v>
      </c>
      <c r="J1690" s="22" t="s">
        <v>4407</v>
      </c>
      <c r="K1690" s="22" t="s">
        <v>128</v>
      </c>
      <c r="L1690" s="22"/>
      <c r="M1690" s="22"/>
      <c r="N1690" s="22"/>
    </row>
    <row r="1691" spans="1:14" x14ac:dyDescent="0.25">
      <c r="A1691" s="22" t="s">
        <v>1817</v>
      </c>
      <c r="B1691" s="22" t="s">
        <v>39</v>
      </c>
      <c r="C1691" s="22" t="s">
        <v>6920</v>
      </c>
      <c r="D1691" s="23">
        <v>-5242</v>
      </c>
      <c r="E1691" s="22" t="s">
        <v>45</v>
      </c>
      <c r="F1691" s="24">
        <v>44301</v>
      </c>
      <c r="G1691" s="22" t="s">
        <v>1698</v>
      </c>
      <c r="H1691" s="22" t="s">
        <v>1818</v>
      </c>
      <c r="I1691" s="22" t="s">
        <v>1816</v>
      </c>
      <c r="J1691" s="22" t="s">
        <v>4401</v>
      </c>
      <c r="K1691" s="22" t="s">
        <v>128</v>
      </c>
      <c r="L1691" s="22"/>
      <c r="M1691" s="22"/>
      <c r="N1691" s="22"/>
    </row>
    <row r="1692" spans="1:14" x14ac:dyDescent="0.25">
      <c r="A1692" s="22" t="s">
        <v>1814</v>
      </c>
      <c r="B1692" s="22" t="s">
        <v>39</v>
      </c>
      <c r="C1692" s="22" t="s">
        <v>7280</v>
      </c>
      <c r="D1692" s="23">
        <v>-32700</v>
      </c>
      <c r="E1692" s="22" t="s">
        <v>57</v>
      </c>
      <c r="F1692" s="24">
        <v>44302</v>
      </c>
      <c r="G1692" s="22" t="s">
        <v>1698</v>
      </c>
      <c r="H1692" s="22" t="s">
        <v>1815</v>
      </c>
      <c r="I1692" s="22" t="s">
        <v>1813</v>
      </c>
      <c r="J1692" s="22" t="s">
        <v>4407</v>
      </c>
      <c r="K1692" s="22" t="s">
        <v>128</v>
      </c>
      <c r="L1692" s="22"/>
      <c r="M1692" s="22"/>
      <c r="N1692" s="22"/>
    </row>
    <row r="1693" spans="1:14" x14ac:dyDescent="0.25">
      <c r="A1693" s="22" t="s">
        <v>1811</v>
      </c>
      <c r="B1693" s="22" t="s">
        <v>39</v>
      </c>
      <c r="C1693" s="22" t="s">
        <v>3643</v>
      </c>
      <c r="D1693" s="23">
        <v>2254412</v>
      </c>
      <c r="E1693" s="22" t="s">
        <v>42</v>
      </c>
      <c r="F1693" s="24">
        <v>44295</v>
      </c>
      <c r="G1693" s="22" t="s">
        <v>1698</v>
      </c>
      <c r="H1693" s="22" t="s">
        <v>1812</v>
      </c>
      <c r="I1693" s="22" t="s">
        <v>1810</v>
      </c>
      <c r="J1693" s="22" t="s">
        <v>4401</v>
      </c>
      <c r="K1693" s="22" t="s">
        <v>292</v>
      </c>
      <c r="L1693" s="22"/>
      <c r="M1693" s="22"/>
      <c r="N1693" s="22"/>
    </row>
    <row r="1694" spans="1:14" x14ac:dyDescent="0.25">
      <c r="A1694" s="22" t="s">
        <v>1675</v>
      </c>
      <c r="B1694" s="22" t="s">
        <v>39</v>
      </c>
      <c r="C1694" s="22" t="s">
        <v>7193</v>
      </c>
      <c r="D1694" s="23">
        <v>1652826</v>
      </c>
      <c r="E1694" s="22" t="s">
        <v>45</v>
      </c>
      <c r="F1694" s="24">
        <v>44340</v>
      </c>
      <c r="G1694" s="22" t="s">
        <v>1674</v>
      </c>
      <c r="H1694" s="22"/>
      <c r="I1694" s="22" t="s">
        <v>1674</v>
      </c>
      <c r="J1694" s="22" t="s">
        <v>4466</v>
      </c>
      <c r="K1694" s="22" t="s">
        <v>128</v>
      </c>
      <c r="L1694" s="22"/>
      <c r="M1694" s="22"/>
      <c r="N1694" s="22"/>
    </row>
    <row r="1695" spans="1:14" x14ac:dyDescent="0.25">
      <c r="A1695" s="22" t="s">
        <v>1675</v>
      </c>
      <c r="B1695" s="22" t="s">
        <v>39</v>
      </c>
      <c r="C1695" s="22" t="s">
        <v>7193</v>
      </c>
      <c r="D1695" s="23">
        <v>449079</v>
      </c>
      <c r="E1695" s="22" t="s">
        <v>45</v>
      </c>
      <c r="F1695" s="24">
        <v>44340</v>
      </c>
      <c r="G1695" s="22" t="s">
        <v>1674</v>
      </c>
      <c r="H1695" s="22"/>
      <c r="I1695" s="22" t="s">
        <v>1674</v>
      </c>
      <c r="J1695" s="22" t="s">
        <v>4552</v>
      </c>
      <c r="K1695" s="22" t="s">
        <v>128</v>
      </c>
      <c r="L1695" s="22"/>
      <c r="M1695" s="22"/>
      <c r="N1695" s="22"/>
    </row>
    <row r="1696" spans="1:14" x14ac:dyDescent="0.25">
      <c r="A1696" s="22" t="s">
        <v>1675</v>
      </c>
      <c r="B1696" s="22" t="s">
        <v>39</v>
      </c>
      <c r="C1696" s="22" t="s">
        <v>7193</v>
      </c>
      <c r="D1696" s="23">
        <v>-1940619</v>
      </c>
      <c r="E1696" s="22" t="s">
        <v>45</v>
      </c>
      <c r="F1696" s="24">
        <v>44340</v>
      </c>
      <c r="G1696" s="22" t="s">
        <v>1674</v>
      </c>
      <c r="H1696" s="22"/>
      <c r="I1696" s="22" t="s">
        <v>1674</v>
      </c>
      <c r="J1696" s="22" t="s">
        <v>4401</v>
      </c>
      <c r="K1696" s="22" t="s">
        <v>128</v>
      </c>
      <c r="L1696" s="22"/>
      <c r="M1696" s="22"/>
      <c r="N1696" s="22"/>
    </row>
    <row r="1697" spans="1:14" x14ac:dyDescent="0.25">
      <c r="A1697" s="22" t="s">
        <v>1809</v>
      </c>
      <c r="B1697" s="22" t="s">
        <v>39</v>
      </c>
      <c r="C1697" s="22" t="s">
        <v>7281</v>
      </c>
      <c r="D1697" s="23">
        <v>-55433</v>
      </c>
      <c r="E1697" s="22" t="s">
        <v>57</v>
      </c>
      <c r="F1697" s="24">
        <v>44287</v>
      </c>
      <c r="G1697" s="22" t="s">
        <v>1674</v>
      </c>
      <c r="H1697" s="22" t="s">
        <v>1756</v>
      </c>
      <c r="I1697" s="22" t="s">
        <v>1808</v>
      </c>
      <c r="J1697" s="22" t="s">
        <v>4552</v>
      </c>
      <c r="K1697" s="22" t="s">
        <v>128</v>
      </c>
      <c r="L1697" s="22"/>
      <c r="M1697" s="22"/>
      <c r="N1697" s="22"/>
    </row>
    <row r="1698" spans="1:14" x14ac:dyDescent="0.25">
      <c r="A1698" s="22" t="s">
        <v>1807</v>
      </c>
      <c r="B1698" s="22" t="s">
        <v>39</v>
      </c>
      <c r="C1698" s="22" t="s">
        <v>7281</v>
      </c>
      <c r="D1698" s="23">
        <v>-68046</v>
      </c>
      <c r="E1698" s="22" t="s">
        <v>57</v>
      </c>
      <c r="F1698" s="24">
        <v>44289</v>
      </c>
      <c r="G1698" s="22" t="s">
        <v>1674</v>
      </c>
      <c r="H1698" s="22" t="s">
        <v>1756</v>
      </c>
      <c r="I1698" s="22" t="s">
        <v>1806</v>
      </c>
      <c r="J1698" s="22" t="s">
        <v>4552</v>
      </c>
      <c r="K1698" s="22" t="s">
        <v>128</v>
      </c>
      <c r="L1698" s="22"/>
      <c r="M1698" s="22"/>
      <c r="N1698" s="22"/>
    </row>
    <row r="1699" spans="1:14" x14ac:dyDescent="0.25">
      <c r="A1699" s="22" t="s">
        <v>1755</v>
      </c>
      <c r="B1699" s="22" t="s">
        <v>39</v>
      </c>
      <c r="C1699" s="22" t="s">
        <v>7281</v>
      </c>
      <c r="D1699" s="23">
        <v>-53700</v>
      </c>
      <c r="E1699" s="22" t="s">
        <v>57</v>
      </c>
      <c r="F1699" s="24">
        <v>44291</v>
      </c>
      <c r="G1699" s="22" t="s">
        <v>1674</v>
      </c>
      <c r="H1699" s="22" t="s">
        <v>1756</v>
      </c>
      <c r="I1699" s="22" t="s">
        <v>1754</v>
      </c>
      <c r="J1699" s="22" t="s">
        <v>4552</v>
      </c>
      <c r="K1699" s="22" t="s">
        <v>128</v>
      </c>
      <c r="L1699" s="22"/>
      <c r="M1699" s="22"/>
      <c r="N1699" s="22"/>
    </row>
    <row r="1700" spans="1:14" x14ac:dyDescent="0.25">
      <c r="A1700" s="22" t="s">
        <v>1712</v>
      </c>
      <c r="B1700" s="22" t="s">
        <v>39</v>
      </c>
      <c r="C1700" s="22" t="s">
        <v>7281</v>
      </c>
      <c r="D1700" s="23">
        <v>-271900</v>
      </c>
      <c r="E1700" s="22" t="s">
        <v>57</v>
      </c>
      <c r="F1700" s="24">
        <v>44316</v>
      </c>
      <c r="G1700" s="22" t="s">
        <v>1674</v>
      </c>
      <c r="H1700" s="22" t="s">
        <v>1713</v>
      </c>
      <c r="I1700" s="22" t="s">
        <v>1711</v>
      </c>
      <c r="J1700" s="22" t="s">
        <v>4552</v>
      </c>
      <c r="K1700" s="22" t="s">
        <v>128</v>
      </c>
      <c r="L1700" s="22"/>
      <c r="M1700" s="22"/>
      <c r="N1700" s="22"/>
    </row>
    <row r="1701" spans="1:14" x14ac:dyDescent="0.25">
      <c r="A1701" s="22" t="s">
        <v>1709</v>
      </c>
      <c r="B1701" s="22" t="s">
        <v>39</v>
      </c>
      <c r="C1701" s="22" t="s">
        <v>7282</v>
      </c>
      <c r="D1701" s="23">
        <v>-115583</v>
      </c>
      <c r="E1701" s="22" t="s">
        <v>57</v>
      </c>
      <c r="F1701" s="24">
        <v>44291</v>
      </c>
      <c r="G1701" s="22" t="s">
        <v>1674</v>
      </c>
      <c r="H1701" s="22" t="s">
        <v>1710</v>
      </c>
      <c r="I1701" s="22" t="s">
        <v>1708</v>
      </c>
      <c r="J1701" s="22" t="s">
        <v>4466</v>
      </c>
      <c r="K1701" s="22" t="s">
        <v>128</v>
      </c>
      <c r="L1701" s="22"/>
      <c r="M1701" s="22"/>
      <c r="N1701" s="22"/>
    </row>
    <row r="1702" spans="1:14" x14ac:dyDescent="0.25">
      <c r="A1702" s="22" t="s">
        <v>1706</v>
      </c>
      <c r="B1702" s="22" t="s">
        <v>39</v>
      </c>
      <c r="C1702" s="22" t="s">
        <v>7282</v>
      </c>
      <c r="D1702" s="23">
        <v>-169078</v>
      </c>
      <c r="E1702" s="22" t="s">
        <v>57</v>
      </c>
      <c r="F1702" s="24">
        <v>44303</v>
      </c>
      <c r="G1702" s="22" t="s">
        <v>1674</v>
      </c>
      <c r="H1702" s="22" t="s">
        <v>1707</v>
      </c>
      <c r="I1702" s="22" t="s">
        <v>1705</v>
      </c>
      <c r="J1702" s="22" t="s">
        <v>4466</v>
      </c>
      <c r="K1702" s="22" t="s">
        <v>128</v>
      </c>
      <c r="L1702" s="22"/>
      <c r="M1702" s="22"/>
      <c r="N1702" s="22"/>
    </row>
    <row r="1703" spans="1:14" x14ac:dyDescent="0.25">
      <c r="A1703" s="22" t="s">
        <v>1704</v>
      </c>
      <c r="B1703" s="22" t="s">
        <v>39</v>
      </c>
      <c r="C1703" s="22" t="s">
        <v>7157</v>
      </c>
      <c r="D1703" s="23">
        <v>-55797</v>
      </c>
      <c r="E1703" s="22" t="s">
        <v>57</v>
      </c>
      <c r="F1703" s="24">
        <v>44303</v>
      </c>
      <c r="G1703" s="22" t="s">
        <v>1674</v>
      </c>
      <c r="H1703" s="22" t="s">
        <v>1686</v>
      </c>
      <c r="I1703" s="22" t="s">
        <v>1703</v>
      </c>
      <c r="J1703" s="22" t="s">
        <v>4466</v>
      </c>
      <c r="K1703" s="22" t="s">
        <v>128</v>
      </c>
      <c r="L1703" s="22"/>
      <c r="M1703" s="22"/>
      <c r="N1703" s="22"/>
    </row>
    <row r="1704" spans="1:14" x14ac:dyDescent="0.25">
      <c r="A1704" s="22" t="s">
        <v>1702</v>
      </c>
      <c r="B1704" s="22" t="s">
        <v>39</v>
      </c>
      <c r="C1704" s="22" t="s">
        <v>7157</v>
      </c>
      <c r="D1704" s="23">
        <v>-220690</v>
      </c>
      <c r="E1704" s="22" t="s">
        <v>45</v>
      </c>
      <c r="F1704" s="24">
        <v>44304</v>
      </c>
      <c r="G1704" s="22" t="s">
        <v>1674</v>
      </c>
      <c r="H1704" s="22" t="s">
        <v>1700</v>
      </c>
      <c r="I1704" s="22" t="s">
        <v>1701</v>
      </c>
      <c r="J1704" s="22" t="s">
        <v>4466</v>
      </c>
      <c r="K1704" s="22" t="s">
        <v>128</v>
      </c>
      <c r="L1704" s="22"/>
      <c r="M1704" s="22"/>
      <c r="N1704" s="22"/>
    </row>
    <row r="1705" spans="1:14" x14ac:dyDescent="0.25">
      <c r="A1705" s="22" t="s">
        <v>1699</v>
      </c>
      <c r="B1705" s="22" t="s">
        <v>39</v>
      </c>
      <c r="C1705" s="22" t="s">
        <v>7157</v>
      </c>
      <c r="D1705" s="23">
        <v>-133236</v>
      </c>
      <c r="E1705" s="22" t="s">
        <v>45</v>
      </c>
      <c r="F1705" s="24">
        <v>44301</v>
      </c>
      <c r="G1705" s="22" t="s">
        <v>1674</v>
      </c>
      <c r="H1705" s="22" t="s">
        <v>1700</v>
      </c>
      <c r="I1705" s="22" t="s">
        <v>1698</v>
      </c>
      <c r="J1705" s="22" t="s">
        <v>4466</v>
      </c>
      <c r="K1705" s="22" t="s">
        <v>128</v>
      </c>
      <c r="L1705" s="22"/>
      <c r="M1705" s="22"/>
      <c r="N1705" s="22"/>
    </row>
    <row r="1706" spans="1:14" x14ac:dyDescent="0.25">
      <c r="A1706" s="22" t="s">
        <v>1675</v>
      </c>
      <c r="B1706" s="22" t="s">
        <v>39</v>
      </c>
      <c r="C1706" s="22" t="s">
        <v>7283</v>
      </c>
      <c r="D1706" s="23">
        <v>-958442</v>
      </c>
      <c r="E1706" s="22" t="s">
        <v>57</v>
      </c>
      <c r="F1706" s="24">
        <v>44340</v>
      </c>
      <c r="G1706" s="22" t="s">
        <v>1674</v>
      </c>
      <c r="H1706" s="22" t="s">
        <v>1697</v>
      </c>
      <c r="I1706" s="22" t="s">
        <v>1696</v>
      </c>
      <c r="J1706" s="22" t="s">
        <v>4466</v>
      </c>
      <c r="K1706" s="22" t="s">
        <v>128</v>
      </c>
      <c r="L1706" s="22"/>
      <c r="M1706" s="22"/>
      <c r="N1706" s="22"/>
    </row>
    <row r="1707" spans="1:14" x14ac:dyDescent="0.25">
      <c r="A1707" s="22" t="s">
        <v>1695</v>
      </c>
      <c r="B1707" s="22" t="s">
        <v>39</v>
      </c>
      <c r="C1707" s="22" t="s">
        <v>3643</v>
      </c>
      <c r="D1707" s="23">
        <v>1940619</v>
      </c>
      <c r="E1707" s="22" t="s">
        <v>42</v>
      </c>
      <c r="F1707" s="24">
        <v>44355</v>
      </c>
      <c r="G1707" s="22" t="s">
        <v>1674</v>
      </c>
      <c r="H1707" s="22" t="s">
        <v>605</v>
      </c>
      <c r="I1707" s="22" t="s">
        <v>1694</v>
      </c>
      <c r="J1707" s="22" t="s">
        <v>4401</v>
      </c>
      <c r="K1707" s="22" t="s">
        <v>292</v>
      </c>
      <c r="L1707" s="22"/>
      <c r="M1707" s="22"/>
      <c r="N1707" s="22"/>
    </row>
    <row r="1708" spans="1:14" x14ac:dyDescent="0.25">
      <c r="A1708" s="22" t="s">
        <v>1675</v>
      </c>
      <c r="B1708" s="22" t="s">
        <v>39</v>
      </c>
      <c r="C1708" s="22" t="s">
        <v>7193</v>
      </c>
      <c r="D1708" s="23">
        <v>264886</v>
      </c>
      <c r="E1708" s="22" t="s">
        <v>45</v>
      </c>
      <c r="F1708" s="24">
        <v>44340</v>
      </c>
      <c r="G1708" s="22" t="s">
        <v>1670</v>
      </c>
      <c r="H1708" s="22"/>
      <c r="I1708" s="22" t="s">
        <v>1670</v>
      </c>
      <c r="J1708" s="22" t="s">
        <v>4466</v>
      </c>
      <c r="K1708" s="22" t="s">
        <v>128</v>
      </c>
      <c r="L1708" s="22"/>
      <c r="M1708" s="22"/>
      <c r="N1708" s="22"/>
    </row>
    <row r="1709" spans="1:14" x14ac:dyDescent="0.25">
      <c r="A1709" s="22" t="s">
        <v>1675</v>
      </c>
      <c r="B1709" s="22" t="s">
        <v>39</v>
      </c>
      <c r="C1709" s="22" t="s">
        <v>7193</v>
      </c>
      <c r="D1709" s="23">
        <v>-196287</v>
      </c>
      <c r="E1709" s="22" t="s">
        <v>45</v>
      </c>
      <c r="F1709" s="24">
        <v>44340</v>
      </c>
      <c r="G1709" s="22" t="s">
        <v>1670</v>
      </c>
      <c r="H1709" s="22"/>
      <c r="I1709" s="22" t="s">
        <v>1670</v>
      </c>
      <c r="J1709" s="22" t="s">
        <v>4401</v>
      </c>
      <c r="K1709" s="22" t="s">
        <v>128</v>
      </c>
      <c r="L1709" s="22"/>
      <c r="M1709" s="22"/>
      <c r="N1709" s="22"/>
    </row>
    <row r="1710" spans="1:14" x14ac:dyDescent="0.25">
      <c r="A1710" s="22" t="s">
        <v>1692</v>
      </c>
      <c r="B1710" s="22" t="s">
        <v>39</v>
      </c>
      <c r="C1710" s="22" t="s">
        <v>7284</v>
      </c>
      <c r="D1710" s="23">
        <v>-22300</v>
      </c>
      <c r="E1710" s="22" t="s">
        <v>57</v>
      </c>
      <c r="F1710" s="24">
        <v>44344</v>
      </c>
      <c r="G1710" s="22" t="s">
        <v>1670</v>
      </c>
      <c r="H1710" s="22" t="s">
        <v>1693</v>
      </c>
      <c r="I1710" s="22" t="s">
        <v>1691</v>
      </c>
      <c r="J1710" s="22" t="s">
        <v>4401</v>
      </c>
      <c r="K1710" s="22" t="s">
        <v>128</v>
      </c>
      <c r="L1710" s="22"/>
      <c r="M1710" s="22"/>
      <c r="N1710" s="22"/>
    </row>
    <row r="1711" spans="1:14" x14ac:dyDescent="0.25">
      <c r="A1711" s="22" t="s">
        <v>142</v>
      </c>
      <c r="B1711" s="22" t="s">
        <v>39</v>
      </c>
      <c r="C1711" s="22" t="s">
        <v>141</v>
      </c>
      <c r="D1711" s="23">
        <v>-70363</v>
      </c>
      <c r="E1711" s="22" t="s">
        <v>57</v>
      </c>
      <c r="F1711" s="24">
        <v>44319</v>
      </c>
      <c r="G1711" s="22" t="s">
        <v>1670</v>
      </c>
      <c r="H1711" s="22" t="s">
        <v>1690</v>
      </c>
      <c r="I1711" s="22" t="s">
        <v>144</v>
      </c>
      <c r="J1711" s="22" t="s">
        <v>4401</v>
      </c>
      <c r="K1711" s="22" t="s">
        <v>128</v>
      </c>
      <c r="L1711" s="22"/>
      <c r="M1711" s="22"/>
      <c r="N1711" s="22"/>
    </row>
    <row r="1712" spans="1:14" x14ac:dyDescent="0.25">
      <c r="A1712" s="22" t="s">
        <v>1681</v>
      </c>
      <c r="B1712" s="22" t="s">
        <v>39</v>
      </c>
      <c r="C1712" s="22" t="s">
        <v>7285</v>
      </c>
      <c r="D1712" s="23">
        <v>-126200</v>
      </c>
      <c r="E1712" s="22" t="s">
        <v>57</v>
      </c>
      <c r="F1712" s="24">
        <v>44345</v>
      </c>
      <c r="G1712" s="22" t="s">
        <v>1670</v>
      </c>
      <c r="H1712" s="22" t="s">
        <v>1682</v>
      </c>
      <c r="I1712" s="22" t="s">
        <v>1680</v>
      </c>
      <c r="J1712" s="22" t="s">
        <v>4401</v>
      </c>
      <c r="K1712" s="22" t="s">
        <v>128</v>
      </c>
      <c r="L1712" s="22"/>
      <c r="M1712" s="22"/>
      <c r="N1712" s="22"/>
    </row>
    <row r="1713" spans="1:14" x14ac:dyDescent="0.25">
      <c r="A1713" s="22" t="s">
        <v>1678</v>
      </c>
      <c r="B1713" s="22" t="s">
        <v>39</v>
      </c>
      <c r="C1713" s="22" t="s">
        <v>7283</v>
      </c>
      <c r="D1713" s="23">
        <v>-103600</v>
      </c>
      <c r="E1713" s="22" t="s">
        <v>57</v>
      </c>
      <c r="F1713" s="24">
        <v>44329</v>
      </c>
      <c r="G1713" s="22" t="s">
        <v>1670</v>
      </c>
      <c r="H1713" s="22" t="s">
        <v>1679</v>
      </c>
      <c r="I1713" s="22" t="s">
        <v>1677</v>
      </c>
      <c r="J1713" s="22" t="s">
        <v>4466</v>
      </c>
      <c r="K1713" s="22" t="s">
        <v>128</v>
      </c>
      <c r="L1713" s="22"/>
      <c r="M1713" s="22"/>
      <c r="N1713" s="22"/>
    </row>
    <row r="1714" spans="1:14" x14ac:dyDescent="0.25">
      <c r="A1714" s="22" t="s">
        <v>1675</v>
      </c>
      <c r="B1714" s="22" t="s">
        <v>39</v>
      </c>
      <c r="C1714" s="22" t="s">
        <v>7283</v>
      </c>
      <c r="D1714" s="23">
        <v>-161286</v>
      </c>
      <c r="E1714" s="22" t="s">
        <v>45</v>
      </c>
      <c r="F1714" s="24">
        <v>44340</v>
      </c>
      <c r="G1714" s="22" t="s">
        <v>1670</v>
      </c>
      <c r="H1714" s="22" t="s">
        <v>1676</v>
      </c>
      <c r="I1714" s="22" t="s">
        <v>1674</v>
      </c>
      <c r="J1714" s="22" t="s">
        <v>4466</v>
      </c>
      <c r="K1714" s="22" t="s">
        <v>128</v>
      </c>
      <c r="L1714" s="22"/>
      <c r="M1714" s="22"/>
      <c r="N1714" s="22"/>
    </row>
    <row r="1715" spans="1:14" x14ac:dyDescent="0.25">
      <c r="A1715" s="22" t="s">
        <v>1669</v>
      </c>
      <c r="B1715" s="22" t="s">
        <v>39</v>
      </c>
      <c r="C1715" s="22" t="s">
        <v>3643</v>
      </c>
      <c r="D1715" s="23">
        <v>415150</v>
      </c>
      <c r="E1715" s="22" t="s">
        <v>42</v>
      </c>
      <c r="F1715" s="24">
        <v>44385</v>
      </c>
      <c r="G1715" s="22" t="s">
        <v>1670</v>
      </c>
      <c r="H1715" s="22" t="s">
        <v>1671</v>
      </c>
      <c r="I1715" s="22" t="s">
        <v>1668</v>
      </c>
      <c r="J1715" s="22" t="s">
        <v>4401</v>
      </c>
      <c r="K1715" s="22" t="s">
        <v>292</v>
      </c>
      <c r="L1715" s="22"/>
      <c r="M1715" s="22"/>
      <c r="N1715" s="22"/>
    </row>
    <row r="1716" spans="1:14" x14ac:dyDescent="0.25">
      <c r="A1716" s="22" t="s">
        <v>1673</v>
      </c>
      <c r="B1716" s="22" t="s">
        <v>39</v>
      </c>
      <c r="C1716" s="22" t="s">
        <v>7193</v>
      </c>
      <c r="D1716" s="23">
        <v>171451</v>
      </c>
      <c r="E1716" s="22" t="s">
        <v>45</v>
      </c>
      <c r="F1716" s="24">
        <v>44350</v>
      </c>
      <c r="G1716" s="22" t="s">
        <v>1672</v>
      </c>
      <c r="H1716" s="22"/>
      <c r="I1716" s="22" t="s">
        <v>1672</v>
      </c>
      <c r="J1716" s="22" t="s">
        <v>4466</v>
      </c>
      <c r="K1716" s="22" t="s">
        <v>128</v>
      </c>
      <c r="L1716" s="22"/>
      <c r="M1716" s="22"/>
      <c r="N1716" s="22"/>
    </row>
    <row r="1717" spans="1:14" x14ac:dyDescent="0.25">
      <c r="A1717" s="22" t="s">
        <v>1673</v>
      </c>
      <c r="B1717" s="22" t="s">
        <v>39</v>
      </c>
      <c r="C1717" s="22" t="s">
        <v>7193</v>
      </c>
      <c r="D1717" s="23">
        <v>55561</v>
      </c>
      <c r="E1717" s="22" t="s">
        <v>45</v>
      </c>
      <c r="F1717" s="24">
        <v>44350</v>
      </c>
      <c r="G1717" s="22" t="s">
        <v>1672</v>
      </c>
      <c r="H1717" s="22"/>
      <c r="I1717" s="22" t="s">
        <v>1672</v>
      </c>
      <c r="J1717" s="22" t="s">
        <v>4552</v>
      </c>
      <c r="K1717" s="22" t="s">
        <v>128</v>
      </c>
      <c r="L1717" s="22"/>
      <c r="M1717" s="22"/>
      <c r="N1717" s="22"/>
    </row>
    <row r="1718" spans="1:14" x14ac:dyDescent="0.25">
      <c r="A1718" s="22" t="s">
        <v>1673</v>
      </c>
      <c r="B1718" s="22" t="s">
        <v>39</v>
      </c>
      <c r="C1718" s="22" t="s">
        <v>7193</v>
      </c>
      <c r="D1718" s="23">
        <v>-222336</v>
      </c>
      <c r="E1718" s="22" t="s">
        <v>45</v>
      </c>
      <c r="F1718" s="24">
        <v>44350</v>
      </c>
      <c r="G1718" s="22" t="s">
        <v>1672</v>
      </c>
      <c r="H1718" s="22"/>
      <c r="I1718" s="22" t="s">
        <v>1672</v>
      </c>
      <c r="J1718" s="22" t="s">
        <v>4401</v>
      </c>
      <c r="K1718" s="22" t="s">
        <v>128</v>
      </c>
      <c r="L1718" s="22"/>
      <c r="M1718" s="22"/>
      <c r="N1718" s="22"/>
    </row>
    <row r="1719" spans="1:14" x14ac:dyDescent="0.25">
      <c r="A1719" s="22" t="s">
        <v>1675</v>
      </c>
      <c r="B1719" s="22" t="s">
        <v>39</v>
      </c>
      <c r="C1719" s="22" t="s">
        <v>7283</v>
      </c>
      <c r="D1719" s="23">
        <v>-68599</v>
      </c>
      <c r="E1719" s="22" t="s">
        <v>45</v>
      </c>
      <c r="F1719" s="24">
        <v>44340</v>
      </c>
      <c r="G1719" s="22" t="s">
        <v>1672</v>
      </c>
      <c r="H1719" s="22" t="s">
        <v>1683</v>
      </c>
      <c r="I1719" s="22" t="s">
        <v>1670</v>
      </c>
      <c r="J1719" s="22" t="s">
        <v>4466</v>
      </c>
      <c r="K1719" s="22" t="s">
        <v>128</v>
      </c>
      <c r="L1719" s="22"/>
      <c r="M1719" s="22"/>
      <c r="N1719" s="22"/>
    </row>
    <row r="1720" spans="1:14" x14ac:dyDescent="0.25">
      <c r="A1720" s="22" t="s">
        <v>1673</v>
      </c>
      <c r="B1720" s="22" t="s">
        <v>39</v>
      </c>
      <c r="C1720" s="22" t="s">
        <v>7179</v>
      </c>
      <c r="D1720" s="23">
        <v>-55561</v>
      </c>
      <c r="E1720" s="22" t="s">
        <v>57</v>
      </c>
      <c r="F1720" s="24">
        <v>44350</v>
      </c>
      <c r="G1720" s="22" t="s">
        <v>1672</v>
      </c>
      <c r="H1720" s="22" t="s">
        <v>1685</v>
      </c>
      <c r="I1720" s="22" t="s">
        <v>1684</v>
      </c>
      <c r="J1720" s="22" t="s">
        <v>4552</v>
      </c>
      <c r="K1720" s="22" t="s">
        <v>128</v>
      </c>
      <c r="L1720" s="22"/>
      <c r="M1720" s="22"/>
      <c r="N1720" s="22"/>
    </row>
    <row r="1721" spans="1:14" x14ac:dyDescent="0.25">
      <c r="A1721" s="22" t="s">
        <v>150</v>
      </c>
      <c r="B1721" s="22" t="s">
        <v>39</v>
      </c>
      <c r="C1721" s="22" t="s">
        <v>149</v>
      </c>
      <c r="D1721" s="23">
        <v>-70057</v>
      </c>
      <c r="E1721" s="22" t="s">
        <v>57</v>
      </c>
      <c r="F1721" s="24">
        <v>44358</v>
      </c>
      <c r="G1721" s="22" t="s">
        <v>1672</v>
      </c>
      <c r="H1721" s="22" t="s">
        <v>1686</v>
      </c>
      <c r="I1721" s="22" t="s">
        <v>152</v>
      </c>
      <c r="J1721" s="22" t="s">
        <v>4466</v>
      </c>
      <c r="K1721" s="22" t="s">
        <v>128</v>
      </c>
      <c r="L1721" s="22"/>
      <c r="M1721" s="22"/>
      <c r="N1721" s="22"/>
    </row>
    <row r="1722" spans="1:14" x14ac:dyDescent="0.25">
      <c r="A1722" s="22" t="s">
        <v>153</v>
      </c>
      <c r="B1722" s="22" t="s">
        <v>39</v>
      </c>
      <c r="C1722" s="22" t="s">
        <v>149</v>
      </c>
      <c r="D1722" s="23">
        <v>-32795</v>
      </c>
      <c r="E1722" s="22" t="s">
        <v>57</v>
      </c>
      <c r="F1722" s="24">
        <v>44372</v>
      </c>
      <c r="G1722" s="22" t="s">
        <v>1672</v>
      </c>
      <c r="H1722" s="22" t="s">
        <v>1687</v>
      </c>
      <c r="I1722" s="22" t="s">
        <v>155</v>
      </c>
      <c r="J1722" s="22" t="s">
        <v>4466</v>
      </c>
      <c r="K1722" s="22" t="s">
        <v>128</v>
      </c>
      <c r="L1722" s="22"/>
      <c r="M1722" s="22"/>
      <c r="N1722" s="22"/>
    </row>
    <row r="1723" spans="1:14" x14ac:dyDescent="0.25">
      <c r="A1723" s="22" t="s">
        <v>1689</v>
      </c>
      <c r="B1723" s="22" t="s">
        <v>39</v>
      </c>
      <c r="C1723" s="22" t="s">
        <v>3643</v>
      </c>
      <c r="D1723" s="23">
        <v>222336</v>
      </c>
      <c r="E1723" s="22" t="s">
        <v>42</v>
      </c>
      <c r="F1723" s="24">
        <v>44414</v>
      </c>
      <c r="G1723" s="22" t="s">
        <v>1672</v>
      </c>
      <c r="H1723" s="22" t="s">
        <v>1671</v>
      </c>
      <c r="I1723" s="22" t="s">
        <v>1688</v>
      </c>
      <c r="J1723" s="22" t="s">
        <v>4401</v>
      </c>
      <c r="K1723" s="22" t="s">
        <v>292</v>
      </c>
      <c r="L1723" s="22"/>
      <c r="M1723" s="22"/>
      <c r="N1723" s="22"/>
    </row>
    <row r="1724" spans="1:14" x14ac:dyDescent="0.25">
      <c r="A1724" s="22" t="s">
        <v>1743</v>
      </c>
      <c r="B1724" s="22" t="s">
        <v>39</v>
      </c>
      <c r="C1724" s="22" t="s">
        <v>7286</v>
      </c>
      <c r="D1724" s="23">
        <v>5411</v>
      </c>
      <c r="E1724" s="22" t="s">
        <v>45</v>
      </c>
      <c r="F1724" s="24">
        <v>44258</v>
      </c>
      <c r="G1724" s="22" t="s">
        <v>1740</v>
      </c>
      <c r="H1724" s="22"/>
      <c r="I1724" s="22" t="s">
        <v>1740</v>
      </c>
      <c r="J1724" s="22" t="s">
        <v>4401</v>
      </c>
      <c r="K1724" s="22" t="s">
        <v>128</v>
      </c>
      <c r="L1724" s="22"/>
      <c r="M1724" s="22"/>
      <c r="N1724" s="22"/>
    </row>
    <row r="1725" spans="1:14" x14ac:dyDescent="0.25">
      <c r="A1725" s="22" t="s">
        <v>1743</v>
      </c>
      <c r="B1725" s="22" t="s">
        <v>39</v>
      </c>
      <c r="C1725" s="22" t="s">
        <v>7287</v>
      </c>
      <c r="D1725" s="23">
        <v>-32700</v>
      </c>
      <c r="E1725" s="22" t="s">
        <v>57</v>
      </c>
      <c r="F1725" s="24">
        <v>44258</v>
      </c>
      <c r="G1725" s="22" t="s">
        <v>1740</v>
      </c>
      <c r="H1725" s="22" t="s">
        <v>1731</v>
      </c>
      <c r="I1725" s="22" t="s">
        <v>1742</v>
      </c>
      <c r="J1725" s="22" t="s">
        <v>4401</v>
      </c>
      <c r="K1725" s="22" t="s">
        <v>128</v>
      </c>
      <c r="L1725" s="22"/>
      <c r="M1725" s="22"/>
      <c r="N1725" s="22"/>
    </row>
    <row r="1726" spans="1:14" x14ac:dyDescent="0.25">
      <c r="A1726" s="22" t="s">
        <v>1739</v>
      </c>
      <c r="B1726" s="22" t="s">
        <v>39</v>
      </c>
      <c r="C1726" s="22" t="s">
        <v>3760</v>
      </c>
      <c r="D1726" s="23">
        <v>27289</v>
      </c>
      <c r="E1726" s="22" t="s">
        <v>42</v>
      </c>
      <c r="F1726" s="24">
        <v>44260</v>
      </c>
      <c r="G1726" s="22" t="s">
        <v>1740</v>
      </c>
      <c r="H1726" s="22" t="s">
        <v>1741</v>
      </c>
      <c r="I1726" s="22" t="s">
        <v>1738</v>
      </c>
      <c r="J1726" s="22" t="s">
        <v>4401</v>
      </c>
      <c r="K1726" s="22" t="s">
        <v>292</v>
      </c>
      <c r="L1726" s="22"/>
      <c r="M1726" s="22"/>
      <c r="N1726" s="22"/>
    </row>
    <row r="1727" spans="1:14" x14ac:dyDescent="0.25">
      <c r="A1727" s="22" t="s">
        <v>1730</v>
      </c>
      <c r="B1727" s="22" t="s">
        <v>39</v>
      </c>
      <c r="C1727" s="22" t="s">
        <v>7286</v>
      </c>
      <c r="D1727" s="23">
        <v>-347175</v>
      </c>
      <c r="E1727" s="22" t="s">
        <v>45</v>
      </c>
      <c r="F1727" s="24">
        <v>44334</v>
      </c>
      <c r="G1727" s="22" t="s">
        <v>1728</v>
      </c>
      <c r="H1727" s="22"/>
      <c r="I1727" s="22" t="s">
        <v>1728</v>
      </c>
      <c r="J1727" s="22" t="s">
        <v>4401</v>
      </c>
      <c r="K1727" s="22" t="s">
        <v>128</v>
      </c>
      <c r="L1727" s="22"/>
      <c r="M1727" s="22"/>
      <c r="N1727" s="22"/>
    </row>
    <row r="1728" spans="1:14" x14ac:dyDescent="0.25">
      <c r="A1728" s="22" t="s">
        <v>1730</v>
      </c>
      <c r="B1728" s="22" t="s">
        <v>39</v>
      </c>
      <c r="C1728" s="22" t="s">
        <v>7286</v>
      </c>
      <c r="D1728" s="23">
        <v>348300</v>
      </c>
      <c r="E1728" s="22" t="s">
        <v>45</v>
      </c>
      <c r="F1728" s="24">
        <v>44334</v>
      </c>
      <c r="G1728" s="22" t="s">
        <v>1728</v>
      </c>
      <c r="H1728" s="22"/>
      <c r="I1728" s="22" t="s">
        <v>1728</v>
      </c>
      <c r="J1728" s="22" t="s">
        <v>4407</v>
      </c>
      <c r="K1728" s="22" t="s">
        <v>128</v>
      </c>
      <c r="L1728" s="22"/>
      <c r="M1728" s="22"/>
      <c r="N1728" s="22"/>
    </row>
    <row r="1729" spans="1:14" x14ac:dyDescent="0.25">
      <c r="A1729" s="22" t="s">
        <v>1737</v>
      </c>
      <c r="B1729" s="22" t="s">
        <v>39</v>
      </c>
      <c r="C1729" s="22" t="s">
        <v>137</v>
      </c>
      <c r="D1729" s="23">
        <v>-47200</v>
      </c>
      <c r="E1729" s="22" t="s">
        <v>57</v>
      </c>
      <c r="F1729" s="24">
        <v>44322</v>
      </c>
      <c r="G1729" s="22" t="s">
        <v>1728</v>
      </c>
      <c r="H1729" s="22" t="s">
        <v>608</v>
      </c>
      <c r="I1729" s="22" t="s">
        <v>1736</v>
      </c>
      <c r="J1729" s="22" t="s">
        <v>4407</v>
      </c>
      <c r="K1729" s="22" t="s">
        <v>128</v>
      </c>
      <c r="L1729" s="22"/>
      <c r="M1729" s="22"/>
      <c r="N1729" s="22"/>
    </row>
    <row r="1730" spans="1:14" x14ac:dyDescent="0.25">
      <c r="A1730" s="22" t="s">
        <v>1735</v>
      </c>
      <c r="B1730" s="22" t="s">
        <v>39</v>
      </c>
      <c r="C1730" s="22" t="s">
        <v>137</v>
      </c>
      <c r="D1730" s="23">
        <v>-253900</v>
      </c>
      <c r="E1730" s="22" t="s">
        <v>57</v>
      </c>
      <c r="F1730" s="24">
        <v>44334</v>
      </c>
      <c r="G1730" s="22" t="s">
        <v>1728</v>
      </c>
      <c r="H1730" s="22" t="s">
        <v>1731</v>
      </c>
      <c r="I1730" s="22" t="s">
        <v>1734</v>
      </c>
      <c r="J1730" s="22" t="s">
        <v>4407</v>
      </c>
      <c r="K1730" s="22" t="s">
        <v>128</v>
      </c>
      <c r="L1730" s="22"/>
      <c r="M1730" s="22"/>
      <c r="N1730" s="22"/>
    </row>
    <row r="1731" spans="1:14" x14ac:dyDescent="0.25">
      <c r="A1731" s="22" t="s">
        <v>1733</v>
      </c>
      <c r="B1731" s="22" t="s">
        <v>39</v>
      </c>
      <c r="C1731" s="22" t="s">
        <v>137</v>
      </c>
      <c r="D1731" s="23">
        <v>-10100</v>
      </c>
      <c r="E1731" s="22" t="s">
        <v>57</v>
      </c>
      <c r="F1731" s="24">
        <v>44334</v>
      </c>
      <c r="G1731" s="22" t="s">
        <v>1728</v>
      </c>
      <c r="H1731" s="22" t="s">
        <v>740</v>
      </c>
      <c r="I1731" s="22" t="s">
        <v>1732</v>
      </c>
      <c r="J1731" s="22" t="s">
        <v>4407</v>
      </c>
      <c r="K1731" s="22" t="s">
        <v>128</v>
      </c>
      <c r="L1731" s="22"/>
      <c r="M1731" s="22"/>
      <c r="N1731" s="22"/>
    </row>
    <row r="1732" spans="1:14" x14ac:dyDescent="0.25">
      <c r="A1732" s="22" t="s">
        <v>1730</v>
      </c>
      <c r="B1732" s="22" t="s">
        <v>39</v>
      </c>
      <c r="C1732" s="22" t="s">
        <v>137</v>
      </c>
      <c r="D1732" s="23">
        <v>-37100</v>
      </c>
      <c r="E1732" s="22" t="s">
        <v>57</v>
      </c>
      <c r="F1732" s="24">
        <v>44334</v>
      </c>
      <c r="G1732" s="22" t="s">
        <v>1728</v>
      </c>
      <c r="H1732" s="22" t="s">
        <v>1731</v>
      </c>
      <c r="I1732" s="22" t="s">
        <v>1729</v>
      </c>
      <c r="J1732" s="22" t="s">
        <v>4407</v>
      </c>
      <c r="K1732" s="22" t="s">
        <v>128</v>
      </c>
      <c r="L1732" s="22"/>
      <c r="M1732" s="22"/>
      <c r="N1732" s="22"/>
    </row>
    <row r="1733" spans="1:14" x14ac:dyDescent="0.25">
      <c r="A1733" s="22" t="s">
        <v>1727</v>
      </c>
      <c r="B1733" s="22" t="s">
        <v>39</v>
      </c>
      <c r="C1733" s="22" t="s">
        <v>3760</v>
      </c>
      <c r="D1733" s="23">
        <v>347175</v>
      </c>
      <c r="E1733" s="22" t="s">
        <v>42</v>
      </c>
      <c r="F1733" s="24">
        <v>44355</v>
      </c>
      <c r="G1733" s="22" t="s">
        <v>1728</v>
      </c>
      <c r="H1733" s="22" t="s">
        <v>605</v>
      </c>
      <c r="I1733" s="22" t="s">
        <v>1726</v>
      </c>
      <c r="J1733" s="22" t="s">
        <v>4401</v>
      </c>
      <c r="K1733" s="22" t="s">
        <v>292</v>
      </c>
      <c r="L1733" s="22"/>
      <c r="M1733" s="22"/>
      <c r="N1733" s="22"/>
    </row>
    <row r="1734" spans="1:14" x14ac:dyDescent="0.25">
      <c r="A1734" s="22" t="s">
        <v>157</v>
      </c>
      <c r="B1734" s="22" t="s">
        <v>39</v>
      </c>
      <c r="C1734" s="22" t="s">
        <v>7286</v>
      </c>
      <c r="D1734" s="23">
        <v>1255964</v>
      </c>
      <c r="E1734" s="22" t="s">
        <v>45</v>
      </c>
      <c r="F1734" s="24">
        <v>44382</v>
      </c>
      <c r="G1734" s="22" t="s">
        <v>1724</v>
      </c>
      <c r="H1734" s="22"/>
      <c r="I1734" s="22" t="s">
        <v>1724</v>
      </c>
      <c r="J1734" s="22" t="s">
        <v>4401</v>
      </c>
      <c r="K1734" s="22" t="s">
        <v>128</v>
      </c>
      <c r="L1734" s="22"/>
      <c r="M1734" s="22"/>
      <c r="N1734" s="22"/>
    </row>
    <row r="1735" spans="1:14" x14ac:dyDescent="0.25">
      <c r="A1735" s="22" t="s">
        <v>157</v>
      </c>
      <c r="B1735" s="22" t="s">
        <v>39</v>
      </c>
      <c r="C1735" s="22" t="s">
        <v>156</v>
      </c>
      <c r="D1735" s="23">
        <v>-3064510</v>
      </c>
      <c r="E1735" s="22" t="s">
        <v>57</v>
      </c>
      <c r="F1735" s="24">
        <v>44382</v>
      </c>
      <c r="G1735" s="22" t="s">
        <v>1724</v>
      </c>
      <c r="H1735" s="22" t="s">
        <v>1725</v>
      </c>
      <c r="I1735" s="22" t="s">
        <v>159</v>
      </c>
      <c r="J1735" s="22" t="s">
        <v>4401</v>
      </c>
      <c r="K1735" s="22" t="s">
        <v>128</v>
      </c>
      <c r="L1735" s="22"/>
      <c r="M1735" s="22"/>
      <c r="N1735" s="22"/>
    </row>
    <row r="1736" spans="1:14" x14ac:dyDescent="0.25">
      <c r="A1736" s="22" t="s">
        <v>1723</v>
      </c>
      <c r="B1736" s="22" t="s">
        <v>39</v>
      </c>
      <c r="C1736" s="22" t="s">
        <v>4267</v>
      </c>
      <c r="D1736" s="23">
        <v>1808546</v>
      </c>
      <c r="E1736" s="22" t="s">
        <v>42</v>
      </c>
      <c r="F1736" s="24">
        <v>44414</v>
      </c>
      <c r="G1736" s="22" t="s">
        <v>1724</v>
      </c>
      <c r="H1736" s="22" t="s">
        <v>1671</v>
      </c>
      <c r="I1736" s="22" t="s">
        <v>1722</v>
      </c>
      <c r="J1736" s="22" t="s">
        <v>4401</v>
      </c>
      <c r="K1736" s="22" t="s">
        <v>292</v>
      </c>
      <c r="L1736" s="22"/>
      <c r="M1736" s="22"/>
      <c r="N1736" s="22"/>
    </row>
    <row r="1737" spans="1:14" x14ac:dyDescent="0.25">
      <c r="A1737" s="22" t="s">
        <v>1715</v>
      </c>
      <c r="B1737" s="22" t="s">
        <v>39</v>
      </c>
      <c r="C1737" s="22" t="s">
        <v>7286</v>
      </c>
      <c r="D1737" s="23">
        <v>562352</v>
      </c>
      <c r="E1737" s="22" t="s">
        <v>45</v>
      </c>
      <c r="F1737" s="24">
        <v>44379</v>
      </c>
      <c r="G1737" s="22" t="s">
        <v>1716</v>
      </c>
      <c r="H1737" s="22"/>
      <c r="I1737" s="22" t="s">
        <v>1716</v>
      </c>
      <c r="J1737" s="22" t="s">
        <v>4466</v>
      </c>
      <c r="K1737" s="22" t="s">
        <v>128</v>
      </c>
      <c r="L1737" s="22"/>
      <c r="M1737" s="22"/>
      <c r="N1737" s="22"/>
    </row>
    <row r="1738" spans="1:14" x14ac:dyDescent="0.25">
      <c r="A1738" s="22" t="s">
        <v>1715</v>
      </c>
      <c r="B1738" s="22" t="s">
        <v>39</v>
      </c>
      <c r="C1738" s="22" t="s">
        <v>7286</v>
      </c>
      <c r="D1738" s="23">
        <v>3838918</v>
      </c>
      <c r="E1738" s="22" t="s">
        <v>45</v>
      </c>
      <c r="F1738" s="24">
        <v>44379</v>
      </c>
      <c r="G1738" s="22" t="s">
        <v>1716</v>
      </c>
      <c r="H1738" s="22"/>
      <c r="I1738" s="22" t="s">
        <v>1716</v>
      </c>
      <c r="J1738" s="22" t="s">
        <v>4401</v>
      </c>
      <c r="K1738" s="22" t="s">
        <v>128</v>
      </c>
      <c r="L1738" s="22"/>
      <c r="M1738" s="22"/>
      <c r="N1738" s="22"/>
    </row>
    <row r="1739" spans="1:14" x14ac:dyDescent="0.25">
      <c r="A1739" s="22" t="s">
        <v>1720</v>
      </c>
      <c r="B1739" s="22" t="s">
        <v>39</v>
      </c>
      <c r="C1739" s="22" t="s">
        <v>149</v>
      </c>
      <c r="D1739" s="23">
        <v>-562352</v>
      </c>
      <c r="E1739" s="22" t="s">
        <v>57</v>
      </c>
      <c r="F1739" s="24">
        <v>44367</v>
      </c>
      <c r="G1739" s="22" t="s">
        <v>1716</v>
      </c>
      <c r="H1739" s="22" t="s">
        <v>1721</v>
      </c>
      <c r="I1739" s="22" t="s">
        <v>1719</v>
      </c>
      <c r="J1739" s="22" t="s">
        <v>4466</v>
      </c>
      <c r="K1739" s="22" t="s">
        <v>128</v>
      </c>
      <c r="L1739" s="22"/>
      <c r="M1739" s="22"/>
      <c r="N1739" s="22"/>
    </row>
    <row r="1740" spans="1:14" x14ac:dyDescent="0.25">
      <c r="A1740" s="22" t="s">
        <v>161</v>
      </c>
      <c r="B1740" s="22" t="s">
        <v>39</v>
      </c>
      <c r="C1740" s="22" t="s">
        <v>160</v>
      </c>
      <c r="D1740" s="23">
        <v>-14599</v>
      </c>
      <c r="E1740" s="22" t="s">
        <v>57</v>
      </c>
      <c r="F1740" s="24">
        <v>44358</v>
      </c>
      <c r="G1740" s="22" t="s">
        <v>1716</v>
      </c>
      <c r="H1740" s="22" t="s">
        <v>1718</v>
      </c>
      <c r="I1740" s="22" t="s">
        <v>163</v>
      </c>
      <c r="J1740" s="22" t="s">
        <v>4401</v>
      </c>
      <c r="K1740" s="22" t="s">
        <v>128</v>
      </c>
      <c r="L1740" s="22"/>
      <c r="M1740" s="22"/>
      <c r="N1740" s="22"/>
    </row>
    <row r="1741" spans="1:14" x14ac:dyDescent="0.25">
      <c r="A1741" s="22" t="s">
        <v>1715</v>
      </c>
      <c r="B1741" s="22" t="s">
        <v>39</v>
      </c>
      <c r="C1741" s="22" t="s">
        <v>160</v>
      </c>
      <c r="D1741" s="23">
        <v>-8760319</v>
      </c>
      <c r="E1741" s="22" t="s">
        <v>57</v>
      </c>
      <c r="F1741" s="24">
        <v>44379</v>
      </c>
      <c r="G1741" s="22" t="s">
        <v>1716</v>
      </c>
      <c r="H1741" s="22" t="s">
        <v>1717</v>
      </c>
      <c r="I1741" s="22" t="s">
        <v>1714</v>
      </c>
      <c r="J1741" s="22" t="s">
        <v>4401</v>
      </c>
      <c r="K1741" s="22" t="s">
        <v>128</v>
      </c>
      <c r="L1741" s="22"/>
      <c r="M1741" s="22"/>
      <c r="N1741" s="22"/>
    </row>
    <row r="1742" spans="1:14" x14ac:dyDescent="0.25">
      <c r="A1742" s="22" t="s">
        <v>1959</v>
      </c>
      <c r="B1742" s="22" t="s">
        <v>39</v>
      </c>
      <c r="C1742" s="22" t="s">
        <v>3504</v>
      </c>
      <c r="D1742" s="23">
        <v>4936000</v>
      </c>
      <c r="E1742" s="22" t="s">
        <v>42</v>
      </c>
      <c r="F1742" s="24">
        <v>44414</v>
      </c>
      <c r="G1742" s="22" t="s">
        <v>1716</v>
      </c>
      <c r="H1742" s="22" t="s">
        <v>1671</v>
      </c>
      <c r="I1742" s="22" t="s">
        <v>1958</v>
      </c>
      <c r="J1742" s="22" t="s">
        <v>4401</v>
      </c>
      <c r="K1742" s="22" t="s">
        <v>292</v>
      </c>
      <c r="L1742" s="22"/>
      <c r="M1742" s="22"/>
      <c r="N1742" s="22"/>
    </row>
    <row r="1743" spans="1:14" x14ac:dyDescent="0.25">
      <c r="A1743" s="22" t="s">
        <v>5919</v>
      </c>
      <c r="B1743" s="22" t="s">
        <v>39</v>
      </c>
      <c r="C1743" s="22" t="s">
        <v>7286</v>
      </c>
      <c r="D1743" s="23">
        <v>-3183096</v>
      </c>
      <c r="E1743" s="22" t="s">
        <v>45</v>
      </c>
      <c r="F1743" s="24">
        <v>44104</v>
      </c>
      <c r="G1743" s="22" t="s">
        <v>7288</v>
      </c>
      <c r="H1743" s="22"/>
      <c r="I1743" s="22" t="s">
        <v>7288</v>
      </c>
      <c r="J1743" s="22" t="s">
        <v>4401</v>
      </c>
      <c r="K1743" s="22" t="s">
        <v>5913</v>
      </c>
      <c r="L1743" s="22"/>
      <c r="M1743" s="22"/>
      <c r="N1743" s="22"/>
    </row>
    <row r="1744" spans="1:14" x14ac:dyDescent="0.25">
      <c r="A1744" s="22" t="s">
        <v>5919</v>
      </c>
      <c r="B1744" s="22" t="s">
        <v>39</v>
      </c>
      <c r="C1744" s="22" t="s">
        <v>7286</v>
      </c>
      <c r="D1744" s="23">
        <v>1451691</v>
      </c>
      <c r="E1744" s="22" t="s">
        <v>45</v>
      </c>
      <c r="F1744" s="24">
        <v>44104</v>
      </c>
      <c r="G1744" s="22" t="s">
        <v>7288</v>
      </c>
      <c r="H1744" s="22"/>
      <c r="I1744" s="22" t="s">
        <v>7288</v>
      </c>
      <c r="J1744" s="22" t="s">
        <v>4407</v>
      </c>
      <c r="K1744" s="22" t="s">
        <v>5913</v>
      </c>
      <c r="L1744" s="22"/>
      <c r="M1744" s="22"/>
      <c r="N1744" s="22"/>
    </row>
    <row r="1745" spans="1:14" x14ac:dyDescent="0.25">
      <c r="A1745" s="22" t="s">
        <v>7290</v>
      </c>
      <c r="B1745" s="22" t="s">
        <v>39</v>
      </c>
      <c r="C1745" s="22" t="s">
        <v>7289</v>
      </c>
      <c r="D1745" s="23">
        <v>-1451691</v>
      </c>
      <c r="E1745" s="22" t="s">
        <v>57</v>
      </c>
      <c r="F1745" s="24">
        <v>44348</v>
      </c>
      <c r="G1745" s="22" t="s">
        <v>7288</v>
      </c>
      <c r="H1745" s="22" t="s">
        <v>7291</v>
      </c>
      <c r="I1745" s="22" t="s">
        <v>7292</v>
      </c>
      <c r="J1745" s="22" t="s">
        <v>4407</v>
      </c>
      <c r="K1745" s="22" t="s">
        <v>128</v>
      </c>
      <c r="L1745" s="22"/>
      <c r="M1745" s="22"/>
      <c r="N1745" s="22"/>
    </row>
    <row r="1746" spans="1:14" x14ac:dyDescent="0.25">
      <c r="A1746" s="22" t="s">
        <v>2103</v>
      </c>
      <c r="B1746" s="22" t="s">
        <v>39</v>
      </c>
      <c r="C1746" s="22" t="s">
        <v>5119</v>
      </c>
      <c r="D1746" s="23">
        <v>3183096</v>
      </c>
      <c r="E1746" s="22" t="s">
        <v>45</v>
      </c>
      <c r="F1746" s="24">
        <v>44104</v>
      </c>
      <c r="G1746" s="22" t="s">
        <v>7288</v>
      </c>
      <c r="H1746" s="22" t="s">
        <v>7293</v>
      </c>
      <c r="I1746" s="22" t="s">
        <v>5911</v>
      </c>
      <c r="J1746" s="22" t="s">
        <v>4401</v>
      </c>
      <c r="K1746" s="22" t="s">
        <v>5913</v>
      </c>
      <c r="L1746" s="22"/>
      <c r="M1746" s="22"/>
      <c r="N1746" s="22"/>
    </row>
    <row r="1747" spans="1:14" x14ac:dyDescent="0.25">
      <c r="A1747" s="22" t="s">
        <v>1956</v>
      </c>
      <c r="B1747" s="22" t="s">
        <v>39</v>
      </c>
      <c r="C1747" s="22" t="s">
        <v>7286</v>
      </c>
      <c r="D1747" s="23">
        <v>3068853</v>
      </c>
      <c r="E1747" s="22" t="s">
        <v>45</v>
      </c>
      <c r="F1747" s="24">
        <v>44382</v>
      </c>
      <c r="G1747" s="22" t="s">
        <v>1954</v>
      </c>
      <c r="H1747" s="22"/>
      <c r="I1747" s="22" t="s">
        <v>1954</v>
      </c>
      <c r="J1747" s="22" t="s">
        <v>4401</v>
      </c>
      <c r="K1747" s="22" t="s">
        <v>128</v>
      </c>
      <c r="L1747" s="22"/>
      <c r="M1747" s="22"/>
      <c r="N1747" s="22"/>
    </row>
    <row r="1748" spans="1:14" x14ac:dyDescent="0.25">
      <c r="A1748" s="22" t="s">
        <v>1956</v>
      </c>
      <c r="B1748" s="22" t="s">
        <v>39</v>
      </c>
      <c r="C1748" s="22" t="s">
        <v>7294</v>
      </c>
      <c r="D1748" s="23">
        <v>-6137707</v>
      </c>
      <c r="E1748" s="22" t="s">
        <v>57</v>
      </c>
      <c r="F1748" s="24">
        <v>44382</v>
      </c>
      <c r="G1748" s="22" t="s">
        <v>1954</v>
      </c>
      <c r="H1748" s="22" t="s">
        <v>1957</v>
      </c>
      <c r="I1748" s="22" t="s">
        <v>1955</v>
      </c>
      <c r="J1748" s="22" t="s">
        <v>4401</v>
      </c>
      <c r="K1748" s="22" t="s">
        <v>128</v>
      </c>
      <c r="L1748" s="22"/>
      <c r="M1748" s="22"/>
      <c r="N1748" s="22"/>
    </row>
    <row r="1749" spans="1:14" x14ac:dyDescent="0.25">
      <c r="A1749" s="22" t="s">
        <v>1953</v>
      </c>
      <c r="B1749" s="22" t="s">
        <v>39</v>
      </c>
      <c r="C1749" s="22" t="s">
        <v>5285</v>
      </c>
      <c r="D1749" s="23">
        <v>3068854</v>
      </c>
      <c r="E1749" s="22" t="s">
        <v>42</v>
      </c>
      <c r="F1749" s="24">
        <v>44414</v>
      </c>
      <c r="G1749" s="22" t="s">
        <v>1954</v>
      </c>
      <c r="H1749" s="22" t="s">
        <v>1671</v>
      </c>
      <c r="I1749" s="22" t="s">
        <v>1952</v>
      </c>
      <c r="J1749" s="22" t="s">
        <v>4401</v>
      </c>
      <c r="K1749" s="22" t="s">
        <v>292</v>
      </c>
      <c r="L1749" s="22"/>
      <c r="M1749" s="22"/>
      <c r="N1749" s="22"/>
    </row>
    <row r="1750" spans="1:14" x14ac:dyDescent="0.25">
      <c r="A1750" s="22" t="s">
        <v>1951</v>
      </c>
      <c r="B1750" s="22" t="s">
        <v>39</v>
      </c>
      <c r="C1750" s="22" t="s">
        <v>7295</v>
      </c>
      <c r="D1750" s="23">
        <v>-1000916</v>
      </c>
      <c r="E1750" s="22" t="s">
        <v>45</v>
      </c>
      <c r="F1750" s="24">
        <v>44343</v>
      </c>
      <c r="G1750" s="22" t="s">
        <v>1945</v>
      </c>
      <c r="H1750" s="22"/>
      <c r="I1750" s="22" t="s">
        <v>1945</v>
      </c>
      <c r="J1750" s="22" t="s">
        <v>4401</v>
      </c>
      <c r="K1750" s="22" t="s">
        <v>128</v>
      </c>
      <c r="L1750" s="22"/>
      <c r="M1750" s="22"/>
      <c r="N1750" s="22"/>
    </row>
    <row r="1751" spans="1:14" x14ac:dyDescent="0.25">
      <c r="A1751" s="22" t="s">
        <v>1951</v>
      </c>
      <c r="B1751" s="22" t="s">
        <v>39</v>
      </c>
      <c r="C1751" s="22" t="s">
        <v>7295</v>
      </c>
      <c r="D1751" s="23">
        <v>1013900</v>
      </c>
      <c r="E1751" s="22" t="s">
        <v>45</v>
      </c>
      <c r="F1751" s="24">
        <v>44343</v>
      </c>
      <c r="G1751" s="22" t="s">
        <v>1945</v>
      </c>
      <c r="H1751" s="22"/>
      <c r="I1751" s="22" t="s">
        <v>1945</v>
      </c>
      <c r="J1751" s="22" t="s">
        <v>4407</v>
      </c>
      <c r="K1751" s="22" t="s">
        <v>128</v>
      </c>
      <c r="L1751" s="22"/>
      <c r="M1751" s="22"/>
      <c r="N1751" s="22"/>
    </row>
    <row r="1752" spans="1:14" x14ac:dyDescent="0.25">
      <c r="A1752" s="22" t="s">
        <v>1951</v>
      </c>
      <c r="B1752" s="22" t="s">
        <v>39</v>
      </c>
      <c r="C1752" s="22" t="s">
        <v>137</v>
      </c>
      <c r="D1752" s="23">
        <v>-146600</v>
      </c>
      <c r="E1752" s="22" t="s">
        <v>57</v>
      </c>
      <c r="F1752" s="24">
        <v>44343</v>
      </c>
      <c r="G1752" s="22" t="s">
        <v>1945</v>
      </c>
      <c r="H1752" s="22" t="s">
        <v>637</v>
      </c>
      <c r="I1752" s="22" t="s">
        <v>1950</v>
      </c>
      <c r="J1752" s="22" t="s">
        <v>4407</v>
      </c>
      <c r="K1752" s="22" t="s">
        <v>128</v>
      </c>
      <c r="L1752" s="22"/>
      <c r="M1752" s="22"/>
      <c r="N1752" s="22"/>
    </row>
    <row r="1753" spans="1:14" x14ac:dyDescent="0.25">
      <c r="A1753" s="22" t="s">
        <v>1949</v>
      </c>
      <c r="B1753" s="22" t="s">
        <v>39</v>
      </c>
      <c r="C1753" s="22" t="s">
        <v>137</v>
      </c>
      <c r="D1753" s="23">
        <v>-115000</v>
      </c>
      <c r="E1753" s="22" t="s">
        <v>57</v>
      </c>
      <c r="F1753" s="24">
        <v>44343</v>
      </c>
      <c r="G1753" s="22" t="s">
        <v>1945</v>
      </c>
      <c r="H1753" s="22" t="s">
        <v>890</v>
      </c>
      <c r="I1753" s="22" t="s">
        <v>1948</v>
      </c>
      <c r="J1753" s="22" t="s">
        <v>4407</v>
      </c>
      <c r="K1753" s="22" t="s">
        <v>128</v>
      </c>
      <c r="L1753" s="22"/>
      <c r="M1753" s="22"/>
      <c r="N1753" s="22"/>
    </row>
    <row r="1754" spans="1:14" x14ac:dyDescent="0.25">
      <c r="A1754" s="22" t="s">
        <v>1947</v>
      </c>
      <c r="B1754" s="22" t="s">
        <v>39</v>
      </c>
      <c r="C1754" s="22" t="s">
        <v>137</v>
      </c>
      <c r="D1754" s="23">
        <v>-10100</v>
      </c>
      <c r="E1754" s="22" t="s">
        <v>57</v>
      </c>
      <c r="F1754" s="24">
        <v>44344</v>
      </c>
      <c r="G1754" s="22" t="s">
        <v>1945</v>
      </c>
      <c r="H1754" s="22" t="s">
        <v>637</v>
      </c>
      <c r="I1754" s="22" t="s">
        <v>1946</v>
      </c>
      <c r="J1754" s="22" t="s">
        <v>4407</v>
      </c>
      <c r="K1754" s="22" t="s">
        <v>128</v>
      </c>
      <c r="L1754" s="22"/>
      <c r="M1754" s="22"/>
      <c r="N1754" s="22"/>
    </row>
    <row r="1755" spans="1:14" x14ac:dyDescent="0.25">
      <c r="A1755" s="22" t="s">
        <v>138</v>
      </c>
      <c r="B1755" s="22" t="s">
        <v>39</v>
      </c>
      <c r="C1755" s="22" t="s">
        <v>137</v>
      </c>
      <c r="D1755" s="23">
        <v>-742200</v>
      </c>
      <c r="E1755" s="22" t="s">
        <v>57</v>
      </c>
      <c r="F1755" s="24">
        <v>44344</v>
      </c>
      <c r="G1755" s="22" t="s">
        <v>1945</v>
      </c>
      <c r="H1755" s="22" t="s">
        <v>637</v>
      </c>
      <c r="I1755" s="22" t="s">
        <v>140</v>
      </c>
      <c r="J1755" s="22" t="s">
        <v>4407</v>
      </c>
      <c r="K1755" s="22" t="s">
        <v>128</v>
      </c>
      <c r="L1755" s="22"/>
      <c r="M1755" s="22"/>
      <c r="N1755" s="22"/>
    </row>
    <row r="1756" spans="1:14" x14ac:dyDescent="0.25">
      <c r="A1756" s="22" t="s">
        <v>1944</v>
      </c>
      <c r="B1756" s="22" t="s">
        <v>39</v>
      </c>
      <c r="C1756" s="22" t="s">
        <v>47</v>
      </c>
      <c r="D1756" s="23">
        <v>1000916</v>
      </c>
      <c r="E1756" s="22" t="s">
        <v>42</v>
      </c>
      <c r="F1756" s="24">
        <v>44385</v>
      </c>
      <c r="G1756" s="22" t="s">
        <v>1945</v>
      </c>
      <c r="H1756" s="22" t="s">
        <v>1671</v>
      </c>
      <c r="I1756" s="22" t="s">
        <v>1943</v>
      </c>
      <c r="J1756" s="22" t="s">
        <v>4401</v>
      </c>
      <c r="K1756" s="22" t="s">
        <v>292</v>
      </c>
      <c r="L1756" s="22"/>
      <c r="M1756" s="22"/>
      <c r="N1756" s="22"/>
    </row>
    <row r="1757" spans="1:14" x14ac:dyDescent="0.25">
      <c r="A1757" s="22" t="s">
        <v>157</v>
      </c>
      <c r="B1757" s="22" t="s">
        <v>39</v>
      </c>
      <c r="C1757" s="22" t="s">
        <v>7296</v>
      </c>
      <c r="D1757" s="23">
        <v>704914</v>
      </c>
      <c r="E1757" s="22" t="s">
        <v>45</v>
      </c>
      <c r="F1757" s="24">
        <v>44382</v>
      </c>
      <c r="G1757" s="22" t="s">
        <v>1935</v>
      </c>
      <c r="H1757" s="22"/>
      <c r="I1757" s="22" t="s">
        <v>1935</v>
      </c>
      <c r="J1757" s="22" t="s">
        <v>4401</v>
      </c>
      <c r="K1757" s="22" t="s">
        <v>128</v>
      </c>
      <c r="L1757" s="22"/>
      <c r="M1757" s="22"/>
      <c r="N1757" s="22"/>
    </row>
    <row r="1758" spans="1:14" x14ac:dyDescent="0.25">
      <c r="A1758" s="22" t="s">
        <v>157</v>
      </c>
      <c r="B1758" s="22" t="s">
        <v>39</v>
      </c>
      <c r="C1758" s="22" t="s">
        <v>156</v>
      </c>
      <c r="D1758" s="23">
        <v>-1255964</v>
      </c>
      <c r="E1758" s="22" t="s">
        <v>45</v>
      </c>
      <c r="F1758" s="24">
        <v>44382</v>
      </c>
      <c r="G1758" s="22" t="s">
        <v>1935</v>
      </c>
      <c r="H1758" s="22" t="s">
        <v>1942</v>
      </c>
      <c r="I1758" s="22" t="s">
        <v>1724</v>
      </c>
      <c r="J1758" s="22" t="s">
        <v>4401</v>
      </c>
      <c r="K1758" s="22" t="s">
        <v>128</v>
      </c>
      <c r="L1758" s="22"/>
      <c r="M1758" s="22"/>
      <c r="N1758" s="22"/>
    </row>
    <row r="1759" spans="1:14" x14ac:dyDescent="0.25">
      <c r="A1759" s="22" t="s">
        <v>1941</v>
      </c>
      <c r="B1759" s="22" t="s">
        <v>39</v>
      </c>
      <c r="C1759" s="22" t="s">
        <v>4267</v>
      </c>
      <c r="D1759" s="23">
        <v>551050</v>
      </c>
      <c r="E1759" s="22" t="s">
        <v>42</v>
      </c>
      <c r="F1759" s="24">
        <v>44446</v>
      </c>
      <c r="G1759" s="22" t="s">
        <v>1935</v>
      </c>
      <c r="H1759" s="22" t="s">
        <v>605</v>
      </c>
      <c r="I1759" s="22" t="s">
        <v>1940</v>
      </c>
      <c r="J1759" s="22" t="s">
        <v>4401</v>
      </c>
      <c r="K1759" s="22" t="s">
        <v>292</v>
      </c>
      <c r="L1759" s="22"/>
      <c r="M1759" s="22"/>
      <c r="N1759" s="22"/>
    </row>
    <row r="1760" spans="1:14" x14ac:dyDescent="0.25">
      <c r="A1760" s="22" t="s">
        <v>1715</v>
      </c>
      <c r="B1760" s="22" t="s">
        <v>39</v>
      </c>
      <c r="C1760" s="22" t="s">
        <v>4773</v>
      </c>
      <c r="D1760" s="23">
        <v>232334</v>
      </c>
      <c r="E1760" s="22" t="s">
        <v>45</v>
      </c>
      <c r="F1760" s="24">
        <v>44379</v>
      </c>
      <c r="G1760" s="22" t="s">
        <v>1933</v>
      </c>
      <c r="H1760" s="22"/>
      <c r="I1760" s="22" t="s">
        <v>1933</v>
      </c>
      <c r="J1760" s="22" t="s">
        <v>4401</v>
      </c>
      <c r="K1760" s="22" t="s">
        <v>128</v>
      </c>
      <c r="L1760" s="22"/>
      <c r="M1760" s="22"/>
      <c r="N1760" s="22"/>
    </row>
    <row r="1761" spans="1:14" x14ac:dyDescent="0.25">
      <c r="A1761" s="22" t="s">
        <v>1715</v>
      </c>
      <c r="B1761" s="22" t="s">
        <v>39</v>
      </c>
      <c r="C1761" s="22" t="s">
        <v>160</v>
      </c>
      <c r="D1761" s="23">
        <v>-4401270</v>
      </c>
      <c r="E1761" s="22" t="s">
        <v>45</v>
      </c>
      <c r="F1761" s="24">
        <v>44379</v>
      </c>
      <c r="G1761" s="22" t="s">
        <v>1933</v>
      </c>
      <c r="H1761" s="22" t="s">
        <v>1939</v>
      </c>
      <c r="I1761" s="22" t="s">
        <v>1716</v>
      </c>
      <c r="J1761" s="22" t="s">
        <v>4401</v>
      </c>
      <c r="K1761" s="22" t="s">
        <v>128</v>
      </c>
      <c r="L1761" s="22"/>
      <c r="M1761" s="22"/>
      <c r="N1761" s="22"/>
    </row>
    <row r="1762" spans="1:14" x14ac:dyDescent="0.25">
      <c r="A1762" s="22" t="s">
        <v>1938</v>
      </c>
      <c r="B1762" s="22" t="s">
        <v>39</v>
      </c>
      <c r="C1762" s="22" t="s">
        <v>47</v>
      </c>
      <c r="D1762" s="23">
        <v>4168936</v>
      </c>
      <c r="E1762" s="22" t="s">
        <v>42</v>
      </c>
      <c r="F1762" s="24">
        <v>44414</v>
      </c>
      <c r="G1762" s="22" t="s">
        <v>1933</v>
      </c>
      <c r="H1762" s="22" t="s">
        <v>1671</v>
      </c>
      <c r="I1762" s="22" t="s">
        <v>1937</v>
      </c>
      <c r="J1762" s="22" t="s">
        <v>4401</v>
      </c>
      <c r="K1762" s="22" t="s">
        <v>292</v>
      </c>
      <c r="L1762" s="22"/>
      <c r="M1762" s="22"/>
      <c r="N1762" s="22"/>
    </row>
    <row r="1763" spans="1:14" x14ac:dyDescent="0.25">
      <c r="A1763" s="22" t="s">
        <v>1715</v>
      </c>
      <c r="B1763" s="22" t="s">
        <v>39</v>
      </c>
      <c r="C1763" s="22" t="s">
        <v>4773</v>
      </c>
      <c r="D1763" s="23">
        <v>88844</v>
      </c>
      <c r="E1763" s="22" t="s">
        <v>45</v>
      </c>
      <c r="F1763" s="24">
        <v>44379</v>
      </c>
      <c r="G1763" s="22" t="s">
        <v>1932</v>
      </c>
      <c r="H1763" s="22"/>
      <c r="I1763" s="22" t="s">
        <v>1932</v>
      </c>
      <c r="J1763" s="22" t="s">
        <v>4401</v>
      </c>
      <c r="K1763" s="22" t="s">
        <v>128</v>
      </c>
      <c r="L1763" s="22"/>
      <c r="M1763" s="22"/>
      <c r="N1763" s="22"/>
    </row>
    <row r="1764" spans="1:14" x14ac:dyDescent="0.25">
      <c r="A1764" s="22" t="s">
        <v>157</v>
      </c>
      <c r="B1764" s="22" t="s">
        <v>39</v>
      </c>
      <c r="C1764" s="22" t="s">
        <v>156</v>
      </c>
      <c r="D1764" s="23">
        <v>-704914</v>
      </c>
      <c r="E1764" s="22" t="s">
        <v>45</v>
      </c>
      <c r="F1764" s="24">
        <v>44382</v>
      </c>
      <c r="G1764" s="22" t="s">
        <v>1932</v>
      </c>
      <c r="H1764" s="22" t="s">
        <v>1936</v>
      </c>
      <c r="I1764" s="22" t="s">
        <v>1935</v>
      </c>
      <c r="J1764" s="22" t="s">
        <v>4401</v>
      </c>
      <c r="K1764" s="22" t="s">
        <v>128</v>
      </c>
      <c r="L1764" s="22"/>
      <c r="M1764" s="22"/>
      <c r="N1764" s="22"/>
    </row>
    <row r="1765" spans="1:14" x14ac:dyDescent="0.25">
      <c r="A1765" s="22" t="s">
        <v>1715</v>
      </c>
      <c r="B1765" s="22" t="s">
        <v>39</v>
      </c>
      <c r="C1765" s="22" t="s">
        <v>160</v>
      </c>
      <c r="D1765" s="23">
        <v>-232334</v>
      </c>
      <c r="E1765" s="22" t="s">
        <v>45</v>
      </c>
      <c r="F1765" s="24">
        <v>44379</v>
      </c>
      <c r="G1765" s="22" t="s">
        <v>1932</v>
      </c>
      <c r="H1765" s="22" t="s">
        <v>1934</v>
      </c>
      <c r="I1765" s="22" t="s">
        <v>1933</v>
      </c>
      <c r="J1765" s="22" t="s">
        <v>4401</v>
      </c>
      <c r="K1765" s="22" t="s">
        <v>128</v>
      </c>
      <c r="L1765" s="22"/>
      <c r="M1765" s="22"/>
      <c r="N1765" s="22"/>
    </row>
    <row r="1766" spans="1:14" x14ac:dyDescent="0.25">
      <c r="A1766" s="22" t="s">
        <v>1931</v>
      </c>
      <c r="B1766" s="22" t="s">
        <v>39</v>
      </c>
      <c r="C1766" s="22" t="s">
        <v>47</v>
      </c>
      <c r="D1766" s="23">
        <v>848404</v>
      </c>
      <c r="E1766" s="22" t="s">
        <v>42</v>
      </c>
      <c r="F1766" s="24">
        <v>44446</v>
      </c>
      <c r="G1766" s="22" t="s">
        <v>1932</v>
      </c>
      <c r="H1766" s="22" t="s">
        <v>605</v>
      </c>
      <c r="I1766" s="22" t="s">
        <v>1930</v>
      </c>
      <c r="J1766" s="22" t="s">
        <v>4401</v>
      </c>
      <c r="K1766" s="22" t="s">
        <v>292</v>
      </c>
      <c r="L1766" s="22"/>
      <c r="M1766" s="22"/>
      <c r="N1766" s="22"/>
    </row>
    <row r="1767" spans="1:14" x14ac:dyDescent="0.25">
      <c r="A1767" s="22" t="s">
        <v>169</v>
      </c>
      <c r="B1767" s="22" t="s">
        <v>39</v>
      </c>
      <c r="C1767" s="22" t="s">
        <v>4773</v>
      </c>
      <c r="D1767" s="23">
        <v>29200</v>
      </c>
      <c r="E1767" s="22" t="s">
        <v>45</v>
      </c>
      <c r="F1767" s="24">
        <v>44382</v>
      </c>
      <c r="G1767" s="22" t="s">
        <v>1929</v>
      </c>
      <c r="H1767" s="22"/>
      <c r="I1767" s="22" t="s">
        <v>1929</v>
      </c>
      <c r="J1767" s="22" t="s">
        <v>4466</v>
      </c>
      <c r="K1767" s="22" t="s">
        <v>128</v>
      </c>
      <c r="L1767" s="22"/>
      <c r="M1767" s="22"/>
      <c r="N1767" s="22"/>
    </row>
    <row r="1768" spans="1:14" x14ac:dyDescent="0.25">
      <c r="A1768" s="22" t="s">
        <v>169</v>
      </c>
      <c r="B1768" s="22" t="s">
        <v>39</v>
      </c>
      <c r="C1768" s="22" t="s">
        <v>4773</v>
      </c>
      <c r="D1768" s="23">
        <v>4676</v>
      </c>
      <c r="E1768" s="22" t="s">
        <v>45</v>
      </c>
      <c r="F1768" s="24">
        <v>44382</v>
      </c>
      <c r="G1768" s="22" t="s">
        <v>1929</v>
      </c>
      <c r="H1768" s="22"/>
      <c r="I1768" s="22" t="s">
        <v>1929</v>
      </c>
      <c r="J1768" s="22" t="s">
        <v>4552</v>
      </c>
      <c r="K1768" s="22" t="s">
        <v>128</v>
      </c>
      <c r="L1768" s="22"/>
      <c r="M1768" s="22"/>
      <c r="N1768" s="22"/>
    </row>
    <row r="1769" spans="1:14" x14ac:dyDescent="0.25">
      <c r="A1769" s="22" t="s">
        <v>169</v>
      </c>
      <c r="B1769" s="22" t="s">
        <v>39</v>
      </c>
      <c r="C1769" s="22" t="s">
        <v>4773</v>
      </c>
      <c r="D1769" s="23">
        <v>2697219</v>
      </c>
      <c r="E1769" s="22" t="s">
        <v>45</v>
      </c>
      <c r="F1769" s="24">
        <v>44382</v>
      </c>
      <c r="G1769" s="22" t="s">
        <v>1929</v>
      </c>
      <c r="H1769" s="22"/>
      <c r="I1769" s="22" t="s">
        <v>1929</v>
      </c>
      <c r="J1769" s="22" t="s">
        <v>4401</v>
      </c>
      <c r="K1769" s="22" t="s">
        <v>128</v>
      </c>
      <c r="L1769" s="22"/>
      <c r="M1769" s="22"/>
      <c r="N1769" s="22"/>
    </row>
    <row r="1770" spans="1:14" x14ac:dyDescent="0.25">
      <c r="A1770" s="22" t="s">
        <v>169</v>
      </c>
      <c r="B1770" s="22" t="s">
        <v>39</v>
      </c>
      <c r="C1770" s="22" t="s">
        <v>4773</v>
      </c>
      <c r="D1770" s="23">
        <v>46809</v>
      </c>
      <c r="E1770" s="22" t="s">
        <v>45</v>
      </c>
      <c r="F1770" s="24">
        <v>44382</v>
      </c>
      <c r="G1770" s="22" t="s">
        <v>1929</v>
      </c>
      <c r="H1770" s="22"/>
      <c r="I1770" s="22" t="s">
        <v>1929</v>
      </c>
      <c r="J1770" s="22" t="s">
        <v>4407</v>
      </c>
      <c r="K1770" s="22" t="s">
        <v>128</v>
      </c>
      <c r="L1770" s="22"/>
      <c r="M1770" s="22"/>
      <c r="N1770" s="22"/>
    </row>
    <row r="1771" spans="1:14" x14ac:dyDescent="0.25">
      <c r="A1771" s="22" t="s">
        <v>1743</v>
      </c>
      <c r="B1771" s="22" t="s">
        <v>39</v>
      </c>
      <c r="C1771" s="22" t="s">
        <v>7287</v>
      </c>
      <c r="D1771" s="23">
        <v>-5411</v>
      </c>
      <c r="E1771" s="22" t="s">
        <v>45</v>
      </c>
      <c r="F1771" s="24">
        <v>44258</v>
      </c>
      <c r="G1771" s="22" t="s">
        <v>1929</v>
      </c>
      <c r="H1771" s="22" t="s">
        <v>1984</v>
      </c>
      <c r="I1771" s="22" t="s">
        <v>1740</v>
      </c>
      <c r="J1771" s="22" t="s">
        <v>4401</v>
      </c>
      <c r="K1771" s="22" t="s">
        <v>128</v>
      </c>
      <c r="L1771" s="22"/>
      <c r="M1771" s="22"/>
      <c r="N1771" s="22"/>
    </row>
    <row r="1772" spans="1:14" x14ac:dyDescent="0.25">
      <c r="A1772" s="22" t="s">
        <v>1986</v>
      </c>
      <c r="B1772" s="22" t="s">
        <v>39</v>
      </c>
      <c r="C1772" s="22" t="s">
        <v>137</v>
      </c>
      <c r="D1772" s="23">
        <v>-32700</v>
      </c>
      <c r="E1772" s="22" t="s">
        <v>57</v>
      </c>
      <c r="F1772" s="24">
        <v>44337</v>
      </c>
      <c r="G1772" s="22" t="s">
        <v>1929</v>
      </c>
      <c r="H1772" s="22" t="s">
        <v>637</v>
      </c>
      <c r="I1772" s="22" t="s">
        <v>1985</v>
      </c>
      <c r="J1772" s="22" t="s">
        <v>4407</v>
      </c>
      <c r="K1772" s="22" t="s">
        <v>128</v>
      </c>
      <c r="L1772" s="22"/>
      <c r="M1772" s="22"/>
      <c r="N1772" s="22"/>
    </row>
    <row r="1773" spans="1:14" x14ac:dyDescent="0.25">
      <c r="A1773" s="22" t="s">
        <v>1730</v>
      </c>
      <c r="B1773" s="22" t="s">
        <v>39</v>
      </c>
      <c r="C1773" s="22" t="s">
        <v>137</v>
      </c>
      <c r="D1773" s="23">
        <v>-1125</v>
      </c>
      <c r="E1773" s="22" t="s">
        <v>45</v>
      </c>
      <c r="F1773" s="24">
        <v>44334</v>
      </c>
      <c r="G1773" s="22" t="s">
        <v>1929</v>
      </c>
      <c r="H1773" s="22" t="s">
        <v>1984</v>
      </c>
      <c r="I1773" s="22" t="s">
        <v>1728</v>
      </c>
      <c r="J1773" s="22" t="s">
        <v>4407</v>
      </c>
      <c r="K1773" s="22" t="s">
        <v>128</v>
      </c>
      <c r="L1773" s="22"/>
      <c r="M1773" s="22"/>
      <c r="N1773" s="22"/>
    </row>
    <row r="1774" spans="1:14" x14ac:dyDescent="0.25">
      <c r="A1774" s="22" t="s">
        <v>1951</v>
      </c>
      <c r="B1774" s="22" t="s">
        <v>39</v>
      </c>
      <c r="C1774" s="22" t="s">
        <v>137</v>
      </c>
      <c r="D1774" s="23">
        <v>-12984</v>
      </c>
      <c r="E1774" s="22" t="s">
        <v>45</v>
      </c>
      <c r="F1774" s="24">
        <v>44343</v>
      </c>
      <c r="G1774" s="22" t="s">
        <v>1929</v>
      </c>
      <c r="H1774" s="22" t="s">
        <v>1983</v>
      </c>
      <c r="I1774" s="22" t="s">
        <v>1945</v>
      </c>
      <c r="J1774" s="22" t="s">
        <v>4407</v>
      </c>
      <c r="K1774" s="22" t="s">
        <v>128</v>
      </c>
      <c r="L1774" s="22"/>
      <c r="M1774" s="22"/>
      <c r="N1774" s="22"/>
    </row>
    <row r="1775" spans="1:14" x14ac:dyDescent="0.25">
      <c r="A1775" s="22" t="s">
        <v>1673</v>
      </c>
      <c r="B1775" s="22" t="s">
        <v>39</v>
      </c>
      <c r="C1775" s="22" t="s">
        <v>7179</v>
      </c>
      <c r="D1775" s="23">
        <v>-4676</v>
      </c>
      <c r="E1775" s="22" t="s">
        <v>45</v>
      </c>
      <c r="F1775" s="24">
        <v>44350</v>
      </c>
      <c r="G1775" s="22" t="s">
        <v>1929</v>
      </c>
      <c r="H1775" s="22" t="s">
        <v>1982</v>
      </c>
      <c r="I1775" s="22" t="s">
        <v>1672</v>
      </c>
      <c r="J1775" s="22" t="s">
        <v>4552</v>
      </c>
      <c r="K1775" s="22" t="s">
        <v>128</v>
      </c>
      <c r="L1775" s="22"/>
      <c r="M1775" s="22"/>
      <c r="N1775" s="22"/>
    </row>
    <row r="1776" spans="1:14" x14ac:dyDescent="0.25">
      <c r="A1776" s="22" t="s">
        <v>1980</v>
      </c>
      <c r="B1776" s="22" t="s">
        <v>39</v>
      </c>
      <c r="C1776" s="22" t="s">
        <v>7297</v>
      </c>
      <c r="D1776" s="23">
        <v>-29200</v>
      </c>
      <c r="E1776" s="22" t="s">
        <v>57</v>
      </c>
      <c r="F1776" s="24">
        <v>44355</v>
      </c>
      <c r="G1776" s="22" t="s">
        <v>1929</v>
      </c>
      <c r="H1776" s="22" t="s">
        <v>1981</v>
      </c>
      <c r="I1776" s="22" t="s">
        <v>1979</v>
      </c>
      <c r="J1776" s="22" t="s">
        <v>4466</v>
      </c>
      <c r="K1776" s="22" t="s">
        <v>128</v>
      </c>
      <c r="L1776" s="22"/>
      <c r="M1776" s="22"/>
      <c r="N1776" s="22"/>
    </row>
    <row r="1777" spans="1:14" x14ac:dyDescent="0.25">
      <c r="A1777" s="22" t="s">
        <v>1956</v>
      </c>
      <c r="B1777" s="22" t="s">
        <v>39</v>
      </c>
      <c r="C1777" s="22" t="s">
        <v>7294</v>
      </c>
      <c r="D1777" s="23">
        <v>-3068853</v>
      </c>
      <c r="E1777" s="22" t="s">
        <v>45</v>
      </c>
      <c r="F1777" s="24">
        <v>44382</v>
      </c>
      <c r="G1777" s="22" t="s">
        <v>1929</v>
      </c>
      <c r="H1777" s="22" t="s">
        <v>1978</v>
      </c>
      <c r="I1777" s="22" t="s">
        <v>1954</v>
      </c>
      <c r="J1777" s="22" t="s">
        <v>4401</v>
      </c>
      <c r="K1777" s="22" t="s">
        <v>128</v>
      </c>
      <c r="L1777" s="22"/>
      <c r="M1777" s="22"/>
      <c r="N1777" s="22"/>
    </row>
    <row r="1778" spans="1:14" x14ac:dyDescent="0.25">
      <c r="A1778" s="22" t="s">
        <v>169</v>
      </c>
      <c r="B1778" s="22" t="s">
        <v>39</v>
      </c>
      <c r="C1778" s="22" t="s">
        <v>168</v>
      </c>
      <c r="D1778" s="23">
        <v>-4677792</v>
      </c>
      <c r="E1778" s="22" t="s">
        <v>57</v>
      </c>
      <c r="F1778" s="24">
        <v>44382</v>
      </c>
      <c r="G1778" s="22" t="s">
        <v>1929</v>
      </c>
      <c r="H1778" s="22" t="s">
        <v>1977</v>
      </c>
      <c r="I1778" s="22" t="s">
        <v>171</v>
      </c>
      <c r="J1778" s="22" t="s">
        <v>4401</v>
      </c>
      <c r="K1778" s="22" t="s">
        <v>128</v>
      </c>
      <c r="L1778" s="22"/>
      <c r="M1778" s="22"/>
      <c r="N1778" s="22"/>
    </row>
    <row r="1779" spans="1:14" x14ac:dyDescent="0.25">
      <c r="A1779" s="22" t="s">
        <v>1976</v>
      </c>
      <c r="B1779" s="22" t="s">
        <v>39</v>
      </c>
      <c r="C1779" s="22" t="s">
        <v>47</v>
      </c>
      <c r="D1779" s="23">
        <v>5054837</v>
      </c>
      <c r="E1779" s="22" t="s">
        <v>42</v>
      </c>
      <c r="F1779" s="24">
        <v>44355</v>
      </c>
      <c r="G1779" s="22" t="s">
        <v>1929</v>
      </c>
      <c r="H1779" s="22" t="s">
        <v>605</v>
      </c>
      <c r="I1779" s="22" t="s">
        <v>1975</v>
      </c>
      <c r="J1779" s="22" t="s">
        <v>4401</v>
      </c>
      <c r="K1779" s="22" t="s">
        <v>292</v>
      </c>
      <c r="L1779" s="22"/>
      <c r="M1779" s="22"/>
      <c r="N1779" s="22"/>
    </row>
    <row r="1780" spans="1:14" x14ac:dyDescent="0.25">
      <c r="A1780" s="22" t="s">
        <v>1969</v>
      </c>
      <c r="B1780" s="22" t="s">
        <v>39</v>
      </c>
      <c r="C1780" s="22" t="s">
        <v>4773</v>
      </c>
      <c r="D1780" s="23">
        <v>735231</v>
      </c>
      <c r="E1780" s="22" t="s">
        <v>45</v>
      </c>
      <c r="F1780" s="24">
        <v>44446</v>
      </c>
      <c r="G1780" s="22" t="s">
        <v>1970</v>
      </c>
      <c r="H1780" s="22"/>
      <c r="I1780" s="22" t="s">
        <v>1970</v>
      </c>
      <c r="J1780" s="22" t="s">
        <v>4552</v>
      </c>
      <c r="K1780" s="22" t="s">
        <v>292</v>
      </c>
      <c r="L1780" s="22"/>
      <c r="M1780" s="22"/>
      <c r="N1780" s="22"/>
    </row>
    <row r="1781" spans="1:14" x14ac:dyDescent="0.25">
      <c r="A1781" s="22" t="s">
        <v>1969</v>
      </c>
      <c r="B1781" s="22" t="s">
        <v>39</v>
      </c>
      <c r="C1781" s="22" t="s">
        <v>4773</v>
      </c>
      <c r="D1781" s="23">
        <v>-784898</v>
      </c>
      <c r="E1781" s="22" t="s">
        <v>45</v>
      </c>
      <c r="F1781" s="24">
        <v>44446</v>
      </c>
      <c r="G1781" s="22" t="s">
        <v>1970</v>
      </c>
      <c r="H1781" s="22"/>
      <c r="I1781" s="22" t="s">
        <v>1970</v>
      </c>
      <c r="J1781" s="22" t="s">
        <v>4401</v>
      </c>
      <c r="K1781" s="22" t="s">
        <v>292</v>
      </c>
      <c r="L1781" s="22"/>
      <c r="M1781" s="22"/>
      <c r="N1781" s="22"/>
    </row>
    <row r="1782" spans="1:14" x14ac:dyDescent="0.25">
      <c r="A1782" s="22" t="s">
        <v>1973</v>
      </c>
      <c r="B1782" s="22" t="s">
        <v>39</v>
      </c>
      <c r="C1782" s="22" t="s">
        <v>176</v>
      </c>
      <c r="D1782" s="23">
        <v>-445275</v>
      </c>
      <c r="E1782" s="22" t="s">
        <v>57</v>
      </c>
      <c r="F1782" s="24">
        <v>44410</v>
      </c>
      <c r="G1782" s="22" t="s">
        <v>1970</v>
      </c>
      <c r="H1782" s="22" t="s">
        <v>1974</v>
      </c>
      <c r="I1782" s="22" t="s">
        <v>1972</v>
      </c>
      <c r="J1782" s="22" t="s">
        <v>4552</v>
      </c>
      <c r="K1782" s="22" t="s">
        <v>61</v>
      </c>
      <c r="L1782" s="22"/>
      <c r="M1782" s="22"/>
      <c r="N1782" s="22"/>
    </row>
    <row r="1783" spans="1:14" x14ac:dyDescent="0.25">
      <c r="A1783" s="22" t="s">
        <v>177</v>
      </c>
      <c r="B1783" s="22" t="s">
        <v>39</v>
      </c>
      <c r="C1783" s="22" t="s">
        <v>176</v>
      </c>
      <c r="D1783" s="23">
        <v>-289956</v>
      </c>
      <c r="E1783" s="22" t="s">
        <v>57</v>
      </c>
      <c r="F1783" s="24">
        <v>44413</v>
      </c>
      <c r="G1783" s="22" t="s">
        <v>1970</v>
      </c>
      <c r="H1783" s="22" t="s">
        <v>1971</v>
      </c>
      <c r="I1783" s="22" t="s">
        <v>179</v>
      </c>
      <c r="J1783" s="22" t="s">
        <v>4552</v>
      </c>
      <c r="K1783" s="22" t="s">
        <v>61</v>
      </c>
      <c r="L1783" s="22"/>
      <c r="M1783" s="22"/>
      <c r="N1783" s="22"/>
    </row>
    <row r="1784" spans="1:14" x14ac:dyDescent="0.25">
      <c r="A1784" s="22" t="s">
        <v>1969</v>
      </c>
      <c r="B1784" s="22" t="s">
        <v>39</v>
      </c>
      <c r="C1784" s="22" t="s">
        <v>3573</v>
      </c>
      <c r="D1784" s="23">
        <v>784898</v>
      </c>
      <c r="E1784" s="22" t="s">
        <v>42</v>
      </c>
      <c r="F1784" s="24">
        <v>44446</v>
      </c>
      <c r="G1784" s="22" t="s">
        <v>1970</v>
      </c>
      <c r="H1784" s="22" t="s">
        <v>605</v>
      </c>
      <c r="I1784" s="22" t="s">
        <v>1968</v>
      </c>
      <c r="J1784" s="22" t="s">
        <v>4401</v>
      </c>
      <c r="K1784" s="22" t="s">
        <v>292</v>
      </c>
      <c r="L1784" s="22"/>
      <c r="M1784" s="22"/>
      <c r="N1784" s="22"/>
    </row>
    <row r="1785" spans="1:14" x14ac:dyDescent="0.25">
      <c r="A1785" s="22" t="s">
        <v>3057</v>
      </c>
      <c r="B1785" s="22" t="s">
        <v>39</v>
      </c>
      <c r="C1785" s="22" t="s">
        <v>4773</v>
      </c>
      <c r="D1785" s="23">
        <v>999264</v>
      </c>
      <c r="E1785" s="22" t="s">
        <v>45</v>
      </c>
      <c r="F1785" s="24">
        <v>44403</v>
      </c>
      <c r="G1785" s="22" t="s">
        <v>7298</v>
      </c>
      <c r="H1785" s="22"/>
      <c r="I1785" s="22" t="s">
        <v>7298</v>
      </c>
      <c r="J1785" s="22" t="s">
        <v>4552</v>
      </c>
      <c r="K1785" s="22" t="s">
        <v>61</v>
      </c>
      <c r="L1785" s="22"/>
      <c r="M1785" s="22"/>
      <c r="N1785" s="22"/>
    </row>
    <row r="1786" spans="1:14" x14ac:dyDescent="0.25">
      <c r="A1786" s="22" t="s">
        <v>3057</v>
      </c>
      <c r="B1786" s="22" t="s">
        <v>39</v>
      </c>
      <c r="C1786" s="22" t="s">
        <v>4773</v>
      </c>
      <c r="D1786" s="23">
        <v>-1731405</v>
      </c>
      <c r="E1786" s="22" t="s">
        <v>45</v>
      </c>
      <c r="F1786" s="24">
        <v>44403</v>
      </c>
      <c r="G1786" s="22" t="s">
        <v>7298</v>
      </c>
      <c r="H1786" s="22"/>
      <c r="I1786" s="22" t="s">
        <v>7298</v>
      </c>
      <c r="J1786" s="22" t="s">
        <v>4401</v>
      </c>
      <c r="K1786" s="22" t="s">
        <v>61</v>
      </c>
      <c r="L1786" s="22"/>
      <c r="M1786" s="22"/>
      <c r="N1786" s="22"/>
    </row>
    <row r="1787" spans="1:14" x14ac:dyDescent="0.25">
      <c r="A1787" s="22" t="s">
        <v>3057</v>
      </c>
      <c r="B1787" s="22" t="s">
        <v>39</v>
      </c>
      <c r="C1787" s="22" t="s">
        <v>4773</v>
      </c>
      <c r="D1787" s="23">
        <v>1223579</v>
      </c>
      <c r="E1787" s="22" t="s">
        <v>45</v>
      </c>
      <c r="F1787" s="24">
        <v>44403</v>
      </c>
      <c r="G1787" s="22" t="s">
        <v>7298</v>
      </c>
      <c r="H1787" s="22"/>
      <c r="I1787" s="22" t="s">
        <v>7298</v>
      </c>
      <c r="J1787" s="22" t="s">
        <v>4407</v>
      </c>
      <c r="K1787" s="22" t="s">
        <v>61</v>
      </c>
      <c r="L1787" s="22"/>
      <c r="M1787" s="22"/>
      <c r="N1787" s="22"/>
    </row>
    <row r="1788" spans="1:14" x14ac:dyDescent="0.25">
      <c r="A1788" s="22" t="s">
        <v>3057</v>
      </c>
      <c r="B1788" s="22" t="s">
        <v>39</v>
      </c>
      <c r="C1788" s="22" t="s">
        <v>176</v>
      </c>
      <c r="D1788" s="23">
        <v>-999264</v>
      </c>
      <c r="E1788" s="22" t="s">
        <v>57</v>
      </c>
      <c r="F1788" s="24">
        <v>44403</v>
      </c>
      <c r="G1788" s="22" t="s">
        <v>7298</v>
      </c>
      <c r="H1788" s="22" t="s">
        <v>7299</v>
      </c>
      <c r="I1788" s="22" t="s">
        <v>7300</v>
      </c>
      <c r="J1788" s="22" t="s">
        <v>4552</v>
      </c>
      <c r="K1788" s="22" t="s">
        <v>61</v>
      </c>
      <c r="L1788" s="22"/>
      <c r="M1788" s="22"/>
      <c r="N1788" s="22"/>
    </row>
    <row r="1789" spans="1:14" x14ac:dyDescent="0.25">
      <c r="A1789" s="22" t="s">
        <v>4792</v>
      </c>
      <c r="B1789" s="22" t="s">
        <v>39</v>
      </c>
      <c r="C1789" s="22" t="s">
        <v>7301</v>
      </c>
      <c r="D1789" s="23">
        <v>-1223579</v>
      </c>
      <c r="E1789" s="22" t="s">
        <v>588</v>
      </c>
      <c r="F1789" s="24">
        <v>44161</v>
      </c>
      <c r="G1789" s="22" t="s">
        <v>7298</v>
      </c>
      <c r="H1789" s="22" t="s">
        <v>7302</v>
      </c>
      <c r="I1789" s="22" t="s">
        <v>4793</v>
      </c>
      <c r="J1789" s="22" t="s">
        <v>4407</v>
      </c>
      <c r="K1789" s="22" t="s">
        <v>4479</v>
      </c>
      <c r="L1789" s="22"/>
      <c r="M1789" s="22"/>
      <c r="N1789" s="22"/>
    </row>
    <row r="1790" spans="1:14" x14ac:dyDescent="0.25">
      <c r="A1790" s="22" t="s">
        <v>5919</v>
      </c>
      <c r="B1790" s="22" t="s">
        <v>39</v>
      </c>
      <c r="C1790" s="22" t="s">
        <v>5119</v>
      </c>
      <c r="D1790" s="23">
        <v>1731405</v>
      </c>
      <c r="E1790" s="22" t="s">
        <v>45</v>
      </c>
      <c r="F1790" s="24">
        <v>44104</v>
      </c>
      <c r="G1790" s="22" t="s">
        <v>7298</v>
      </c>
      <c r="H1790" s="22" t="s">
        <v>7303</v>
      </c>
      <c r="I1790" s="22" t="s">
        <v>7288</v>
      </c>
      <c r="J1790" s="22" t="s">
        <v>4401</v>
      </c>
      <c r="K1790" s="22" t="s">
        <v>5913</v>
      </c>
      <c r="L1790" s="22"/>
      <c r="M1790" s="22"/>
      <c r="N1790" s="22"/>
    </row>
    <row r="1791" spans="1:14" x14ac:dyDescent="0.25">
      <c r="A1791" s="22" t="s">
        <v>1907</v>
      </c>
      <c r="B1791" s="22" t="s">
        <v>39</v>
      </c>
      <c r="C1791" s="22" t="s">
        <v>4773</v>
      </c>
      <c r="D1791" s="23">
        <v>-2081912</v>
      </c>
      <c r="E1791" s="22" t="s">
        <v>45</v>
      </c>
      <c r="F1791" s="24">
        <v>43872</v>
      </c>
      <c r="G1791" s="22" t="s">
        <v>1906</v>
      </c>
      <c r="H1791" s="22"/>
      <c r="I1791" s="22" t="s">
        <v>1906</v>
      </c>
      <c r="J1791" s="22" t="s">
        <v>4401</v>
      </c>
      <c r="K1791" s="22" t="s">
        <v>7304</v>
      </c>
      <c r="L1791" s="22"/>
      <c r="M1791" s="22"/>
      <c r="N1791" s="22"/>
    </row>
    <row r="1792" spans="1:14" x14ac:dyDescent="0.25">
      <c r="A1792" s="22" t="s">
        <v>1907</v>
      </c>
      <c r="B1792" s="22" t="s">
        <v>39</v>
      </c>
      <c r="C1792" s="22" t="s">
        <v>4773</v>
      </c>
      <c r="D1792" s="23">
        <v>2429236</v>
      </c>
      <c r="E1792" s="22" t="s">
        <v>45</v>
      </c>
      <c r="F1792" s="24">
        <v>43872</v>
      </c>
      <c r="G1792" s="22" t="s">
        <v>1906</v>
      </c>
      <c r="H1792" s="22"/>
      <c r="I1792" s="22" t="s">
        <v>1906</v>
      </c>
      <c r="J1792" s="22" t="s">
        <v>4407</v>
      </c>
      <c r="K1792" s="22" t="s">
        <v>7304</v>
      </c>
      <c r="L1792" s="22"/>
      <c r="M1792" s="22"/>
      <c r="N1792" s="22"/>
    </row>
    <row r="1793" spans="1:14" x14ac:dyDescent="0.25">
      <c r="A1793" s="22" t="s">
        <v>1907</v>
      </c>
      <c r="B1793" s="22" t="s">
        <v>39</v>
      </c>
      <c r="C1793" s="22" t="s">
        <v>4576</v>
      </c>
      <c r="D1793" s="23">
        <v>-2429236</v>
      </c>
      <c r="E1793" s="22" t="s">
        <v>57</v>
      </c>
      <c r="F1793" s="24">
        <v>43872</v>
      </c>
      <c r="G1793" s="22" t="s">
        <v>1906</v>
      </c>
      <c r="H1793" s="22" t="s">
        <v>1967</v>
      </c>
      <c r="I1793" s="22" t="s">
        <v>1966</v>
      </c>
      <c r="J1793" s="22" t="s">
        <v>4407</v>
      </c>
      <c r="K1793" s="22" t="s">
        <v>7304</v>
      </c>
      <c r="L1793" s="22"/>
      <c r="M1793" s="22"/>
      <c r="N1793" s="22"/>
    </row>
    <row r="1794" spans="1:14" x14ac:dyDescent="0.25">
      <c r="A1794" s="22" t="s">
        <v>1965</v>
      </c>
      <c r="B1794" s="22" t="s">
        <v>39</v>
      </c>
      <c r="C1794" s="22" t="s">
        <v>40</v>
      </c>
      <c r="D1794" s="23">
        <v>2081912</v>
      </c>
      <c r="E1794" s="22" t="s">
        <v>42</v>
      </c>
      <c r="F1794" s="24">
        <v>44214</v>
      </c>
      <c r="G1794" s="22" t="s">
        <v>1906</v>
      </c>
      <c r="H1794" s="22" t="s">
        <v>1741</v>
      </c>
      <c r="I1794" s="22" t="s">
        <v>1964</v>
      </c>
      <c r="J1794" s="22" t="s">
        <v>4401</v>
      </c>
      <c r="K1794" s="22" t="s">
        <v>292</v>
      </c>
      <c r="L1794" s="22"/>
      <c r="M1794" s="22"/>
      <c r="N1794" s="22"/>
    </row>
    <row r="1795" spans="1:14" x14ac:dyDescent="0.25">
      <c r="A1795" s="22" t="s">
        <v>1902</v>
      </c>
      <c r="B1795" s="22" t="s">
        <v>39</v>
      </c>
      <c r="C1795" s="22" t="s">
        <v>4773</v>
      </c>
      <c r="D1795" s="23">
        <v>104334</v>
      </c>
      <c r="E1795" s="22" t="s">
        <v>45</v>
      </c>
      <c r="F1795" s="24">
        <v>44273</v>
      </c>
      <c r="G1795" s="22" t="s">
        <v>1901</v>
      </c>
      <c r="H1795" s="22"/>
      <c r="I1795" s="22" t="s">
        <v>1901</v>
      </c>
      <c r="J1795" s="22" t="s">
        <v>4401</v>
      </c>
      <c r="K1795" s="22" t="s">
        <v>4479</v>
      </c>
      <c r="L1795" s="22"/>
      <c r="M1795" s="22"/>
      <c r="N1795" s="22"/>
    </row>
    <row r="1796" spans="1:14" x14ac:dyDescent="0.25">
      <c r="A1796" s="22" t="s">
        <v>1963</v>
      </c>
      <c r="B1796" s="22" t="s">
        <v>39</v>
      </c>
      <c r="C1796" s="22" t="s">
        <v>40</v>
      </c>
      <c r="D1796" s="23">
        <v>157466</v>
      </c>
      <c r="E1796" s="22" t="s">
        <v>42</v>
      </c>
      <c r="F1796" s="24">
        <v>44232</v>
      </c>
      <c r="G1796" s="22" t="s">
        <v>1901</v>
      </c>
      <c r="H1796" s="22" t="s">
        <v>1886</v>
      </c>
      <c r="I1796" s="22" t="s">
        <v>1962</v>
      </c>
      <c r="J1796" s="22" t="s">
        <v>4401</v>
      </c>
      <c r="K1796" s="22" t="s">
        <v>292</v>
      </c>
      <c r="L1796" s="22"/>
      <c r="M1796" s="22"/>
      <c r="N1796" s="22"/>
    </row>
    <row r="1797" spans="1:14" x14ac:dyDescent="0.25">
      <c r="A1797" s="22" t="s">
        <v>1902</v>
      </c>
      <c r="B1797" s="22" t="s">
        <v>39</v>
      </c>
      <c r="C1797" s="22" t="s">
        <v>7305</v>
      </c>
      <c r="D1797" s="23">
        <v>-261800</v>
      </c>
      <c r="E1797" s="22" t="s">
        <v>588</v>
      </c>
      <c r="F1797" s="24">
        <v>44273</v>
      </c>
      <c r="G1797" s="22" t="s">
        <v>1901</v>
      </c>
      <c r="H1797" s="22" t="s">
        <v>1961</v>
      </c>
      <c r="I1797" s="22" t="s">
        <v>1960</v>
      </c>
      <c r="J1797" s="22" t="s">
        <v>4401</v>
      </c>
      <c r="K1797" s="22" t="s">
        <v>4479</v>
      </c>
      <c r="L1797" s="22"/>
      <c r="M1797" s="22"/>
      <c r="N1797" s="22"/>
    </row>
    <row r="1798" spans="1:14" x14ac:dyDescent="0.25">
      <c r="A1798" s="22" t="s">
        <v>1859</v>
      </c>
      <c r="B1798" s="22" t="s">
        <v>39</v>
      </c>
      <c r="C1798" s="22" t="s">
        <v>4773</v>
      </c>
      <c r="D1798" s="23">
        <v>-67013</v>
      </c>
      <c r="E1798" s="22" t="s">
        <v>45</v>
      </c>
      <c r="F1798" s="24">
        <v>44327</v>
      </c>
      <c r="G1798" s="22" t="s">
        <v>1858</v>
      </c>
      <c r="H1798" s="22"/>
      <c r="I1798" s="22" t="s">
        <v>1858</v>
      </c>
      <c r="J1798" s="22" t="s">
        <v>4401</v>
      </c>
      <c r="K1798" s="22" t="s">
        <v>128</v>
      </c>
      <c r="L1798" s="22"/>
      <c r="M1798" s="22"/>
      <c r="N1798" s="22"/>
    </row>
    <row r="1799" spans="1:14" x14ac:dyDescent="0.25">
      <c r="A1799" s="22" t="s">
        <v>1859</v>
      </c>
      <c r="B1799" s="22" t="s">
        <v>39</v>
      </c>
      <c r="C1799" s="22" t="s">
        <v>4773</v>
      </c>
      <c r="D1799" s="23">
        <v>112600</v>
      </c>
      <c r="E1799" s="22" t="s">
        <v>45</v>
      </c>
      <c r="F1799" s="24">
        <v>44327</v>
      </c>
      <c r="G1799" s="22" t="s">
        <v>1858</v>
      </c>
      <c r="H1799" s="22"/>
      <c r="I1799" s="22" t="s">
        <v>1858</v>
      </c>
      <c r="J1799" s="22" t="s">
        <v>4407</v>
      </c>
      <c r="K1799" s="22" t="s">
        <v>128</v>
      </c>
      <c r="L1799" s="22"/>
      <c r="M1799" s="22"/>
      <c r="N1799" s="22"/>
    </row>
    <row r="1800" spans="1:14" x14ac:dyDescent="0.25">
      <c r="A1800" s="22" t="s">
        <v>1928</v>
      </c>
      <c r="B1800" s="22" t="s">
        <v>39</v>
      </c>
      <c r="C1800" s="22" t="s">
        <v>137</v>
      </c>
      <c r="D1800" s="23">
        <v>-32700</v>
      </c>
      <c r="E1800" s="22" t="s">
        <v>57</v>
      </c>
      <c r="F1800" s="24">
        <v>44322</v>
      </c>
      <c r="G1800" s="22" t="s">
        <v>1858</v>
      </c>
      <c r="H1800" s="22" t="s">
        <v>740</v>
      </c>
      <c r="I1800" s="22" t="s">
        <v>1927</v>
      </c>
      <c r="J1800" s="22" t="s">
        <v>4407</v>
      </c>
      <c r="K1800" s="22" t="s">
        <v>128</v>
      </c>
      <c r="L1800" s="22"/>
      <c r="M1800" s="22"/>
      <c r="N1800" s="22"/>
    </row>
    <row r="1801" spans="1:14" x14ac:dyDescent="0.25">
      <c r="A1801" s="22" t="s">
        <v>1889</v>
      </c>
      <c r="B1801" s="22" t="s">
        <v>39</v>
      </c>
      <c r="C1801" s="22" t="s">
        <v>137</v>
      </c>
      <c r="D1801" s="23">
        <v>-32700</v>
      </c>
      <c r="E1801" s="22" t="s">
        <v>57</v>
      </c>
      <c r="F1801" s="24">
        <v>44326</v>
      </c>
      <c r="G1801" s="22" t="s">
        <v>1858</v>
      </c>
      <c r="H1801" s="22" t="s">
        <v>919</v>
      </c>
      <c r="I1801" s="22" t="s">
        <v>1888</v>
      </c>
      <c r="J1801" s="22" t="s">
        <v>4407</v>
      </c>
      <c r="K1801" s="22" t="s">
        <v>128</v>
      </c>
      <c r="L1801" s="22"/>
      <c r="M1801" s="22"/>
      <c r="N1801" s="22"/>
    </row>
    <row r="1802" spans="1:14" x14ac:dyDescent="0.25">
      <c r="A1802" s="22" t="s">
        <v>1859</v>
      </c>
      <c r="B1802" s="22" t="s">
        <v>39</v>
      </c>
      <c r="C1802" s="22" t="s">
        <v>137</v>
      </c>
      <c r="D1802" s="23">
        <v>-47200</v>
      </c>
      <c r="E1802" s="22" t="s">
        <v>57</v>
      </c>
      <c r="F1802" s="24">
        <v>44327</v>
      </c>
      <c r="G1802" s="22" t="s">
        <v>1858</v>
      </c>
      <c r="H1802" s="22" t="s">
        <v>919</v>
      </c>
      <c r="I1802" s="22" t="s">
        <v>1887</v>
      </c>
      <c r="J1802" s="22" t="s">
        <v>4407</v>
      </c>
      <c r="K1802" s="22" t="s">
        <v>128</v>
      </c>
      <c r="L1802" s="22"/>
      <c r="M1802" s="22"/>
      <c r="N1802" s="22"/>
    </row>
    <row r="1803" spans="1:14" x14ac:dyDescent="0.25">
      <c r="A1803" s="22" t="s">
        <v>1885</v>
      </c>
      <c r="B1803" s="22" t="s">
        <v>39</v>
      </c>
      <c r="C1803" s="22" t="s">
        <v>40</v>
      </c>
      <c r="D1803" s="23">
        <v>175233</v>
      </c>
      <c r="E1803" s="22" t="s">
        <v>42</v>
      </c>
      <c r="F1803" s="24">
        <v>44232</v>
      </c>
      <c r="G1803" s="22" t="s">
        <v>1858</v>
      </c>
      <c r="H1803" s="22" t="s">
        <v>1886</v>
      </c>
      <c r="I1803" s="22" t="s">
        <v>1884</v>
      </c>
      <c r="J1803" s="22" t="s">
        <v>4401</v>
      </c>
      <c r="K1803" s="22" t="s">
        <v>292</v>
      </c>
      <c r="L1803" s="22"/>
      <c r="M1803" s="22"/>
      <c r="N1803" s="22"/>
    </row>
    <row r="1804" spans="1:14" x14ac:dyDescent="0.25">
      <c r="A1804" s="22" t="s">
        <v>1882</v>
      </c>
      <c r="B1804" s="22" t="s">
        <v>39</v>
      </c>
      <c r="C1804" s="22" t="s">
        <v>7306</v>
      </c>
      <c r="D1804" s="23">
        <v>-108220</v>
      </c>
      <c r="E1804" s="22" t="s">
        <v>588</v>
      </c>
      <c r="F1804" s="24">
        <v>44273</v>
      </c>
      <c r="G1804" s="22" t="s">
        <v>1858</v>
      </c>
      <c r="H1804" s="22" t="s">
        <v>1883</v>
      </c>
      <c r="I1804" s="22" t="s">
        <v>1881</v>
      </c>
      <c r="J1804" s="22" t="s">
        <v>4401</v>
      </c>
      <c r="K1804" s="22" t="s">
        <v>4479</v>
      </c>
      <c r="L1804" s="22"/>
      <c r="M1804" s="22"/>
      <c r="N1804" s="22"/>
    </row>
    <row r="1805" spans="1:14" x14ac:dyDescent="0.25">
      <c r="A1805" s="22" t="s">
        <v>1857</v>
      </c>
      <c r="B1805" s="22" t="s">
        <v>39</v>
      </c>
      <c r="C1805" s="22" t="s">
        <v>4773</v>
      </c>
      <c r="D1805" s="23">
        <v>-1429634</v>
      </c>
      <c r="E1805" s="22" t="s">
        <v>45</v>
      </c>
      <c r="F1805" s="24">
        <v>44323</v>
      </c>
      <c r="G1805" s="22" t="s">
        <v>1855</v>
      </c>
      <c r="H1805" s="22"/>
      <c r="I1805" s="22" t="s">
        <v>1855</v>
      </c>
      <c r="J1805" s="22" t="s">
        <v>4401</v>
      </c>
      <c r="K1805" s="22" t="s">
        <v>128</v>
      </c>
      <c r="L1805" s="22"/>
      <c r="M1805" s="22"/>
      <c r="N1805" s="22"/>
    </row>
    <row r="1806" spans="1:14" x14ac:dyDescent="0.25">
      <c r="A1806" s="22" t="s">
        <v>1857</v>
      </c>
      <c r="B1806" s="22" t="s">
        <v>39</v>
      </c>
      <c r="C1806" s="22" t="s">
        <v>4773</v>
      </c>
      <c r="D1806" s="23">
        <v>2165199</v>
      </c>
      <c r="E1806" s="22" t="s">
        <v>45</v>
      </c>
      <c r="F1806" s="24">
        <v>44323</v>
      </c>
      <c r="G1806" s="22" t="s">
        <v>1855</v>
      </c>
      <c r="H1806" s="22"/>
      <c r="I1806" s="22" t="s">
        <v>1855</v>
      </c>
      <c r="J1806" s="22" t="s">
        <v>4407</v>
      </c>
      <c r="K1806" s="22" t="s">
        <v>128</v>
      </c>
      <c r="L1806" s="22"/>
      <c r="M1806" s="22"/>
      <c r="N1806" s="22"/>
    </row>
    <row r="1807" spans="1:14" x14ac:dyDescent="0.25">
      <c r="A1807" s="22" t="s">
        <v>1880</v>
      </c>
      <c r="B1807" s="22" t="s">
        <v>39</v>
      </c>
      <c r="C1807" s="22" t="s">
        <v>137</v>
      </c>
      <c r="D1807" s="23">
        <v>-71600</v>
      </c>
      <c r="E1807" s="22" t="s">
        <v>57</v>
      </c>
      <c r="F1807" s="24">
        <v>44326</v>
      </c>
      <c r="G1807" s="22" t="s">
        <v>1855</v>
      </c>
      <c r="H1807" s="22" t="s">
        <v>764</v>
      </c>
      <c r="I1807" s="22" t="s">
        <v>1879</v>
      </c>
      <c r="J1807" s="22" t="s">
        <v>4407</v>
      </c>
      <c r="K1807" s="22" t="s">
        <v>128</v>
      </c>
      <c r="L1807" s="22"/>
      <c r="M1807" s="22"/>
      <c r="N1807" s="22"/>
    </row>
    <row r="1808" spans="1:14" x14ac:dyDescent="0.25">
      <c r="A1808" s="22" t="s">
        <v>1878</v>
      </c>
      <c r="B1808" s="22" t="s">
        <v>39</v>
      </c>
      <c r="C1808" s="22" t="s">
        <v>137</v>
      </c>
      <c r="D1808" s="23">
        <v>-32700</v>
      </c>
      <c r="E1808" s="22" t="s">
        <v>57</v>
      </c>
      <c r="F1808" s="24">
        <v>44328</v>
      </c>
      <c r="G1808" s="22" t="s">
        <v>1855</v>
      </c>
      <c r="H1808" s="22" t="s">
        <v>989</v>
      </c>
      <c r="I1808" s="22" t="s">
        <v>1877</v>
      </c>
      <c r="J1808" s="22" t="s">
        <v>4407</v>
      </c>
      <c r="K1808" s="22" t="s">
        <v>128</v>
      </c>
      <c r="L1808" s="22"/>
      <c r="M1808" s="22"/>
      <c r="N1808" s="22"/>
    </row>
    <row r="1809" spans="1:14" x14ac:dyDescent="0.25">
      <c r="A1809" s="22" t="s">
        <v>1875</v>
      </c>
      <c r="B1809" s="22" t="s">
        <v>39</v>
      </c>
      <c r="C1809" s="22" t="s">
        <v>137</v>
      </c>
      <c r="D1809" s="23">
        <v>-40300</v>
      </c>
      <c r="E1809" s="22" t="s">
        <v>57</v>
      </c>
      <c r="F1809" s="24">
        <v>44334</v>
      </c>
      <c r="G1809" s="22" t="s">
        <v>1855</v>
      </c>
      <c r="H1809" s="22" t="s">
        <v>1876</v>
      </c>
      <c r="I1809" s="22" t="s">
        <v>1874</v>
      </c>
      <c r="J1809" s="22" t="s">
        <v>4407</v>
      </c>
      <c r="K1809" s="22" t="s">
        <v>128</v>
      </c>
      <c r="L1809" s="22"/>
      <c r="M1809" s="22"/>
      <c r="N1809" s="22"/>
    </row>
    <row r="1810" spans="1:14" x14ac:dyDescent="0.25">
      <c r="A1810" s="22" t="s">
        <v>1873</v>
      </c>
      <c r="B1810" s="22" t="s">
        <v>39</v>
      </c>
      <c r="C1810" s="22" t="s">
        <v>137</v>
      </c>
      <c r="D1810" s="23">
        <v>-32700</v>
      </c>
      <c r="E1810" s="22" t="s">
        <v>57</v>
      </c>
      <c r="F1810" s="24">
        <v>44335</v>
      </c>
      <c r="G1810" s="22" t="s">
        <v>1855</v>
      </c>
      <c r="H1810" s="22" t="s">
        <v>1871</v>
      </c>
      <c r="I1810" s="22" t="s">
        <v>1872</v>
      </c>
      <c r="J1810" s="22" t="s">
        <v>4407</v>
      </c>
      <c r="K1810" s="22" t="s">
        <v>128</v>
      </c>
      <c r="L1810" s="22"/>
      <c r="M1810" s="22"/>
      <c r="N1810" s="22"/>
    </row>
    <row r="1811" spans="1:14" x14ac:dyDescent="0.25">
      <c r="A1811" s="22" t="s">
        <v>1870</v>
      </c>
      <c r="B1811" s="22" t="s">
        <v>39</v>
      </c>
      <c r="C1811" s="22" t="s">
        <v>137</v>
      </c>
      <c r="D1811" s="23">
        <v>-22300</v>
      </c>
      <c r="E1811" s="22" t="s">
        <v>57</v>
      </c>
      <c r="F1811" s="24">
        <v>44335</v>
      </c>
      <c r="G1811" s="22" t="s">
        <v>1855</v>
      </c>
      <c r="H1811" s="22" t="s">
        <v>1871</v>
      </c>
      <c r="I1811" s="22" t="s">
        <v>1869</v>
      </c>
      <c r="J1811" s="22" t="s">
        <v>4407</v>
      </c>
      <c r="K1811" s="22" t="s">
        <v>128</v>
      </c>
      <c r="L1811" s="22"/>
      <c r="M1811" s="22"/>
      <c r="N1811" s="22"/>
    </row>
    <row r="1812" spans="1:14" x14ac:dyDescent="0.25">
      <c r="A1812" s="22" t="s">
        <v>1868</v>
      </c>
      <c r="B1812" s="22" t="s">
        <v>39</v>
      </c>
      <c r="C1812" s="22" t="s">
        <v>137</v>
      </c>
      <c r="D1812" s="23">
        <v>-47200</v>
      </c>
      <c r="E1812" s="22" t="s">
        <v>57</v>
      </c>
      <c r="F1812" s="24">
        <v>44335</v>
      </c>
      <c r="G1812" s="22" t="s">
        <v>1855</v>
      </c>
      <c r="H1812" s="22" t="s">
        <v>764</v>
      </c>
      <c r="I1812" s="22" t="s">
        <v>1867</v>
      </c>
      <c r="J1812" s="22" t="s">
        <v>4407</v>
      </c>
      <c r="K1812" s="22" t="s">
        <v>128</v>
      </c>
      <c r="L1812" s="22"/>
      <c r="M1812" s="22"/>
      <c r="N1812" s="22"/>
    </row>
    <row r="1813" spans="1:14" x14ac:dyDescent="0.25">
      <c r="A1813" s="22" t="s">
        <v>1866</v>
      </c>
      <c r="B1813" s="22" t="s">
        <v>39</v>
      </c>
      <c r="C1813" s="22" t="s">
        <v>137</v>
      </c>
      <c r="D1813" s="23">
        <v>-23700</v>
      </c>
      <c r="E1813" s="22" t="s">
        <v>57</v>
      </c>
      <c r="F1813" s="24">
        <v>44341</v>
      </c>
      <c r="G1813" s="22" t="s">
        <v>1855</v>
      </c>
      <c r="H1813" s="22" t="s">
        <v>764</v>
      </c>
      <c r="I1813" s="22" t="s">
        <v>1865</v>
      </c>
      <c r="J1813" s="22" t="s">
        <v>4407</v>
      </c>
      <c r="K1813" s="22" t="s">
        <v>128</v>
      </c>
      <c r="L1813" s="22"/>
      <c r="M1813" s="22"/>
      <c r="N1813" s="22"/>
    </row>
    <row r="1814" spans="1:14" x14ac:dyDescent="0.25">
      <c r="A1814" s="22" t="s">
        <v>1864</v>
      </c>
      <c r="B1814" s="22" t="s">
        <v>39</v>
      </c>
      <c r="C1814" s="22" t="s">
        <v>137</v>
      </c>
      <c r="D1814" s="23">
        <v>-71600</v>
      </c>
      <c r="E1814" s="22" t="s">
        <v>57</v>
      </c>
      <c r="F1814" s="24">
        <v>44344</v>
      </c>
      <c r="G1814" s="22" t="s">
        <v>1855</v>
      </c>
      <c r="H1814" s="22" t="s">
        <v>740</v>
      </c>
      <c r="I1814" s="22" t="s">
        <v>1863</v>
      </c>
      <c r="J1814" s="22" t="s">
        <v>4407</v>
      </c>
      <c r="K1814" s="22" t="s">
        <v>128</v>
      </c>
      <c r="L1814" s="22"/>
      <c r="M1814" s="22"/>
      <c r="N1814" s="22"/>
    </row>
    <row r="1815" spans="1:14" x14ac:dyDescent="0.25">
      <c r="A1815" s="22" t="s">
        <v>1862</v>
      </c>
      <c r="B1815" s="22" t="s">
        <v>39</v>
      </c>
      <c r="C1815" s="22" t="s">
        <v>137</v>
      </c>
      <c r="D1815" s="23">
        <v>-22600</v>
      </c>
      <c r="E1815" s="22" t="s">
        <v>57</v>
      </c>
      <c r="F1815" s="24">
        <v>44347</v>
      </c>
      <c r="G1815" s="22" t="s">
        <v>1855</v>
      </c>
      <c r="H1815" s="22" t="s">
        <v>764</v>
      </c>
      <c r="I1815" s="22" t="s">
        <v>1861</v>
      </c>
      <c r="J1815" s="22" t="s">
        <v>4407</v>
      </c>
      <c r="K1815" s="22" t="s">
        <v>128</v>
      </c>
      <c r="L1815" s="22"/>
      <c r="M1815" s="22"/>
      <c r="N1815" s="22"/>
    </row>
    <row r="1816" spans="1:14" x14ac:dyDescent="0.25">
      <c r="A1816" s="22" t="s">
        <v>1859</v>
      </c>
      <c r="B1816" s="22" t="s">
        <v>39</v>
      </c>
      <c r="C1816" s="22" t="s">
        <v>137</v>
      </c>
      <c r="D1816" s="23">
        <v>-45587</v>
      </c>
      <c r="E1816" s="22" t="s">
        <v>45</v>
      </c>
      <c r="F1816" s="24">
        <v>44327</v>
      </c>
      <c r="G1816" s="22" t="s">
        <v>1855</v>
      </c>
      <c r="H1816" s="22" t="s">
        <v>1860</v>
      </c>
      <c r="I1816" s="22" t="s">
        <v>1858</v>
      </c>
      <c r="J1816" s="22" t="s">
        <v>4407</v>
      </c>
      <c r="K1816" s="22" t="s">
        <v>128</v>
      </c>
      <c r="L1816" s="22"/>
      <c r="M1816" s="22"/>
      <c r="N1816" s="22"/>
    </row>
    <row r="1817" spans="1:14" x14ac:dyDescent="0.25">
      <c r="A1817" s="22" t="s">
        <v>1857</v>
      </c>
      <c r="B1817" s="22" t="s">
        <v>39</v>
      </c>
      <c r="C1817" s="22" t="s">
        <v>7307</v>
      </c>
      <c r="D1817" s="23">
        <v>-1754912</v>
      </c>
      <c r="E1817" s="22" t="s">
        <v>57</v>
      </c>
      <c r="F1817" s="24">
        <v>44323</v>
      </c>
      <c r="G1817" s="22" t="s">
        <v>1855</v>
      </c>
      <c r="H1817" s="22" t="s">
        <v>1805</v>
      </c>
      <c r="I1817" s="22" t="s">
        <v>1856</v>
      </c>
      <c r="J1817" s="22" t="s">
        <v>4407</v>
      </c>
      <c r="K1817" s="22" t="s">
        <v>128</v>
      </c>
      <c r="L1817" s="22"/>
      <c r="M1817" s="22"/>
      <c r="N1817" s="22"/>
    </row>
    <row r="1818" spans="1:14" x14ac:dyDescent="0.25">
      <c r="A1818" s="22" t="s">
        <v>1854</v>
      </c>
      <c r="B1818" s="22" t="s">
        <v>39</v>
      </c>
      <c r="C1818" s="22" t="s">
        <v>40</v>
      </c>
      <c r="D1818" s="23">
        <v>1429634</v>
      </c>
      <c r="E1818" s="22" t="s">
        <v>42</v>
      </c>
      <c r="F1818" s="24">
        <v>44260</v>
      </c>
      <c r="G1818" s="22" t="s">
        <v>1855</v>
      </c>
      <c r="H1818" s="22" t="s">
        <v>1741</v>
      </c>
      <c r="I1818" s="22" t="s">
        <v>1853</v>
      </c>
      <c r="J1818" s="22" t="s">
        <v>4401</v>
      </c>
      <c r="K1818" s="22" t="s">
        <v>292</v>
      </c>
      <c r="L1818" s="22"/>
      <c r="M1818" s="22"/>
      <c r="N1818" s="22"/>
    </row>
    <row r="1819" spans="1:14" x14ac:dyDescent="0.25">
      <c r="A1819" s="22" t="s">
        <v>1852</v>
      </c>
      <c r="B1819" s="22" t="s">
        <v>39</v>
      </c>
      <c r="C1819" s="22" t="s">
        <v>4773</v>
      </c>
      <c r="D1819" s="23">
        <v>614700</v>
      </c>
      <c r="E1819" s="22" t="s">
        <v>45</v>
      </c>
      <c r="F1819" s="24">
        <v>44346</v>
      </c>
      <c r="G1819" s="22" t="s">
        <v>1846</v>
      </c>
      <c r="H1819" s="22"/>
      <c r="I1819" s="22" t="s">
        <v>1846</v>
      </c>
      <c r="J1819" s="22" t="s">
        <v>4552</v>
      </c>
      <c r="K1819" s="22" t="s">
        <v>128</v>
      </c>
      <c r="L1819" s="22"/>
      <c r="M1819" s="22"/>
      <c r="N1819" s="22"/>
    </row>
    <row r="1820" spans="1:14" x14ac:dyDescent="0.25">
      <c r="A1820" s="22" t="s">
        <v>1852</v>
      </c>
      <c r="B1820" s="22" t="s">
        <v>39</v>
      </c>
      <c r="C1820" s="22" t="s">
        <v>4773</v>
      </c>
      <c r="D1820" s="23">
        <v>-879205</v>
      </c>
      <c r="E1820" s="22" t="s">
        <v>45</v>
      </c>
      <c r="F1820" s="24">
        <v>44346</v>
      </c>
      <c r="G1820" s="22" t="s">
        <v>1846</v>
      </c>
      <c r="H1820" s="22"/>
      <c r="I1820" s="22" t="s">
        <v>1846</v>
      </c>
      <c r="J1820" s="22" t="s">
        <v>4401</v>
      </c>
      <c r="K1820" s="22" t="s">
        <v>128</v>
      </c>
      <c r="L1820" s="22"/>
      <c r="M1820" s="22"/>
      <c r="N1820" s="22"/>
    </row>
    <row r="1821" spans="1:14" x14ac:dyDescent="0.25">
      <c r="A1821" s="22" t="s">
        <v>1852</v>
      </c>
      <c r="B1821" s="22" t="s">
        <v>39</v>
      </c>
      <c r="C1821" s="22" t="s">
        <v>4773</v>
      </c>
      <c r="D1821" s="23">
        <v>314609</v>
      </c>
      <c r="E1821" s="22" t="s">
        <v>45</v>
      </c>
      <c r="F1821" s="24">
        <v>44346</v>
      </c>
      <c r="G1821" s="22" t="s">
        <v>1846</v>
      </c>
      <c r="H1821" s="22"/>
      <c r="I1821" s="22" t="s">
        <v>1846</v>
      </c>
      <c r="J1821" s="22" t="s">
        <v>4407</v>
      </c>
      <c r="K1821" s="22" t="s">
        <v>128</v>
      </c>
      <c r="L1821" s="22"/>
      <c r="M1821" s="22"/>
      <c r="N1821" s="22"/>
    </row>
    <row r="1822" spans="1:14" x14ac:dyDescent="0.25">
      <c r="A1822" s="22" t="s">
        <v>1851</v>
      </c>
      <c r="B1822" s="22" t="s">
        <v>39</v>
      </c>
      <c r="C1822" s="22" t="s">
        <v>7307</v>
      </c>
      <c r="D1822" s="23">
        <v>-260098</v>
      </c>
      <c r="E1822" s="22" t="s">
        <v>57</v>
      </c>
      <c r="F1822" s="24">
        <v>44332</v>
      </c>
      <c r="G1822" s="22" t="s">
        <v>1846</v>
      </c>
      <c r="H1822" s="22" t="s">
        <v>764</v>
      </c>
      <c r="I1822" s="22" t="s">
        <v>1850</v>
      </c>
      <c r="J1822" s="22" t="s">
        <v>4407</v>
      </c>
      <c r="K1822" s="22" t="s">
        <v>128</v>
      </c>
      <c r="L1822" s="22"/>
      <c r="M1822" s="22"/>
      <c r="N1822" s="22"/>
    </row>
    <row r="1823" spans="1:14" x14ac:dyDescent="0.25">
      <c r="A1823" s="22" t="s">
        <v>1848</v>
      </c>
      <c r="B1823" s="22" t="s">
        <v>39</v>
      </c>
      <c r="C1823" s="22" t="s">
        <v>7307</v>
      </c>
      <c r="D1823" s="23">
        <v>-54511</v>
      </c>
      <c r="E1823" s="22" t="s">
        <v>57</v>
      </c>
      <c r="F1823" s="24">
        <v>44347</v>
      </c>
      <c r="G1823" s="22" t="s">
        <v>1846</v>
      </c>
      <c r="H1823" s="22" t="s">
        <v>1849</v>
      </c>
      <c r="I1823" s="22" t="s">
        <v>1847</v>
      </c>
      <c r="J1823" s="22" t="s">
        <v>4407</v>
      </c>
      <c r="K1823" s="22" t="s">
        <v>128</v>
      </c>
      <c r="L1823" s="22"/>
      <c r="M1823" s="22"/>
      <c r="N1823" s="22"/>
    </row>
    <row r="1824" spans="1:14" x14ac:dyDescent="0.25">
      <c r="A1824" s="22" t="s">
        <v>1845</v>
      </c>
      <c r="B1824" s="22" t="s">
        <v>39</v>
      </c>
      <c r="C1824" s="22" t="s">
        <v>7308</v>
      </c>
      <c r="D1824" s="23">
        <v>-143100</v>
      </c>
      <c r="E1824" s="22" t="s">
        <v>57</v>
      </c>
      <c r="F1824" s="24">
        <v>44320</v>
      </c>
      <c r="G1824" s="22" t="s">
        <v>1846</v>
      </c>
      <c r="H1824" s="22" t="s">
        <v>280</v>
      </c>
      <c r="I1824" s="22" t="s">
        <v>1844</v>
      </c>
      <c r="J1824" s="22" t="s">
        <v>4552</v>
      </c>
      <c r="K1824" s="22" t="s">
        <v>128</v>
      </c>
      <c r="L1824" s="22"/>
      <c r="M1824" s="22"/>
      <c r="N1824" s="22"/>
    </row>
    <row r="1825" spans="1:14" x14ac:dyDescent="0.25">
      <c r="A1825" s="22" t="s">
        <v>1926</v>
      </c>
      <c r="B1825" s="22" t="s">
        <v>39</v>
      </c>
      <c r="C1825" s="22" t="s">
        <v>7308</v>
      </c>
      <c r="D1825" s="23">
        <v>-36800</v>
      </c>
      <c r="E1825" s="22" t="s">
        <v>57</v>
      </c>
      <c r="F1825" s="24">
        <v>44320</v>
      </c>
      <c r="G1825" s="22" t="s">
        <v>1846</v>
      </c>
      <c r="H1825" s="22" t="s">
        <v>836</v>
      </c>
      <c r="I1825" s="22" t="s">
        <v>1925</v>
      </c>
      <c r="J1825" s="22" t="s">
        <v>4552</v>
      </c>
      <c r="K1825" s="22" t="s">
        <v>128</v>
      </c>
      <c r="L1825" s="22"/>
      <c r="M1825" s="22"/>
      <c r="N1825" s="22"/>
    </row>
    <row r="1826" spans="1:14" x14ac:dyDescent="0.25">
      <c r="A1826" s="22" t="s">
        <v>1924</v>
      </c>
      <c r="B1826" s="22" t="s">
        <v>39</v>
      </c>
      <c r="C1826" s="22" t="s">
        <v>7308</v>
      </c>
      <c r="D1826" s="23">
        <v>-43700</v>
      </c>
      <c r="E1826" s="22" t="s">
        <v>57</v>
      </c>
      <c r="F1826" s="24">
        <v>44321</v>
      </c>
      <c r="G1826" s="22" t="s">
        <v>1846</v>
      </c>
      <c r="H1826" s="22" t="s">
        <v>280</v>
      </c>
      <c r="I1826" s="22" t="s">
        <v>1923</v>
      </c>
      <c r="J1826" s="22" t="s">
        <v>4552</v>
      </c>
      <c r="K1826" s="22" t="s">
        <v>128</v>
      </c>
      <c r="L1826" s="22"/>
      <c r="M1826" s="22"/>
      <c r="N1826" s="22"/>
    </row>
    <row r="1827" spans="1:14" x14ac:dyDescent="0.25">
      <c r="A1827" s="22" t="s">
        <v>1852</v>
      </c>
      <c r="B1827" s="22" t="s">
        <v>39</v>
      </c>
      <c r="C1827" s="22" t="s">
        <v>7308</v>
      </c>
      <c r="D1827" s="23">
        <v>-391100</v>
      </c>
      <c r="E1827" s="22" t="s">
        <v>57</v>
      </c>
      <c r="F1827" s="24">
        <v>44346</v>
      </c>
      <c r="G1827" s="22" t="s">
        <v>1846</v>
      </c>
      <c r="H1827" s="22" t="s">
        <v>836</v>
      </c>
      <c r="I1827" s="22" t="s">
        <v>1922</v>
      </c>
      <c r="J1827" s="22" t="s">
        <v>4552</v>
      </c>
      <c r="K1827" s="22" t="s">
        <v>128</v>
      </c>
      <c r="L1827" s="22"/>
      <c r="M1827" s="22"/>
      <c r="N1827" s="22"/>
    </row>
    <row r="1828" spans="1:14" x14ac:dyDescent="0.25">
      <c r="A1828" s="22" t="s">
        <v>1921</v>
      </c>
      <c r="B1828" s="22" t="s">
        <v>39</v>
      </c>
      <c r="C1828" s="22" t="s">
        <v>40</v>
      </c>
      <c r="D1828" s="23">
        <v>879205</v>
      </c>
      <c r="E1828" s="22" t="s">
        <v>42</v>
      </c>
      <c r="F1828" s="24">
        <v>44260</v>
      </c>
      <c r="G1828" s="22" t="s">
        <v>1846</v>
      </c>
      <c r="H1828" s="22" t="s">
        <v>1741</v>
      </c>
      <c r="I1828" s="22" t="s">
        <v>1920</v>
      </c>
      <c r="J1828" s="22" t="s">
        <v>4401</v>
      </c>
      <c r="K1828" s="22" t="s">
        <v>292</v>
      </c>
      <c r="L1828" s="22"/>
      <c r="M1828" s="22"/>
      <c r="N1828" s="22"/>
    </row>
    <row r="1829" spans="1:14" x14ac:dyDescent="0.25">
      <c r="A1829" s="22" t="s">
        <v>165</v>
      </c>
      <c r="B1829" s="22" t="s">
        <v>39</v>
      </c>
      <c r="C1829" s="22" t="s">
        <v>4773</v>
      </c>
      <c r="D1829" s="23">
        <v>4049318</v>
      </c>
      <c r="E1829" s="22" t="s">
        <v>45</v>
      </c>
      <c r="F1829" s="24">
        <v>44383</v>
      </c>
      <c r="G1829" s="22" t="s">
        <v>1896</v>
      </c>
      <c r="H1829" s="22"/>
      <c r="I1829" s="22" t="s">
        <v>1896</v>
      </c>
      <c r="J1829" s="22" t="s">
        <v>4552</v>
      </c>
      <c r="K1829" s="22" t="s">
        <v>66</v>
      </c>
      <c r="L1829" s="22"/>
      <c r="M1829" s="22"/>
      <c r="N1829" s="22"/>
    </row>
    <row r="1830" spans="1:14" x14ac:dyDescent="0.25">
      <c r="A1830" s="22" t="s">
        <v>165</v>
      </c>
      <c r="B1830" s="22" t="s">
        <v>39</v>
      </c>
      <c r="C1830" s="22" t="s">
        <v>4773</v>
      </c>
      <c r="D1830" s="23">
        <v>-10907681</v>
      </c>
      <c r="E1830" s="22" t="s">
        <v>45</v>
      </c>
      <c r="F1830" s="24">
        <v>44383</v>
      </c>
      <c r="G1830" s="22" t="s">
        <v>1896</v>
      </c>
      <c r="H1830" s="22"/>
      <c r="I1830" s="22" t="s">
        <v>1896</v>
      </c>
      <c r="J1830" s="22" t="s">
        <v>4401</v>
      </c>
      <c r="K1830" s="22" t="s">
        <v>66</v>
      </c>
      <c r="L1830" s="22"/>
      <c r="M1830" s="22"/>
      <c r="N1830" s="22"/>
    </row>
    <row r="1831" spans="1:14" x14ac:dyDescent="0.25">
      <c r="A1831" s="22" t="s">
        <v>165</v>
      </c>
      <c r="B1831" s="22" t="s">
        <v>39</v>
      </c>
      <c r="C1831" s="22" t="s">
        <v>4773</v>
      </c>
      <c r="D1831" s="23">
        <v>7502709</v>
      </c>
      <c r="E1831" s="22" t="s">
        <v>45</v>
      </c>
      <c r="F1831" s="24">
        <v>44383</v>
      </c>
      <c r="G1831" s="22" t="s">
        <v>1896</v>
      </c>
      <c r="H1831" s="22"/>
      <c r="I1831" s="22" t="s">
        <v>1896</v>
      </c>
      <c r="J1831" s="22" t="s">
        <v>4407</v>
      </c>
      <c r="K1831" s="22" t="s">
        <v>66</v>
      </c>
      <c r="L1831" s="22"/>
      <c r="M1831" s="22"/>
      <c r="N1831" s="22"/>
    </row>
    <row r="1832" spans="1:14" x14ac:dyDescent="0.25">
      <c r="A1832" s="22" t="s">
        <v>1857</v>
      </c>
      <c r="B1832" s="22" t="s">
        <v>39</v>
      </c>
      <c r="C1832" s="22" t="s">
        <v>7307</v>
      </c>
      <c r="D1832" s="23">
        <v>-735565</v>
      </c>
      <c r="E1832" s="22" t="s">
        <v>45</v>
      </c>
      <c r="F1832" s="24">
        <v>44323</v>
      </c>
      <c r="G1832" s="22" t="s">
        <v>1896</v>
      </c>
      <c r="H1832" s="22" t="s">
        <v>1919</v>
      </c>
      <c r="I1832" s="22" t="s">
        <v>1855</v>
      </c>
      <c r="J1832" s="22" t="s">
        <v>4407</v>
      </c>
      <c r="K1832" s="22" t="s">
        <v>128</v>
      </c>
      <c r="L1832" s="22"/>
      <c r="M1832" s="22"/>
      <c r="N1832" s="22"/>
    </row>
    <row r="1833" spans="1:14" x14ac:dyDescent="0.25">
      <c r="A1833" s="22" t="s">
        <v>146</v>
      </c>
      <c r="B1833" s="22" t="s">
        <v>39</v>
      </c>
      <c r="C1833" s="22" t="s">
        <v>145</v>
      </c>
      <c r="D1833" s="23">
        <v>-3304310</v>
      </c>
      <c r="E1833" s="22" t="s">
        <v>57</v>
      </c>
      <c r="F1833" s="24">
        <v>44326</v>
      </c>
      <c r="G1833" s="22" t="s">
        <v>1896</v>
      </c>
      <c r="H1833" s="22" t="s">
        <v>1918</v>
      </c>
      <c r="I1833" s="22" t="s">
        <v>148</v>
      </c>
      <c r="J1833" s="22" t="s">
        <v>4552</v>
      </c>
      <c r="K1833" s="22" t="s">
        <v>128</v>
      </c>
      <c r="L1833" s="22"/>
      <c r="M1833" s="22"/>
      <c r="N1833" s="22"/>
    </row>
    <row r="1834" spans="1:14" x14ac:dyDescent="0.25">
      <c r="A1834" s="22" t="s">
        <v>1852</v>
      </c>
      <c r="B1834" s="22" t="s">
        <v>39</v>
      </c>
      <c r="C1834" s="22" t="s">
        <v>7308</v>
      </c>
      <c r="D1834" s="23">
        <v>-50104</v>
      </c>
      <c r="E1834" s="22" t="s">
        <v>45</v>
      </c>
      <c r="F1834" s="24">
        <v>44346</v>
      </c>
      <c r="G1834" s="22" t="s">
        <v>1896</v>
      </c>
      <c r="H1834" s="22" t="s">
        <v>1917</v>
      </c>
      <c r="I1834" s="22" t="s">
        <v>1846</v>
      </c>
      <c r="J1834" s="22" t="s">
        <v>4552</v>
      </c>
      <c r="K1834" s="22" t="s">
        <v>128</v>
      </c>
      <c r="L1834" s="22"/>
      <c r="M1834" s="22"/>
      <c r="N1834" s="22"/>
    </row>
    <row r="1835" spans="1:14" x14ac:dyDescent="0.25">
      <c r="A1835" s="22" t="s">
        <v>1915</v>
      </c>
      <c r="B1835" s="22" t="s">
        <v>39</v>
      </c>
      <c r="C1835" s="22" t="s">
        <v>7309</v>
      </c>
      <c r="D1835" s="23">
        <v>-70404</v>
      </c>
      <c r="E1835" s="22" t="s">
        <v>57</v>
      </c>
      <c r="F1835" s="24">
        <v>44374</v>
      </c>
      <c r="G1835" s="22" t="s">
        <v>1896</v>
      </c>
      <c r="H1835" s="22" t="s">
        <v>1916</v>
      </c>
      <c r="I1835" s="22" t="s">
        <v>1914</v>
      </c>
      <c r="J1835" s="22" t="s">
        <v>4552</v>
      </c>
      <c r="K1835" s="22" t="s">
        <v>61</v>
      </c>
      <c r="L1835" s="22"/>
      <c r="M1835" s="22"/>
      <c r="N1835" s="22"/>
    </row>
    <row r="1836" spans="1:14" x14ac:dyDescent="0.25">
      <c r="A1836" s="22" t="s">
        <v>1913</v>
      </c>
      <c r="B1836" s="22" t="s">
        <v>39</v>
      </c>
      <c r="C1836" s="22" t="s">
        <v>7310</v>
      </c>
      <c r="D1836" s="23">
        <v>-624500</v>
      </c>
      <c r="E1836" s="22" t="s">
        <v>57</v>
      </c>
      <c r="F1836" s="24">
        <v>44364</v>
      </c>
      <c r="G1836" s="22" t="s">
        <v>1896</v>
      </c>
      <c r="H1836" s="22" t="s">
        <v>799</v>
      </c>
      <c r="I1836" s="22" t="s">
        <v>1912</v>
      </c>
      <c r="J1836" s="22" t="s">
        <v>4552</v>
      </c>
      <c r="K1836" s="22" t="s">
        <v>128</v>
      </c>
      <c r="L1836" s="22"/>
      <c r="M1836" s="22"/>
      <c r="N1836" s="22"/>
    </row>
    <row r="1837" spans="1:14" x14ac:dyDescent="0.25">
      <c r="A1837" s="22" t="s">
        <v>1911</v>
      </c>
      <c r="B1837" s="22" t="s">
        <v>39</v>
      </c>
      <c r="C1837" s="22" t="s">
        <v>164</v>
      </c>
      <c r="D1837" s="23">
        <v>-1302400</v>
      </c>
      <c r="E1837" s="22" t="s">
        <v>57</v>
      </c>
      <c r="F1837" s="24">
        <v>44378</v>
      </c>
      <c r="G1837" s="22" t="s">
        <v>1896</v>
      </c>
      <c r="H1837" s="22" t="s">
        <v>1876</v>
      </c>
      <c r="I1837" s="22" t="s">
        <v>1910</v>
      </c>
      <c r="J1837" s="22" t="s">
        <v>4407</v>
      </c>
      <c r="K1837" s="22" t="s">
        <v>66</v>
      </c>
      <c r="L1837" s="22"/>
      <c r="M1837" s="22"/>
      <c r="N1837" s="22"/>
    </row>
    <row r="1838" spans="1:14" x14ac:dyDescent="0.25">
      <c r="A1838" s="22" t="s">
        <v>165</v>
      </c>
      <c r="B1838" s="22" t="s">
        <v>39</v>
      </c>
      <c r="C1838" s="22" t="s">
        <v>164</v>
      </c>
      <c r="D1838" s="23">
        <v>-5117420</v>
      </c>
      <c r="E1838" s="22" t="s">
        <v>57</v>
      </c>
      <c r="F1838" s="24">
        <v>44383</v>
      </c>
      <c r="G1838" s="22" t="s">
        <v>1896</v>
      </c>
      <c r="H1838" s="22" t="s">
        <v>1909</v>
      </c>
      <c r="I1838" s="22" t="s">
        <v>167</v>
      </c>
      <c r="J1838" s="22" t="s">
        <v>4407</v>
      </c>
      <c r="K1838" s="22" t="s">
        <v>66</v>
      </c>
      <c r="L1838" s="22"/>
      <c r="M1838" s="22"/>
      <c r="N1838" s="22"/>
    </row>
    <row r="1839" spans="1:14" x14ac:dyDescent="0.25">
      <c r="A1839" s="22" t="s">
        <v>1907</v>
      </c>
      <c r="B1839" s="22" t="s">
        <v>39</v>
      </c>
      <c r="C1839" s="22" t="s">
        <v>4576</v>
      </c>
      <c r="D1839" s="23">
        <v>-347324</v>
      </c>
      <c r="E1839" s="22" t="s">
        <v>45</v>
      </c>
      <c r="F1839" s="24">
        <v>43872</v>
      </c>
      <c r="G1839" s="22" t="s">
        <v>1896</v>
      </c>
      <c r="H1839" s="22" t="s">
        <v>1908</v>
      </c>
      <c r="I1839" s="22" t="s">
        <v>1906</v>
      </c>
      <c r="J1839" s="22" t="s">
        <v>4407</v>
      </c>
      <c r="K1839" s="22" t="s">
        <v>7304</v>
      </c>
      <c r="L1839" s="22"/>
      <c r="M1839" s="22"/>
      <c r="N1839" s="22"/>
    </row>
    <row r="1840" spans="1:14" x14ac:dyDescent="0.25">
      <c r="A1840" s="22" t="s">
        <v>1905</v>
      </c>
      <c r="B1840" s="22" t="s">
        <v>39</v>
      </c>
      <c r="C1840" s="22" t="s">
        <v>40</v>
      </c>
      <c r="D1840" s="23">
        <v>11123515</v>
      </c>
      <c r="E1840" s="22" t="s">
        <v>42</v>
      </c>
      <c r="F1840" s="24">
        <v>44295</v>
      </c>
      <c r="G1840" s="22" t="s">
        <v>1896</v>
      </c>
      <c r="H1840" s="22" t="s">
        <v>1812</v>
      </c>
      <c r="I1840" s="22" t="s">
        <v>1904</v>
      </c>
      <c r="J1840" s="22" t="s">
        <v>4401</v>
      </c>
      <c r="K1840" s="22" t="s">
        <v>292</v>
      </c>
      <c r="L1840" s="22"/>
      <c r="M1840" s="22"/>
      <c r="N1840" s="22"/>
    </row>
    <row r="1841" spans="1:14" x14ac:dyDescent="0.25">
      <c r="A1841" s="22" t="s">
        <v>1902</v>
      </c>
      <c r="B1841" s="22" t="s">
        <v>39</v>
      </c>
      <c r="C1841" s="22" t="s">
        <v>7305</v>
      </c>
      <c r="D1841" s="23">
        <v>-104334</v>
      </c>
      <c r="E1841" s="22" t="s">
        <v>45</v>
      </c>
      <c r="F1841" s="24">
        <v>44273</v>
      </c>
      <c r="G1841" s="22" t="s">
        <v>1896</v>
      </c>
      <c r="H1841" s="22" t="s">
        <v>1903</v>
      </c>
      <c r="I1841" s="22" t="s">
        <v>1901</v>
      </c>
      <c r="J1841" s="22" t="s">
        <v>4401</v>
      </c>
      <c r="K1841" s="22" t="s">
        <v>4479</v>
      </c>
      <c r="L1841" s="22"/>
      <c r="M1841" s="22"/>
      <c r="N1841" s="22"/>
    </row>
    <row r="1842" spans="1:14" x14ac:dyDescent="0.25">
      <c r="A1842" s="22" t="s">
        <v>1899</v>
      </c>
      <c r="B1842" s="22" t="s">
        <v>39</v>
      </c>
      <c r="C1842" s="22" t="s">
        <v>7311</v>
      </c>
      <c r="D1842" s="23">
        <v>-111500</v>
      </c>
      <c r="E1842" s="22" t="s">
        <v>588</v>
      </c>
      <c r="F1842" s="24">
        <v>44375</v>
      </c>
      <c r="G1842" s="22" t="s">
        <v>1896</v>
      </c>
      <c r="H1842" s="22" t="s">
        <v>1900</v>
      </c>
      <c r="I1842" s="22" t="s">
        <v>1898</v>
      </c>
      <c r="J1842" s="22" t="s">
        <v>4401</v>
      </c>
      <c r="K1842" s="22" t="s">
        <v>4479</v>
      </c>
      <c r="L1842" s="22"/>
      <c r="M1842" s="22"/>
      <c r="N1842" s="22"/>
    </row>
    <row r="1843" spans="1:14" x14ac:dyDescent="0.25">
      <c r="A1843" s="22" t="s">
        <v>1894</v>
      </c>
      <c r="B1843" s="22" t="s">
        <v>39</v>
      </c>
      <c r="C1843" s="22" t="s">
        <v>4773</v>
      </c>
      <c r="D1843" s="23">
        <v>617561</v>
      </c>
      <c r="E1843" s="22" t="s">
        <v>45</v>
      </c>
      <c r="F1843" s="24">
        <v>44394</v>
      </c>
      <c r="G1843" s="22" t="s">
        <v>1892</v>
      </c>
      <c r="H1843" s="22"/>
      <c r="I1843" s="22" t="s">
        <v>1892</v>
      </c>
      <c r="J1843" s="22" t="s">
        <v>4552</v>
      </c>
      <c r="K1843" s="22" t="s">
        <v>61</v>
      </c>
      <c r="L1843" s="22"/>
      <c r="M1843" s="22"/>
      <c r="N1843" s="22"/>
    </row>
    <row r="1844" spans="1:14" x14ac:dyDescent="0.25">
      <c r="A1844" s="22" t="s">
        <v>1894</v>
      </c>
      <c r="B1844" s="22" t="s">
        <v>39</v>
      </c>
      <c r="C1844" s="22" t="s">
        <v>4773</v>
      </c>
      <c r="D1844" s="23">
        <v>-1217170</v>
      </c>
      <c r="E1844" s="22" t="s">
        <v>45</v>
      </c>
      <c r="F1844" s="24">
        <v>44394</v>
      </c>
      <c r="G1844" s="22" t="s">
        <v>1892</v>
      </c>
      <c r="H1844" s="22"/>
      <c r="I1844" s="22" t="s">
        <v>1892</v>
      </c>
      <c r="J1844" s="22" t="s">
        <v>4401</v>
      </c>
      <c r="K1844" s="22" t="s">
        <v>61</v>
      </c>
      <c r="L1844" s="22"/>
      <c r="M1844" s="22"/>
      <c r="N1844" s="22"/>
    </row>
    <row r="1845" spans="1:14" x14ac:dyDescent="0.25">
      <c r="A1845" s="22" t="s">
        <v>1894</v>
      </c>
      <c r="B1845" s="22" t="s">
        <v>39</v>
      </c>
      <c r="C1845" s="22" t="s">
        <v>4773</v>
      </c>
      <c r="D1845" s="23">
        <v>644346</v>
      </c>
      <c r="E1845" s="22" t="s">
        <v>45</v>
      </c>
      <c r="F1845" s="24">
        <v>44394</v>
      </c>
      <c r="G1845" s="22" t="s">
        <v>1892</v>
      </c>
      <c r="H1845" s="22"/>
      <c r="I1845" s="22" t="s">
        <v>1892</v>
      </c>
      <c r="J1845" s="22" t="s">
        <v>4407</v>
      </c>
      <c r="K1845" s="22" t="s">
        <v>61</v>
      </c>
      <c r="L1845" s="22"/>
      <c r="M1845" s="22"/>
      <c r="N1845" s="22"/>
    </row>
    <row r="1846" spans="1:14" x14ac:dyDescent="0.25">
      <c r="A1846" s="22" t="s">
        <v>165</v>
      </c>
      <c r="B1846" s="22" t="s">
        <v>39</v>
      </c>
      <c r="C1846" s="22" t="s">
        <v>164</v>
      </c>
      <c r="D1846" s="23">
        <v>-644346</v>
      </c>
      <c r="E1846" s="22" t="s">
        <v>45</v>
      </c>
      <c r="F1846" s="24">
        <v>44383</v>
      </c>
      <c r="G1846" s="22" t="s">
        <v>1892</v>
      </c>
      <c r="H1846" s="22" t="s">
        <v>1897</v>
      </c>
      <c r="I1846" s="22" t="s">
        <v>1896</v>
      </c>
      <c r="J1846" s="22" t="s">
        <v>4407</v>
      </c>
      <c r="K1846" s="22" t="s">
        <v>66</v>
      </c>
      <c r="L1846" s="22"/>
      <c r="M1846" s="22"/>
      <c r="N1846" s="22"/>
    </row>
    <row r="1847" spans="1:14" x14ac:dyDescent="0.25">
      <c r="A1847" s="22" t="s">
        <v>1894</v>
      </c>
      <c r="B1847" s="22" t="s">
        <v>39</v>
      </c>
      <c r="C1847" s="22" t="s">
        <v>176</v>
      </c>
      <c r="D1847" s="23">
        <v>-101533</v>
      </c>
      <c r="E1847" s="22" t="s">
        <v>57</v>
      </c>
      <c r="F1847" s="24">
        <v>44394</v>
      </c>
      <c r="G1847" s="22" t="s">
        <v>1892</v>
      </c>
      <c r="H1847" s="22" t="s">
        <v>1895</v>
      </c>
      <c r="I1847" s="22" t="s">
        <v>1893</v>
      </c>
      <c r="J1847" s="22" t="s">
        <v>4552</v>
      </c>
      <c r="K1847" s="22" t="s">
        <v>61</v>
      </c>
      <c r="L1847" s="22"/>
      <c r="M1847" s="22"/>
      <c r="N1847" s="22"/>
    </row>
    <row r="1848" spans="1:14" x14ac:dyDescent="0.25">
      <c r="A1848" s="22" t="s">
        <v>1891</v>
      </c>
      <c r="B1848" s="22" t="s">
        <v>39</v>
      </c>
      <c r="C1848" s="22" t="s">
        <v>176</v>
      </c>
      <c r="D1848" s="23">
        <v>-53700</v>
      </c>
      <c r="E1848" s="22" t="s">
        <v>57</v>
      </c>
      <c r="F1848" s="24">
        <v>44404</v>
      </c>
      <c r="G1848" s="22" t="s">
        <v>1892</v>
      </c>
      <c r="H1848" s="22" t="s">
        <v>280</v>
      </c>
      <c r="I1848" s="22" t="s">
        <v>1890</v>
      </c>
      <c r="J1848" s="22" t="s">
        <v>4552</v>
      </c>
      <c r="K1848" s="22" t="s">
        <v>61</v>
      </c>
      <c r="L1848" s="22"/>
      <c r="M1848" s="22"/>
      <c r="N1848" s="22"/>
    </row>
    <row r="1849" spans="1:14" x14ac:dyDescent="0.25">
      <c r="A1849" s="22" t="s">
        <v>2760</v>
      </c>
      <c r="B1849" s="22" t="s">
        <v>39</v>
      </c>
      <c r="C1849" s="22" t="s">
        <v>176</v>
      </c>
      <c r="D1849" s="23">
        <v>-462328</v>
      </c>
      <c r="E1849" s="22" t="s">
        <v>57</v>
      </c>
      <c r="F1849" s="24">
        <v>44413</v>
      </c>
      <c r="G1849" s="22" t="s">
        <v>1892</v>
      </c>
      <c r="H1849" s="22" t="s">
        <v>2761</v>
      </c>
      <c r="I1849" s="22" t="s">
        <v>2759</v>
      </c>
      <c r="J1849" s="22" t="s">
        <v>4552</v>
      </c>
      <c r="K1849" s="22" t="s">
        <v>61</v>
      </c>
      <c r="L1849" s="22"/>
      <c r="M1849" s="22"/>
      <c r="N1849" s="22"/>
    </row>
    <row r="1850" spans="1:14" x14ac:dyDescent="0.25">
      <c r="A1850" s="22" t="s">
        <v>2758</v>
      </c>
      <c r="B1850" s="22" t="s">
        <v>39</v>
      </c>
      <c r="C1850" s="22" t="s">
        <v>40</v>
      </c>
      <c r="D1850" s="23">
        <v>1217170</v>
      </c>
      <c r="E1850" s="22" t="s">
        <v>42</v>
      </c>
      <c r="F1850" s="24">
        <v>44295</v>
      </c>
      <c r="G1850" s="22" t="s">
        <v>1892</v>
      </c>
      <c r="H1850" s="22" t="s">
        <v>1812</v>
      </c>
      <c r="I1850" s="22" t="s">
        <v>2757</v>
      </c>
      <c r="J1850" s="22" t="s">
        <v>4401</v>
      </c>
      <c r="K1850" s="22" t="s">
        <v>292</v>
      </c>
      <c r="L1850" s="22"/>
      <c r="M1850" s="22"/>
      <c r="N1850" s="22"/>
    </row>
    <row r="1851" spans="1:14" x14ac:dyDescent="0.25">
      <c r="A1851" s="22" t="s">
        <v>2745</v>
      </c>
      <c r="B1851" s="22" t="s">
        <v>39</v>
      </c>
      <c r="C1851" s="22" t="s">
        <v>4773</v>
      </c>
      <c r="D1851" s="23">
        <v>1456478</v>
      </c>
      <c r="E1851" s="22" t="s">
        <v>45</v>
      </c>
      <c r="F1851" s="24">
        <v>44407</v>
      </c>
      <c r="G1851" s="22" t="s">
        <v>2715</v>
      </c>
      <c r="H1851" s="22"/>
      <c r="I1851" s="22" t="s">
        <v>2715</v>
      </c>
      <c r="J1851" s="22" t="s">
        <v>4552</v>
      </c>
      <c r="K1851" s="22" t="s">
        <v>66</v>
      </c>
      <c r="L1851" s="22"/>
      <c r="M1851" s="22"/>
      <c r="N1851" s="22"/>
    </row>
    <row r="1852" spans="1:14" x14ac:dyDescent="0.25">
      <c r="A1852" s="22" t="s">
        <v>2745</v>
      </c>
      <c r="B1852" s="22" t="s">
        <v>39</v>
      </c>
      <c r="C1852" s="22" t="s">
        <v>4773</v>
      </c>
      <c r="D1852" s="23">
        <v>-15103283</v>
      </c>
      <c r="E1852" s="22" t="s">
        <v>45</v>
      </c>
      <c r="F1852" s="24">
        <v>44407</v>
      </c>
      <c r="G1852" s="22" t="s">
        <v>2715</v>
      </c>
      <c r="H1852" s="22"/>
      <c r="I1852" s="22" t="s">
        <v>2715</v>
      </c>
      <c r="J1852" s="22" t="s">
        <v>4401</v>
      </c>
      <c r="K1852" s="22" t="s">
        <v>66</v>
      </c>
      <c r="L1852" s="22"/>
      <c r="M1852" s="22"/>
      <c r="N1852" s="22"/>
    </row>
    <row r="1853" spans="1:14" x14ac:dyDescent="0.25">
      <c r="A1853" s="22" t="s">
        <v>2745</v>
      </c>
      <c r="B1853" s="22" t="s">
        <v>39</v>
      </c>
      <c r="C1853" s="22" t="s">
        <v>4773</v>
      </c>
      <c r="D1853" s="23">
        <v>38107441</v>
      </c>
      <c r="E1853" s="22" t="s">
        <v>45</v>
      </c>
      <c r="F1853" s="24">
        <v>44407</v>
      </c>
      <c r="G1853" s="22" t="s">
        <v>2715</v>
      </c>
      <c r="H1853" s="22"/>
      <c r="I1853" s="22" t="s">
        <v>2715</v>
      </c>
      <c r="J1853" s="22" t="s">
        <v>4407</v>
      </c>
      <c r="K1853" s="22" t="s">
        <v>66</v>
      </c>
      <c r="L1853" s="22"/>
      <c r="M1853" s="22"/>
      <c r="N1853" s="22"/>
    </row>
    <row r="1854" spans="1:14" x14ac:dyDescent="0.25">
      <c r="A1854" s="22" t="s">
        <v>2756</v>
      </c>
      <c r="B1854" s="22" t="s">
        <v>39</v>
      </c>
      <c r="C1854" s="22" t="s">
        <v>7312</v>
      </c>
      <c r="D1854" s="23">
        <v>-32700</v>
      </c>
      <c r="E1854" s="22" t="s">
        <v>57</v>
      </c>
      <c r="F1854" s="24">
        <v>44398</v>
      </c>
      <c r="G1854" s="22" t="s">
        <v>2715</v>
      </c>
      <c r="H1854" s="22" t="s">
        <v>542</v>
      </c>
      <c r="I1854" s="22" t="s">
        <v>2755</v>
      </c>
      <c r="J1854" s="22" t="s">
        <v>4407</v>
      </c>
      <c r="K1854" s="22" t="s">
        <v>66</v>
      </c>
      <c r="L1854" s="22"/>
      <c r="M1854" s="22"/>
      <c r="N1854" s="22"/>
    </row>
    <row r="1855" spans="1:14" x14ac:dyDescent="0.25">
      <c r="A1855" s="22" t="s">
        <v>2753</v>
      </c>
      <c r="B1855" s="22" t="s">
        <v>39</v>
      </c>
      <c r="C1855" s="22" t="s">
        <v>7312</v>
      </c>
      <c r="D1855" s="23">
        <v>-32700</v>
      </c>
      <c r="E1855" s="22" t="s">
        <v>57</v>
      </c>
      <c r="F1855" s="24">
        <v>44399</v>
      </c>
      <c r="G1855" s="22" t="s">
        <v>2715</v>
      </c>
      <c r="H1855" s="22" t="s">
        <v>2754</v>
      </c>
      <c r="I1855" s="22" t="s">
        <v>2752</v>
      </c>
      <c r="J1855" s="22" t="s">
        <v>4407</v>
      </c>
      <c r="K1855" s="22" t="s">
        <v>66</v>
      </c>
      <c r="L1855" s="22"/>
      <c r="M1855" s="22"/>
      <c r="N1855" s="22"/>
    </row>
    <row r="1856" spans="1:14" x14ac:dyDescent="0.25">
      <c r="A1856" s="22" t="s">
        <v>2751</v>
      </c>
      <c r="B1856" s="22" t="s">
        <v>39</v>
      </c>
      <c r="C1856" s="22" t="s">
        <v>7312</v>
      </c>
      <c r="D1856" s="23">
        <v>-32700</v>
      </c>
      <c r="E1856" s="22" t="s">
        <v>57</v>
      </c>
      <c r="F1856" s="24">
        <v>44399</v>
      </c>
      <c r="G1856" s="22" t="s">
        <v>2715</v>
      </c>
      <c r="H1856" s="22" t="s">
        <v>532</v>
      </c>
      <c r="I1856" s="22" t="s">
        <v>2750</v>
      </c>
      <c r="J1856" s="22" t="s">
        <v>4407</v>
      </c>
      <c r="K1856" s="22" t="s">
        <v>66</v>
      </c>
      <c r="L1856" s="22"/>
      <c r="M1856" s="22"/>
      <c r="N1856" s="22"/>
    </row>
    <row r="1857" spans="1:14" x14ac:dyDescent="0.25">
      <c r="A1857" s="22" t="s">
        <v>2749</v>
      </c>
      <c r="B1857" s="22" t="s">
        <v>39</v>
      </c>
      <c r="C1857" s="22" t="s">
        <v>7312</v>
      </c>
      <c r="D1857" s="23">
        <v>-44700</v>
      </c>
      <c r="E1857" s="22" t="s">
        <v>57</v>
      </c>
      <c r="F1857" s="24">
        <v>44405</v>
      </c>
      <c r="G1857" s="22" t="s">
        <v>2715</v>
      </c>
      <c r="H1857" s="22" t="s">
        <v>743</v>
      </c>
      <c r="I1857" s="22" t="s">
        <v>2748</v>
      </c>
      <c r="J1857" s="22" t="s">
        <v>4407</v>
      </c>
      <c r="K1857" s="22" t="s">
        <v>66</v>
      </c>
      <c r="L1857" s="22"/>
      <c r="M1857" s="22"/>
      <c r="N1857" s="22"/>
    </row>
    <row r="1858" spans="1:14" x14ac:dyDescent="0.25">
      <c r="A1858" s="22" t="s">
        <v>2747</v>
      </c>
      <c r="B1858" s="22" t="s">
        <v>39</v>
      </c>
      <c r="C1858" s="22" t="s">
        <v>7312</v>
      </c>
      <c r="D1858" s="23">
        <v>-47200</v>
      </c>
      <c r="E1858" s="22" t="s">
        <v>57</v>
      </c>
      <c r="F1858" s="24">
        <v>44406</v>
      </c>
      <c r="G1858" s="22" t="s">
        <v>2715</v>
      </c>
      <c r="H1858" s="22" t="s">
        <v>919</v>
      </c>
      <c r="I1858" s="22" t="s">
        <v>2746</v>
      </c>
      <c r="J1858" s="22" t="s">
        <v>4407</v>
      </c>
      <c r="K1858" s="22" t="s">
        <v>66</v>
      </c>
      <c r="L1858" s="22"/>
      <c r="M1858" s="22"/>
      <c r="N1858" s="22"/>
    </row>
    <row r="1859" spans="1:14" x14ac:dyDescent="0.25">
      <c r="A1859" s="22" t="s">
        <v>2745</v>
      </c>
      <c r="B1859" s="22" t="s">
        <v>39</v>
      </c>
      <c r="C1859" s="22" t="s">
        <v>7313</v>
      </c>
      <c r="D1859" s="23">
        <v>-37863741</v>
      </c>
      <c r="E1859" s="22" t="s">
        <v>57</v>
      </c>
      <c r="F1859" s="24">
        <v>44407</v>
      </c>
      <c r="G1859" s="22" t="s">
        <v>2715</v>
      </c>
      <c r="H1859" s="22" t="s">
        <v>2415</v>
      </c>
      <c r="I1859" s="22" t="s">
        <v>2744</v>
      </c>
      <c r="J1859" s="22" t="s">
        <v>4407</v>
      </c>
      <c r="K1859" s="22" t="s">
        <v>66</v>
      </c>
      <c r="L1859" s="22"/>
      <c r="M1859" s="22"/>
      <c r="N1859" s="22"/>
    </row>
    <row r="1860" spans="1:14" x14ac:dyDescent="0.25">
      <c r="A1860" s="22" t="s">
        <v>2742</v>
      </c>
      <c r="B1860" s="22" t="s">
        <v>39</v>
      </c>
      <c r="C1860" s="22" t="s">
        <v>7313</v>
      </c>
      <c r="D1860" s="23">
        <v>-53700</v>
      </c>
      <c r="E1860" s="22" t="s">
        <v>57</v>
      </c>
      <c r="F1860" s="24">
        <v>44408</v>
      </c>
      <c r="G1860" s="22" t="s">
        <v>2715</v>
      </c>
      <c r="H1860" s="22" t="s">
        <v>2743</v>
      </c>
      <c r="I1860" s="22" t="s">
        <v>2741</v>
      </c>
      <c r="J1860" s="22" t="s">
        <v>4407</v>
      </c>
      <c r="K1860" s="22" t="s">
        <v>66</v>
      </c>
      <c r="L1860" s="22"/>
      <c r="M1860" s="22"/>
      <c r="N1860" s="22"/>
    </row>
    <row r="1861" spans="1:14" x14ac:dyDescent="0.25">
      <c r="A1861" s="22" t="s">
        <v>2739</v>
      </c>
      <c r="B1861" s="22" t="s">
        <v>39</v>
      </c>
      <c r="C1861" s="22" t="s">
        <v>7314</v>
      </c>
      <c r="D1861" s="23">
        <v>-43700</v>
      </c>
      <c r="E1861" s="22" t="s">
        <v>57</v>
      </c>
      <c r="F1861" s="24">
        <v>44379</v>
      </c>
      <c r="G1861" s="22" t="s">
        <v>2715</v>
      </c>
      <c r="H1861" s="22" t="s">
        <v>2740</v>
      </c>
      <c r="I1861" s="22" t="s">
        <v>2738</v>
      </c>
      <c r="J1861" s="22" t="s">
        <v>4552</v>
      </c>
      <c r="K1861" s="22" t="s">
        <v>61</v>
      </c>
      <c r="L1861" s="22"/>
      <c r="M1861" s="22"/>
      <c r="N1861" s="22"/>
    </row>
    <row r="1862" spans="1:14" x14ac:dyDescent="0.25">
      <c r="A1862" s="22" t="s">
        <v>2736</v>
      </c>
      <c r="B1862" s="22" t="s">
        <v>39</v>
      </c>
      <c r="C1862" s="22" t="s">
        <v>7314</v>
      </c>
      <c r="D1862" s="23">
        <v>-43700</v>
      </c>
      <c r="E1862" s="22" t="s">
        <v>57</v>
      </c>
      <c r="F1862" s="24">
        <v>44379</v>
      </c>
      <c r="G1862" s="22" t="s">
        <v>2715</v>
      </c>
      <c r="H1862" s="22" t="s">
        <v>2737</v>
      </c>
      <c r="I1862" s="22" t="s">
        <v>2735</v>
      </c>
      <c r="J1862" s="22" t="s">
        <v>4552</v>
      </c>
      <c r="K1862" s="22" t="s">
        <v>61</v>
      </c>
      <c r="L1862" s="22"/>
      <c r="M1862" s="22"/>
      <c r="N1862" s="22"/>
    </row>
    <row r="1863" spans="1:14" x14ac:dyDescent="0.25">
      <c r="A1863" s="22" t="s">
        <v>2734</v>
      </c>
      <c r="B1863" s="22" t="s">
        <v>39</v>
      </c>
      <c r="C1863" s="22" t="s">
        <v>7314</v>
      </c>
      <c r="D1863" s="23">
        <v>-29200</v>
      </c>
      <c r="E1863" s="22" t="s">
        <v>57</v>
      </c>
      <c r="F1863" s="24">
        <v>44379</v>
      </c>
      <c r="G1863" s="22" t="s">
        <v>2715</v>
      </c>
      <c r="H1863" s="22" t="s">
        <v>836</v>
      </c>
      <c r="I1863" s="22" t="s">
        <v>2733</v>
      </c>
      <c r="J1863" s="22" t="s">
        <v>4552</v>
      </c>
      <c r="K1863" s="22" t="s">
        <v>61</v>
      </c>
      <c r="L1863" s="22"/>
      <c r="M1863" s="22"/>
      <c r="N1863" s="22"/>
    </row>
    <row r="1864" spans="1:14" x14ac:dyDescent="0.25">
      <c r="A1864" s="22" t="s">
        <v>2732</v>
      </c>
      <c r="B1864" s="22" t="s">
        <v>39</v>
      </c>
      <c r="C1864" s="22" t="s">
        <v>7314</v>
      </c>
      <c r="D1864" s="23">
        <v>-43700</v>
      </c>
      <c r="E1864" s="22" t="s">
        <v>57</v>
      </c>
      <c r="F1864" s="24">
        <v>44383</v>
      </c>
      <c r="G1864" s="22" t="s">
        <v>2715</v>
      </c>
      <c r="H1864" s="22" t="s">
        <v>836</v>
      </c>
      <c r="I1864" s="22" t="s">
        <v>2731</v>
      </c>
      <c r="J1864" s="22" t="s">
        <v>4552</v>
      </c>
      <c r="K1864" s="22" t="s">
        <v>61</v>
      </c>
      <c r="L1864" s="22"/>
      <c r="M1864" s="22"/>
      <c r="N1864" s="22"/>
    </row>
    <row r="1865" spans="1:14" x14ac:dyDescent="0.25">
      <c r="A1865" s="22" t="s">
        <v>2730</v>
      </c>
      <c r="B1865" s="22" t="s">
        <v>39</v>
      </c>
      <c r="C1865" s="22" t="s">
        <v>7314</v>
      </c>
      <c r="D1865" s="23">
        <v>-99200</v>
      </c>
      <c r="E1865" s="22" t="s">
        <v>57</v>
      </c>
      <c r="F1865" s="24">
        <v>44384</v>
      </c>
      <c r="G1865" s="22" t="s">
        <v>2715</v>
      </c>
      <c r="H1865" s="22" t="s">
        <v>823</v>
      </c>
      <c r="I1865" s="22" t="s">
        <v>2729</v>
      </c>
      <c r="J1865" s="22" t="s">
        <v>4552</v>
      </c>
      <c r="K1865" s="22" t="s">
        <v>61</v>
      </c>
      <c r="L1865" s="22"/>
      <c r="M1865" s="22"/>
      <c r="N1865" s="22"/>
    </row>
    <row r="1866" spans="1:14" x14ac:dyDescent="0.25">
      <c r="A1866" s="22" t="s">
        <v>2728</v>
      </c>
      <c r="B1866" s="22" t="s">
        <v>39</v>
      </c>
      <c r="C1866" s="22" t="s">
        <v>7314</v>
      </c>
      <c r="D1866" s="23">
        <v>-18800</v>
      </c>
      <c r="E1866" s="22" t="s">
        <v>57</v>
      </c>
      <c r="F1866" s="24">
        <v>44386</v>
      </c>
      <c r="G1866" s="22" t="s">
        <v>2715</v>
      </c>
      <c r="H1866" s="22" t="s">
        <v>2726</v>
      </c>
      <c r="I1866" s="22" t="s">
        <v>2727</v>
      </c>
      <c r="J1866" s="22" t="s">
        <v>4552</v>
      </c>
      <c r="K1866" s="22" t="s">
        <v>61</v>
      </c>
      <c r="L1866" s="22"/>
      <c r="M1866" s="22"/>
      <c r="N1866" s="22"/>
    </row>
    <row r="1867" spans="1:14" x14ac:dyDescent="0.25">
      <c r="A1867" s="22" t="s">
        <v>2725</v>
      </c>
      <c r="B1867" s="22" t="s">
        <v>39</v>
      </c>
      <c r="C1867" s="22" t="s">
        <v>7314</v>
      </c>
      <c r="D1867" s="23">
        <v>-32700</v>
      </c>
      <c r="E1867" s="22" t="s">
        <v>57</v>
      </c>
      <c r="F1867" s="24">
        <v>44386</v>
      </c>
      <c r="G1867" s="22" t="s">
        <v>2715</v>
      </c>
      <c r="H1867" s="22" t="s">
        <v>2726</v>
      </c>
      <c r="I1867" s="22" t="s">
        <v>2724</v>
      </c>
      <c r="J1867" s="22" t="s">
        <v>4552</v>
      </c>
      <c r="K1867" s="22" t="s">
        <v>61</v>
      </c>
      <c r="L1867" s="22"/>
      <c r="M1867" s="22"/>
      <c r="N1867" s="22"/>
    </row>
    <row r="1868" spans="1:14" x14ac:dyDescent="0.25">
      <c r="A1868" s="22" t="s">
        <v>2723</v>
      </c>
      <c r="B1868" s="22" t="s">
        <v>39</v>
      </c>
      <c r="C1868" s="22" t="s">
        <v>7314</v>
      </c>
      <c r="D1868" s="23">
        <v>-75500</v>
      </c>
      <c r="E1868" s="22" t="s">
        <v>57</v>
      </c>
      <c r="F1868" s="24">
        <v>44389</v>
      </c>
      <c r="G1868" s="22" t="s">
        <v>2715</v>
      </c>
      <c r="H1868" s="22" t="s">
        <v>280</v>
      </c>
      <c r="I1868" s="22" t="s">
        <v>2722</v>
      </c>
      <c r="J1868" s="22" t="s">
        <v>4552</v>
      </c>
      <c r="K1868" s="22" t="s">
        <v>61</v>
      </c>
      <c r="L1868" s="22"/>
      <c r="M1868" s="22"/>
      <c r="N1868" s="22"/>
    </row>
    <row r="1869" spans="1:14" x14ac:dyDescent="0.25">
      <c r="A1869" s="22" t="s">
        <v>2721</v>
      </c>
      <c r="B1869" s="22" t="s">
        <v>39</v>
      </c>
      <c r="C1869" s="22" t="s">
        <v>7314</v>
      </c>
      <c r="D1869" s="23">
        <v>-56200</v>
      </c>
      <c r="E1869" s="22" t="s">
        <v>57</v>
      </c>
      <c r="F1869" s="24">
        <v>44393</v>
      </c>
      <c r="G1869" s="22" t="s">
        <v>2715</v>
      </c>
      <c r="H1869" s="22" t="s">
        <v>897</v>
      </c>
      <c r="I1869" s="22" t="s">
        <v>2720</v>
      </c>
      <c r="J1869" s="22" t="s">
        <v>4552</v>
      </c>
      <c r="K1869" s="22" t="s">
        <v>61</v>
      </c>
      <c r="L1869" s="22"/>
      <c r="M1869" s="22"/>
      <c r="N1869" s="22"/>
    </row>
    <row r="1870" spans="1:14" x14ac:dyDescent="0.25">
      <c r="A1870" s="22" t="s">
        <v>2719</v>
      </c>
      <c r="B1870" s="22" t="s">
        <v>39</v>
      </c>
      <c r="C1870" s="22" t="s">
        <v>7314</v>
      </c>
      <c r="D1870" s="23">
        <v>-344100</v>
      </c>
      <c r="E1870" s="22" t="s">
        <v>57</v>
      </c>
      <c r="F1870" s="24">
        <v>44393</v>
      </c>
      <c r="G1870" s="22" t="s">
        <v>2715</v>
      </c>
      <c r="H1870" s="22" t="s">
        <v>309</v>
      </c>
      <c r="I1870" s="22" t="s">
        <v>2718</v>
      </c>
      <c r="J1870" s="22" t="s">
        <v>4552</v>
      </c>
      <c r="K1870" s="22" t="s">
        <v>61</v>
      </c>
      <c r="L1870" s="22"/>
      <c r="M1870" s="22"/>
      <c r="N1870" s="22"/>
    </row>
    <row r="1871" spans="1:14" x14ac:dyDescent="0.25">
      <c r="A1871" s="22" t="s">
        <v>2717</v>
      </c>
      <c r="B1871" s="22" t="s">
        <v>39</v>
      </c>
      <c r="C1871" s="22" t="s">
        <v>7314</v>
      </c>
      <c r="D1871" s="23">
        <v>-18800</v>
      </c>
      <c r="E1871" s="22" t="s">
        <v>57</v>
      </c>
      <c r="F1871" s="24">
        <v>44398</v>
      </c>
      <c r="G1871" s="22" t="s">
        <v>2715</v>
      </c>
      <c r="H1871" s="22" t="s">
        <v>280</v>
      </c>
      <c r="I1871" s="22" t="s">
        <v>2716</v>
      </c>
      <c r="J1871" s="22" t="s">
        <v>4552</v>
      </c>
      <c r="K1871" s="22" t="s">
        <v>61</v>
      </c>
      <c r="L1871" s="22"/>
      <c r="M1871" s="22"/>
      <c r="N1871" s="22"/>
    </row>
    <row r="1872" spans="1:14" x14ac:dyDescent="0.25">
      <c r="A1872" s="22" t="s">
        <v>2714</v>
      </c>
      <c r="B1872" s="22" t="s">
        <v>39</v>
      </c>
      <c r="C1872" s="22" t="s">
        <v>7314</v>
      </c>
      <c r="D1872" s="23">
        <v>-18800</v>
      </c>
      <c r="E1872" s="22" t="s">
        <v>57</v>
      </c>
      <c r="F1872" s="24">
        <v>44403</v>
      </c>
      <c r="G1872" s="22" t="s">
        <v>2715</v>
      </c>
      <c r="H1872" s="22" t="s">
        <v>2329</v>
      </c>
      <c r="I1872" s="22" t="s">
        <v>2713</v>
      </c>
      <c r="J1872" s="22" t="s">
        <v>4552</v>
      </c>
      <c r="K1872" s="22" t="s">
        <v>61</v>
      </c>
      <c r="L1872" s="22"/>
      <c r="M1872" s="22"/>
      <c r="N1872" s="22"/>
    </row>
    <row r="1873" spans="1:14" x14ac:dyDescent="0.25">
      <c r="A1873" s="22" t="s">
        <v>2805</v>
      </c>
      <c r="B1873" s="22" t="s">
        <v>39</v>
      </c>
      <c r="C1873" s="22" t="s">
        <v>7314</v>
      </c>
      <c r="D1873" s="23">
        <v>-15300</v>
      </c>
      <c r="E1873" s="22" t="s">
        <v>57</v>
      </c>
      <c r="F1873" s="24">
        <v>44403</v>
      </c>
      <c r="G1873" s="22" t="s">
        <v>2715</v>
      </c>
      <c r="H1873" s="22" t="s">
        <v>280</v>
      </c>
      <c r="I1873" s="22" t="s">
        <v>2804</v>
      </c>
      <c r="J1873" s="22" t="s">
        <v>4552</v>
      </c>
      <c r="K1873" s="22" t="s">
        <v>61</v>
      </c>
      <c r="L1873" s="22"/>
      <c r="M1873" s="22"/>
      <c r="N1873" s="22"/>
    </row>
    <row r="1874" spans="1:14" x14ac:dyDescent="0.25">
      <c r="A1874" s="22" t="s">
        <v>2803</v>
      </c>
      <c r="B1874" s="22" t="s">
        <v>39</v>
      </c>
      <c r="C1874" s="22" t="s">
        <v>7314</v>
      </c>
      <c r="D1874" s="23">
        <v>-28100</v>
      </c>
      <c r="E1874" s="22" t="s">
        <v>57</v>
      </c>
      <c r="F1874" s="24">
        <v>44406</v>
      </c>
      <c r="G1874" s="22" t="s">
        <v>2715</v>
      </c>
      <c r="H1874" s="22" t="s">
        <v>280</v>
      </c>
      <c r="I1874" s="22" t="s">
        <v>2802</v>
      </c>
      <c r="J1874" s="22" t="s">
        <v>4552</v>
      </c>
      <c r="K1874" s="22" t="s">
        <v>61</v>
      </c>
      <c r="L1874" s="22"/>
      <c r="M1874" s="22"/>
      <c r="N1874" s="22"/>
    </row>
    <row r="1875" spans="1:14" x14ac:dyDescent="0.25">
      <c r="A1875" s="22" t="s">
        <v>2800</v>
      </c>
      <c r="B1875" s="22" t="s">
        <v>39</v>
      </c>
      <c r="C1875" s="22" t="s">
        <v>7314</v>
      </c>
      <c r="D1875" s="23">
        <v>-76700</v>
      </c>
      <c r="E1875" s="22" t="s">
        <v>57</v>
      </c>
      <c r="F1875" s="24">
        <v>44406</v>
      </c>
      <c r="G1875" s="22" t="s">
        <v>2715</v>
      </c>
      <c r="H1875" s="22" t="s">
        <v>2801</v>
      </c>
      <c r="I1875" s="22" t="s">
        <v>2799</v>
      </c>
      <c r="J1875" s="22" t="s">
        <v>4552</v>
      </c>
      <c r="K1875" s="22" t="s">
        <v>61</v>
      </c>
      <c r="L1875" s="22"/>
      <c r="M1875" s="22"/>
      <c r="N1875" s="22"/>
    </row>
    <row r="1876" spans="1:14" x14ac:dyDescent="0.25">
      <c r="A1876" s="22" t="s">
        <v>2798</v>
      </c>
      <c r="B1876" s="22" t="s">
        <v>39</v>
      </c>
      <c r="C1876" s="22" t="s">
        <v>7314</v>
      </c>
      <c r="D1876" s="23">
        <v>-43700</v>
      </c>
      <c r="E1876" s="22" t="s">
        <v>57</v>
      </c>
      <c r="F1876" s="24">
        <v>44407</v>
      </c>
      <c r="G1876" s="22" t="s">
        <v>2715</v>
      </c>
      <c r="H1876" s="22" t="s">
        <v>799</v>
      </c>
      <c r="I1876" s="22" t="s">
        <v>2797</v>
      </c>
      <c r="J1876" s="22" t="s">
        <v>4552</v>
      </c>
      <c r="K1876" s="22" t="s">
        <v>61</v>
      </c>
      <c r="L1876" s="22"/>
      <c r="M1876" s="22"/>
      <c r="N1876" s="22"/>
    </row>
    <row r="1877" spans="1:14" x14ac:dyDescent="0.25">
      <c r="A1877" s="22" t="s">
        <v>2796</v>
      </c>
      <c r="B1877" s="22" t="s">
        <v>39</v>
      </c>
      <c r="C1877" s="22" t="s">
        <v>7314</v>
      </c>
      <c r="D1877" s="23">
        <v>-43700</v>
      </c>
      <c r="E1877" s="22" t="s">
        <v>57</v>
      </c>
      <c r="F1877" s="24">
        <v>44407</v>
      </c>
      <c r="G1877" s="22" t="s">
        <v>2715</v>
      </c>
      <c r="H1877" s="22" t="s">
        <v>550</v>
      </c>
      <c r="I1877" s="22" t="s">
        <v>2795</v>
      </c>
      <c r="J1877" s="22" t="s">
        <v>4552</v>
      </c>
      <c r="K1877" s="22" t="s">
        <v>61</v>
      </c>
      <c r="L1877" s="22"/>
      <c r="M1877" s="22"/>
      <c r="N1877" s="22"/>
    </row>
    <row r="1878" spans="1:14" x14ac:dyDescent="0.25">
      <c r="A1878" s="22" t="s">
        <v>2793</v>
      </c>
      <c r="B1878" s="22" t="s">
        <v>39</v>
      </c>
      <c r="C1878" s="22" t="s">
        <v>176</v>
      </c>
      <c r="D1878" s="23">
        <v>-369854</v>
      </c>
      <c r="E1878" s="22" t="s">
        <v>57</v>
      </c>
      <c r="F1878" s="24">
        <v>44381</v>
      </c>
      <c r="G1878" s="22" t="s">
        <v>2715</v>
      </c>
      <c r="H1878" s="22" t="s">
        <v>2794</v>
      </c>
      <c r="I1878" s="22" t="s">
        <v>2792</v>
      </c>
      <c r="J1878" s="22" t="s">
        <v>4552</v>
      </c>
      <c r="K1878" s="22" t="s">
        <v>61</v>
      </c>
      <c r="L1878" s="22"/>
      <c r="M1878" s="22"/>
      <c r="N1878" s="22"/>
    </row>
    <row r="1879" spans="1:14" x14ac:dyDescent="0.25">
      <c r="A1879" s="22" t="s">
        <v>2790</v>
      </c>
      <c r="B1879" s="22" t="s">
        <v>39</v>
      </c>
      <c r="C1879" s="22" t="s">
        <v>176</v>
      </c>
      <c r="D1879" s="23">
        <v>-54724</v>
      </c>
      <c r="E1879" s="22" t="s">
        <v>57</v>
      </c>
      <c r="F1879" s="24">
        <v>44390</v>
      </c>
      <c r="G1879" s="22" t="s">
        <v>2715</v>
      </c>
      <c r="H1879" s="22" t="s">
        <v>2791</v>
      </c>
      <c r="I1879" s="22" t="s">
        <v>2789</v>
      </c>
      <c r="J1879" s="22" t="s">
        <v>4552</v>
      </c>
      <c r="K1879" s="22" t="s">
        <v>61</v>
      </c>
      <c r="L1879" s="22"/>
      <c r="M1879" s="22"/>
      <c r="N1879" s="22"/>
    </row>
    <row r="1880" spans="1:14" x14ac:dyDescent="0.25">
      <c r="A1880" s="22" t="s">
        <v>1885</v>
      </c>
      <c r="B1880" s="22" t="s">
        <v>39</v>
      </c>
      <c r="C1880" s="22" t="s">
        <v>40</v>
      </c>
      <c r="D1880" s="23">
        <v>15103283</v>
      </c>
      <c r="E1880" s="22" t="s">
        <v>42</v>
      </c>
      <c r="F1880" s="24">
        <v>44355</v>
      </c>
      <c r="G1880" s="22" t="s">
        <v>2715</v>
      </c>
      <c r="H1880" s="22" t="s">
        <v>605</v>
      </c>
      <c r="I1880" s="22" t="s">
        <v>2788</v>
      </c>
      <c r="J1880" s="22" t="s">
        <v>4401</v>
      </c>
      <c r="K1880" s="22" t="s">
        <v>292</v>
      </c>
      <c r="L1880" s="22"/>
      <c r="M1880" s="22"/>
      <c r="N1880" s="22"/>
    </row>
    <row r="1881" spans="1:14" x14ac:dyDescent="0.25">
      <c r="A1881" s="22" t="s">
        <v>181</v>
      </c>
      <c r="B1881" s="22" t="s">
        <v>39</v>
      </c>
      <c r="C1881" s="22" t="s">
        <v>4773</v>
      </c>
      <c r="D1881" s="23">
        <v>44737</v>
      </c>
      <c r="E1881" s="22" t="s">
        <v>45</v>
      </c>
      <c r="F1881" s="24">
        <v>44246</v>
      </c>
      <c r="G1881" s="22" t="s">
        <v>2669</v>
      </c>
      <c r="H1881" s="22"/>
      <c r="I1881" s="22" t="s">
        <v>2669</v>
      </c>
      <c r="J1881" s="22" t="s">
        <v>4552</v>
      </c>
      <c r="K1881" s="22" t="s">
        <v>66</v>
      </c>
      <c r="L1881" s="22"/>
      <c r="M1881" s="22"/>
      <c r="N1881" s="22"/>
    </row>
    <row r="1882" spans="1:14" x14ac:dyDescent="0.25">
      <c r="A1882" s="22" t="s">
        <v>181</v>
      </c>
      <c r="B1882" s="22" t="s">
        <v>39</v>
      </c>
      <c r="C1882" s="22" t="s">
        <v>4773</v>
      </c>
      <c r="D1882" s="23">
        <v>-2704955</v>
      </c>
      <c r="E1882" s="22" t="s">
        <v>45</v>
      </c>
      <c r="F1882" s="24">
        <v>44246</v>
      </c>
      <c r="G1882" s="22" t="s">
        <v>2669</v>
      </c>
      <c r="H1882" s="22"/>
      <c r="I1882" s="22" t="s">
        <v>2669</v>
      </c>
      <c r="J1882" s="22" t="s">
        <v>4401</v>
      </c>
      <c r="K1882" s="22" t="s">
        <v>66</v>
      </c>
      <c r="L1882" s="22"/>
      <c r="M1882" s="22"/>
      <c r="N1882" s="22"/>
    </row>
    <row r="1883" spans="1:14" x14ac:dyDescent="0.25">
      <c r="A1883" s="22" t="s">
        <v>181</v>
      </c>
      <c r="B1883" s="22" t="s">
        <v>39</v>
      </c>
      <c r="C1883" s="22" t="s">
        <v>4773</v>
      </c>
      <c r="D1883" s="23">
        <v>4113440</v>
      </c>
      <c r="E1883" s="22" t="s">
        <v>45</v>
      </c>
      <c r="F1883" s="24">
        <v>44246</v>
      </c>
      <c r="G1883" s="22" t="s">
        <v>2669</v>
      </c>
      <c r="H1883" s="22"/>
      <c r="I1883" s="22" t="s">
        <v>2669</v>
      </c>
      <c r="J1883" s="22" t="s">
        <v>4407</v>
      </c>
      <c r="K1883" s="22" t="s">
        <v>66</v>
      </c>
      <c r="L1883" s="22"/>
      <c r="M1883" s="22"/>
      <c r="N1883" s="22"/>
    </row>
    <row r="1884" spans="1:14" x14ac:dyDescent="0.25">
      <c r="A1884" s="22" t="s">
        <v>2787</v>
      </c>
      <c r="B1884" s="22" t="s">
        <v>39</v>
      </c>
      <c r="C1884" s="22" t="s">
        <v>7312</v>
      </c>
      <c r="D1884" s="23">
        <v>-59700</v>
      </c>
      <c r="E1884" s="22" t="s">
        <v>57</v>
      </c>
      <c r="F1884" s="24">
        <v>44378</v>
      </c>
      <c r="G1884" s="22" t="s">
        <v>2669</v>
      </c>
      <c r="H1884" s="22" t="s">
        <v>764</v>
      </c>
      <c r="I1884" s="22" t="s">
        <v>2786</v>
      </c>
      <c r="J1884" s="22" t="s">
        <v>4407</v>
      </c>
      <c r="K1884" s="22" t="s">
        <v>66</v>
      </c>
      <c r="L1884" s="22"/>
      <c r="M1884" s="22"/>
      <c r="N1884" s="22"/>
    </row>
    <row r="1885" spans="1:14" x14ac:dyDescent="0.25">
      <c r="A1885" s="22" t="s">
        <v>2785</v>
      </c>
      <c r="B1885" s="22" t="s">
        <v>39</v>
      </c>
      <c r="C1885" s="22" t="s">
        <v>7312</v>
      </c>
      <c r="D1885" s="23">
        <v>-184200</v>
      </c>
      <c r="E1885" s="22" t="s">
        <v>57</v>
      </c>
      <c r="F1885" s="24">
        <v>44379</v>
      </c>
      <c r="G1885" s="22" t="s">
        <v>2669</v>
      </c>
      <c r="H1885" s="22" t="s">
        <v>743</v>
      </c>
      <c r="I1885" s="22" t="s">
        <v>2784</v>
      </c>
      <c r="J1885" s="22" t="s">
        <v>4407</v>
      </c>
      <c r="K1885" s="22" t="s">
        <v>66</v>
      </c>
      <c r="L1885" s="22"/>
      <c r="M1885" s="22"/>
      <c r="N1885" s="22"/>
    </row>
    <row r="1886" spans="1:14" x14ac:dyDescent="0.25">
      <c r="A1886" s="22" t="s">
        <v>2782</v>
      </c>
      <c r="B1886" s="22" t="s">
        <v>39</v>
      </c>
      <c r="C1886" s="22" t="s">
        <v>7312</v>
      </c>
      <c r="D1886" s="23">
        <v>-47200</v>
      </c>
      <c r="E1886" s="22" t="s">
        <v>57</v>
      </c>
      <c r="F1886" s="24">
        <v>44379</v>
      </c>
      <c r="G1886" s="22" t="s">
        <v>2669</v>
      </c>
      <c r="H1886" s="22" t="s">
        <v>2783</v>
      </c>
      <c r="I1886" s="22" t="s">
        <v>2781</v>
      </c>
      <c r="J1886" s="22" t="s">
        <v>4407</v>
      </c>
      <c r="K1886" s="22" t="s">
        <v>66</v>
      </c>
      <c r="L1886" s="22"/>
      <c r="M1886" s="22"/>
      <c r="N1886" s="22"/>
    </row>
    <row r="1887" spans="1:14" x14ac:dyDescent="0.25">
      <c r="A1887" s="22" t="s">
        <v>2780</v>
      </c>
      <c r="B1887" s="22" t="s">
        <v>39</v>
      </c>
      <c r="C1887" s="22" t="s">
        <v>7312</v>
      </c>
      <c r="D1887" s="23">
        <v>-50700</v>
      </c>
      <c r="E1887" s="22" t="s">
        <v>57</v>
      </c>
      <c r="F1887" s="24">
        <v>44379</v>
      </c>
      <c r="G1887" s="22" t="s">
        <v>2669</v>
      </c>
      <c r="H1887" s="22" t="s">
        <v>919</v>
      </c>
      <c r="I1887" s="22" t="s">
        <v>2779</v>
      </c>
      <c r="J1887" s="22" t="s">
        <v>4407</v>
      </c>
      <c r="K1887" s="22" t="s">
        <v>66</v>
      </c>
      <c r="L1887" s="22"/>
      <c r="M1887" s="22"/>
      <c r="N1887" s="22"/>
    </row>
    <row r="1888" spans="1:14" x14ac:dyDescent="0.25">
      <c r="A1888" s="22" t="s">
        <v>2778</v>
      </c>
      <c r="B1888" s="22" t="s">
        <v>39</v>
      </c>
      <c r="C1888" s="22" t="s">
        <v>7312</v>
      </c>
      <c r="D1888" s="23">
        <v>-47200</v>
      </c>
      <c r="E1888" s="22" t="s">
        <v>57</v>
      </c>
      <c r="F1888" s="24">
        <v>44380</v>
      </c>
      <c r="G1888" s="22" t="s">
        <v>2669</v>
      </c>
      <c r="H1888" s="22" t="s">
        <v>743</v>
      </c>
      <c r="I1888" s="22" t="s">
        <v>2777</v>
      </c>
      <c r="J1888" s="22" t="s">
        <v>4407</v>
      </c>
      <c r="K1888" s="22" t="s">
        <v>66</v>
      </c>
      <c r="L1888" s="22"/>
      <c r="M1888" s="22"/>
      <c r="N1888" s="22"/>
    </row>
    <row r="1889" spans="1:14" x14ac:dyDescent="0.25">
      <c r="A1889" s="22" t="s">
        <v>2776</v>
      </c>
      <c r="B1889" s="22" t="s">
        <v>39</v>
      </c>
      <c r="C1889" s="22" t="s">
        <v>7312</v>
      </c>
      <c r="D1889" s="23">
        <v>-47200</v>
      </c>
      <c r="E1889" s="22" t="s">
        <v>57</v>
      </c>
      <c r="F1889" s="24">
        <v>44389</v>
      </c>
      <c r="G1889" s="22" t="s">
        <v>2669</v>
      </c>
      <c r="H1889" s="22" t="s">
        <v>919</v>
      </c>
      <c r="I1889" s="22" t="s">
        <v>2775</v>
      </c>
      <c r="J1889" s="22" t="s">
        <v>4407</v>
      </c>
      <c r="K1889" s="22" t="s">
        <v>66</v>
      </c>
      <c r="L1889" s="22"/>
      <c r="M1889" s="22"/>
      <c r="N1889" s="22"/>
    </row>
    <row r="1890" spans="1:14" x14ac:dyDescent="0.25">
      <c r="A1890" s="22" t="s">
        <v>2774</v>
      </c>
      <c r="B1890" s="22" t="s">
        <v>39</v>
      </c>
      <c r="C1890" s="22" t="s">
        <v>7312</v>
      </c>
      <c r="D1890" s="23">
        <v>-32700</v>
      </c>
      <c r="E1890" s="22" t="s">
        <v>57</v>
      </c>
      <c r="F1890" s="24">
        <v>44392</v>
      </c>
      <c r="G1890" s="22" t="s">
        <v>2669</v>
      </c>
      <c r="H1890" s="22" t="s">
        <v>740</v>
      </c>
      <c r="I1890" s="22" t="s">
        <v>2773</v>
      </c>
      <c r="J1890" s="22" t="s">
        <v>4407</v>
      </c>
      <c r="K1890" s="22" t="s">
        <v>66</v>
      </c>
      <c r="L1890" s="22"/>
      <c r="M1890" s="22"/>
      <c r="N1890" s="22"/>
    </row>
    <row r="1891" spans="1:14" x14ac:dyDescent="0.25">
      <c r="A1891" s="22" t="s">
        <v>2772</v>
      </c>
      <c r="B1891" s="22" t="s">
        <v>39</v>
      </c>
      <c r="C1891" s="22" t="s">
        <v>7312</v>
      </c>
      <c r="D1891" s="23">
        <v>-60200</v>
      </c>
      <c r="E1891" s="22" t="s">
        <v>57</v>
      </c>
      <c r="F1891" s="24">
        <v>44392</v>
      </c>
      <c r="G1891" s="22" t="s">
        <v>2669</v>
      </c>
      <c r="H1891" s="22" t="s">
        <v>743</v>
      </c>
      <c r="I1891" s="22" t="s">
        <v>2771</v>
      </c>
      <c r="J1891" s="22" t="s">
        <v>4407</v>
      </c>
      <c r="K1891" s="22" t="s">
        <v>66</v>
      </c>
      <c r="L1891" s="22"/>
      <c r="M1891" s="22"/>
      <c r="N1891" s="22"/>
    </row>
    <row r="1892" spans="1:14" x14ac:dyDescent="0.25">
      <c r="A1892" s="22" t="s">
        <v>2770</v>
      </c>
      <c r="B1892" s="22" t="s">
        <v>39</v>
      </c>
      <c r="C1892" s="22" t="s">
        <v>7312</v>
      </c>
      <c r="D1892" s="23">
        <v>-32700</v>
      </c>
      <c r="E1892" s="22" t="s">
        <v>57</v>
      </c>
      <c r="F1892" s="24">
        <v>44398</v>
      </c>
      <c r="G1892" s="22" t="s">
        <v>2669</v>
      </c>
      <c r="H1892" s="22" t="s">
        <v>919</v>
      </c>
      <c r="I1892" s="22" t="s">
        <v>2769</v>
      </c>
      <c r="J1892" s="22" t="s">
        <v>4407</v>
      </c>
      <c r="K1892" s="22" t="s">
        <v>66</v>
      </c>
      <c r="L1892" s="22"/>
      <c r="M1892" s="22"/>
      <c r="N1892" s="22"/>
    </row>
    <row r="1893" spans="1:14" x14ac:dyDescent="0.25">
      <c r="A1893" s="22" t="s">
        <v>1894</v>
      </c>
      <c r="B1893" s="22" t="s">
        <v>39</v>
      </c>
      <c r="C1893" s="22" t="s">
        <v>176</v>
      </c>
      <c r="D1893" s="23">
        <v>-44737</v>
      </c>
      <c r="E1893" s="22" t="s">
        <v>45</v>
      </c>
      <c r="F1893" s="24">
        <v>44394</v>
      </c>
      <c r="G1893" s="22" t="s">
        <v>2669</v>
      </c>
      <c r="H1893" s="22" t="s">
        <v>2768</v>
      </c>
      <c r="I1893" s="22" t="s">
        <v>1892</v>
      </c>
      <c r="J1893" s="22" t="s">
        <v>4552</v>
      </c>
      <c r="K1893" s="22" t="s">
        <v>61</v>
      </c>
      <c r="L1893" s="22"/>
      <c r="M1893" s="22"/>
      <c r="N1893" s="22"/>
    </row>
    <row r="1894" spans="1:14" x14ac:dyDescent="0.25">
      <c r="A1894" s="22" t="s">
        <v>181</v>
      </c>
      <c r="B1894" s="22" t="s">
        <v>39</v>
      </c>
      <c r="C1894" s="22" t="s">
        <v>180</v>
      </c>
      <c r="D1894" s="23">
        <v>-3551640</v>
      </c>
      <c r="E1894" s="22" t="s">
        <v>57</v>
      </c>
      <c r="F1894" s="24">
        <v>44246</v>
      </c>
      <c r="G1894" s="22" t="s">
        <v>2669</v>
      </c>
      <c r="H1894" s="22" t="s">
        <v>2767</v>
      </c>
      <c r="I1894" s="22" t="s">
        <v>183</v>
      </c>
      <c r="J1894" s="22" t="s">
        <v>4407</v>
      </c>
      <c r="K1894" s="22" t="s">
        <v>66</v>
      </c>
      <c r="L1894" s="22"/>
      <c r="M1894" s="22"/>
      <c r="N1894" s="22"/>
    </row>
    <row r="1895" spans="1:14" x14ac:dyDescent="0.25">
      <c r="A1895" s="22" t="s">
        <v>2766</v>
      </c>
      <c r="B1895" s="22" t="s">
        <v>39</v>
      </c>
      <c r="C1895" s="22" t="s">
        <v>40</v>
      </c>
      <c r="D1895" s="23">
        <v>3607356</v>
      </c>
      <c r="E1895" s="22" t="s">
        <v>42</v>
      </c>
      <c r="F1895" s="24">
        <v>44355</v>
      </c>
      <c r="G1895" s="22" t="s">
        <v>2669</v>
      </c>
      <c r="H1895" s="22" t="s">
        <v>605</v>
      </c>
      <c r="I1895" s="22" t="s">
        <v>2765</v>
      </c>
      <c r="J1895" s="22" t="s">
        <v>4401</v>
      </c>
      <c r="K1895" s="22" t="s">
        <v>292</v>
      </c>
      <c r="L1895" s="22"/>
      <c r="M1895" s="22"/>
      <c r="N1895" s="22"/>
    </row>
    <row r="1896" spans="1:14" x14ac:dyDescent="0.25">
      <c r="A1896" s="22" t="s">
        <v>2763</v>
      </c>
      <c r="B1896" s="22" t="s">
        <v>39</v>
      </c>
      <c r="C1896" s="22" t="s">
        <v>7315</v>
      </c>
      <c r="D1896" s="23">
        <v>-142800</v>
      </c>
      <c r="E1896" s="22" t="s">
        <v>588</v>
      </c>
      <c r="F1896" s="24">
        <v>44375</v>
      </c>
      <c r="G1896" s="22" t="s">
        <v>2669</v>
      </c>
      <c r="H1896" s="22" t="s">
        <v>2764</v>
      </c>
      <c r="I1896" s="22" t="s">
        <v>2762</v>
      </c>
      <c r="J1896" s="22" t="s">
        <v>4401</v>
      </c>
      <c r="K1896" s="22" t="s">
        <v>4479</v>
      </c>
      <c r="L1896" s="22"/>
      <c r="M1896" s="22"/>
      <c r="N1896" s="22"/>
    </row>
    <row r="1897" spans="1:14" x14ac:dyDescent="0.25">
      <c r="A1897" s="22" t="s">
        <v>2711</v>
      </c>
      <c r="B1897" s="22" t="s">
        <v>39</v>
      </c>
      <c r="C1897" s="22" t="s">
        <v>7316</v>
      </c>
      <c r="D1897" s="23">
        <v>-759601</v>
      </c>
      <c r="E1897" s="22" t="s">
        <v>588</v>
      </c>
      <c r="F1897" s="24">
        <v>44161</v>
      </c>
      <c r="G1897" s="22" t="s">
        <v>2669</v>
      </c>
      <c r="H1897" s="22" t="s">
        <v>2712</v>
      </c>
      <c r="I1897" s="22" t="s">
        <v>2710</v>
      </c>
      <c r="J1897" s="22" t="s">
        <v>4401</v>
      </c>
      <c r="K1897" s="22" t="s">
        <v>4479</v>
      </c>
      <c r="L1897" s="22"/>
      <c r="M1897" s="22"/>
      <c r="N1897" s="22"/>
    </row>
    <row r="1898" spans="1:14" x14ac:dyDescent="0.25">
      <c r="A1898" s="22" t="s">
        <v>2663</v>
      </c>
      <c r="B1898" s="22" t="s">
        <v>39</v>
      </c>
      <c r="C1898" s="22" t="s">
        <v>4773</v>
      </c>
      <c r="D1898" s="23">
        <v>1746613</v>
      </c>
      <c r="E1898" s="22" t="s">
        <v>45</v>
      </c>
      <c r="F1898" s="24">
        <v>44222</v>
      </c>
      <c r="G1898" s="22" t="s">
        <v>2662</v>
      </c>
      <c r="H1898" s="22"/>
      <c r="I1898" s="22" t="s">
        <v>2662</v>
      </c>
      <c r="J1898" s="22" t="s">
        <v>4552</v>
      </c>
      <c r="K1898" s="22" t="s">
        <v>66</v>
      </c>
      <c r="L1898" s="22"/>
      <c r="M1898" s="22"/>
      <c r="N1898" s="22"/>
    </row>
    <row r="1899" spans="1:14" x14ac:dyDescent="0.25">
      <c r="A1899" s="22" t="s">
        <v>2663</v>
      </c>
      <c r="B1899" s="22" t="s">
        <v>39</v>
      </c>
      <c r="C1899" s="22" t="s">
        <v>4773</v>
      </c>
      <c r="D1899" s="23">
        <v>-3267092</v>
      </c>
      <c r="E1899" s="22" t="s">
        <v>45</v>
      </c>
      <c r="F1899" s="24">
        <v>44222</v>
      </c>
      <c r="G1899" s="22" t="s">
        <v>2662</v>
      </c>
      <c r="H1899" s="22"/>
      <c r="I1899" s="22" t="s">
        <v>2662</v>
      </c>
      <c r="J1899" s="22" t="s">
        <v>4401</v>
      </c>
      <c r="K1899" s="22" t="s">
        <v>66</v>
      </c>
      <c r="L1899" s="22"/>
      <c r="M1899" s="22"/>
      <c r="N1899" s="22"/>
    </row>
    <row r="1900" spans="1:14" x14ac:dyDescent="0.25">
      <c r="A1900" s="22" t="s">
        <v>2663</v>
      </c>
      <c r="B1900" s="22" t="s">
        <v>39</v>
      </c>
      <c r="C1900" s="22" t="s">
        <v>4773</v>
      </c>
      <c r="D1900" s="23">
        <v>2396822</v>
      </c>
      <c r="E1900" s="22" t="s">
        <v>45</v>
      </c>
      <c r="F1900" s="24">
        <v>44222</v>
      </c>
      <c r="G1900" s="22" t="s">
        <v>2662</v>
      </c>
      <c r="H1900" s="22"/>
      <c r="I1900" s="22" t="s">
        <v>2662</v>
      </c>
      <c r="J1900" s="22" t="s">
        <v>4407</v>
      </c>
      <c r="K1900" s="22" t="s">
        <v>66</v>
      </c>
      <c r="L1900" s="22"/>
      <c r="M1900" s="22"/>
      <c r="N1900" s="22"/>
    </row>
    <row r="1901" spans="1:14" x14ac:dyDescent="0.25">
      <c r="A1901" s="22" t="s">
        <v>2675</v>
      </c>
      <c r="B1901" s="22" t="s">
        <v>39</v>
      </c>
      <c r="C1901" s="22" t="s">
        <v>7317</v>
      </c>
      <c r="D1901" s="23">
        <v>-884213</v>
      </c>
      <c r="E1901" s="22" t="s">
        <v>57</v>
      </c>
      <c r="F1901" s="24">
        <v>44251</v>
      </c>
      <c r="G1901" s="22" t="s">
        <v>2662</v>
      </c>
      <c r="H1901" s="22" t="s">
        <v>1916</v>
      </c>
      <c r="I1901" s="22" t="s">
        <v>2674</v>
      </c>
      <c r="J1901" s="22" t="s">
        <v>4552</v>
      </c>
      <c r="K1901" s="22" t="s">
        <v>61</v>
      </c>
      <c r="L1901" s="22"/>
      <c r="M1901" s="22"/>
      <c r="N1901" s="22"/>
    </row>
    <row r="1902" spans="1:14" x14ac:dyDescent="0.25">
      <c r="A1902" s="22" t="s">
        <v>2673</v>
      </c>
      <c r="B1902" s="22" t="s">
        <v>39</v>
      </c>
      <c r="C1902" s="22" t="s">
        <v>7317</v>
      </c>
      <c r="D1902" s="23">
        <v>-862400</v>
      </c>
      <c r="E1902" s="22" t="s">
        <v>57</v>
      </c>
      <c r="F1902" s="24">
        <v>44251</v>
      </c>
      <c r="G1902" s="22" t="s">
        <v>2662</v>
      </c>
      <c r="H1902" s="22" t="s">
        <v>836</v>
      </c>
      <c r="I1902" s="22" t="s">
        <v>2672</v>
      </c>
      <c r="J1902" s="22" t="s">
        <v>4552</v>
      </c>
      <c r="K1902" s="22" t="s">
        <v>61</v>
      </c>
      <c r="L1902" s="22"/>
      <c r="M1902" s="22"/>
      <c r="N1902" s="22"/>
    </row>
    <row r="1903" spans="1:14" x14ac:dyDescent="0.25">
      <c r="A1903" s="22" t="s">
        <v>2663</v>
      </c>
      <c r="B1903" s="22" t="s">
        <v>39</v>
      </c>
      <c r="C1903" s="22" t="s">
        <v>7318</v>
      </c>
      <c r="D1903" s="23">
        <v>-943600</v>
      </c>
      <c r="E1903" s="22" t="s">
        <v>57</v>
      </c>
      <c r="F1903" s="24">
        <v>44222</v>
      </c>
      <c r="G1903" s="22" t="s">
        <v>2662</v>
      </c>
      <c r="H1903" s="22" t="s">
        <v>1805</v>
      </c>
      <c r="I1903" s="22" t="s">
        <v>2671</v>
      </c>
      <c r="J1903" s="22" t="s">
        <v>4407</v>
      </c>
      <c r="K1903" s="22" t="s">
        <v>66</v>
      </c>
      <c r="L1903" s="22"/>
      <c r="M1903" s="22"/>
      <c r="N1903" s="22"/>
    </row>
    <row r="1904" spans="1:14" x14ac:dyDescent="0.25">
      <c r="A1904" s="22" t="s">
        <v>181</v>
      </c>
      <c r="B1904" s="22" t="s">
        <v>39</v>
      </c>
      <c r="C1904" s="22" t="s">
        <v>180</v>
      </c>
      <c r="D1904" s="23">
        <v>-1453222</v>
      </c>
      <c r="E1904" s="22" t="s">
        <v>45</v>
      </c>
      <c r="F1904" s="24">
        <v>44246</v>
      </c>
      <c r="G1904" s="22" t="s">
        <v>2662</v>
      </c>
      <c r="H1904" s="22" t="s">
        <v>2670</v>
      </c>
      <c r="I1904" s="22" t="s">
        <v>2669</v>
      </c>
      <c r="J1904" s="22" t="s">
        <v>4407</v>
      </c>
      <c r="K1904" s="22" t="s">
        <v>66</v>
      </c>
      <c r="L1904" s="22"/>
      <c r="M1904" s="22"/>
      <c r="N1904" s="22"/>
    </row>
    <row r="1905" spans="1:14" x14ac:dyDescent="0.25">
      <c r="A1905" s="22" t="s">
        <v>2668</v>
      </c>
      <c r="B1905" s="22" t="s">
        <v>39</v>
      </c>
      <c r="C1905" s="22" t="s">
        <v>40</v>
      </c>
      <c r="D1905" s="23">
        <v>3267092</v>
      </c>
      <c r="E1905" s="22" t="s">
        <v>42</v>
      </c>
      <c r="F1905" s="24">
        <v>44385</v>
      </c>
      <c r="G1905" s="22" t="s">
        <v>2662</v>
      </c>
      <c r="H1905" s="22" t="s">
        <v>1671</v>
      </c>
      <c r="I1905" s="22" t="s">
        <v>2667</v>
      </c>
      <c r="J1905" s="22" t="s">
        <v>4401</v>
      </c>
      <c r="K1905" s="22" t="s">
        <v>292</v>
      </c>
      <c r="L1905" s="22"/>
      <c r="M1905" s="22"/>
      <c r="N1905" s="22"/>
    </row>
    <row r="1906" spans="1:14" x14ac:dyDescent="0.25">
      <c r="A1906" s="22" t="s">
        <v>2665</v>
      </c>
      <c r="B1906" s="22" t="s">
        <v>39</v>
      </c>
      <c r="C1906" s="22" t="s">
        <v>4773</v>
      </c>
      <c r="D1906" s="23">
        <v>1900568</v>
      </c>
      <c r="E1906" s="22" t="s">
        <v>45</v>
      </c>
      <c r="F1906" s="24">
        <v>44219</v>
      </c>
      <c r="G1906" s="22" t="s">
        <v>2661</v>
      </c>
      <c r="H1906" s="22"/>
      <c r="I1906" s="22" t="s">
        <v>2661</v>
      </c>
      <c r="J1906" s="22" t="s">
        <v>4552</v>
      </c>
      <c r="K1906" s="22" t="s">
        <v>61</v>
      </c>
      <c r="L1906" s="22"/>
      <c r="M1906" s="22"/>
      <c r="N1906" s="22"/>
    </row>
    <row r="1907" spans="1:14" x14ac:dyDescent="0.25">
      <c r="A1907" s="22" t="s">
        <v>2665</v>
      </c>
      <c r="B1907" s="22" t="s">
        <v>39</v>
      </c>
      <c r="C1907" s="22" t="s">
        <v>4773</v>
      </c>
      <c r="D1907" s="23">
        <v>-1195911</v>
      </c>
      <c r="E1907" s="22" t="s">
        <v>45</v>
      </c>
      <c r="F1907" s="24">
        <v>44219</v>
      </c>
      <c r="G1907" s="22" t="s">
        <v>2661</v>
      </c>
      <c r="H1907" s="22"/>
      <c r="I1907" s="22" t="s">
        <v>2661</v>
      </c>
      <c r="J1907" s="22" t="s">
        <v>4401</v>
      </c>
      <c r="K1907" s="22" t="s">
        <v>61</v>
      </c>
      <c r="L1907" s="22"/>
      <c r="M1907" s="22"/>
      <c r="N1907" s="22"/>
    </row>
    <row r="1908" spans="1:14" x14ac:dyDescent="0.25">
      <c r="A1908" s="22" t="s">
        <v>2665</v>
      </c>
      <c r="B1908" s="22" t="s">
        <v>39</v>
      </c>
      <c r="C1908" s="22" t="s">
        <v>4773</v>
      </c>
      <c r="D1908" s="23">
        <v>876343</v>
      </c>
      <c r="E1908" s="22" t="s">
        <v>45</v>
      </c>
      <c r="F1908" s="24">
        <v>44219</v>
      </c>
      <c r="G1908" s="22" t="s">
        <v>2661</v>
      </c>
      <c r="H1908" s="22"/>
      <c r="I1908" s="22" t="s">
        <v>2661</v>
      </c>
      <c r="J1908" s="22" t="s">
        <v>4407</v>
      </c>
      <c r="K1908" s="22" t="s">
        <v>61</v>
      </c>
      <c r="L1908" s="22"/>
      <c r="M1908" s="22"/>
      <c r="N1908" s="22"/>
    </row>
    <row r="1909" spans="1:14" x14ac:dyDescent="0.25">
      <c r="A1909" s="22" t="s">
        <v>2665</v>
      </c>
      <c r="B1909" s="22" t="s">
        <v>39</v>
      </c>
      <c r="C1909" s="22" t="s">
        <v>7317</v>
      </c>
      <c r="D1909" s="23">
        <v>-1900568</v>
      </c>
      <c r="E1909" s="22" t="s">
        <v>57</v>
      </c>
      <c r="F1909" s="24">
        <v>44219</v>
      </c>
      <c r="G1909" s="22" t="s">
        <v>2661</v>
      </c>
      <c r="H1909" s="22" t="s">
        <v>2666</v>
      </c>
      <c r="I1909" s="22" t="s">
        <v>2664</v>
      </c>
      <c r="J1909" s="22" t="s">
        <v>4552</v>
      </c>
      <c r="K1909" s="22" t="s">
        <v>61</v>
      </c>
      <c r="L1909" s="22"/>
      <c r="M1909" s="22"/>
      <c r="N1909" s="22"/>
    </row>
    <row r="1910" spans="1:14" x14ac:dyDescent="0.25">
      <c r="A1910" s="22" t="s">
        <v>2663</v>
      </c>
      <c r="B1910" s="22" t="s">
        <v>39</v>
      </c>
      <c r="C1910" s="22" t="s">
        <v>7318</v>
      </c>
      <c r="D1910" s="23">
        <v>-876343</v>
      </c>
      <c r="E1910" s="22" t="s">
        <v>45</v>
      </c>
      <c r="F1910" s="24">
        <v>44222</v>
      </c>
      <c r="G1910" s="22" t="s">
        <v>2661</v>
      </c>
      <c r="H1910" s="22" t="s">
        <v>1919</v>
      </c>
      <c r="I1910" s="22" t="s">
        <v>2662</v>
      </c>
      <c r="J1910" s="22" t="s">
        <v>4407</v>
      </c>
      <c r="K1910" s="22" t="s">
        <v>66</v>
      </c>
      <c r="L1910" s="22"/>
      <c r="M1910" s="22"/>
      <c r="N1910" s="22"/>
    </row>
    <row r="1911" spans="1:14" x14ac:dyDescent="0.25">
      <c r="A1911" s="22" t="s">
        <v>2660</v>
      </c>
      <c r="B1911" s="22" t="s">
        <v>39</v>
      </c>
      <c r="C1911" s="22" t="s">
        <v>40</v>
      </c>
      <c r="D1911" s="23">
        <v>1195911</v>
      </c>
      <c r="E1911" s="22" t="s">
        <v>42</v>
      </c>
      <c r="F1911" s="24">
        <v>44385</v>
      </c>
      <c r="G1911" s="22" t="s">
        <v>2661</v>
      </c>
      <c r="H1911" s="22" t="s">
        <v>2579</v>
      </c>
      <c r="I1911" s="22" t="s">
        <v>2659</v>
      </c>
      <c r="J1911" s="22" t="s">
        <v>4401</v>
      </c>
      <c r="K1911" s="22" t="s">
        <v>292</v>
      </c>
      <c r="L1911" s="22"/>
      <c r="M1911" s="22"/>
      <c r="N1911" s="22"/>
    </row>
    <row r="1912" spans="1:14" x14ac:dyDescent="0.25">
      <c r="A1912" s="22" t="s">
        <v>169</v>
      </c>
      <c r="B1912" s="22" t="s">
        <v>39</v>
      </c>
      <c r="C1912" s="22" t="s">
        <v>4773</v>
      </c>
      <c r="D1912" s="23">
        <v>2548854</v>
      </c>
      <c r="E1912" s="22" t="s">
        <v>45</v>
      </c>
      <c r="F1912" s="24">
        <v>44382</v>
      </c>
      <c r="G1912" s="22" t="s">
        <v>2657</v>
      </c>
      <c r="H1912" s="22"/>
      <c r="I1912" s="22" t="s">
        <v>2657</v>
      </c>
      <c r="J1912" s="22" t="s">
        <v>4401</v>
      </c>
      <c r="K1912" s="22" t="s">
        <v>128</v>
      </c>
      <c r="L1912" s="22"/>
      <c r="M1912" s="22"/>
      <c r="N1912" s="22"/>
    </row>
    <row r="1913" spans="1:14" x14ac:dyDescent="0.25">
      <c r="A1913" s="22" t="s">
        <v>169</v>
      </c>
      <c r="B1913" s="22" t="s">
        <v>39</v>
      </c>
      <c r="C1913" s="22" t="s">
        <v>168</v>
      </c>
      <c r="D1913" s="23">
        <v>-2777904</v>
      </c>
      <c r="E1913" s="22" t="s">
        <v>45</v>
      </c>
      <c r="F1913" s="24">
        <v>44382</v>
      </c>
      <c r="G1913" s="22" t="s">
        <v>2657</v>
      </c>
      <c r="H1913" s="22" t="s">
        <v>2658</v>
      </c>
      <c r="I1913" s="22" t="s">
        <v>1929</v>
      </c>
      <c r="J1913" s="22" t="s">
        <v>4401</v>
      </c>
      <c r="K1913" s="22" t="s">
        <v>128</v>
      </c>
      <c r="L1913" s="22"/>
      <c r="M1913" s="22"/>
      <c r="N1913" s="22"/>
    </row>
    <row r="1914" spans="1:14" x14ac:dyDescent="0.25">
      <c r="A1914" s="22" t="s">
        <v>2656</v>
      </c>
      <c r="B1914" s="22" t="s">
        <v>39</v>
      </c>
      <c r="C1914" s="22" t="s">
        <v>3480</v>
      </c>
      <c r="D1914" s="23">
        <v>229050</v>
      </c>
      <c r="E1914" s="22" t="s">
        <v>42</v>
      </c>
      <c r="F1914" s="24">
        <v>44232</v>
      </c>
      <c r="G1914" s="22" t="s">
        <v>2657</v>
      </c>
      <c r="H1914" s="22" t="s">
        <v>1886</v>
      </c>
      <c r="I1914" s="22" t="s">
        <v>2655</v>
      </c>
      <c r="J1914" s="22" t="s">
        <v>4401</v>
      </c>
      <c r="K1914" s="22" t="s">
        <v>292</v>
      </c>
      <c r="L1914" s="22"/>
      <c r="M1914" s="22"/>
      <c r="N1914" s="22"/>
    </row>
    <row r="1915" spans="1:14" x14ac:dyDescent="0.25">
      <c r="A1915" s="22" t="s">
        <v>2654</v>
      </c>
      <c r="B1915" s="22" t="s">
        <v>39</v>
      </c>
      <c r="C1915" s="22" t="s">
        <v>4773</v>
      </c>
      <c r="D1915" s="23">
        <v>-7607</v>
      </c>
      <c r="E1915" s="22" t="s">
        <v>45</v>
      </c>
      <c r="F1915" s="24">
        <v>44407</v>
      </c>
      <c r="G1915" s="22" t="s">
        <v>2653</v>
      </c>
      <c r="H1915" s="22"/>
      <c r="I1915" s="22" t="s">
        <v>2653</v>
      </c>
      <c r="J1915" s="22" t="s">
        <v>4401</v>
      </c>
      <c r="K1915" s="22" t="s">
        <v>66</v>
      </c>
      <c r="L1915" s="22"/>
      <c r="M1915" s="22"/>
      <c r="N1915" s="22"/>
    </row>
    <row r="1916" spans="1:14" x14ac:dyDescent="0.25">
      <c r="A1916" s="22" t="s">
        <v>2654</v>
      </c>
      <c r="B1916" s="22" t="s">
        <v>39</v>
      </c>
      <c r="C1916" s="22" t="s">
        <v>4773</v>
      </c>
      <c r="D1916" s="23">
        <v>32700</v>
      </c>
      <c r="E1916" s="22" t="s">
        <v>45</v>
      </c>
      <c r="F1916" s="24">
        <v>44407</v>
      </c>
      <c r="G1916" s="22" t="s">
        <v>2653</v>
      </c>
      <c r="H1916" s="22"/>
      <c r="I1916" s="22" t="s">
        <v>2653</v>
      </c>
      <c r="J1916" s="22" t="s">
        <v>4407</v>
      </c>
      <c r="K1916" s="22" t="s">
        <v>66</v>
      </c>
      <c r="L1916" s="22"/>
      <c r="M1916" s="22"/>
      <c r="N1916" s="22"/>
    </row>
    <row r="1917" spans="1:14" x14ac:dyDescent="0.25">
      <c r="A1917" s="22" t="s">
        <v>7320</v>
      </c>
      <c r="B1917" s="22" t="s">
        <v>39</v>
      </c>
      <c r="C1917" s="22" t="s">
        <v>7319</v>
      </c>
      <c r="D1917" s="23">
        <v>-32700</v>
      </c>
      <c r="E1917" s="22" t="s">
        <v>57</v>
      </c>
      <c r="F1917" s="24">
        <v>44363</v>
      </c>
      <c r="G1917" s="22" t="s">
        <v>2653</v>
      </c>
      <c r="H1917" s="22" t="s">
        <v>319</v>
      </c>
      <c r="I1917" s="22" t="s">
        <v>7321</v>
      </c>
      <c r="J1917" s="22" t="s">
        <v>4401</v>
      </c>
      <c r="K1917" s="22" t="s">
        <v>128</v>
      </c>
      <c r="L1917" s="22"/>
      <c r="M1917" s="22"/>
      <c r="N1917" s="22"/>
    </row>
    <row r="1918" spans="1:14" x14ac:dyDescent="0.25">
      <c r="A1918" s="22" t="s">
        <v>7322</v>
      </c>
      <c r="B1918" s="22" t="s">
        <v>39</v>
      </c>
      <c r="C1918" s="22" t="s">
        <v>7319</v>
      </c>
      <c r="D1918" s="23">
        <v>-31600</v>
      </c>
      <c r="E1918" s="22" t="s">
        <v>57</v>
      </c>
      <c r="F1918" s="24">
        <v>44372</v>
      </c>
      <c r="G1918" s="22" t="s">
        <v>2653</v>
      </c>
      <c r="H1918" s="22" t="s">
        <v>319</v>
      </c>
      <c r="I1918" s="22" t="s">
        <v>7323</v>
      </c>
      <c r="J1918" s="22" t="s">
        <v>4401</v>
      </c>
      <c r="K1918" s="22" t="s">
        <v>128</v>
      </c>
      <c r="L1918" s="22"/>
      <c r="M1918" s="22"/>
      <c r="N1918" s="22"/>
    </row>
    <row r="1919" spans="1:14" x14ac:dyDescent="0.25">
      <c r="A1919" s="22" t="s">
        <v>2654</v>
      </c>
      <c r="B1919" s="22" t="s">
        <v>39</v>
      </c>
      <c r="C1919" s="22" t="s">
        <v>7324</v>
      </c>
      <c r="D1919" s="23">
        <v>-32700</v>
      </c>
      <c r="E1919" s="22" t="s">
        <v>57</v>
      </c>
      <c r="F1919" s="24">
        <v>44407</v>
      </c>
      <c r="G1919" s="22" t="s">
        <v>2653</v>
      </c>
      <c r="H1919" s="22" t="s">
        <v>332</v>
      </c>
      <c r="I1919" s="22" t="s">
        <v>7325</v>
      </c>
      <c r="J1919" s="22" t="s">
        <v>4407</v>
      </c>
      <c r="K1919" s="22" t="s">
        <v>66</v>
      </c>
      <c r="L1919" s="22"/>
      <c r="M1919" s="22"/>
      <c r="N1919" s="22"/>
    </row>
    <row r="1920" spans="1:14" x14ac:dyDescent="0.25">
      <c r="A1920" s="22" t="s">
        <v>2020</v>
      </c>
      <c r="B1920" s="22" t="s">
        <v>39</v>
      </c>
      <c r="C1920" s="22" t="s">
        <v>3480</v>
      </c>
      <c r="D1920" s="23">
        <v>71907</v>
      </c>
      <c r="E1920" s="22" t="s">
        <v>45</v>
      </c>
      <c r="F1920" s="24">
        <v>44260</v>
      </c>
      <c r="G1920" s="22" t="s">
        <v>2653</v>
      </c>
      <c r="H1920" s="22" t="s">
        <v>6703</v>
      </c>
      <c r="I1920" s="22" t="s">
        <v>2021</v>
      </c>
      <c r="J1920" s="22" t="s">
        <v>4401</v>
      </c>
      <c r="K1920" s="22" t="s">
        <v>6571</v>
      </c>
      <c r="L1920" s="22"/>
      <c r="M1920" s="22"/>
      <c r="N1920" s="22"/>
    </row>
    <row r="1921" spans="1:14" x14ac:dyDescent="0.25">
      <c r="A1921" s="22" t="s">
        <v>2654</v>
      </c>
      <c r="B1921" s="22" t="s">
        <v>39</v>
      </c>
      <c r="C1921" s="22" t="s">
        <v>4773</v>
      </c>
      <c r="D1921" s="23">
        <v>-60689</v>
      </c>
      <c r="E1921" s="22" t="s">
        <v>45</v>
      </c>
      <c r="F1921" s="24">
        <v>44407</v>
      </c>
      <c r="G1921" s="22" t="s">
        <v>2650</v>
      </c>
      <c r="H1921" s="22"/>
      <c r="I1921" s="22" t="s">
        <v>2650</v>
      </c>
      <c r="J1921" s="22" t="s">
        <v>4401</v>
      </c>
      <c r="K1921" s="22" t="s">
        <v>66</v>
      </c>
      <c r="L1921" s="22"/>
      <c r="M1921" s="22"/>
      <c r="N1921" s="22"/>
    </row>
    <row r="1922" spans="1:14" x14ac:dyDescent="0.25">
      <c r="A1922" s="22" t="s">
        <v>2654</v>
      </c>
      <c r="B1922" s="22" t="s">
        <v>39</v>
      </c>
      <c r="C1922" s="22" t="s">
        <v>4773</v>
      </c>
      <c r="D1922" s="23">
        <v>69793</v>
      </c>
      <c r="E1922" s="22" t="s">
        <v>45</v>
      </c>
      <c r="F1922" s="24">
        <v>44407</v>
      </c>
      <c r="G1922" s="22" t="s">
        <v>2650</v>
      </c>
      <c r="H1922" s="22"/>
      <c r="I1922" s="22" t="s">
        <v>2650</v>
      </c>
      <c r="J1922" s="22" t="s">
        <v>4407</v>
      </c>
      <c r="K1922" s="22" t="s">
        <v>66</v>
      </c>
      <c r="L1922" s="22"/>
      <c r="M1922" s="22"/>
      <c r="N1922" s="22"/>
    </row>
    <row r="1923" spans="1:14" x14ac:dyDescent="0.25">
      <c r="A1923" s="22" t="s">
        <v>2654</v>
      </c>
      <c r="B1923" s="22" t="s">
        <v>39</v>
      </c>
      <c r="C1923" s="22" t="s">
        <v>7324</v>
      </c>
      <c r="D1923" s="23">
        <v>-25093</v>
      </c>
      <c r="E1923" s="22" t="s">
        <v>45</v>
      </c>
      <c r="F1923" s="24">
        <v>44407</v>
      </c>
      <c r="G1923" s="22" t="s">
        <v>2650</v>
      </c>
      <c r="H1923" s="22" t="s">
        <v>874</v>
      </c>
      <c r="I1923" s="22" t="s">
        <v>2653</v>
      </c>
      <c r="J1923" s="22" t="s">
        <v>4407</v>
      </c>
      <c r="K1923" s="22" t="s">
        <v>66</v>
      </c>
      <c r="L1923" s="22"/>
      <c r="M1923" s="22"/>
      <c r="N1923" s="22"/>
    </row>
    <row r="1924" spans="1:14" x14ac:dyDescent="0.25">
      <c r="A1924" s="22" t="s">
        <v>2652</v>
      </c>
      <c r="B1924" s="22" t="s">
        <v>39</v>
      </c>
      <c r="C1924" s="22" t="s">
        <v>7312</v>
      </c>
      <c r="D1924" s="23">
        <v>-44700</v>
      </c>
      <c r="E1924" s="22" t="s">
        <v>57</v>
      </c>
      <c r="F1924" s="24">
        <v>44384</v>
      </c>
      <c r="G1924" s="22" t="s">
        <v>2650</v>
      </c>
      <c r="H1924" s="22" t="s">
        <v>319</v>
      </c>
      <c r="I1924" s="22" t="s">
        <v>2651</v>
      </c>
      <c r="J1924" s="22" t="s">
        <v>4407</v>
      </c>
      <c r="K1924" s="22" t="s">
        <v>66</v>
      </c>
      <c r="L1924" s="22"/>
      <c r="M1924" s="22"/>
      <c r="N1924" s="22"/>
    </row>
    <row r="1925" spans="1:14" x14ac:dyDescent="0.25">
      <c r="A1925" s="22" t="s">
        <v>2649</v>
      </c>
      <c r="B1925" s="22" t="s">
        <v>39</v>
      </c>
      <c r="C1925" s="22" t="s">
        <v>3480</v>
      </c>
      <c r="D1925" s="23">
        <v>60689</v>
      </c>
      <c r="E1925" s="22" t="s">
        <v>42</v>
      </c>
      <c r="F1925" s="24">
        <v>44295</v>
      </c>
      <c r="G1925" s="22" t="s">
        <v>2650</v>
      </c>
      <c r="H1925" s="22" t="s">
        <v>1812</v>
      </c>
      <c r="I1925" s="22" t="s">
        <v>2648</v>
      </c>
      <c r="J1925" s="22" t="s">
        <v>4401</v>
      </c>
      <c r="K1925" s="22" t="s">
        <v>292</v>
      </c>
      <c r="L1925" s="22"/>
      <c r="M1925" s="22"/>
      <c r="N1925" s="22"/>
    </row>
    <row r="1926" spans="1:14" x14ac:dyDescent="0.25">
      <c r="A1926" s="22" t="s">
        <v>2647</v>
      </c>
      <c r="B1926" s="22" t="s">
        <v>39</v>
      </c>
      <c r="C1926" s="22" t="s">
        <v>4773</v>
      </c>
      <c r="D1926" s="23">
        <v>-170468</v>
      </c>
      <c r="E1926" s="22" t="s">
        <v>45</v>
      </c>
      <c r="F1926" s="24">
        <v>44384</v>
      </c>
      <c r="G1926" s="22" t="s">
        <v>2646</v>
      </c>
      <c r="H1926" s="22"/>
      <c r="I1926" s="22" t="s">
        <v>2646</v>
      </c>
      <c r="J1926" s="22" t="s">
        <v>4401</v>
      </c>
      <c r="K1926" s="22" t="s">
        <v>66</v>
      </c>
      <c r="L1926" s="22"/>
      <c r="M1926" s="22"/>
      <c r="N1926" s="22"/>
    </row>
    <row r="1927" spans="1:14" x14ac:dyDescent="0.25">
      <c r="A1927" s="22" t="s">
        <v>2647</v>
      </c>
      <c r="B1927" s="22" t="s">
        <v>39</v>
      </c>
      <c r="C1927" s="22" t="s">
        <v>4773</v>
      </c>
      <c r="D1927" s="23">
        <v>186604</v>
      </c>
      <c r="E1927" s="22" t="s">
        <v>45</v>
      </c>
      <c r="F1927" s="24">
        <v>44384</v>
      </c>
      <c r="G1927" s="22" t="s">
        <v>2646</v>
      </c>
      <c r="H1927" s="22"/>
      <c r="I1927" s="22" t="s">
        <v>2646</v>
      </c>
      <c r="J1927" s="22" t="s">
        <v>4407</v>
      </c>
      <c r="K1927" s="22" t="s">
        <v>66</v>
      </c>
      <c r="L1927" s="22"/>
      <c r="M1927" s="22"/>
      <c r="N1927" s="22"/>
    </row>
    <row r="1928" spans="1:14" x14ac:dyDescent="0.25">
      <c r="A1928" s="22" t="s">
        <v>2654</v>
      </c>
      <c r="B1928" s="22" t="s">
        <v>39</v>
      </c>
      <c r="C1928" s="22" t="s">
        <v>7324</v>
      </c>
      <c r="D1928" s="23">
        <v>-9104</v>
      </c>
      <c r="E1928" s="22" t="s">
        <v>45</v>
      </c>
      <c r="F1928" s="24">
        <v>44407</v>
      </c>
      <c r="G1928" s="22" t="s">
        <v>2646</v>
      </c>
      <c r="H1928" s="22" t="s">
        <v>2709</v>
      </c>
      <c r="I1928" s="22" t="s">
        <v>2650</v>
      </c>
      <c r="J1928" s="22" t="s">
        <v>4407</v>
      </c>
      <c r="K1928" s="22" t="s">
        <v>66</v>
      </c>
      <c r="L1928" s="22"/>
      <c r="M1928" s="22"/>
      <c r="N1928" s="22"/>
    </row>
    <row r="1929" spans="1:14" x14ac:dyDescent="0.25">
      <c r="A1929" s="22" t="s">
        <v>2647</v>
      </c>
      <c r="B1929" s="22" t="s">
        <v>39</v>
      </c>
      <c r="C1929" s="22" t="s">
        <v>7312</v>
      </c>
      <c r="D1929" s="23">
        <v>-112100</v>
      </c>
      <c r="E1929" s="22" t="s">
        <v>57</v>
      </c>
      <c r="F1929" s="24">
        <v>44384</v>
      </c>
      <c r="G1929" s="22" t="s">
        <v>2646</v>
      </c>
      <c r="H1929" s="22" t="s">
        <v>319</v>
      </c>
      <c r="I1929" s="22" t="s">
        <v>2708</v>
      </c>
      <c r="J1929" s="22" t="s">
        <v>4407</v>
      </c>
      <c r="K1929" s="22" t="s">
        <v>66</v>
      </c>
      <c r="L1929" s="22"/>
      <c r="M1929" s="22"/>
      <c r="N1929" s="22"/>
    </row>
    <row r="1930" spans="1:14" x14ac:dyDescent="0.25">
      <c r="A1930" s="22" t="s">
        <v>2707</v>
      </c>
      <c r="B1930" s="22" t="s">
        <v>39</v>
      </c>
      <c r="C1930" s="22" t="s">
        <v>7312</v>
      </c>
      <c r="D1930" s="23">
        <v>-65400</v>
      </c>
      <c r="E1930" s="22" t="s">
        <v>57</v>
      </c>
      <c r="F1930" s="24">
        <v>44392</v>
      </c>
      <c r="G1930" s="22" t="s">
        <v>2646</v>
      </c>
      <c r="H1930" s="22" t="s">
        <v>319</v>
      </c>
      <c r="I1930" s="22" t="s">
        <v>2706</v>
      </c>
      <c r="J1930" s="22" t="s">
        <v>4407</v>
      </c>
      <c r="K1930" s="22" t="s">
        <v>66</v>
      </c>
      <c r="L1930" s="22"/>
      <c r="M1930" s="22"/>
      <c r="N1930" s="22"/>
    </row>
    <row r="1931" spans="1:14" x14ac:dyDescent="0.25">
      <c r="A1931" s="22" t="s">
        <v>2705</v>
      </c>
      <c r="B1931" s="22" t="s">
        <v>39</v>
      </c>
      <c r="C1931" s="22" t="s">
        <v>3480</v>
      </c>
      <c r="D1931" s="23">
        <v>170468</v>
      </c>
      <c r="E1931" s="22" t="s">
        <v>42</v>
      </c>
      <c r="F1931" s="24">
        <v>44355</v>
      </c>
      <c r="G1931" s="22" t="s">
        <v>2646</v>
      </c>
      <c r="H1931" s="22" t="s">
        <v>605</v>
      </c>
      <c r="I1931" s="22" t="s">
        <v>2704</v>
      </c>
      <c r="J1931" s="22" t="s">
        <v>4401</v>
      </c>
      <c r="K1931" s="22" t="s">
        <v>292</v>
      </c>
      <c r="L1931" s="22"/>
      <c r="M1931" s="22"/>
      <c r="N1931" s="22"/>
    </row>
    <row r="1932" spans="1:14" x14ac:dyDescent="0.25">
      <c r="A1932" s="22" t="s">
        <v>2703</v>
      </c>
      <c r="B1932" s="22" t="s">
        <v>39</v>
      </c>
      <c r="C1932" s="22" t="s">
        <v>4773</v>
      </c>
      <c r="D1932" s="23">
        <v>-32775</v>
      </c>
      <c r="E1932" s="22" t="s">
        <v>45</v>
      </c>
      <c r="F1932" s="24">
        <v>44393</v>
      </c>
      <c r="G1932" s="22" t="s">
        <v>2701</v>
      </c>
      <c r="H1932" s="22"/>
      <c r="I1932" s="22" t="s">
        <v>2701</v>
      </c>
      <c r="J1932" s="22" t="s">
        <v>4401</v>
      </c>
      <c r="K1932" s="22" t="s">
        <v>66</v>
      </c>
      <c r="L1932" s="22"/>
      <c r="M1932" s="22"/>
      <c r="N1932" s="22"/>
    </row>
    <row r="1933" spans="1:14" x14ac:dyDescent="0.25">
      <c r="A1933" s="22" t="s">
        <v>2703</v>
      </c>
      <c r="B1933" s="22" t="s">
        <v>39</v>
      </c>
      <c r="C1933" s="22" t="s">
        <v>4773</v>
      </c>
      <c r="D1933" s="23">
        <v>53236</v>
      </c>
      <c r="E1933" s="22" t="s">
        <v>45</v>
      </c>
      <c r="F1933" s="24">
        <v>44393</v>
      </c>
      <c r="G1933" s="22" t="s">
        <v>2701</v>
      </c>
      <c r="H1933" s="22"/>
      <c r="I1933" s="22" t="s">
        <v>2701</v>
      </c>
      <c r="J1933" s="22" t="s">
        <v>4407</v>
      </c>
      <c r="K1933" s="22" t="s">
        <v>66</v>
      </c>
      <c r="L1933" s="22"/>
      <c r="M1933" s="22"/>
      <c r="N1933" s="22"/>
    </row>
    <row r="1934" spans="1:14" x14ac:dyDescent="0.25">
      <c r="A1934" s="22" t="s">
        <v>2703</v>
      </c>
      <c r="B1934" s="22" t="s">
        <v>39</v>
      </c>
      <c r="C1934" s="22" t="s">
        <v>7312</v>
      </c>
      <c r="D1934" s="23">
        <v>-37100</v>
      </c>
      <c r="E1934" s="22" t="s">
        <v>57</v>
      </c>
      <c r="F1934" s="24">
        <v>44393</v>
      </c>
      <c r="G1934" s="22" t="s">
        <v>2701</v>
      </c>
      <c r="H1934" s="22" t="s">
        <v>319</v>
      </c>
      <c r="I1934" s="22" t="s">
        <v>2702</v>
      </c>
      <c r="J1934" s="22" t="s">
        <v>4407</v>
      </c>
      <c r="K1934" s="22" t="s">
        <v>66</v>
      </c>
      <c r="L1934" s="22"/>
      <c r="M1934" s="22"/>
      <c r="N1934" s="22"/>
    </row>
    <row r="1935" spans="1:14" x14ac:dyDescent="0.25">
      <c r="A1935" s="22" t="s">
        <v>2647</v>
      </c>
      <c r="B1935" s="22" t="s">
        <v>39</v>
      </c>
      <c r="C1935" s="22" t="s">
        <v>7312</v>
      </c>
      <c r="D1935" s="23">
        <v>-16136</v>
      </c>
      <c r="E1935" s="22" t="s">
        <v>45</v>
      </c>
      <c r="F1935" s="24">
        <v>44384</v>
      </c>
      <c r="G1935" s="22" t="s">
        <v>2701</v>
      </c>
      <c r="H1935" s="22" t="s">
        <v>241</v>
      </c>
      <c r="I1935" s="22" t="s">
        <v>2646</v>
      </c>
      <c r="J1935" s="22" t="s">
        <v>4407</v>
      </c>
      <c r="K1935" s="22" t="s">
        <v>66</v>
      </c>
      <c r="L1935" s="22"/>
      <c r="M1935" s="22"/>
      <c r="N1935" s="22"/>
    </row>
    <row r="1936" spans="1:14" x14ac:dyDescent="0.25">
      <c r="A1936" s="22" t="s">
        <v>2700</v>
      </c>
      <c r="B1936" s="22" t="s">
        <v>39</v>
      </c>
      <c r="C1936" s="22" t="s">
        <v>3480</v>
      </c>
      <c r="D1936" s="23">
        <v>32775</v>
      </c>
      <c r="E1936" s="22" t="s">
        <v>42</v>
      </c>
      <c r="F1936" s="24">
        <v>44355</v>
      </c>
      <c r="G1936" s="22" t="s">
        <v>2701</v>
      </c>
      <c r="H1936" s="22" t="s">
        <v>605</v>
      </c>
      <c r="I1936" s="22" t="s">
        <v>2699</v>
      </c>
      <c r="J1936" s="22" t="s">
        <v>4401</v>
      </c>
      <c r="K1936" s="22" t="s">
        <v>292</v>
      </c>
      <c r="L1936" s="22"/>
      <c r="M1936" s="22"/>
      <c r="N1936" s="22"/>
    </row>
    <row r="1937" spans="1:14" x14ac:dyDescent="0.25">
      <c r="A1937" s="22" t="s">
        <v>4818</v>
      </c>
      <c r="B1937" s="22" t="s">
        <v>39</v>
      </c>
      <c r="C1937" s="22" t="s">
        <v>4773</v>
      </c>
      <c r="D1937" s="23">
        <v>-559902</v>
      </c>
      <c r="E1937" s="22" t="s">
        <v>45</v>
      </c>
      <c r="F1937" s="24">
        <v>44273</v>
      </c>
      <c r="G1937" s="22" t="s">
        <v>7326</v>
      </c>
      <c r="H1937" s="22"/>
      <c r="I1937" s="22" t="s">
        <v>7326</v>
      </c>
      <c r="J1937" s="22" t="s">
        <v>4401</v>
      </c>
      <c r="K1937" s="22" t="s">
        <v>4479</v>
      </c>
      <c r="L1937" s="22"/>
      <c r="M1937" s="22"/>
      <c r="N1937" s="22"/>
    </row>
    <row r="1938" spans="1:14" x14ac:dyDescent="0.25">
      <c r="A1938" s="22" t="s">
        <v>4818</v>
      </c>
      <c r="B1938" s="22" t="s">
        <v>39</v>
      </c>
      <c r="C1938" s="22" t="s">
        <v>4773</v>
      </c>
      <c r="D1938" s="23">
        <v>802300</v>
      </c>
      <c r="E1938" s="22" t="s">
        <v>45</v>
      </c>
      <c r="F1938" s="24">
        <v>44273</v>
      </c>
      <c r="G1938" s="22" t="s">
        <v>7326</v>
      </c>
      <c r="H1938" s="22"/>
      <c r="I1938" s="22" t="s">
        <v>7326</v>
      </c>
      <c r="J1938" s="22" t="s">
        <v>4407</v>
      </c>
      <c r="K1938" s="22" t="s">
        <v>4479</v>
      </c>
      <c r="L1938" s="22"/>
      <c r="M1938" s="22"/>
      <c r="N1938" s="22"/>
    </row>
    <row r="1939" spans="1:14" x14ac:dyDescent="0.25">
      <c r="A1939" s="22" t="s">
        <v>6127</v>
      </c>
      <c r="B1939" s="22" t="s">
        <v>39</v>
      </c>
      <c r="C1939" s="22" t="s">
        <v>5128</v>
      </c>
      <c r="D1939" s="23">
        <v>2721002</v>
      </c>
      <c r="E1939" s="22" t="s">
        <v>45</v>
      </c>
      <c r="F1939" s="24">
        <v>44124</v>
      </c>
      <c r="G1939" s="22" t="s">
        <v>7326</v>
      </c>
      <c r="H1939" s="22" t="s">
        <v>7327</v>
      </c>
      <c r="I1939" s="22" t="s">
        <v>6128</v>
      </c>
      <c r="J1939" s="22" t="s">
        <v>4401</v>
      </c>
      <c r="K1939" s="22" t="s">
        <v>2103</v>
      </c>
      <c r="L1939" s="22"/>
      <c r="M1939" s="22"/>
      <c r="N1939" s="22"/>
    </row>
    <row r="1940" spans="1:14" x14ac:dyDescent="0.25">
      <c r="A1940" s="22" t="s">
        <v>4774</v>
      </c>
      <c r="B1940" s="22" t="s">
        <v>39</v>
      </c>
      <c r="C1940" s="22" t="s">
        <v>7328</v>
      </c>
      <c r="D1940" s="23">
        <v>-148800</v>
      </c>
      <c r="E1940" s="22" t="s">
        <v>588</v>
      </c>
      <c r="F1940" s="24">
        <v>44161</v>
      </c>
      <c r="G1940" s="22" t="s">
        <v>7326</v>
      </c>
      <c r="H1940" s="22" t="s">
        <v>7329</v>
      </c>
      <c r="I1940" s="22" t="s">
        <v>4775</v>
      </c>
      <c r="J1940" s="22" t="s">
        <v>4407</v>
      </c>
      <c r="K1940" s="22" t="s">
        <v>4479</v>
      </c>
      <c r="L1940" s="22"/>
      <c r="M1940" s="22"/>
      <c r="N1940" s="22"/>
    </row>
    <row r="1941" spans="1:14" x14ac:dyDescent="0.25">
      <c r="A1941" s="22" t="s">
        <v>4799</v>
      </c>
      <c r="B1941" s="22" t="s">
        <v>39</v>
      </c>
      <c r="C1941" s="22" t="s">
        <v>7330</v>
      </c>
      <c r="D1941" s="23">
        <v>-296000</v>
      </c>
      <c r="E1941" s="22" t="s">
        <v>588</v>
      </c>
      <c r="F1941" s="24">
        <v>44161</v>
      </c>
      <c r="G1941" s="22" t="s">
        <v>7326</v>
      </c>
      <c r="H1941" s="22" t="s">
        <v>7331</v>
      </c>
      <c r="I1941" s="22" t="s">
        <v>4800</v>
      </c>
      <c r="J1941" s="22" t="s">
        <v>4407</v>
      </c>
      <c r="K1941" s="22" t="s">
        <v>4479</v>
      </c>
      <c r="L1941" s="22"/>
      <c r="M1941" s="22"/>
      <c r="N1941" s="22"/>
    </row>
    <row r="1942" spans="1:14" x14ac:dyDescent="0.25">
      <c r="A1942" s="22" t="s">
        <v>4783</v>
      </c>
      <c r="B1942" s="22" t="s">
        <v>39</v>
      </c>
      <c r="C1942" s="22" t="s">
        <v>7332</v>
      </c>
      <c r="D1942" s="23">
        <v>-163500</v>
      </c>
      <c r="E1942" s="22" t="s">
        <v>588</v>
      </c>
      <c r="F1942" s="24">
        <v>44161</v>
      </c>
      <c r="G1942" s="22" t="s">
        <v>7326</v>
      </c>
      <c r="H1942" s="22" t="s">
        <v>7333</v>
      </c>
      <c r="I1942" s="22" t="s">
        <v>4784</v>
      </c>
      <c r="J1942" s="22" t="s">
        <v>4401</v>
      </c>
      <c r="K1942" s="22" t="s">
        <v>4479</v>
      </c>
      <c r="L1942" s="22"/>
      <c r="M1942" s="22"/>
      <c r="N1942" s="22"/>
    </row>
    <row r="1943" spans="1:14" x14ac:dyDescent="0.25">
      <c r="A1943" s="22" t="s">
        <v>3429</v>
      </c>
      <c r="B1943" s="22" t="s">
        <v>39</v>
      </c>
      <c r="C1943" s="22" t="s">
        <v>7334</v>
      </c>
      <c r="D1943" s="23">
        <v>-29000</v>
      </c>
      <c r="E1943" s="22" t="s">
        <v>588</v>
      </c>
      <c r="F1943" s="24">
        <v>44161</v>
      </c>
      <c r="G1943" s="22" t="s">
        <v>7326</v>
      </c>
      <c r="H1943" s="22" t="s">
        <v>7335</v>
      </c>
      <c r="I1943" s="22" t="s">
        <v>4788</v>
      </c>
      <c r="J1943" s="22" t="s">
        <v>4407</v>
      </c>
      <c r="K1943" s="22" t="s">
        <v>4479</v>
      </c>
      <c r="L1943" s="22"/>
      <c r="M1943" s="22"/>
      <c r="N1943" s="22"/>
    </row>
    <row r="1944" spans="1:14" x14ac:dyDescent="0.25">
      <c r="A1944" s="22" t="s">
        <v>4545</v>
      </c>
      <c r="B1944" s="22" t="s">
        <v>39</v>
      </c>
      <c r="C1944" s="22" t="s">
        <v>7336</v>
      </c>
      <c r="D1944" s="23">
        <v>-1997600</v>
      </c>
      <c r="E1944" s="22" t="s">
        <v>588</v>
      </c>
      <c r="F1944" s="24">
        <v>44161</v>
      </c>
      <c r="G1944" s="22" t="s">
        <v>7326</v>
      </c>
      <c r="H1944" s="22" t="s">
        <v>7337</v>
      </c>
      <c r="I1944" s="22" t="s">
        <v>4797</v>
      </c>
      <c r="J1944" s="22" t="s">
        <v>4401</v>
      </c>
      <c r="K1944" s="22" t="s">
        <v>4479</v>
      </c>
      <c r="L1944" s="22"/>
      <c r="M1944" s="22"/>
      <c r="N1944" s="22"/>
    </row>
    <row r="1945" spans="1:14" x14ac:dyDescent="0.25">
      <c r="A1945" s="22" t="s">
        <v>4818</v>
      </c>
      <c r="B1945" s="22" t="s">
        <v>39</v>
      </c>
      <c r="C1945" s="22" t="s">
        <v>7338</v>
      </c>
      <c r="D1945" s="23">
        <v>-328500</v>
      </c>
      <c r="E1945" s="22" t="s">
        <v>588</v>
      </c>
      <c r="F1945" s="24">
        <v>44273</v>
      </c>
      <c r="G1945" s="22" t="s">
        <v>7326</v>
      </c>
      <c r="H1945" s="22" t="s">
        <v>7339</v>
      </c>
      <c r="I1945" s="22" t="s">
        <v>4819</v>
      </c>
      <c r="J1945" s="22" t="s">
        <v>4407</v>
      </c>
      <c r="K1945" s="22" t="s">
        <v>4479</v>
      </c>
      <c r="L1945" s="22"/>
      <c r="M1945" s="22"/>
      <c r="N1945" s="22"/>
    </row>
    <row r="1946" spans="1:14" x14ac:dyDescent="0.25">
      <c r="A1946" s="22" t="s">
        <v>3051</v>
      </c>
      <c r="B1946" s="22" t="s">
        <v>39</v>
      </c>
      <c r="C1946" s="22" t="s">
        <v>4773</v>
      </c>
      <c r="D1946" s="23">
        <v>1359541</v>
      </c>
      <c r="E1946" s="22" t="s">
        <v>45</v>
      </c>
      <c r="F1946" s="24">
        <v>44389</v>
      </c>
      <c r="G1946" s="22" t="s">
        <v>7340</v>
      </c>
      <c r="H1946" s="22"/>
      <c r="I1946" s="22" t="s">
        <v>7340</v>
      </c>
      <c r="J1946" s="22" t="s">
        <v>4552</v>
      </c>
      <c r="K1946" s="22" t="s">
        <v>61</v>
      </c>
      <c r="L1946" s="22"/>
      <c r="M1946" s="22"/>
      <c r="N1946" s="22"/>
    </row>
    <row r="1947" spans="1:14" x14ac:dyDescent="0.25">
      <c r="A1947" s="22" t="s">
        <v>3051</v>
      </c>
      <c r="B1947" s="22" t="s">
        <v>39</v>
      </c>
      <c r="C1947" s="22" t="s">
        <v>4773</v>
      </c>
      <c r="D1947" s="23">
        <v>-1302464</v>
      </c>
      <c r="E1947" s="22" t="s">
        <v>45</v>
      </c>
      <c r="F1947" s="24">
        <v>44389</v>
      </c>
      <c r="G1947" s="22" t="s">
        <v>7340</v>
      </c>
      <c r="H1947" s="22"/>
      <c r="I1947" s="22" t="s">
        <v>7340</v>
      </c>
      <c r="J1947" s="22" t="s">
        <v>4401</v>
      </c>
      <c r="K1947" s="22" t="s">
        <v>61</v>
      </c>
      <c r="L1947" s="22"/>
      <c r="M1947" s="22"/>
      <c r="N1947" s="22"/>
    </row>
    <row r="1948" spans="1:14" x14ac:dyDescent="0.25">
      <c r="A1948" s="22" t="s">
        <v>3051</v>
      </c>
      <c r="B1948" s="22" t="s">
        <v>39</v>
      </c>
      <c r="C1948" s="22" t="s">
        <v>176</v>
      </c>
      <c r="D1948" s="23">
        <v>-132251</v>
      </c>
      <c r="E1948" s="22" t="s">
        <v>57</v>
      </c>
      <c r="F1948" s="24">
        <v>44389</v>
      </c>
      <c r="G1948" s="22" t="s">
        <v>7340</v>
      </c>
      <c r="H1948" s="22" t="s">
        <v>7341</v>
      </c>
      <c r="I1948" s="22" t="s">
        <v>7342</v>
      </c>
      <c r="J1948" s="22" t="s">
        <v>4552</v>
      </c>
      <c r="K1948" s="22" t="s">
        <v>61</v>
      </c>
      <c r="L1948" s="22"/>
      <c r="M1948" s="22"/>
      <c r="N1948" s="22"/>
    </row>
    <row r="1949" spans="1:14" x14ac:dyDescent="0.25">
      <c r="A1949" s="22" t="s">
        <v>3052</v>
      </c>
      <c r="B1949" s="22" t="s">
        <v>39</v>
      </c>
      <c r="C1949" s="22" t="s">
        <v>176</v>
      </c>
      <c r="D1949" s="23">
        <v>-272872</v>
      </c>
      <c r="E1949" s="22" t="s">
        <v>57</v>
      </c>
      <c r="F1949" s="24">
        <v>44394</v>
      </c>
      <c r="G1949" s="22" t="s">
        <v>7340</v>
      </c>
      <c r="H1949" s="22" t="s">
        <v>1685</v>
      </c>
      <c r="I1949" s="22" t="s">
        <v>7343</v>
      </c>
      <c r="J1949" s="22" t="s">
        <v>4552</v>
      </c>
      <c r="K1949" s="22" t="s">
        <v>61</v>
      </c>
      <c r="L1949" s="22"/>
      <c r="M1949" s="22"/>
      <c r="N1949" s="22"/>
    </row>
    <row r="1950" spans="1:14" x14ac:dyDescent="0.25">
      <c r="A1950" s="22" t="s">
        <v>3053</v>
      </c>
      <c r="B1950" s="22" t="s">
        <v>39</v>
      </c>
      <c r="C1950" s="22" t="s">
        <v>176</v>
      </c>
      <c r="D1950" s="23">
        <v>-853075</v>
      </c>
      <c r="E1950" s="22" t="s">
        <v>57</v>
      </c>
      <c r="F1950" s="24">
        <v>44395</v>
      </c>
      <c r="G1950" s="22" t="s">
        <v>7340</v>
      </c>
      <c r="H1950" s="22" t="s">
        <v>1685</v>
      </c>
      <c r="I1950" s="22" t="s">
        <v>7344</v>
      </c>
      <c r="J1950" s="22" t="s">
        <v>4552</v>
      </c>
      <c r="K1950" s="22" t="s">
        <v>61</v>
      </c>
      <c r="L1950" s="22"/>
      <c r="M1950" s="22"/>
      <c r="N1950" s="22"/>
    </row>
    <row r="1951" spans="1:14" x14ac:dyDescent="0.25">
      <c r="A1951" s="22" t="s">
        <v>3054</v>
      </c>
      <c r="B1951" s="22" t="s">
        <v>39</v>
      </c>
      <c r="C1951" s="22" t="s">
        <v>176</v>
      </c>
      <c r="D1951" s="23">
        <v>-101343</v>
      </c>
      <c r="E1951" s="22" t="s">
        <v>57</v>
      </c>
      <c r="F1951" s="24">
        <v>44397</v>
      </c>
      <c r="G1951" s="22" t="s">
        <v>7340</v>
      </c>
      <c r="H1951" s="22" t="s">
        <v>7345</v>
      </c>
      <c r="I1951" s="22" t="s">
        <v>7346</v>
      </c>
      <c r="J1951" s="22" t="s">
        <v>4552</v>
      </c>
      <c r="K1951" s="22" t="s">
        <v>61</v>
      </c>
      <c r="L1951" s="22"/>
      <c r="M1951" s="22"/>
      <c r="N1951" s="22"/>
    </row>
    <row r="1952" spans="1:14" x14ac:dyDescent="0.25">
      <c r="A1952" s="22" t="s">
        <v>6419</v>
      </c>
      <c r="B1952" s="22" t="s">
        <v>39</v>
      </c>
      <c r="C1952" s="22" t="s">
        <v>6421</v>
      </c>
      <c r="D1952" s="23">
        <v>1302464</v>
      </c>
      <c r="E1952" s="22" t="s">
        <v>45</v>
      </c>
      <c r="F1952" s="24">
        <v>44144</v>
      </c>
      <c r="G1952" s="22" t="s">
        <v>7340</v>
      </c>
      <c r="H1952" s="22" t="s">
        <v>7347</v>
      </c>
      <c r="I1952" s="22" t="s">
        <v>7159</v>
      </c>
      <c r="J1952" s="22" t="s">
        <v>4401</v>
      </c>
      <c r="K1952" s="22" t="s">
        <v>6420</v>
      </c>
      <c r="L1952" s="22"/>
      <c r="M1952" s="22"/>
      <c r="N1952" s="22"/>
    </row>
    <row r="1953" spans="1:14" x14ac:dyDescent="0.25">
      <c r="A1953" s="22" t="s">
        <v>4842</v>
      </c>
      <c r="B1953" s="22" t="s">
        <v>39</v>
      </c>
      <c r="C1953" s="22" t="s">
        <v>4773</v>
      </c>
      <c r="D1953" s="23">
        <v>43700</v>
      </c>
      <c r="E1953" s="22" t="s">
        <v>45</v>
      </c>
      <c r="F1953" s="24">
        <v>44375</v>
      </c>
      <c r="G1953" s="22" t="s">
        <v>7348</v>
      </c>
      <c r="H1953" s="22"/>
      <c r="I1953" s="22" t="s">
        <v>7348</v>
      </c>
      <c r="J1953" s="22" t="s">
        <v>4552</v>
      </c>
      <c r="K1953" s="22" t="s">
        <v>4479</v>
      </c>
      <c r="L1953" s="22"/>
      <c r="M1953" s="22"/>
      <c r="N1953" s="22"/>
    </row>
    <row r="1954" spans="1:14" x14ac:dyDescent="0.25">
      <c r="A1954" s="22" t="s">
        <v>4842</v>
      </c>
      <c r="B1954" s="22" t="s">
        <v>39</v>
      </c>
      <c r="C1954" s="22" t="s">
        <v>4773</v>
      </c>
      <c r="D1954" s="23">
        <v>-481941</v>
      </c>
      <c r="E1954" s="22" t="s">
        <v>45</v>
      </c>
      <c r="F1954" s="24">
        <v>44375</v>
      </c>
      <c r="G1954" s="22" t="s">
        <v>7348</v>
      </c>
      <c r="H1954" s="22"/>
      <c r="I1954" s="22" t="s">
        <v>7348</v>
      </c>
      <c r="J1954" s="22" t="s">
        <v>4401</v>
      </c>
      <c r="K1954" s="22" t="s">
        <v>4479</v>
      </c>
      <c r="L1954" s="22"/>
      <c r="M1954" s="22"/>
      <c r="N1954" s="22"/>
    </row>
    <row r="1955" spans="1:14" x14ac:dyDescent="0.25">
      <c r="A1955" s="22" t="s">
        <v>4842</v>
      </c>
      <c r="B1955" s="22" t="s">
        <v>39</v>
      </c>
      <c r="C1955" s="22" t="s">
        <v>4773</v>
      </c>
      <c r="D1955" s="23">
        <v>1080071</v>
      </c>
      <c r="E1955" s="22" t="s">
        <v>45</v>
      </c>
      <c r="F1955" s="24">
        <v>44375</v>
      </c>
      <c r="G1955" s="22" t="s">
        <v>7348</v>
      </c>
      <c r="H1955" s="22"/>
      <c r="I1955" s="22" t="s">
        <v>7348</v>
      </c>
      <c r="J1955" s="22" t="s">
        <v>4407</v>
      </c>
      <c r="K1955" s="22" t="s">
        <v>4479</v>
      </c>
      <c r="L1955" s="22"/>
      <c r="M1955" s="22"/>
      <c r="N1955" s="22"/>
    </row>
    <row r="1956" spans="1:14" x14ac:dyDescent="0.25">
      <c r="A1956" s="22" t="s">
        <v>7349</v>
      </c>
      <c r="B1956" s="22" t="s">
        <v>39</v>
      </c>
      <c r="C1956" s="22" t="s">
        <v>7308</v>
      </c>
      <c r="D1956" s="23">
        <v>-43700</v>
      </c>
      <c r="E1956" s="22" t="s">
        <v>57</v>
      </c>
      <c r="F1956" s="24">
        <v>44335</v>
      </c>
      <c r="G1956" s="22" t="s">
        <v>7348</v>
      </c>
      <c r="H1956" s="22" t="s">
        <v>839</v>
      </c>
      <c r="I1956" s="22" t="s">
        <v>7350</v>
      </c>
      <c r="J1956" s="22" t="s">
        <v>4552</v>
      </c>
      <c r="K1956" s="22" t="s">
        <v>128</v>
      </c>
      <c r="L1956" s="22"/>
      <c r="M1956" s="22"/>
      <c r="N1956" s="22"/>
    </row>
    <row r="1957" spans="1:14" x14ac:dyDescent="0.25">
      <c r="A1957" s="22" t="s">
        <v>7351</v>
      </c>
      <c r="B1957" s="22" t="s">
        <v>39</v>
      </c>
      <c r="C1957" s="22" t="s">
        <v>3573</v>
      </c>
      <c r="D1957" s="23">
        <v>2790741</v>
      </c>
      <c r="E1957" s="22" t="s">
        <v>42</v>
      </c>
      <c r="F1957" s="24">
        <v>44172</v>
      </c>
      <c r="G1957" s="22" t="s">
        <v>7348</v>
      </c>
      <c r="H1957" s="22" t="s">
        <v>1741</v>
      </c>
      <c r="I1957" s="22" t="s">
        <v>7352</v>
      </c>
      <c r="J1957" s="22" t="s">
        <v>4401</v>
      </c>
      <c r="K1957" s="22" t="s">
        <v>292</v>
      </c>
      <c r="L1957" s="22"/>
      <c r="M1957" s="22"/>
      <c r="N1957" s="22"/>
    </row>
    <row r="1958" spans="1:14" x14ac:dyDescent="0.25">
      <c r="A1958" s="22" t="s">
        <v>1842</v>
      </c>
      <c r="B1958" s="22" t="s">
        <v>39</v>
      </c>
      <c r="C1958" s="22" t="s">
        <v>7353</v>
      </c>
      <c r="D1958" s="23">
        <v>-625148</v>
      </c>
      <c r="E1958" s="22" t="s">
        <v>588</v>
      </c>
      <c r="F1958" s="24">
        <v>44375</v>
      </c>
      <c r="G1958" s="22" t="s">
        <v>7348</v>
      </c>
      <c r="H1958" s="22" t="s">
        <v>7354</v>
      </c>
      <c r="I1958" s="22" t="s">
        <v>4830</v>
      </c>
      <c r="J1958" s="22" t="s">
        <v>4407</v>
      </c>
      <c r="K1958" s="22" t="s">
        <v>4479</v>
      </c>
      <c r="L1958" s="22"/>
      <c r="M1958" s="22"/>
      <c r="N1958" s="22"/>
    </row>
    <row r="1959" spans="1:14" x14ac:dyDescent="0.25">
      <c r="A1959" s="22" t="s">
        <v>3015</v>
      </c>
      <c r="B1959" s="22" t="s">
        <v>39</v>
      </c>
      <c r="C1959" s="22" t="s">
        <v>7355</v>
      </c>
      <c r="D1959" s="23">
        <v>-124429</v>
      </c>
      <c r="E1959" s="22" t="s">
        <v>588</v>
      </c>
      <c r="F1959" s="24">
        <v>44375</v>
      </c>
      <c r="G1959" s="22" t="s">
        <v>7348</v>
      </c>
      <c r="H1959" s="22" t="s">
        <v>7356</v>
      </c>
      <c r="I1959" s="22" t="s">
        <v>4834</v>
      </c>
      <c r="J1959" s="22" t="s">
        <v>4407</v>
      </c>
      <c r="K1959" s="22" t="s">
        <v>4479</v>
      </c>
      <c r="L1959" s="22"/>
      <c r="M1959" s="22"/>
      <c r="N1959" s="22"/>
    </row>
    <row r="1960" spans="1:14" x14ac:dyDescent="0.25">
      <c r="A1960" s="22" t="s">
        <v>4812</v>
      </c>
      <c r="B1960" s="22" t="s">
        <v>39</v>
      </c>
      <c r="C1960" s="22" t="s">
        <v>7357</v>
      </c>
      <c r="D1960" s="23">
        <v>-63000</v>
      </c>
      <c r="E1960" s="22" t="s">
        <v>588</v>
      </c>
      <c r="F1960" s="24">
        <v>44273</v>
      </c>
      <c r="G1960" s="22" t="s">
        <v>7348</v>
      </c>
      <c r="H1960" s="22" t="s">
        <v>7358</v>
      </c>
      <c r="I1960" s="22" t="s">
        <v>4813</v>
      </c>
      <c r="J1960" s="22" t="s">
        <v>4407</v>
      </c>
      <c r="K1960" s="22" t="s">
        <v>4479</v>
      </c>
      <c r="L1960" s="22"/>
      <c r="M1960" s="22"/>
      <c r="N1960" s="22"/>
    </row>
    <row r="1961" spans="1:14" x14ac:dyDescent="0.25">
      <c r="A1961" s="22" t="s">
        <v>2189</v>
      </c>
      <c r="B1961" s="22" t="s">
        <v>39</v>
      </c>
      <c r="C1961" s="22" t="s">
        <v>7359</v>
      </c>
      <c r="D1961" s="23">
        <v>-25096</v>
      </c>
      <c r="E1961" s="22" t="s">
        <v>588</v>
      </c>
      <c r="F1961" s="24">
        <v>44375</v>
      </c>
      <c r="G1961" s="22" t="s">
        <v>7348</v>
      </c>
      <c r="H1961" s="22" t="s">
        <v>7360</v>
      </c>
      <c r="I1961" s="22" t="s">
        <v>4839</v>
      </c>
      <c r="J1961" s="22" t="s">
        <v>4407</v>
      </c>
      <c r="K1961" s="22" t="s">
        <v>4479</v>
      </c>
      <c r="L1961" s="22"/>
      <c r="M1961" s="22"/>
      <c r="N1961" s="22"/>
    </row>
    <row r="1962" spans="1:14" x14ac:dyDescent="0.25">
      <c r="A1962" s="22" t="s">
        <v>4842</v>
      </c>
      <c r="B1962" s="22" t="s">
        <v>39</v>
      </c>
      <c r="C1962" s="22" t="s">
        <v>7361</v>
      </c>
      <c r="D1962" s="23">
        <v>-2308800</v>
      </c>
      <c r="E1962" s="22" t="s">
        <v>588</v>
      </c>
      <c r="F1962" s="24">
        <v>44375</v>
      </c>
      <c r="G1962" s="22" t="s">
        <v>7348</v>
      </c>
      <c r="H1962" s="22" t="s">
        <v>7362</v>
      </c>
      <c r="I1962" s="22" t="s">
        <v>4843</v>
      </c>
      <c r="J1962" s="22" t="s">
        <v>4401</v>
      </c>
      <c r="K1962" s="22" t="s">
        <v>4479</v>
      </c>
      <c r="L1962" s="22"/>
      <c r="M1962" s="22"/>
      <c r="N1962" s="22"/>
    </row>
    <row r="1963" spans="1:14" x14ac:dyDescent="0.25">
      <c r="A1963" s="22" t="s">
        <v>4818</v>
      </c>
      <c r="B1963" s="22" t="s">
        <v>39</v>
      </c>
      <c r="C1963" s="22" t="s">
        <v>7338</v>
      </c>
      <c r="D1963" s="23">
        <v>-242398</v>
      </c>
      <c r="E1963" s="22" t="s">
        <v>45</v>
      </c>
      <c r="F1963" s="24">
        <v>44273</v>
      </c>
      <c r="G1963" s="22" t="s">
        <v>7348</v>
      </c>
      <c r="H1963" s="22" t="s">
        <v>7363</v>
      </c>
      <c r="I1963" s="22" t="s">
        <v>7326</v>
      </c>
      <c r="J1963" s="22" t="s">
        <v>4407</v>
      </c>
      <c r="K1963" s="22" t="s">
        <v>4479</v>
      </c>
      <c r="L1963" s="22"/>
      <c r="M1963" s="22"/>
      <c r="N1963" s="22"/>
    </row>
    <row r="1964" spans="1:14" x14ac:dyDescent="0.25">
      <c r="A1964" s="22" t="s">
        <v>2697</v>
      </c>
      <c r="B1964" s="22" t="s">
        <v>39</v>
      </c>
      <c r="C1964" s="22" t="s">
        <v>4773</v>
      </c>
      <c r="D1964" s="23">
        <v>49698</v>
      </c>
      <c r="E1964" s="22" t="s">
        <v>45</v>
      </c>
      <c r="F1964" s="24">
        <v>44366</v>
      </c>
      <c r="G1964" s="22" t="s">
        <v>2696</v>
      </c>
      <c r="H1964" s="22"/>
      <c r="I1964" s="22" t="s">
        <v>2696</v>
      </c>
      <c r="J1964" s="22" t="s">
        <v>4401</v>
      </c>
      <c r="K1964" s="22" t="s">
        <v>128</v>
      </c>
      <c r="L1964" s="22"/>
      <c r="M1964" s="22"/>
      <c r="N1964" s="22"/>
    </row>
    <row r="1965" spans="1:14" x14ac:dyDescent="0.25">
      <c r="A1965" s="22" t="s">
        <v>2697</v>
      </c>
      <c r="B1965" s="22" t="s">
        <v>39</v>
      </c>
      <c r="C1965" s="22" t="s">
        <v>7364</v>
      </c>
      <c r="D1965" s="23">
        <v>-171172</v>
      </c>
      <c r="E1965" s="22" t="s">
        <v>57</v>
      </c>
      <c r="F1965" s="24">
        <v>44366</v>
      </c>
      <c r="G1965" s="22" t="s">
        <v>2696</v>
      </c>
      <c r="H1965" s="22" t="s">
        <v>7365</v>
      </c>
      <c r="I1965" s="22" t="s">
        <v>7366</v>
      </c>
      <c r="J1965" s="22" t="s">
        <v>4401</v>
      </c>
      <c r="K1965" s="22" t="s">
        <v>128</v>
      </c>
      <c r="L1965" s="22"/>
      <c r="M1965" s="22"/>
      <c r="N1965" s="22"/>
    </row>
    <row r="1966" spans="1:14" x14ac:dyDescent="0.25">
      <c r="A1966" s="22" t="s">
        <v>169</v>
      </c>
      <c r="B1966" s="22" t="s">
        <v>39</v>
      </c>
      <c r="C1966" s="22" t="s">
        <v>168</v>
      </c>
      <c r="D1966" s="23">
        <v>-2548854</v>
      </c>
      <c r="E1966" s="22" t="s">
        <v>45</v>
      </c>
      <c r="F1966" s="24">
        <v>44382</v>
      </c>
      <c r="G1966" s="22" t="s">
        <v>2696</v>
      </c>
      <c r="H1966" s="22" t="s">
        <v>7367</v>
      </c>
      <c r="I1966" s="22" t="s">
        <v>2657</v>
      </c>
      <c r="J1966" s="22" t="s">
        <v>4401</v>
      </c>
      <c r="K1966" s="22" t="s">
        <v>128</v>
      </c>
      <c r="L1966" s="22"/>
      <c r="M1966" s="22"/>
      <c r="N1966" s="22"/>
    </row>
    <row r="1967" spans="1:14" x14ac:dyDescent="0.25">
      <c r="A1967" s="22" t="s">
        <v>6312</v>
      </c>
      <c r="B1967" s="22" t="s">
        <v>39</v>
      </c>
      <c r="C1967" s="22" t="s">
        <v>5128</v>
      </c>
      <c r="D1967" s="23">
        <v>2670328</v>
      </c>
      <c r="E1967" s="22" t="s">
        <v>45</v>
      </c>
      <c r="F1967" s="24">
        <v>44188</v>
      </c>
      <c r="G1967" s="22" t="s">
        <v>2696</v>
      </c>
      <c r="H1967" s="22" t="s">
        <v>7368</v>
      </c>
      <c r="I1967" s="22" t="s">
        <v>6306</v>
      </c>
      <c r="J1967" s="22" t="s">
        <v>4401</v>
      </c>
      <c r="K1967" s="22" t="s">
        <v>2103</v>
      </c>
      <c r="L1967" s="22"/>
      <c r="M1967" s="22"/>
      <c r="N1967" s="22"/>
    </row>
    <row r="1968" spans="1:14" x14ac:dyDescent="0.25">
      <c r="A1968" s="22" t="s">
        <v>173</v>
      </c>
      <c r="B1968" s="22" t="s">
        <v>39</v>
      </c>
      <c r="C1968" s="22" t="s">
        <v>4773</v>
      </c>
      <c r="D1968" s="23">
        <v>244300</v>
      </c>
      <c r="E1968" s="22" t="s">
        <v>45</v>
      </c>
      <c r="F1968" s="24">
        <v>44410</v>
      </c>
      <c r="G1968" s="22" t="s">
        <v>7369</v>
      </c>
      <c r="H1968" s="22"/>
      <c r="I1968" s="22" t="s">
        <v>7369</v>
      </c>
      <c r="J1968" s="22" t="s">
        <v>4466</v>
      </c>
      <c r="K1968" s="22" t="s">
        <v>61</v>
      </c>
      <c r="L1968" s="22"/>
      <c r="M1968" s="22"/>
      <c r="N1968" s="22"/>
    </row>
    <row r="1969" spans="1:14" x14ac:dyDescent="0.25">
      <c r="A1969" s="22" t="s">
        <v>173</v>
      </c>
      <c r="B1969" s="22" t="s">
        <v>39</v>
      </c>
      <c r="C1969" s="22" t="s">
        <v>4773</v>
      </c>
      <c r="D1969" s="23">
        <v>14073537</v>
      </c>
      <c r="E1969" s="22" t="s">
        <v>45</v>
      </c>
      <c r="F1969" s="24">
        <v>44410</v>
      </c>
      <c r="G1969" s="22" t="s">
        <v>7369</v>
      </c>
      <c r="H1969" s="22"/>
      <c r="I1969" s="22" t="s">
        <v>7369</v>
      </c>
      <c r="J1969" s="22" t="s">
        <v>4552</v>
      </c>
      <c r="K1969" s="22" t="s">
        <v>61</v>
      </c>
      <c r="L1969" s="22"/>
      <c r="M1969" s="22"/>
      <c r="N1969" s="22"/>
    </row>
    <row r="1970" spans="1:14" x14ac:dyDescent="0.25">
      <c r="A1970" s="22" t="s">
        <v>173</v>
      </c>
      <c r="B1970" s="22" t="s">
        <v>39</v>
      </c>
      <c r="C1970" s="22" t="s">
        <v>4773</v>
      </c>
      <c r="D1970" s="23">
        <v>-8149662</v>
      </c>
      <c r="E1970" s="22" t="s">
        <v>45</v>
      </c>
      <c r="F1970" s="24">
        <v>44410</v>
      </c>
      <c r="G1970" s="22" t="s">
        <v>7369</v>
      </c>
      <c r="H1970" s="22"/>
      <c r="I1970" s="22" t="s">
        <v>7369</v>
      </c>
      <c r="J1970" s="22" t="s">
        <v>4401</v>
      </c>
      <c r="K1970" s="22" t="s">
        <v>61</v>
      </c>
      <c r="L1970" s="22"/>
      <c r="M1970" s="22"/>
      <c r="N1970" s="22"/>
    </row>
    <row r="1971" spans="1:14" x14ac:dyDescent="0.25">
      <c r="A1971" s="22" t="s">
        <v>173</v>
      </c>
      <c r="B1971" s="22" t="s">
        <v>39</v>
      </c>
      <c r="C1971" s="22" t="s">
        <v>4773</v>
      </c>
      <c r="D1971" s="23">
        <v>1167313</v>
      </c>
      <c r="E1971" s="22" t="s">
        <v>45</v>
      </c>
      <c r="F1971" s="24">
        <v>44410</v>
      </c>
      <c r="G1971" s="22" t="s">
        <v>7369</v>
      </c>
      <c r="H1971" s="22"/>
      <c r="I1971" s="22" t="s">
        <v>7369</v>
      </c>
      <c r="J1971" s="22" t="s">
        <v>4407</v>
      </c>
      <c r="K1971" s="22" t="s">
        <v>61</v>
      </c>
      <c r="L1971" s="22"/>
      <c r="M1971" s="22"/>
      <c r="N1971" s="22"/>
    </row>
    <row r="1972" spans="1:14" x14ac:dyDescent="0.25">
      <c r="A1972" s="22" t="s">
        <v>7371</v>
      </c>
      <c r="B1972" s="22" t="s">
        <v>39</v>
      </c>
      <c r="C1972" s="22" t="s">
        <v>7370</v>
      </c>
      <c r="D1972" s="23">
        <v>-82272</v>
      </c>
      <c r="E1972" s="22" t="s">
        <v>57</v>
      </c>
      <c r="F1972" s="24">
        <v>44348</v>
      </c>
      <c r="G1972" s="22" t="s">
        <v>7369</v>
      </c>
      <c r="H1972" s="22" t="s">
        <v>839</v>
      </c>
      <c r="I1972" s="22" t="s">
        <v>7372</v>
      </c>
      <c r="J1972" s="22" t="s">
        <v>4552</v>
      </c>
      <c r="K1972" s="22" t="s">
        <v>61</v>
      </c>
      <c r="L1972" s="22"/>
      <c r="M1972" s="22"/>
      <c r="N1972" s="22"/>
    </row>
    <row r="1973" spans="1:14" x14ac:dyDescent="0.25">
      <c r="A1973" s="22" t="s">
        <v>7373</v>
      </c>
      <c r="B1973" s="22" t="s">
        <v>39</v>
      </c>
      <c r="C1973" s="22" t="s">
        <v>7370</v>
      </c>
      <c r="D1973" s="23">
        <v>-54175</v>
      </c>
      <c r="E1973" s="22" t="s">
        <v>57</v>
      </c>
      <c r="F1973" s="24">
        <v>44358</v>
      </c>
      <c r="G1973" s="22" t="s">
        <v>7369</v>
      </c>
      <c r="H1973" s="22" t="s">
        <v>839</v>
      </c>
      <c r="I1973" s="22" t="s">
        <v>7374</v>
      </c>
      <c r="J1973" s="22" t="s">
        <v>4552</v>
      </c>
      <c r="K1973" s="22" t="s">
        <v>61</v>
      </c>
      <c r="L1973" s="22"/>
      <c r="M1973" s="22"/>
      <c r="N1973" s="22"/>
    </row>
    <row r="1974" spans="1:14" x14ac:dyDescent="0.25">
      <c r="A1974" s="22" t="s">
        <v>7375</v>
      </c>
      <c r="B1974" s="22" t="s">
        <v>39</v>
      </c>
      <c r="C1974" s="22" t="s">
        <v>7370</v>
      </c>
      <c r="D1974" s="23">
        <v>-55707</v>
      </c>
      <c r="E1974" s="22" t="s">
        <v>57</v>
      </c>
      <c r="F1974" s="24">
        <v>44365</v>
      </c>
      <c r="G1974" s="22" t="s">
        <v>7369</v>
      </c>
      <c r="H1974" s="22" t="s">
        <v>839</v>
      </c>
      <c r="I1974" s="22" t="s">
        <v>7376</v>
      </c>
      <c r="J1974" s="22" t="s">
        <v>4552</v>
      </c>
      <c r="K1974" s="22" t="s">
        <v>61</v>
      </c>
      <c r="L1974" s="22"/>
      <c r="M1974" s="22"/>
      <c r="N1974" s="22"/>
    </row>
    <row r="1975" spans="1:14" x14ac:dyDescent="0.25">
      <c r="A1975" s="22" t="s">
        <v>7378</v>
      </c>
      <c r="B1975" s="22" t="s">
        <v>39</v>
      </c>
      <c r="C1975" s="22" t="s">
        <v>7377</v>
      </c>
      <c r="D1975" s="23">
        <v>-244300</v>
      </c>
      <c r="E1975" s="22" t="s">
        <v>57</v>
      </c>
      <c r="F1975" s="24">
        <v>44358</v>
      </c>
      <c r="G1975" s="22" t="s">
        <v>7369</v>
      </c>
      <c r="H1975" s="22" t="s">
        <v>272</v>
      </c>
      <c r="I1975" s="22" t="s">
        <v>7379</v>
      </c>
      <c r="J1975" s="22" t="s">
        <v>4466</v>
      </c>
      <c r="K1975" s="22" t="s">
        <v>128</v>
      </c>
      <c r="L1975" s="22"/>
      <c r="M1975" s="22"/>
      <c r="N1975" s="22"/>
    </row>
    <row r="1976" spans="1:14" x14ac:dyDescent="0.25">
      <c r="A1976" s="22" t="s">
        <v>1715</v>
      </c>
      <c r="B1976" s="22" t="s">
        <v>39</v>
      </c>
      <c r="C1976" s="22" t="s">
        <v>160</v>
      </c>
      <c r="D1976" s="23">
        <v>-88844</v>
      </c>
      <c r="E1976" s="22" t="s">
        <v>45</v>
      </c>
      <c r="F1976" s="24">
        <v>44379</v>
      </c>
      <c r="G1976" s="22" t="s">
        <v>7369</v>
      </c>
      <c r="H1976" s="22" t="s">
        <v>7380</v>
      </c>
      <c r="I1976" s="22" t="s">
        <v>1932</v>
      </c>
      <c r="J1976" s="22" t="s">
        <v>4401</v>
      </c>
      <c r="K1976" s="22" t="s">
        <v>128</v>
      </c>
      <c r="L1976" s="22"/>
      <c r="M1976" s="22"/>
      <c r="N1976" s="22"/>
    </row>
    <row r="1977" spans="1:14" x14ac:dyDescent="0.25">
      <c r="A1977" s="22" t="s">
        <v>7382</v>
      </c>
      <c r="B1977" s="22" t="s">
        <v>39</v>
      </c>
      <c r="C1977" s="22" t="s">
        <v>7381</v>
      </c>
      <c r="D1977" s="23">
        <v>-169322</v>
      </c>
      <c r="E1977" s="22" t="s">
        <v>57</v>
      </c>
      <c r="F1977" s="24">
        <v>44398</v>
      </c>
      <c r="G1977" s="22" t="s">
        <v>7369</v>
      </c>
      <c r="H1977" s="22" t="s">
        <v>6865</v>
      </c>
      <c r="I1977" s="22" t="s">
        <v>7383</v>
      </c>
      <c r="J1977" s="22" t="s">
        <v>4552</v>
      </c>
      <c r="K1977" s="22" t="s">
        <v>66</v>
      </c>
      <c r="L1977" s="22"/>
      <c r="M1977" s="22"/>
      <c r="N1977" s="22"/>
    </row>
    <row r="1978" spans="1:14" x14ac:dyDescent="0.25">
      <c r="A1978" s="22" t="s">
        <v>7384</v>
      </c>
      <c r="B1978" s="22" t="s">
        <v>39</v>
      </c>
      <c r="C1978" s="22" t="s">
        <v>7381</v>
      </c>
      <c r="D1978" s="23">
        <v>-1014780</v>
      </c>
      <c r="E1978" s="22" t="s">
        <v>57</v>
      </c>
      <c r="F1978" s="24">
        <v>44411</v>
      </c>
      <c r="G1978" s="22" t="s">
        <v>7369</v>
      </c>
      <c r="H1978" s="22" t="s">
        <v>7385</v>
      </c>
      <c r="I1978" s="22" t="s">
        <v>7386</v>
      </c>
      <c r="J1978" s="22" t="s">
        <v>4407</v>
      </c>
      <c r="K1978" s="22" t="s">
        <v>66</v>
      </c>
      <c r="L1978" s="22"/>
      <c r="M1978" s="22"/>
      <c r="N1978" s="22"/>
    </row>
    <row r="1979" spans="1:14" x14ac:dyDescent="0.25">
      <c r="A1979" s="22" t="s">
        <v>7388</v>
      </c>
      <c r="B1979" s="22" t="s">
        <v>39</v>
      </c>
      <c r="C1979" s="22" t="s">
        <v>7387</v>
      </c>
      <c r="D1979" s="23">
        <v>-55561</v>
      </c>
      <c r="E1979" s="22" t="s">
        <v>57</v>
      </c>
      <c r="F1979" s="24">
        <v>44390</v>
      </c>
      <c r="G1979" s="22" t="s">
        <v>7369</v>
      </c>
      <c r="H1979" s="22" t="s">
        <v>637</v>
      </c>
      <c r="I1979" s="22" t="s">
        <v>7389</v>
      </c>
      <c r="J1979" s="22" t="s">
        <v>4407</v>
      </c>
      <c r="K1979" s="22" t="s">
        <v>66</v>
      </c>
      <c r="L1979" s="22"/>
      <c r="M1979" s="22"/>
      <c r="N1979" s="22"/>
    </row>
    <row r="1980" spans="1:14" x14ac:dyDescent="0.25">
      <c r="A1980" s="22" t="s">
        <v>7390</v>
      </c>
      <c r="B1980" s="22" t="s">
        <v>39</v>
      </c>
      <c r="C1980" s="22" t="s">
        <v>7314</v>
      </c>
      <c r="D1980" s="23">
        <v>-29200</v>
      </c>
      <c r="E1980" s="22" t="s">
        <v>57</v>
      </c>
      <c r="F1980" s="24">
        <v>44385</v>
      </c>
      <c r="G1980" s="22" t="s">
        <v>7369</v>
      </c>
      <c r="H1980" s="22" t="s">
        <v>450</v>
      </c>
      <c r="I1980" s="22" t="s">
        <v>7391</v>
      </c>
      <c r="J1980" s="22" t="s">
        <v>4552</v>
      </c>
      <c r="K1980" s="22" t="s">
        <v>61</v>
      </c>
      <c r="L1980" s="22"/>
      <c r="M1980" s="22"/>
      <c r="N1980" s="22"/>
    </row>
    <row r="1981" spans="1:14" x14ac:dyDescent="0.25">
      <c r="A1981" s="22" t="s">
        <v>7392</v>
      </c>
      <c r="B1981" s="22" t="s">
        <v>39</v>
      </c>
      <c r="C1981" s="22" t="s">
        <v>7314</v>
      </c>
      <c r="D1981" s="23">
        <v>-208300</v>
      </c>
      <c r="E1981" s="22" t="s">
        <v>57</v>
      </c>
      <c r="F1981" s="24">
        <v>44392</v>
      </c>
      <c r="G1981" s="22" t="s">
        <v>7369</v>
      </c>
      <c r="H1981" s="22" t="s">
        <v>450</v>
      </c>
      <c r="I1981" s="22" t="s">
        <v>7393</v>
      </c>
      <c r="J1981" s="22" t="s">
        <v>4552</v>
      </c>
      <c r="K1981" s="22" t="s">
        <v>61</v>
      </c>
      <c r="L1981" s="22"/>
      <c r="M1981" s="22"/>
      <c r="N1981" s="22"/>
    </row>
    <row r="1982" spans="1:14" x14ac:dyDescent="0.25">
      <c r="A1982" s="22" t="s">
        <v>7394</v>
      </c>
      <c r="B1982" s="22" t="s">
        <v>39</v>
      </c>
      <c r="C1982" s="22" t="s">
        <v>7314</v>
      </c>
      <c r="D1982" s="23">
        <v>-42600</v>
      </c>
      <c r="E1982" s="22" t="s">
        <v>57</v>
      </c>
      <c r="F1982" s="24">
        <v>44393</v>
      </c>
      <c r="G1982" s="22" t="s">
        <v>7369</v>
      </c>
      <c r="H1982" s="22" t="s">
        <v>450</v>
      </c>
      <c r="I1982" s="22" t="s">
        <v>7395</v>
      </c>
      <c r="J1982" s="22" t="s">
        <v>4552</v>
      </c>
      <c r="K1982" s="22" t="s">
        <v>61</v>
      </c>
      <c r="L1982" s="22"/>
      <c r="M1982" s="22"/>
      <c r="N1982" s="22"/>
    </row>
    <row r="1983" spans="1:14" x14ac:dyDescent="0.25">
      <c r="A1983" s="22" t="s">
        <v>7396</v>
      </c>
      <c r="B1983" s="22" t="s">
        <v>39</v>
      </c>
      <c r="C1983" s="22" t="s">
        <v>7314</v>
      </c>
      <c r="D1983" s="23">
        <v>-29200</v>
      </c>
      <c r="E1983" s="22" t="s">
        <v>57</v>
      </c>
      <c r="F1983" s="24">
        <v>44398</v>
      </c>
      <c r="G1983" s="22" t="s">
        <v>7369</v>
      </c>
      <c r="H1983" s="22" t="s">
        <v>2535</v>
      </c>
      <c r="I1983" s="22" t="s">
        <v>7397</v>
      </c>
      <c r="J1983" s="22" t="s">
        <v>4552</v>
      </c>
      <c r="K1983" s="22" t="s">
        <v>61</v>
      </c>
      <c r="L1983" s="22"/>
      <c r="M1983" s="22"/>
      <c r="N1983" s="22"/>
    </row>
    <row r="1984" spans="1:14" x14ac:dyDescent="0.25">
      <c r="A1984" s="22" t="s">
        <v>7399</v>
      </c>
      <c r="B1984" s="22" t="s">
        <v>39</v>
      </c>
      <c r="C1984" s="22" t="s">
        <v>7398</v>
      </c>
      <c r="D1984" s="23">
        <v>-33600</v>
      </c>
      <c r="E1984" s="22" t="s">
        <v>57</v>
      </c>
      <c r="F1984" s="24">
        <v>44398</v>
      </c>
      <c r="G1984" s="22" t="s">
        <v>7369</v>
      </c>
      <c r="H1984" s="22" t="s">
        <v>1981</v>
      </c>
      <c r="I1984" s="22" t="s">
        <v>7400</v>
      </c>
      <c r="J1984" s="22" t="s">
        <v>4552</v>
      </c>
      <c r="K1984" s="22" t="s">
        <v>61</v>
      </c>
      <c r="L1984" s="22"/>
      <c r="M1984" s="22"/>
      <c r="N1984" s="22"/>
    </row>
    <row r="1985" spans="1:14" x14ac:dyDescent="0.25">
      <c r="A1985" s="22" t="s">
        <v>7401</v>
      </c>
      <c r="B1985" s="22" t="s">
        <v>39</v>
      </c>
      <c r="C1985" s="22" t="s">
        <v>7398</v>
      </c>
      <c r="D1985" s="23">
        <v>-43700</v>
      </c>
      <c r="E1985" s="22" t="s">
        <v>57</v>
      </c>
      <c r="F1985" s="24">
        <v>44405</v>
      </c>
      <c r="G1985" s="22" t="s">
        <v>7369</v>
      </c>
      <c r="H1985" s="22" t="s">
        <v>1981</v>
      </c>
      <c r="I1985" s="22" t="s">
        <v>7402</v>
      </c>
      <c r="J1985" s="22" t="s">
        <v>4552</v>
      </c>
      <c r="K1985" s="22" t="s">
        <v>61</v>
      </c>
      <c r="L1985" s="22"/>
      <c r="M1985" s="22"/>
      <c r="N1985" s="22"/>
    </row>
    <row r="1986" spans="1:14" x14ac:dyDescent="0.25">
      <c r="A1986" s="22" t="s">
        <v>7404</v>
      </c>
      <c r="B1986" s="22" t="s">
        <v>39</v>
      </c>
      <c r="C1986" s="22" t="s">
        <v>7403</v>
      </c>
      <c r="D1986" s="23">
        <v>-32700</v>
      </c>
      <c r="E1986" s="22" t="s">
        <v>57</v>
      </c>
      <c r="F1986" s="24">
        <v>44399</v>
      </c>
      <c r="G1986" s="22" t="s">
        <v>7369</v>
      </c>
      <c r="H1986" s="22" t="s">
        <v>2535</v>
      </c>
      <c r="I1986" s="22" t="s">
        <v>7405</v>
      </c>
      <c r="J1986" s="22" t="s">
        <v>4552</v>
      </c>
      <c r="K1986" s="22" t="s">
        <v>61</v>
      </c>
      <c r="L1986" s="22"/>
      <c r="M1986" s="22"/>
      <c r="N1986" s="22"/>
    </row>
    <row r="1987" spans="1:14" x14ac:dyDescent="0.25">
      <c r="A1987" s="22" t="s">
        <v>7406</v>
      </c>
      <c r="B1987" s="22" t="s">
        <v>39</v>
      </c>
      <c r="C1987" s="22" t="s">
        <v>172</v>
      </c>
      <c r="D1987" s="23">
        <v>-55389</v>
      </c>
      <c r="E1987" s="22" t="s">
        <v>57</v>
      </c>
      <c r="F1987" s="24">
        <v>44378</v>
      </c>
      <c r="G1987" s="22" t="s">
        <v>7369</v>
      </c>
      <c r="H1987" s="22" t="s">
        <v>1686</v>
      </c>
      <c r="I1987" s="22" t="s">
        <v>7407</v>
      </c>
      <c r="J1987" s="22" t="s">
        <v>4552</v>
      </c>
      <c r="K1987" s="22" t="s">
        <v>61</v>
      </c>
      <c r="L1987" s="22"/>
      <c r="M1987" s="22"/>
      <c r="N1987" s="22"/>
    </row>
    <row r="1988" spans="1:14" x14ac:dyDescent="0.25">
      <c r="A1988" s="22" t="s">
        <v>7408</v>
      </c>
      <c r="B1988" s="22" t="s">
        <v>39</v>
      </c>
      <c r="C1988" s="22" t="s">
        <v>172</v>
      </c>
      <c r="D1988" s="23">
        <v>-96972</v>
      </c>
      <c r="E1988" s="22" t="s">
        <v>57</v>
      </c>
      <c r="F1988" s="24">
        <v>44385</v>
      </c>
      <c r="G1988" s="22" t="s">
        <v>7369</v>
      </c>
      <c r="H1988" s="22" t="s">
        <v>6865</v>
      </c>
      <c r="I1988" s="22" t="s">
        <v>7409</v>
      </c>
      <c r="J1988" s="22" t="s">
        <v>4407</v>
      </c>
      <c r="K1988" s="22" t="s">
        <v>61</v>
      </c>
      <c r="L1988" s="22"/>
      <c r="M1988" s="22"/>
      <c r="N1988" s="22"/>
    </row>
    <row r="1989" spans="1:14" x14ac:dyDescent="0.25">
      <c r="A1989" s="22" t="s">
        <v>173</v>
      </c>
      <c r="B1989" s="22" t="s">
        <v>39</v>
      </c>
      <c r="C1989" s="22" t="s">
        <v>172</v>
      </c>
      <c r="D1989" s="23">
        <v>-12828408</v>
      </c>
      <c r="E1989" s="22" t="s">
        <v>57</v>
      </c>
      <c r="F1989" s="24">
        <v>44410</v>
      </c>
      <c r="G1989" s="22" t="s">
        <v>7369</v>
      </c>
      <c r="H1989" s="22" t="s">
        <v>6865</v>
      </c>
      <c r="I1989" s="22" t="s">
        <v>175</v>
      </c>
      <c r="J1989" s="22" t="s">
        <v>4552</v>
      </c>
      <c r="K1989" s="22" t="s">
        <v>61</v>
      </c>
      <c r="L1989" s="22"/>
      <c r="M1989" s="22"/>
      <c r="N1989" s="22"/>
    </row>
    <row r="1990" spans="1:14" x14ac:dyDescent="0.25">
      <c r="A1990" s="22" t="s">
        <v>7410</v>
      </c>
      <c r="B1990" s="22" t="s">
        <v>39</v>
      </c>
      <c r="C1990" s="22" t="s">
        <v>176</v>
      </c>
      <c r="D1990" s="23">
        <v>-53700</v>
      </c>
      <c r="E1990" s="22" t="s">
        <v>57</v>
      </c>
      <c r="F1990" s="24">
        <v>44390</v>
      </c>
      <c r="G1990" s="22" t="s">
        <v>7369</v>
      </c>
      <c r="H1990" s="22" t="s">
        <v>7411</v>
      </c>
      <c r="I1990" s="22" t="s">
        <v>7412</v>
      </c>
      <c r="J1990" s="22" t="s">
        <v>4552</v>
      </c>
      <c r="K1990" s="22" t="s">
        <v>61</v>
      </c>
      <c r="L1990" s="22"/>
      <c r="M1990" s="22"/>
      <c r="N1990" s="22"/>
    </row>
    <row r="1991" spans="1:14" x14ac:dyDescent="0.25">
      <c r="A1991" s="22" t="s">
        <v>7413</v>
      </c>
      <c r="B1991" s="22" t="s">
        <v>39</v>
      </c>
      <c r="C1991" s="22" t="s">
        <v>176</v>
      </c>
      <c r="D1991" s="23">
        <v>-165800</v>
      </c>
      <c r="E1991" s="22" t="s">
        <v>57</v>
      </c>
      <c r="F1991" s="24">
        <v>44391</v>
      </c>
      <c r="G1991" s="22" t="s">
        <v>7369</v>
      </c>
      <c r="H1991" s="22" t="s">
        <v>7411</v>
      </c>
      <c r="I1991" s="22" t="s">
        <v>7414</v>
      </c>
      <c r="J1991" s="22" t="s">
        <v>4552</v>
      </c>
      <c r="K1991" s="22" t="s">
        <v>61</v>
      </c>
      <c r="L1991" s="22"/>
      <c r="M1991" s="22"/>
      <c r="N1991" s="22"/>
    </row>
    <row r="1992" spans="1:14" x14ac:dyDescent="0.25">
      <c r="A1992" s="22" t="s">
        <v>7415</v>
      </c>
      <c r="B1992" s="22" t="s">
        <v>39</v>
      </c>
      <c r="C1992" s="22" t="s">
        <v>176</v>
      </c>
      <c r="D1992" s="23">
        <v>-189464</v>
      </c>
      <c r="E1992" s="22" t="s">
        <v>57</v>
      </c>
      <c r="F1992" s="24">
        <v>44397</v>
      </c>
      <c r="G1992" s="22" t="s">
        <v>7369</v>
      </c>
      <c r="H1992" s="22" t="s">
        <v>7411</v>
      </c>
      <c r="I1992" s="22" t="s">
        <v>7416</v>
      </c>
      <c r="J1992" s="22" t="s">
        <v>4552</v>
      </c>
      <c r="K1992" s="22" t="s">
        <v>61</v>
      </c>
      <c r="L1992" s="22"/>
      <c r="M1992" s="22"/>
      <c r="N1992" s="22"/>
    </row>
    <row r="1993" spans="1:14" x14ac:dyDescent="0.25">
      <c r="A1993" s="22" t="s">
        <v>2145</v>
      </c>
      <c r="B1993" s="22" t="s">
        <v>39</v>
      </c>
      <c r="C1993" s="22" t="s">
        <v>3553</v>
      </c>
      <c r="D1993" s="23">
        <v>8238506</v>
      </c>
      <c r="E1993" s="22" t="s">
        <v>45</v>
      </c>
      <c r="F1993" s="24">
        <v>44214</v>
      </c>
      <c r="G1993" s="22" t="s">
        <v>7369</v>
      </c>
      <c r="H1993" s="22" t="s">
        <v>7417</v>
      </c>
      <c r="I1993" s="22" t="s">
        <v>2078</v>
      </c>
      <c r="J1993" s="22" t="s">
        <v>4401</v>
      </c>
      <c r="K1993" s="22" t="s">
        <v>2159</v>
      </c>
      <c r="L1993" s="22"/>
      <c r="M1993" s="22"/>
      <c r="N1993" s="22"/>
    </row>
    <row r="1994" spans="1:14" x14ac:dyDescent="0.25">
      <c r="A1994" s="22" t="s">
        <v>2697</v>
      </c>
      <c r="B1994" s="22" t="s">
        <v>39</v>
      </c>
      <c r="C1994" s="22" t="s">
        <v>4773</v>
      </c>
      <c r="D1994" s="23">
        <v>17998</v>
      </c>
      <c r="E1994" s="22" t="s">
        <v>45</v>
      </c>
      <c r="F1994" s="24">
        <v>44366</v>
      </c>
      <c r="G1994" s="22" t="s">
        <v>2695</v>
      </c>
      <c r="H1994" s="22"/>
      <c r="I1994" s="22" t="s">
        <v>2695</v>
      </c>
      <c r="J1994" s="22" t="s">
        <v>4401</v>
      </c>
      <c r="K1994" s="22" t="s">
        <v>128</v>
      </c>
      <c r="L1994" s="22"/>
      <c r="M1994" s="22"/>
      <c r="N1994" s="22"/>
    </row>
    <row r="1995" spans="1:14" x14ac:dyDescent="0.25">
      <c r="A1995" s="22" t="s">
        <v>2697</v>
      </c>
      <c r="B1995" s="22" t="s">
        <v>39</v>
      </c>
      <c r="C1995" s="22" t="s">
        <v>7364</v>
      </c>
      <c r="D1995" s="23">
        <v>-49698</v>
      </c>
      <c r="E1995" s="22" t="s">
        <v>45</v>
      </c>
      <c r="F1995" s="24">
        <v>44366</v>
      </c>
      <c r="G1995" s="22" t="s">
        <v>2695</v>
      </c>
      <c r="H1995" s="22" t="s">
        <v>2698</v>
      </c>
      <c r="I1995" s="22" t="s">
        <v>2696</v>
      </c>
      <c r="J1995" s="22" t="s">
        <v>4401</v>
      </c>
      <c r="K1995" s="22" t="s">
        <v>128</v>
      </c>
      <c r="L1995" s="22"/>
      <c r="M1995" s="22"/>
      <c r="N1995" s="22"/>
    </row>
    <row r="1996" spans="1:14" x14ac:dyDescent="0.25">
      <c r="A1996" s="22" t="s">
        <v>2694</v>
      </c>
      <c r="B1996" s="22" t="s">
        <v>39</v>
      </c>
      <c r="C1996" s="22" t="s">
        <v>3573</v>
      </c>
      <c r="D1996" s="23">
        <v>31700</v>
      </c>
      <c r="E1996" s="22" t="s">
        <v>42</v>
      </c>
      <c r="F1996" s="24">
        <v>44214</v>
      </c>
      <c r="G1996" s="22" t="s">
        <v>2695</v>
      </c>
      <c r="H1996" s="22" t="s">
        <v>1741</v>
      </c>
      <c r="I1996" s="22" t="s">
        <v>2693</v>
      </c>
      <c r="J1996" s="22" t="s">
        <v>4401</v>
      </c>
      <c r="K1996" s="22" t="s">
        <v>292</v>
      </c>
      <c r="L1996" s="22"/>
      <c r="M1996" s="22"/>
      <c r="N1996" s="22"/>
    </row>
    <row r="1997" spans="1:14" x14ac:dyDescent="0.25">
      <c r="A1997" s="22" t="s">
        <v>173</v>
      </c>
      <c r="B1997" s="22" t="s">
        <v>39</v>
      </c>
      <c r="C1997" s="22" t="s">
        <v>4773</v>
      </c>
      <c r="D1997" s="23">
        <v>7989179</v>
      </c>
      <c r="E1997" s="22" t="s">
        <v>45</v>
      </c>
      <c r="F1997" s="24">
        <v>44410</v>
      </c>
      <c r="G1997" s="22" t="s">
        <v>2874</v>
      </c>
      <c r="H1997" s="22"/>
      <c r="I1997" s="22" t="s">
        <v>2874</v>
      </c>
      <c r="J1997" s="22" t="s">
        <v>4552</v>
      </c>
      <c r="K1997" s="22" t="s">
        <v>61</v>
      </c>
      <c r="L1997" s="22"/>
      <c r="M1997" s="22"/>
      <c r="N1997" s="22"/>
    </row>
    <row r="1998" spans="1:14" x14ac:dyDescent="0.25">
      <c r="A1998" s="22" t="s">
        <v>173</v>
      </c>
      <c r="B1998" s="22" t="s">
        <v>39</v>
      </c>
      <c r="C1998" s="22" t="s">
        <v>4773</v>
      </c>
      <c r="D1998" s="23">
        <v>-32330601</v>
      </c>
      <c r="E1998" s="22" t="s">
        <v>45</v>
      </c>
      <c r="F1998" s="24">
        <v>44410</v>
      </c>
      <c r="G1998" s="22" t="s">
        <v>2874</v>
      </c>
      <c r="H1998" s="22"/>
      <c r="I1998" s="22" t="s">
        <v>2874</v>
      </c>
      <c r="J1998" s="22" t="s">
        <v>4401</v>
      </c>
      <c r="K1998" s="22" t="s">
        <v>61</v>
      </c>
      <c r="L1998" s="22"/>
      <c r="M1998" s="22"/>
      <c r="N1998" s="22"/>
    </row>
    <row r="1999" spans="1:14" x14ac:dyDescent="0.25">
      <c r="A1999" s="22" t="s">
        <v>173</v>
      </c>
      <c r="B1999" s="22" t="s">
        <v>39</v>
      </c>
      <c r="C1999" s="22" t="s">
        <v>4773</v>
      </c>
      <c r="D1999" s="23">
        <v>25205522</v>
      </c>
      <c r="E1999" s="22" t="s">
        <v>45</v>
      </c>
      <c r="F1999" s="24">
        <v>44410</v>
      </c>
      <c r="G1999" s="22" t="s">
        <v>2874</v>
      </c>
      <c r="H1999" s="22"/>
      <c r="I1999" s="22" t="s">
        <v>2874</v>
      </c>
      <c r="J1999" s="22" t="s">
        <v>4407</v>
      </c>
      <c r="K1999" s="22" t="s">
        <v>61</v>
      </c>
      <c r="L1999" s="22"/>
      <c r="M1999" s="22"/>
      <c r="N1999" s="22"/>
    </row>
    <row r="2000" spans="1:14" x14ac:dyDescent="0.25">
      <c r="A2000" s="22" t="s">
        <v>2697</v>
      </c>
      <c r="B2000" s="22" t="s">
        <v>39</v>
      </c>
      <c r="C2000" s="22" t="s">
        <v>7364</v>
      </c>
      <c r="D2000" s="23">
        <v>-17998</v>
      </c>
      <c r="E2000" s="22" t="s">
        <v>45</v>
      </c>
      <c r="F2000" s="24">
        <v>44366</v>
      </c>
      <c r="G2000" s="22" t="s">
        <v>2874</v>
      </c>
      <c r="H2000" s="22" t="s">
        <v>7418</v>
      </c>
      <c r="I2000" s="22" t="s">
        <v>2695</v>
      </c>
      <c r="J2000" s="22" t="s">
        <v>4401</v>
      </c>
      <c r="K2000" s="22" t="s">
        <v>128</v>
      </c>
      <c r="L2000" s="22"/>
      <c r="M2000" s="22"/>
      <c r="N2000" s="22"/>
    </row>
    <row r="2001" spans="1:14" x14ac:dyDescent="0.25">
      <c r="A2001" s="22" t="s">
        <v>7420</v>
      </c>
      <c r="B2001" s="22" t="s">
        <v>39</v>
      </c>
      <c r="C2001" s="22" t="s">
        <v>7419</v>
      </c>
      <c r="D2001" s="23">
        <v>-894500</v>
      </c>
      <c r="E2001" s="22" t="s">
        <v>57</v>
      </c>
      <c r="F2001" s="24">
        <v>44384</v>
      </c>
      <c r="G2001" s="22" t="s">
        <v>2874</v>
      </c>
      <c r="H2001" s="22" t="s">
        <v>249</v>
      </c>
      <c r="I2001" s="22" t="s">
        <v>7421</v>
      </c>
      <c r="J2001" s="22" t="s">
        <v>4401</v>
      </c>
      <c r="K2001" s="22" t="s">
        <v>66</v>
      </c>
      <c r="L2001" s="22"/>
      <c r="M2001" s="22"/>
      <c r="N2001" s="22"/>
    </row>
    <row r="2002" spans="1:14" x14ac:dyDescent="0.25">
      <c r="A2002" s="22" t="s">
        <v>7422</v>
      </c>
      <c r="B2002" s="22" t="s">
        <v>39</v>
      </c>
      <c r="C2002" s="22" t="s">
        <v>7312</v>
      </c>
      <c r="D2002" s="23">
        <v>-48500</v>
      </c>
      <c r="E2002" s="22" t="s">
        <v>57</v>
      </c>
      <c r="F2002" s="24">
        <v>44378</v>
      </c>
      <c r="G2002" s="22" t="s">
        <v>2874</v>
      </c>
      <c r="H2002" s="22" t="s">
        <v>637</v>
      </c>
      <c r="I2002" s="22" t="s">
        <v>7423</v>
      </c>
      <c r="J2002" s="22" t="s">
        <v>4407</v>
      </c>
      <c r="K2002" s="22" t="s">
        <v>66</v>
      </c>
      <c r="L2002" s="22"/>
      <c r="M2002" s="22"/>
      <c r="N2002" s="22"/>
    </row>
    <row r="2003" spans="1:14" x14ac:dyDescent="0.25">
      <c r="A2003" s="22" t="s">
        <v>7424</v>
      </c>
      <c r="B2003" s="22" t="s">
        <v>39</v>
      </c>
      <c r="C2003" s="22" t="s">
        <v>7312</v>
      </c>
      <c r="D2003" s="23">
        <v>-22300</v>
      </c>
      <c r="E2003" s="22" t="s">
        <v>57</v>
      </c>
      <c r="F2003" s="24">
        <v>44385</v>
      </c>
      <c r="G2003" s="22" t="s">
        <v>2874</v>
      </c>
      <c r="H2003" s="22" t="s">
        <v>637</v>
      </c>
      <c r="I2003" s="22" t="s">
        <v>7425</v>
      </c>
      <c r="J2003" s="22" t="s">
        <v>4407</v>
      </c>
      <c r="K2003" s="22" t="s">
        <v>66</v>
      </c>
      <c r="L2003" s="22"/>
      <c r="M2003" s="22"/>
      <c r="N2003" s="22"/>
    </row>
    <row r="2004" spans="1:14" x14ac:dyDescent="0.25">
      <c r="A2004" s="22" t="s">
        <v>7426</v>
      </c>
      <c r="B2004" s="22" t="s">
        <v>39</v>
      </c>
      <c r="C2004" s="22" t="s">
        <v>7312</v>
      </c>
      <c r="D2004" s="23">
        <v>-47200</v>
      </c>
      <c r="E2004" s="22" t="s">
        <v>57</v>
      </c>
      <c r="F2004" s="24">
        <v>44389</v>
      </c>
      <c r="G2004" s="22" t="s">
        <v>2874</v>
      </c>
      <c r="H2004" s="22" t="s">
        <v>637</v>
      </c>
      <c r="I2004" s="22" t="s">
        <v>7427</v>
      </c>
      <c r="J2004" s="22" t="s">
        <v>4407</v>
      </c>
      <c r="K2004" s="22" t="s">
        <v>66</v>
      </c>
      <c r="L2004" s="22"/>
      <c r="M2004" s="22"/>
      <c r="N2004" s="22"/>
    </row>
    <row r="2005" spans="1:14" x14ac:dyDescent="0.25">
      <c r="A2005" s="22" t="s">
        <v>7428</v>
      </c>
      <c r="B2005" s="22" t="s">
        <v>39</v>
      </c>
      <c r="C2005" s="22" t="s">
        <v>7312</v>
      </c>
      <c r="D2005" s="23">
        <v>-23700</v>
      </c>
      <c r="E2005" s="22" t="s">
        <v>57</v>
      </c>
      <c r="F2005" s="24">
        <v>44392</v>
      </c>
      <c r="G2005" s="22" t="s">
        <v>2874</v>
      </c>
      <c r="H2005" s="22" t="s">
        <v>637</v>
      </c>
      <c r="I2005" s="22" t="s">
        <v>7429</v>
      </c>
      <c r="J2005" s="22" t="s">
        <v>4407</v>
      </c>
      <c r="K2005" s="22" t="s">
        <v>66</v>
      </c>
      <c r="L2005" s="22"/>
      <c r="M2005" s="22"/>
      <c r="N2005" s="22"/>
    </row>
    <row r="2006" spans="1:14" x14ac:dyDescent="0.25">
      <c r="A2006" s="22" t="s">
        <v>7430</v>
      </c>
      <c r="B2006" s="22" t="s">
        <v>39</v>
      </c>
      <c r="C2006" s="22" t="s">
        <v>7312</v>
      </c>
      <c r="D2006" s="23">
        <v>-32700</v>
      </c>
      <c r="E2006" s="22" t="s">
        <v>57</v>
      </c>
      <c r="F2006" s="24">
        <v>44393</v>
      </c>
      <c r="G2006" s="22" t="s">
        <v>2874</v>
      </c>
      <c r="H2006" s="22" t="s">
        <v>2443</v>
      </c>
      <c r="I2006" s="22" t="s">
        <v>7431</v>
      </c>
      <c r="J2006" s="22" t="s">
        <v>4407</v>
      </c>
      <c r="K2006" s="22" t="s">
        <v>66</v>
      </c>
      <c r="L2006" s="22"/>
      <c r="M2006" s="22"/>
      <c r="N2006" s="22"/>
    </row>
    <row r="2007" spans="1:14" x14ac:dyDescent="0.25">
      <c r="A2007" s="22" t="s">
        <v>7432</v>
      </c>
      <c r="B2007" s="22" t="s">
        <v>39</v>
      </c>
      <c r="C2007" s="22" t="s">
        <v>7312</v>
      </c>
      <c r="D2007" s="23">
        <v>-60200</v>
      </c>
      <c r="E2007" s="22" t="s">
        <v>57</v>
      </c>
      <c r="F2007" s="24">
        <v>44399</v>
      </c>
      <c r="G2007" s="22" t="s">
        <v>2874</v>
      </c>
      <c r="H2007" s="22" t="s">
        <v>608</v>
      </c>
      <c r="I2007" s="22" t="s">
        <v>7433</v>
      </c>
      <c r="J2007" s="22" t="s">
        <v>4407</v>
      </c>
      <c r="K2007" s="22" t="s">
        <v>66</v>
      </c>
      <c r="L2007" s="22"/>
      <c r="M2007" s="22"/>
      <c r="N2007" s="22"/>
    </row>
    <row r="2008" spans="1:14" x14ac:dyDescent="0.25">
      <c r="A2008" s="22" t="s">
        <v>7434</v>
      </c>
      <c r="B2008" s="22" t="s">
        <v>39</v>
      </c>
      <c r="C2008" s="22" t="s">
        <v>7312</v>
      </c>
      <c r="D2008" s="23">
        <v>-32700</v>
      </c>
      <c r="E2008" s="22" t="s">
        <v>57</v>
      </c>
      <c r="F2008" s="24">
        <v>44403</v>
      </c>
      <c r="G2008" s="22" t="s">
        <v>2874</v>
      </c>
      <c r="H2008" s="22" t="s">
        <v>7435</v>
      </c>
      <c r="I2008" s="22" t="s">
        <v>7436</v>
      </c>
      <c r="J2008" s="22" t="s">
        <v>4407</v>
      </c>
      <c r="K2008" s="22" t="s">
        <v>66</v>
      </c>
      <c r="L2008" s="22"/>
      <c r="M2008" s="22"/>
      <c r="N2008" s="22"/>
    </row>
    <row r="2009" spans="1:14" x14ac:dyDescent="0.25">
      <c r="A2009" s="22" t="s">
        <v>7437</v>
      </c>
      <c r="B2009" s="22" t="s">
        <v>39</v>
      </c>
      <c r="C2009" s="22" t="s">
        <v>7312</v>
      </c>
      <c r="D2009" s="23">
        <v>-47200</v>
      </c>
      <c r="E2009" s="22" t="s">
        <v>57</v>
      </c>
      <c r="F2009" s="24">
        <v>44404</v>
      </c>
      <c r="G2009" s="22" t="s">
        <v>2874</v>
      </c>
      <c r="H2009" s="22" t="s">
        <v>7438</v>
      </c>
      <c r="I2009" s="22" t="s">
        <v>7439</v>
      </c>
      <c r="J2009" s="22" t="s">
        <v>4407</v>
      </c>
      <c r="K2009" s="22" t="s">
        <v>66</v>
      </c>
      <c r="L2009" s="22"/>
      <c r="M2009" s="22"/>
      <c r="N2009" s="22"/>
    </row>
    <row r="2010" spans="1:14" x14ac:dyDescent="0.25">
      <c r="A2010" s="22" t="s">
        <v>2703</v>
      </c>
      <c r="B2010" s="22" t="s">
        <v>39</v>
      </c>
      <c r="C2010" s="22" t="s">
        <v>7312</v>
      </c>
      <c r="D2010" s="23">
        <v>-20461</v>
      </c>
      <c r="E2010" s="22" t="s">
        <v>45</v>
      </c>
      <c r="F2010" s="24">
        <v>44393</v>
      </c>
      <c r="G2010" s="22" t="s">
        <v>2874</v>
      </c>
      <c r="H2010" s="22" t="s">
        <v>241</v>
      </c>
      <c r="I2010" s="22" t="s">
        <v>2701</v>
      </c>
      <c r="J2010" s="22" t="s">
        <v>4407</v>
      </c>
      <c r="K2010" s="22" t="s">
        <v>66</v>
      </c>
      <c r="L2010" s="22"/>
      <c r="M2010" s="22"/>
      <c r="N2010" s="22"/>
    </row>
    <row r="2011" spans="1:14" x14ac:dyDescent="0.25">
      <c r="A2011" s="22" t="s">
        <v>7440</v>
      </c>
      <c r="B2011" s="22" t="s">
        <v>39</v>
      </c>
      <c r="C2011" s="22" t="s">
        <v>7381</v>
      </c>
      <c r="D2011" s="23">
        <v>-69025</v>
      </c>
      <c r="E2011" s="22" t="s">
        <v>57</v>
      </c>
      <c r="F2011" s="24">
        <v>44379</v>
      </c>
      <c r="G2011" s="22" t="s">
        <v>2874</v>
      </c>
      <c r="H2011" s="22" t="s">
        <v>1693</v>
      </c>
      <c r="I2011" s="22" t="s">
        <v>7441</v>
      </c>
      <c r="J2011" s="22" t="s">
        <v>4407</v>
      </c>
      <c r="K2011" s="22" t="s">
        <v>66</v>
      </c>
      <c r="L2011" s="22"/>
      <c r="M2011" s="22"/>
      <c r="N2011" s="22"/>
    </row>
    <row r="2012" spans="1:14" x14ac:dyDescent="0.25">
      <c r="A2012" s="22" t="s">
        <v>7442</v>
      </c>
      <c r="B2012" s="22" t="s">
        <v>39</v>
      </c>
      <c r="C2012" s="22" t="s">
        <v>7381</v>
      </c>
      <c r="D2012" s="23">
        <v>-105176</v>
      </c>
      <c r="E2012" s="22" t="s">
        <v>57</v>
      </c>
      <c r="F2012" s="24">
        <v>44391</v>
      </c>
      <c r="G2012" s="22" t="s">
        <v>2874</v>
      </c>
      <c r="H2012" s="22" t="s">
        <v>6865</v>
      </c>
      <c r="I2012" s="22" t="s">
        <v>7443</v>
      </c>
      <c r="J2012" s="22" t="s">
        <v>4552</v>
      </c>
      <c r="K2012" s="22" t="s">
        <v>66</v>
      </c>
      <c r="L2012" s="22"/>
      <c r="M2012" s="22"/>
      <c r="N2012" s="22"/>
    </row>
    <row r="2013" spans="1:14" x14ac:dyDescent="0.25">
      <c r="A2013" s="22" t="s">
        <v>2745</v>
      </c>
      <c r="B2013" s="22" t="s">
        <v>39</v>
      </c>
      <c r="C2013" s="22" t="s">
        <v>7313</v>
      </c>
      <c r="D2013" s="23">
        <v>-24460636</v>
      </c>
      <c r="E2013" s="22" t="s">
        <v>45</v>
      </c>
      <c r="F2013" s="24">
        <v>44407</v>
      </c>
      <c r="G2013" s="22" t="s">
        <v>2874</v>
      </c>
      <c r="H2013" s="22" t="s">
        <v>7444</v>
      </c>
      <c r="I2013" s="22" t="s">
        <v>2715</v>
      </c>
      <c r="J2013" s="22" t="s">
        <v>4407</v>
      </c>
      <c r="K2013" s="22" t="s">
        <v>66</v>
      </c>
      <c r="L2013" s="22"/>
      <c r="M2013" s="22"/>
      <c r="N2013" s="22"/>
    </row>
    <row r="2014" spans="1:14" x14ac:dyDescent="0.25">
      <c r="A2014" s="22" t="s">
        <v>173</v>
      </c>
      <c r="B2014" s="22" t="s">
        <v>39</v>
      </c>
      <c r="C2014" s="22" t="s">
        <v>172</v>
      </c>
      <c r="D2014" s="23">
        <v>-7335488</v>
      </c>
      <c r="E2014" s="22" t="s">
        <v>45</v>
      </c>
      <c r="F2014" s="24">
        <v>44410</v>
      </c>
      <c r="G2014" s="22" t="s">
        <v>2874</v>
      </c>
      <c r="H2014" s="22" t="s">
        <v>7445</v>
      </c>
      <c r="I2014" s="22" t="s">
        <v>7369</v>
      </c>
      <c r="J2014" s="22" t="s">
        <v>4552</v>
      </c>
      <c r="K2014" s="22" t="s">
        <v>61</v>
      </c>
      <c r="L2014" s="22"/>
      <c r="M2014" s="22"/>
      <c r="N2014" s="22"/>
    </row>
    <row r="2015" spans="1:14" x14ac:dyDescent="0.25">
      <c r="A2015" s="22" t="s">
        <v>3057</v>
      </c>
      <c r="B2015" s="22" t="s">
        <v>39</v>
      </c>
      <c r="C2015" s="22" t="s">
        <v>176</v>
      </c>
      <c r="D2015" s="23">
        <v>-491438</v>
      </c>
      <c r="E2015" s="22" t="s">
        <v>45</v>
      </c>
      <c r="F2015" s="24">
        <v>44403</v>
      </c>
      <c r="G2015" s="22" t="s">
        <v>2874</v>
      </c>
      <c r="H2015" s="22" t="s">
        <v>7446</v>
      </c>
      <c r="I2015" s="22" t="s">
        <v>7298</v>
      </c>
      <c r="J2015" s="22" t="s">
        <v>4552</v>
      </c>
      <c r="K2015" s="22" t="s">
        <v>61</v>
      </c>
      <c r="L2015" s="22"/>
      <c r="M2015" s="22"/>
      <c r="N2015" s="22"/>
    </row>
    <row r="2016" spans="1:14" x14ac:dyDescent="0.25">
      <c r="A2016" s="22" t="s">
        <v>3051</v>
      </c>
      <c r="B2016" s="22" t="s">
        <v>39</v>
      </c>
      <c r="C2016" s="22" t="s">
        <v>176</v>
      </c>
      <c r="D2016" s="23">
        <v>-57077</v>
      </c>
      <c r="E2016" s="22" t="s">
        <v>45</v>
      </c>
      <c r="F2016" s="24">
        <v>44389</v>
      </c>
      <c r="G2016" s="22" t="s">
        <v>2874</v>
      </c>
      <c r="H2016" s="22" t="s">
        <v>7447</v>
      </c>
      <c r="I2016" s="22" t="s">
        <v>7340</v>
      </c>
      <c r="J2016" s="22" t="s">
        <v>4552</v>
      </c>
      <c r="K2016" s="22" t="s">
        <v>61</v>
      </c>
      <c r="L2016" s="22"/>
      <c r="M2016" s="22"/>
      <c r="N2016" s="22"/>
    </row>
    <row r="2017" spans="1:14" x14ac:dyDescent="0.25">
      <c r="A2017" s="22" t="s">
        <v>7448</v>
      </c>
      <c r="B2017" s="22" t="s">
        <v>39</v>
      </c>
      <c r="C2017" s="22" t="s">
        <v>7318</v>
      </c>
      <c r="D2017" s="23">
        <v>-340900</v>
      </c>
      <c r="E2017" s="22" t="s">
        <v>57</v>
      </c>
      <c r="F2017" s="24">
        <v>44335</v>
      </c>
      <c r="G2017" s="22" t="s">
        <v>2874</v>
      </c>
      <c r="H2017" s="22" t="s">
        <v>890</v>
      </c>
      <c r="I2017" s="22" t="s">
        <v>7449</v>
      </c>
      <c r="J2017" s="22" t="s">
        <v>4407</v>
      </c>
      <c r="K2017" s="22" t="s">
        <v>66</v>
      </c>
      <c r="L2017" s="22"/>
      <c r="M2017" s="22"/>
      <c r="N2017" s="22"/>
    </row>
    <row r="2018" spans="1:14" x14ac:dyDescent="0.25">
      <c r="A2018" s="22" t="s">
        <v>4842</v>
      </c>
      <c r="B2018" s="22" t="s">
        <v>39</v>
      </c>
      <c r="C2018" s="22" t="s">
        <v>7361</v>
      </c>
      <c r="D2018" s="23">
        <v>-641830</v>
      </c>
      <c r="E2018" s="22" t="s">
        <v>45</v>
      </c>
      <c r="F2018" s="24">
        <v>44375</v>
      </c>
      <c r="G2018" s="22" t="s">
        <v>2874</v>
      </c>
      <c r="H2018" s="22" t="s">
        <v>7450</v>
      </c>
      <c r="I2018" s="22" t="s">
        <v>7348</v>
      </c>
      <c r="J2018" s="22" t="s">
        <v>4401</v>
      </c>
      <c r="K2018" s="22" t="s">
        <v>4479</v>
      </c>
      <c r="L2018" s="22"/>
      <c r="M2018" s="22"/>
      <c r="N2018" s="22"/>
    </row>
    <row r="2019" spans="1:14" x14ac:dyDescent="0.25">
      <c r="A2019" s="22" t="s">
        <v>2301</v>
      </c>
      <c r="B2019" s="22" t="s">
        <v>39</v>
      </c>
      <c r="C2019" s="22" t="s">
        <v>47</v>
      </c>
      <c r="D2019" s="23">
        <v>33884929</v>
      </c>
      <c r="E2019" s="22" t="s">
        <v>45</v>
      </c>
      <c r="F2019" s="24">
        <v>44214</v>
      </c>
      <c r="G2019" s="22" t="s">
        <v>2874</v>
      </c>
      <c r="H2019" s="22" t="s">
        <v>7451</v>
      </c>
      <c r="I2019" s="22" t="s">
        <v>7175</v>
      </c>
      <c r="J2019" s="22" t="s">
        <v>4401</v>
      </c>
      <c r="K2019" s="22" t="s">
        <v>292</v>
      </c>
      <c r="L2019" s="22"/>
      <c r="M2019" s="22"/>
      <c r="N2019" s="22"/>
    </row>
    <row r="2020" spans="1:14" x14ac:dyDescent="0.25">
      <c r="A2020" s="22" t="s">
        <v>2869</v>
      </c>
      <c r="B2020" s="22" t="s">
        <v>39</v>
      </c>
      <c r="C2020" s="22" t="s">
        <v>4773</v>
      </c>
      <c r="D2020" s="23">
        <v>-599053</v>
      </c>
      <c r="E2020" s="22" t="s">
        <v>45</v>
      </c>
      <c r="F2020" s="24">
        <v>44334</v>
      </c>
      <c r="G2020" s="22" t="s">
        <v>2868</v>
      </c>
      <c r="H2020" s="22"/>
      <c r="I2020" s="22" t="s">
        <v>2868</v>
      </c>
      <c r="J2020" s="22" t="s">
        <v>4401</v>
      </c>
      <c r="K2020" s="22" t="s">
        <v>66</v>
      </c>
      <c r="L2020" s="22"/>
      <c r="M2020" s="22"/>
      <c r="N2020" s="22"/>
    </row>
    <row r="2021" spans="1:14" x14ac:dyDescent="0.25">
      <c r="A2021" s="22" t="s">
        <v>2869</v>
      </c>
      <c r="B2021" s="22" t="s">
        <v>39</v>
      </c>
      <c r="C2021" s="22" t="s">
        <v>4773</v>
      </c>
      <c r="D2021" s="23">
        <v>608500</v>
      </c>
      <c r="E2021" s="22" t="s">
        <v>45</v>
      </c>
      <c r="F2021" s="24">
        <v>44334</v>
      </c>
      <c r="G2021" s="22" t="s">
        <v>2868</v>
      </c>
      <c r="H2021" s="22"/>
      <c r="I2021" s="22" t="s">
        <v>2868</v>
      </c>
      <c r="J2021" s="22" t="s">
        <v>4407</v>
      </c>
      <c r="K2021" s="22" t="s">
        <v>66</v>
      </c>
      <c r="L2021" s="22"/>
      <c r="M2021" s="22"/>
      <c r="N2021" s="22"/>
    </row>
    <row r="2022" spans="1:14" x14ac:dyDescent="0.25">
      <c r="A2022" s="22" t="s">
        <v>2911</v>
      </c>
      <c r="B2022" s="22" t="s">
        <v>39</v>
      </c>
      <c r="C2022" s="22" t="s">
        <v>7419</v>
      </c>
      <c r="D2022" s="23">
        <v>-10100</v>
      </c>
      <c r="E2022" s="22" t="s">
        <v>57</v>
      </c>
      <c r="F2022" s="24">
        <v>44379</v>
      </c>
      <c r="G2022" s="22" t="s">
        <v>2868</v>
      </c>
      <c r="H2022" s="22" t="s">
        <v>249</v>
      </c>
      <c r="I2022" s="22" t="s">
        <v>2910</v>
      </c>
      <c r="J2022" s="22" t="s">
        <v>4401</v>
      </c>
      <c r="K2022" s="22" t="s">
        <v>66</v>
      </c>
      <c r="L2022" s="22"/>
      <c r="M2022" s="22"/>
      <c r="N2022" s="22"/>
    </row>
    <row r="2023" spans="1:14" x14ac:dyDescent="0.25">
      <c r="A2023" s="22" t="s">
        <v>2909</v>
      </c>
      <c r="B2023" s="22" t="s">
        <v>39</v>
      </c>
      <c r="C2023" s="22" t="s">
        <v>7419</v>
      </c>
      <c r="D2023" s="23">
        <v>-22300</v>
      </c>
      <c r="E2023" s="22" t="s">
        <v>57</v>
      </c>
      <c r="F2023" s="24">
        <v>44383</v>
      </c>
      <c r="G2023" s="22" t="s">
        <v>2868</v>
      </c>
      <c r="H2023" s="22" t="s">
        <v>249</v>
      </c>
      <c r="I2023" s="22" t="s">
        <v>2908</v>
      </c>
      <c r="J2023" s="22" t="s">
        <v>4401</v>
      </c>
      <c r="K2023" s="22" t="s">
        <v>66</v>
      </c>
      <c r="L2023" s="22"/>
      <c r="M2023" s="22"/>
      <c r="N2023" s="22"/>
    </row>
    <row r="2024" spans="1:14" x14ac:dyDescent="0.25">
      <c r="A2024" s="22" t="s">
        <v>2907</v>
      </c>
      <c r="B2024" s="22" t="s">
        <v>39</v>
      </c>
      <c r="C2024" s="22" t="s">
        <v>7419</v>
      </c>
      <c r="D2024" s="23">
        <v>-71600</v>
      </c>
      <c r="E2024" s="22" t="s">
        <v>57</v>
      </c>
      <c r="F2024" s="24">
        <v>44389</v>
      </c>
      <c r="G2024" s="22" t="s">
        <v>2868</v>
      </c>
      <c r="H2024" s="22" t="s">
        <v>249</v>
      </c>
      <c r="I2024" s="22" t="s">
        <v>2906</v>
      </c>
      <c r="J2024" s="22" t="s">
        <v>4401</v>
      </c>
      <c r="K2024" s="22" t="s">
        <v>66</v>
      </c>
      <c r="L2024" s="22"/>
      <c r="M2024" s="22"/>
      <c r="N2024" s="22"/>
    </row>
    <row r="2025" spans="1:14" x14ac:dyDescent="0.25">
      <c r="A2025" s="22" t="s">
        <v>2905</v>
      </c>
      <c r="B2025" s="22" t="s">
        <v>39</v>
      </c>
      <c r="C2025" s="22" t="s">
        <v>7419</v>
      </c>
      <c r="D2025" s="23">
        <v>-47200</v>
      </c>
      <c r="E2025" s="22" t="s">
        <v>57</v>
      </c>
      <c r="F2025" s="24">
        <v>44393</v>
      </c>
      <c r="G2025" s="22" t="s">
        <v>2868</v>
      </c>
      <c r="H2025" s="22" t="s">
        <v>249</v>
      </c>
      <c r="I2025" s="22" t="s">
        <v>2904</v>
      </c>
      <c r="J2025" s="22" t="s">
        <v>4401</v>
      </c>
      <c r="K2025" s="22" t="s">
        <v>66</v>
      </c>
      <c r="L2025" s="22"/>
      <c r="M2025" s="22"/>
      <c r="N2025" s="22"/>
    </row>
    <row r="2026" spans="1:14" x14ac:dyDescent="0.25">
      <c r="A2026" s="22" t="s">
        <v>2903</v>
      </c>
      <c r="B2026" s="22" t="s">
        <v>39</v>
      </c>
      <c r="C2026" s="22" t="s">
        <v>7452</v>
      </c>
      <c r="D2026" s="23">
        <v>-197700</v>
      </c>
      <c r="E2026" s="22" t="s">
        <v>57</v>
      </c>
      <c r="F2026" s="24">
        <v>44384</v>
      </c>
      <c r="G2026" s="22" t="s">
        <v>2868</v>
      </c>
      <c r="H2026" s="22" t="s">
        <v>611</v>
      </c>
      <c r="I2026" s="22" t="s">
        <v>2902</v>
      </c>
      <c r="J2026" s="22" t="s">
        <v>4407</v>
      </c>
      <c r="K2026" s="22" t="s">
        <v>66</v>
      </c>
      <c r="L2026" s="22"/>
      <c r="M2026" s="22"/>
      <c r="N2026" s="22"/>
    </row>
    <row r="2027" spans="1:14" x14ac:dyDescent="0.25">
      <c r="A2027" s="22" t="s">
        <v>2901</v>
      </c>
      <c r="B2027" s="22" t="s">
        <v>39</v>
      </c>
      <c r="C2027" s="22" t="s">
        <v>7312</v>
      </c>
      <c r="D2027" s="23">
        <v>-47200</v>
      </c>
      <c r="E2027" s="22" t="s">
        <v>57</v>
      </c>
      <c r="F2027" s="24">
        <v>44384</v>
      </c>
      <c r="G2027" s="22" t="s">
        <v>2868</v>
      </c>
      <c r="H2027" s="22" t="s">
        <v>608</v>
      </c>
      <c r="I2027" s="22" t="s">
        <v>2900</v>
      </c>
      <c r="J2027" s="22" t="s">
        <v>4407</v>
      </c>
      <c r="K2027" s="22" t="s">
        <v>66</v>
      </c>
      <c r="L2027" s="22"/>
      <c r="M2027" s="22"/>
      <c r="N2027" s="22"/>
    </row>
    <row r="2028" spans="1:14" x14ac:dyDescent="0.25">
      <c r="A2028" s="22" t="s">
        <v>2869</v>
      </c>
      <c r="B2028" s="22" t="s">
        <v>39</v>
      </c>
      <c r="C2028" s="22" t="s">
        <v>7318</v>
      </c>
      <c r="D2028" s="23">
        <v>-363600</v>
      </c>
      <c r="E2028" s="22" t="s">
        <v>57</v>
      </c>
      <c r="F2028" s="24">
        <v>44334</v>
      </c>
      <c r="G2028" s="22" t="s">
        <v>2868</v>
      </c>
      <c r="H2028" s="22" t="s">
        <v>611</v>
      </c>
      <c r="I2028" s="22" t="s">
        <v>2899</v>
      </c>
      <c r="J2028" s="22" t="s">
        <v>4407</v>
      </c>
      <c r="K2028" s="22" t="s">
        <v>66</v>
      </c>
      <c r="L2028" s="22"/>
      <c r="M2028" s="22"/>
      <c r="N2028" s="22"/>
    </row>
    <row r="2029" spans="1:14" x14ac:dyDescent="0.25">
      <c r="A2029" s="22" t="s">
        <v>2898</v>
      </c>
      <c r="B2029" s="22" t="s">
        <v>39</v>
      </c>
      <c r="C2029" s="22" t="s">
        <v>3553</v>
      </c>
      <c r="D2029" s="23">
        <v>750253</v>
      </c>
      <c r="E2029" s="22" t="s">
        <v>42</v>
      </c>
      <c r="F2029" s="24">
        <v>44232</v>
      </c>
      <c r="G2029" s="22" t="s">
        <v>2868</v>
      </c>
      <c r="H2029" s="22" t="s">
        <v>1886</v>
      </c>
      <c r="I2029" s="22" t="s">
        <v>2897</v>
      </c>
      <c r="J2029" s="22" t="s">
        <v>4401</v>
      </c>
      <c r="K2029" s="22" t="s">
        <v>292</v>
      </c>
      <c r="L2029" s="22"/>
      <c r="M2029" s="22"/>
      <c r="N2029" s="22"/>
    </row>
    <row r="2030" spans="1:14" x14ac:dyDescent="0.25">
      <c r="A2030" s="22" t="s">
        <v>2691</v>
      </c>
      <c r="B2030" s="22" t="s">
        <v>39</v>
      </c>
      <c r="C2030" s="22" t="s">
        <v>4773</v>
      </c>
      <c r="D2030" s="23">
        <v>-25950</v>
      </c>
      <c r="E2030" s="22" t="s">
        <v>45</v>
      </c>
      <c r="F2030" s="24">
        <v>44398</v>
      </c>
      <c r="G2030" s="22" t="s">
        <v>2689</v>
      </c>
      <c r="H2030" s="22"/>
      <c r="I2030" s="22" t="s">
        <v>2689</v>
      </c>
      <c r="J2030" s="22" t="s">
        <v>4401</v>
      </c>
      <c r="K2030" s="22" t="s">
        <v>66</v>
      </c>
      <c r="L2030" s="22"/>
      <c r="M2030" s="22"/>
      <c r="N2030" s="22"/>
    </row>
    <row r="2031" spans="1:14" x14ac:dyDescent="0.25">
      <c r="A2031" s="22" t="s">
        <v>2691</v>
      </c>
      <c r="B2031" s="22" t="s">
        <v>39</v>
      </c>
      <c r="C2031" s="22" t="s">
        <v>4773</v>
      </c>
      <c r="D2031" s="23">
        <v>32700</v>
      </c>
      <c r="E2031" s="22" t="s">
        <v>45</v>
      </c>
      <c r="F2031" s="24">
        <v>44398</v>
      </c>
      <c r="G2031" s="22" t="s">
        <v>2689</v>
      </c>
      <c r="H2031" s="22"/>
      <c r="I2031" s="22" t="s">
        <v>2689</v>
      </c>
      <c r="J2031" s="22" t="s">
        <v>4407</v>
      </c>
      <c r="K2031" s="22" t="s">
        <v>66</v>
      </c>
      <c r="L2031" s="22"/>
      <c r="M2031" s="22"/>
      <c r="N2031" s="22"/>
    </row>
    <row r="2032" spans="1:14" x14ac:dyDescent="0.25">
      <c r="A2032" s="22" t="s">
        <v>2691</v>
      </c>
      <c r="B2032" s="22" t="s">
        <v>39</v>
      </c>
      <c r="C2032" s="22" t="s">
        <v>7453</v>
      </c>
      <c r="D2032" s="23">
        <v>-32700</v>
      </c>
      <c r="E2032" s="22" t="s">
        <v>57</v>
      </c>
      <c r="F2032" s="24">
        <v>44398</v>
      </c>
      <c r="G2032" s="22" t="s">
        <v>2689</v>
      </c>
      <c r="H2032" s="22" t="s">
        <v>2692</v>
      </c>
      <c r="I2032" s="22" t="s">
        <v>2690</v>
      </c>
      <c r="J2032" s="22" t="s">
        <v>4407</v>
      </c>
      <c r="K2032" s="22" t="s">
        <v>66</v>
      </c>
      <c r="L2032" s="22"/>
      <c r="M2032" s="22"/>
      <c r="N2032" s="22"/>
    </row>
    <row r="2033" spans="1:14" x14ac:dyDescent="0.25">
      <c r="A2033" s="22" t="s">
        <v>2688</v>
      </c>
      <c r="B2033" s="22" t="s">
        <v>39</v>
      </c>
      <c r="C2033" s="22" t="s">
        <v>3573</v>
      </c>
      <c r="D2033" s="23">
        <v>25950</v>
      </c>
      <c r="E2033" s="22" t="s">
        <v>42</v>
      </c>
      <c r="F2033" s="24">
        <v>44232</v>
      </c>
      <c r="G2033" s="22" t="s">
        <v>2689</v>
      </c>
      <c r="H2033" s="22" t="s">
        <v>1886</v>
      </c>
      <c r="I2033" s="22" t="s">
        <v>2687</v>
      </c>
      <c r="J2033" s="22" t="s">
        <v>4401</v>
      </c>
      <c r="K2033" s="22" t="s">
        <v>292</v>
      </c>
      <c r="L2033" s="22"/>
      <c r="M2033" s="22"/>
      <c r="N2033" s="22"/>
    </row>
    <row r="2034" spans="1:14" x14ac:dyDescent="0.25">
      <c r="A2034" s="22" t="s">
        <v>2686</v>
      </c>
      <c r="B2034" s="22" t="s">
        <v>39</v>
      </c>
      <c r="C2034" s="22" t="s">
        <v>4773</v>
      </c>
      <c r="D2034" s="23">
        <v>-27500</v>
      </c>
      <c r="E2034" s="22" t="s">
        <v>45</v>
      </c>
      <c r="F2034" s="24">
        <v>44398</v>
      </c>
      <c r="G2034" s="22" t="s">
        <v>2684</v>
      </c>
      <c r="H2034" s="22"/>
      <c r="I2034" s="22" t="s">
        <v>2684</v>
      </c>
      <c r="J2034" s="22" t="s">
        <v>4401</v>
      </c>
      <c r="K2034" s="22" t="s">
        <v>66</v>
      </c>
      <c r="L2034" s="22"/>
      <c r="M2034" s="22"/>
      <c r="N2034" s="22"/>
    </row>
    <row r="2035" spans="1:14" x14ac:dyDescent="0.25">
      <c r="A2035" s="22" t="s">
        <v>2686</v>
      </c>
      <c r="B2035" s="22" t="s">
        <v>39</v>
      </c>
      <c r="C2035" s="22" t="s">
        <v>4773</v>
      </c>
      <c r="D2035" s="23">
        <v>32700</v>
      </c>
      <c r="E2035" s="22" t="s">
        <v>45</v>
      </c>
      <c r="F2035" s="24">
        <v>44398</v>
      </c>
      <c r="G2035" s="22" t="s">
        <v>2684</v>
      </c>
      <c r="H2035" s="22"/>
      <c r="I2035" s="22" t="s">
        <v>2684</v>
      </c>
      <c r="J2035" s="22" t="s">
        <v>4407</v>
      </c>
      <c r="K2035" s="22" t="s">
        <v>66</v>
      </c>
      <c r="L2035" s="22"/>
      <c r="M2035" s="22"/>
      <c r="N2035" s="22"/>
    </row>
    <row r="2036" spans="1:14" x14ac:dyDescent="0.25">
      <c r="A2036" s="22" t="s">
        <v>2686</v>
      </c>
      <c r="B2036" s="22" t="s">
        <v>39</v>
      </c>
      <c r="C2036" s="22" t="s">
        <v>7453</v>
      </c>
      <c r="D2036" s="23">
        <v>-32700</v>
      </c>
      <c r="E2036" s="22" t="s">
        <v>57</v>
      </c>
      <c r="F2036" s="24">
        <v>44398</v>
      </c>
      <c r="G2036" s="22" t="s">
        <v>2684</v>
      </c>
      <c r="H2036" s="22" t="s">
        <v>475</v>
      </c>
      <c r="I2036" s="22" t="s">
        <v>2685</v>
      </c>
      <c r="J2036" s="22" t="s">
        <v>4407</v>
      </c>
      <c r="K2036" s="22" t="s">
        <v>66</v>
      </c>
      <c r="L2036" s="22"/>
      <c r="M2036" s="22"/>
      <c r="N2036" s="22"/>
    </row>
    <row r="2037" spans="1:14" x14ac:dyDescent="0.25">
      <c r="A2037" s="22" t="s">
        <v>2683</v>
      </c>
      <c r="B2037" s="22" t="s">
        <v>39</v>
      </c>
      <c r="C2037" s="22" t="s">
        <v>3573</v>
      </c>
      <c r="D2037" s="23">
        <v>27500</v>
      </c>
      <c r="E2037" s="22" t="s">
        <v>42</v>
      </c>
      <c r="F2037" s="24">
        <v>44260</v>
      </c>
      <c r="G2037" s="22" t="s">
        <v>2684</v>
      </c>
      <c r="H2037" s="22" t="s">
        <v>1741</v>
      </c>
      <c r="I2037" s="22" t="s">
        <v>2682</v>
      </c>
      <c r="J2037" s="22" t="s">
        <v>4401</v>
      </c>
      <c r="K2037" s="22" t="s">
        <v>292</v>
      </c>
      <c r="L2037" s="22"/>
      <c r="M2037" s="22"/>
      <c r="N2037" s="22"/>
    </row>
    <row r="2038" spans="1:14" x14ac:dyDescent="0.25">
      <c r="A2038" s="22" t="s">
        <v>2680</v>
      </c>
      <c r="B2038" s="22" t="s">
        <v>39</v>
      </c>
      <c r="C2038" s="22" t="s">
        <v>4773</v>
      </c>
      <c r="D2038" s="23">
        <v>-27362</v>
      </c>
      <c r="E2038" s="22" t="s">
        <v>45</v>
      </c>
      <c r="F2038" s="24">
        <v>44405</v>
      </c>
      <c r="G2038" s="22" t="s">
        <v>2678</v>
      </c>
      <c r="H2038" s="22"/>
      <c r="I2038" s="22" t="s">
        <v>2678</v>
      </c>
      <c r="J2038" s="22" t="s">
        <v>4401</v>
      </c>
      <c r="K2038" s="22" t="s">
        <v>66</v>
      </c>
      <c r="L2038" s="22"/>
      <c r="M2038" s="22"/>
      <c r="N2038" s="22"/>
    </row>
    <row r="2039" spans="1:14" x14ac:dyDescent="0.25">
      <c r="A2039" s="22" t="s">
        <v>2680</v>
      </c>
      <c r="B2039" s="22" t="s">
        <v>39</v>
      </c>
      <c r="C2039" s="22" t="s">
        <v>4773</v>
      </c>
      <c r="D2039" s="23">
        <v>119400</v>
      </c>
      <c r="E2039" s="22" t="s">
        <v>45</v>
      </c>
      <c r="F2039" s="24">
        <v>44405</v>
      </c>
      <c r="G2039" s="22" t="s">
        <v>2678</v>
      </c>
      <c r="H2039" s="22"/>
      <c r="I2039" s="22" t="s">
        <v>2678</v>
      </c>
      <c r="J2039" s="22" t="s">
        <v>4407</v>
      </c>
      <c r="K2039" s="22" t="s">
        <v>66</v>
      </c>
      <c r="L2039" s="22"/>
      <c r="M2039" s="22"/>
      <c r="N2039" s="22"/>
    </row>
    <row r="2040" spans="1:14" x14ac:dyDescent="0.25">
      <c r="A2040" s="22" t="s">
        <v>2680</v>
      </c>
      <c r="B2040" s="22" t="s">
        <v>39</v>
      </c>
      <c r="C2040" s="22" t="s">
        <v>7453</v>
      </c>
      <c r="D2040" s="23">
        <v>-119400</v>
      </c>
      <c r="E2040" s="22" t="s">
        <v>57</v>
      </c>
      <c r="F2040" s="24">
        <v>44405</v>
      </c>
      <c r="G2040" s="22" t="s">
        <v>2678</v>
      </c>
      <c r="H2040" s="22" t="s">
        <v>2681</v>
      </c>
      <c r="I2040" s="22" t="s">
        <v>2679</v>
      </c>
      <c r="J2040" s="22" t="s">
        <v>4407</v>
      </c>
      <c r="K2040" s="22" t="s">
        <v>66</v>
      </c>
      <c r="L2040" s="22"/>
      <c r="M2040" s="22"/>
      <c r="N2040" s="22"/>
    </row>
    <row r="2041" spans="1:14" x14ac:dyDescent="0.25">
      <c r="A2041" s="22" t="s">
        <v>2677</v>
      </c>
      <c r="B2041" s="22" t="s">
        <v>39</v>
      </c>
      <c r="C2041" s="22" t="s">
        <v>5285</v>
      </c>
      <c r="D2041" s="23">
        <v>27362</v>
      </c>
      <c r="E2041" s="22" t="s">
        <v>42</v>
      </c>
      <c r="F2041" s="24">
        <v>44260</v>
      </c>
      <c r="G2041" s="22" t="s">
        <v>2678</v>
      </c>
      <c r="H2041" s="22" t="s">
        <v>1741</v>
      </c>
      <c r="I2041" s="22" t="s">
        <v>2676</v>
      </c>
      <c r="J2041" s="22" t="s">
        <v>4401</v>
      </c>
      <c r="K2041" s="22" t="s">
        <v>292</v>
      </c>
      <c r="L2041" s="22"/>
      <c r="M2041" s="22"/>
      <c r="N2041" s="22"/>
    </row>
    <row r="2042" spans="1:14" x14ac:dyDescent="0.25">
      <c r="A2042" s="22" t="s">
        <v>2884</v>
      </c>
      <c r="B2042" s="22" t="s">
        <v>39</v>
      </c>
      <c r="C2042" s="22" t="s">
        <v>4773</v>
      </c>
      <c r="D2042" s="23">
        <v>-76484</v>
      </c>
      <c r="E2042" s="22" t="s">
        <v>45</v>
      </c>
      <c r="F2042" s="24">
        <v>44400</v>
      </c>
      <c r="G2042" s="22" t="s">
        <v>2883</v>
      </c>
      <c r="H2042" s="22"/>
      <c r="I2042" s="22" t="s">
        <v>2883</v>
      </c>
      <c r="J2042" s="22" t="s">
        <v>4401</v>
      </c>
      <c r="K2042" s="22" t="s">
        <v>66</v>
      </c>
      <c r="L2042" s="22"/>
      <c r="M2042" s="22"/>
      <c r="N2042" s="22"/>
    </row>
    <row r="2043" spans="1:14" x14ac:dyDescent="0.25">
      <c r="A2043" s="22" t="s">
        <v>2884</v>
      </c>
      <c r="B2043" s="22" t="s">
        <v>39</v>
      </c>
      <c r="C2043" s="22" t="s">
        <v>4773</v>
      </c>
      <c r="D2043" s="23">
        <v>103988</v>
      </c>
      <c r="E2043" s="22" t="s">
        <v>45</v>
      </c>
      <c r="F2043" s="24">
        <v>44400</v>
      </c>
      <c r="G2043" s="22" t="s">
        <v>2883</v>
      </c>
      <c r="H2043" s="22"/>
      <c r="I2043" s="22" t="s">
        <v>2883</v>
      </c>
      <c r="J2043" s="22" t="s">
        <v>4407</v>
      </c>
      <c r="K2043" s="22" t="s">
        <v>66</v>
      </c>
      <c r="L2043" s="22"/>
      <c r="M2043" s="22"/>
      <c r="N2043" s="22"/>
    </row>
    <row r="2044" spans="1:14" x14ac:dyDescent="0.25">
      <c r="A2044" s="22" t="s">
        <v>2691</v>
      </c>
      <c r="B2044" s="22" t="s">
        <v>39</v>
      </c>
      <c r="C2044" s="22" t="s">
        <v>7453</v>
      </c>
      <c r="D2044" s="23">
        <v>-6750</v>
      </c>
      <c r="E2044" s="22" t="s">
        <v>45</v>
      </c>
      <c r="F2044" s="24">
        <v>44398</v>
      </c>
      <c r="G2044" s="22" t="s">
        <v>2883</v>
      </c>
      <c r="H2044" s="22" t="s">
        <v>2891</v>
      </c>
      <c r="I2044" s="22" t="s">
        <v>2689</v>
      </c>
      <c r="J2044" s="22" t="s">
        <v>4407</v>
      </c>
      <c r="K2044" s="22" t="s">
        <v>66</v>
      </c>
      <c r="L2044" s="22"/>
      <c r="M2044" s="22"/>
      <c r="N2044" s="22"/>
    </row>
    <row r="2045" spans="1:14" x14ac:dyDescent="0.25">
      <c r="A2045" s="22" t="s">
        <v>2686</v>
      </c>
      <c r="B2045" s="22" t="s">
        <v>39</v>
      </c>
      <c r="C2045" s="22" t="s">
        <v>7453</v>
      </c>
      <c r="D2045" s="23">
        <v>-5200</v>
      </c>
      <c r="E2045" s="22" t="s">
        <v>45</v>
      </c>
      <c r="F2045" s="24">
        <v>44398</v>
      </c>
      <c r="G2045" s="22" t="s">
        <v>2883</v>
      </c>
      <c r="H2045" s="22" t="s">
        <v>2890</v>
      </c>
      <c r="I2045" s="22" t="s">
        <v>2684</v>
      </c>
      <c r="J2045" s="22" t="s">
        <v>4407</v>
      </c>
      <c r="K2045" s="22" t="s">
        <v>66</v>
      </c>
      <c r="L2045" s="22"/>
      <c r="M2045" s="22"/>
      <c r="N2045" s="22"/>
    </row>
    <row r="2046" spans="1:14" x14ac:dyDescent="0.25">
      <c r="A2046" s="22" t="s">
        <v>2680</v>
      </c>
      <c r="B2046" s="22" t="s">
        <v>39</v>
      </c>
      <c r="C2046" s="22" t="s">
        <v>7453</v>
      </c>
      <c r="D2046" s="23">
        <v>-92038</v>
      </c>
      <c r="E2046" s="22" t="s">
        <v>45</v>
      </c>
      <c r="F2046" s="24">
        <v>44405</v>
      </c>
      <c r="G2046" s="22" t="s">
        <v>2883</v>
      </c>
      <c r="H2046" s="22" t="s">
        <v>2841</v>
      </c>
      <c r="I2046" s="22" t="s">
        <v>2678</v>
      </c>
      <c r="J2046" s="22" t="s">
        <v>4407</v>
      </c>
      <c r="K2046" s="22" t="s">
        <v>66</v>
      </c>
      <c r="L2046" s="22"/>
      <c r="M2046" s="22"/>
      <c r="N2046" s="22"/>
    </row>
    <row r="2047" spans="1:14" x14ac:dyDescent="0.25">
      <c r="A2047" s="22" t="s">
        <v>2889</v>
      </c>
      <c r="B2047" s="22" t="s">
        <v>39</v>
      </c>
      <c r="C2047" s="22" t="s">
        <v>7419</v>
      </c>
      <c r="D2047" s="23">
        <v>-23700</v>
      </c>
      <c r="E2047" s="22" t="s">
        <v>57</v>
      </c>
      <c r="F2047" s="24">
        <v>44392</v>
      </c>
      <c r="G2047" s="22" t="s">
        <v>2883</v>
      </c>
      <c r="H2047" s="22" t="s">
        <v>249</v>
      </c>
      <c r="I2047" s="22" t="s">
        <v>2888</v>
      </c>
      <c r="J2047" s="22" t="s">
        <v>4401</v>
      </c>
      <c r="K2047" s="22" t="s">
        <v>66</v>
      </c>
      <c r="L2047" s="22"/>
      <c r="M2047" s="22"/>
      <c r="N2047" s="22"/>
    </row>
    <row r="2048" spans="1:14" x14ac:dyDescent="0.25">
      <c r="A2048" s="22" t="s">
        <v>2884</v>
      </c>
      <c r="B2048" s="22" t="s">
        <v>39</v>
      </c>
      <c r="C2048" s="22" t="s">
        <v>7419</v>
      </c>
      <c r="D2048" s="23">
        <v>-32700</v>
      </c>
      <c r="E2048" s="22" t="s">
        <v>57</v>
      </c>
      <c r="F2048" s="24">
        <v>44400</v>
      </c>
      <c r="G2048" s="22" t="s">
        <v>2883</v>
      </c>
      <c r="H2048" s="22" t="s">
        <v>249</v>
      </c>
      <c r="I2048" s="22" t="s">
        <v>2887</v>
      </c>
      <c r="J2048" s="22" t="s">
        <v>4401</v>
      </c>
      <c r="K2048" s="22" t="s">
        <v>66</v>
      </c>
      <c r="L2048" s="22"/>
      <c r="M2048" s="22"/>
      <c r="N2048" s="22"/>
    </row>
    <row r="2049" spans="1:14" x14ac:dyDescent="0.25">
      <c r="A2049" s="22" t="s">
        <v>2886</v>
      </c>
      <c r="B2049" s="22" t="s">
        <v>39</v>
      </c>
      <c r="C2049" s="22" t="s">
        <v>5285</v>
      </c>
      <c r="D2049" s="23">
        <v>132884</v>
      </c>
      <c r="E2049" s="22" t="s">
        <v>42</v>
      </c>
      <c r="F2049" s="24">
        <v>44355</v>
      </c>
      <c r="G2049" s="22" t="s">
        <v>2883</v>
      </c>
      <c r="H2049" s="22" t="s">
        <v>605</v>
      </c>
      <c r="I2049" s="22" t="s">
        <v>2885</v>
      </c>
      <c r="J2049" s="22" t="s">
        <v>4401</v>
      </c>
      <c r="K2049" s="22" t="s">
        <v>292</v>
      </c>
      <c r="L2049" s="22"/>
      <c r="M2049" s="22"/>
      <c r="N2049" s="22"/>
    </row>
    <row r="2050" spans="1:14" x14ac:dyDescent="0.25">
      <c r="A2050" s="22" t="s">
        <v>2811</v>
      </c>
      <c r="B2050" s="22" t="s">
        <v>39</v>
      </c>
      <c r="C2050" s="22" t="s">
        <v>4773</v>
      </c>
      <c r="D2050" s="23">
        <v>116600</v>
      </c>
      <c r="E2050" s="22" t="s">
        <v>45</v>
      </c>
      <c r="F2050" s="24">
        <v>44347</v>
      </c>
      <c r="G2050" s="22" t="s">
        <v>2810</v>
      </c>
      <c r="H2050" s="22"/>
      <c r="I2050" s="22" t="s">
        <v>2810</v>
      </c>
      <c r="J2050" s="22" t="s">
        <v>4552</v>
      </c>
      <c r="K2050" s="22" t="s">
        <v>61</v>
      </c>
      <c r="L2050" s="22"/>
      <c r="M2050" s="22"/>
      <c r="N2050" s="22"/>
    </row>
    <row r="2051" spans="1:14" x14ac:dyDescent="0.25">
      <c r="A2051" s="22" t="s">
        <v>2811</v>
      </c>
      <c r="B2051" s="22" t="s">
        <v>39</v>
      </c>
      <c r="C2051" s="22" t="s">
        <v>4773</v>
      </c>
      <c r="D2051" s="23">
        <v>-93400</v>
      </c>
      <c r="E2051" s="22" t="s">
        <v>45</v>
      </c>
      <c r="F2051" s="24">
        <v>44347</v>
      </c>
      <c r="G2051" s="22" t="s">
        <v>2810</v>
      </c>
      <c r="H2051" s="22"/>
      <c r="I2051" s="22" t="s">
        <v>2810</v>
      </c>
      <c r="J2051" s="22" t="s">
        <v>4401</v>
      </c>
      <c r="K2051" s="22" t="s">
        <v>61</v>
      </c>
      <c r="L2051" s="22"/>
      <c r="M2051" s="22"/>
      <c r="N2051" s="22"/>
    </row>
    <row r="2052" spans="1:14" x14ac:dyDescent="0.25">
      <c r="A2052" s="22" t="s">
        <v>2896</v>
      </c>
      <c r="B2052" s="22" t="s">
        <v>39</v>
      </c>
      <c r="C2052" s="22" t="s">
        <v>7454</v>
      </c>
      <c r="D2052" s="23">
        <v>-29200</v>
      </c>
      <c r="E2052" s="22" t="s">
        <v>57</v>
      </c>
      <c r="F2052" s="24">
        <v>44341</v>
      </c>
      <c r="G2052" s="22" t="s">
        <v>2810</v>
      </c>
      <c r="H2052" s="22" t="s">
        <v>559</v>
      </c>
      <c r="I2052" s="22" t="s">
        <v>2895</v>
      </c>
      <c r="J2052" s="22" t="s">
        <v>4552</v>
      </c>
      <c r="K2052" s="22" t="s">
        <v>61</v>
      </c>
      <c r="L2052" s="22"/>
      <c r="M2052" s="22"/>
      <c r="N2052" s="22"/>
    </row>
    <row r="2053" spans="1:14" x14ac:dyDescent="0.25">
      <c r="A2053" s="22" t="s">
        <v>2894</v>
      </c>
      <c r="B2053" s="22" t="s">
        <v>39</v>
      </c>
      <c r="C2053" s="22" t="s">
        <v>7454</v>
      </c>
      <c r="D2053" s="23">
        <v>-43700</v>
      </c>
      <c r="E2053" s="22" t="s">
        <v>57</v>
      </c>
      <c r="F2053" s="24">
        <v>44342</v>
      </c>
      <c r="G2053" s="22" t="s">
        <v>2810</v>
      </c>
      <c r="H2053" s="22" t="s">
        <v>823</v>
      </c>
      <c r="I2053" s="22" t="s">
        <v>2893</v>
      </c>
      <c r="J2053" s="22" t="s">
        <v>4552</v>
      </c>
      <c r="K2053" s="22" t="s">
        <v>61</v>
      </c>
      <c r="L2053" s="22"/>
      <c r="M2053" s="22"/>
      <c r="N2053" s="22"/>
    </row>
    <row r="2054" spans="1:14" x14ac:dyDescent="0.25">
      <c r="A2054" s="22" t="s">
        <v>2811</v>
      </c>
      <c r="B2054" s="22" t="s">
        <v>39</v>
      </c>
      <c r="C2054" s="22" t="s">
        <v>7454</v>
      </c>
      <c r="D2054" s="23">
        <v>-43700</v>
      </c>
      <c r="E2054" s="22" t="s">
        <v>57</v>
      </c>
      <c r="F2054" s="24">
        <v>44347</v>
      </c>
      <c r="G2054" s="22" t="s">
        <v>2810</v>
      </c>
      <c r="H2054" s="22" t="s">
        <v>309</v>
      </c>
      <c r="I2054" s="22" t="s">
        <v>2892</v>
      </c>
      <c r="J2054" s="22" t="s">
        <v>4552</v>
      </c>
      <c r="K2054" s="22" t="s">
        <v>61</v>
      </c>
      <c r="L2054" s="22"/>
      <c r="M2054" s="22"/>
      <c r="N2054" s="22"/>
    </row>
    <row r="2055" spans="1:14" x14ac:dyDescent="0.25">
      <c r="A2055" s="22" t="s">
        <v>2867</v>
      </c>
      <c r="B2055" s="22" t="s">
        <v>39</v>
      </c>
      <c r="C2055" s="22" t="s">
        <v>4403</v>
      </c>
      <c r="D2055" s="23">
        <v>93400</v>
      </c>
      <c r="E2055" s="22" t="s">
        <v>42</v>
      </c>
      <c r="F2055" s="24">
        <v>44385</v>
      </c>
      <c r="G2055" s="22" t="s">
        <v>2810</v>
      </c>
      <c r="H2055" s="22" t="s">
        <v>1671</v>
      </c>
      <c r="I2055" s="22" t="s">
        <v>2866</v>
      </c>
      <c r="J2055" s="22" t="s">
        <v>4401</v>
      </c>
      <c r="K2055" s="22" t="s">
        <v>292</v>
      </c>
      <c r="L2055" s="22"/>
      <c r="M2055" s="22"/>
      <c r="N2055" s="22"/>
    </row>
    <row r="2056" spans="1:14" x14ac:dyDescent="0.25">
      <c r="A2056" s="22" t="s">
        <v>2840</v>
      </c>
      <c r="B2056" s="22" t="s">
        <v>39</v>
      </c>
      <c r="C2056" s="22" t="s">
        <v>4773</v>
      </c>
      <c r="D2056" s="23">
        <v>-35596</v>
      </c>
      <c r="E2056" s="22" t="s">
        <v>45</v>
      </c>
      <c r="F2056" s="24">
        <v>44385</v>
      </c>
      <c r="G2056" s="22" t="s">
        <v>2839</v>
      </c>
      <c r="H2056" s="22"/>
      <c r="I2056" s="22" t="s">
        <v>2839</v>
      </c>
      <c r="J2056" s="22" t="s">
        <v>4401</v>
      </c>
      <c r="K2056" s="22" t="s">
        <v>66</v>
      </c>
      <c r="L2056" s="22"/>
      <c r="M2056" s="22"/>
      <c r="N2056" s="22"/>
    </row>
    <row r="2057" spans="1:14" x14ac:dyDescent="0.25">
      <c r="A2057" s="22" t="s">
        <v>2840</v>
      </c>
      <c r="B2057" s="22" t="s">
        <v>39</v>
      </c>
      <c r="C2057" s="22" t="s">
        <v>4773</v>
      </c>
      <c r="D2057" s="23">
        <v>65100</v>
      </c>
      <c r="E2057" s="22" t="s">
        <v>45</v>
      </c>
      <c r="F2057" s="24">
        <v>44385</v>
      </c>
      <c r="G2057" s="22" t="s">
        <v>2839</v>
      </c>
      <c r="H2057" s="22"/>
      <c r="I2057" s="22" t="s">
        <v>2839</v>
      </c>
      <c r="J2057" s="22" t="s">
        <v>4407</v>
      </c>
      <c r="K2057" s="22" t="s">
        <v>66</v>
      </c>
      <c r="L2057" s="22"/>
      <c r="M2057" s="22"/>
      <c r="N2057" s="22"/>
    </row>
    <row r="2058" spans="1:14" x14ac:dyDescent="0.25">
      <c r="A2058" s="22" t="s">
        <v>2884</v>
      </c>
      <c r="B2058" s="22" t="s">
        <v>39</v>
      </c>
      <c r="C2058" s="22" t="s">
        <v>7419</v>
      </c>
      <c r="D2058" s="23">
        <v>-27504</v>
      </c>
      <c r="E2058" s="22" t="s">
        <v>45</v>
      </c>
      <c r="F2058" s="24">
        <v>44400</v>
      </c>
      <c r="G2058" s="22" t="s">
        <v>2839</v>
      </c>
      <c r="H2058" s="22" t="s">
        <v>866</v>
      </c>
      <c r="I2058" s="22" t="s">
        <v>2883</v>
      </c>
      <c r="J2058" s="22" t="s">
        <v>4401</v>
      </c>
      <c r="K2058" s="22" t="s">
        <v>66</v>
      </c>
      <c r="L2058" s="22"/>
      <c r="M2058" s="22"/>
      <c r="N2058" s="22"/>
    </row>
    <row r="2059" spans="1:14" x14ac:dyDescent="0.25">
      <c r="A2059" s="22" t="s">
        <v>2882</v>
      </c>
      <c r="B2059" s="22" t="s">
        <v>39</v>
      </c>
      <c r="C2059" s="22" t="s">
        <v>7452</v>
      </c>
      <c r="D2059" s="23">
        <v>-10100</v>
      </c>
      <c r="E2059" s="22" t="s">
        <v>57</v>
      </c>
      <c r="F2059" s="24">
        <v>44399</v>
      </c>
      <c r="G2059" s="22" t="s">
        <v>2839</v>
      </c>
      <c r="H2059" s="22" t="s">
        <v>1731</v>
      </c>
      <c r="I2059" s="22" t="s">
        <v>2881</v>
      </c>
      <c r="J2059" s="22" t="s">
        <v>4407</v>
      </c>
      <c r="K2059" s="22" t="s">
        <v>66</v>
      </c>
      <c r="L2059" s="22"/>
      <c r="M2059" s="22"/>
      <c r="N2059" s="22"/>
    </row>
    <row r="2060" spans="1:14" x14ac:dyDescent="0.25">
      <c r="A2060" s="22" t="s">
        <v>2880</v>
      </c>
      <c r="B2060" s="22" t="s">
        <v>39</v>
      </c>
      <c r="C2060" s="22" t="s">
        <v>7312</v>
      </c>
      <c r="D2060" s="23">
        <v>-22300</v>
      </c>
      <c r="E2060" s="22" t="s">
        <v>57</v>
      </c>
      <c r="F2060" s="24">
        <v>44378</v>
      </c>
      <c r="G2060" s="22" t="s">
        <v>2839</v>
      </c>
      <c r="H2060" s="22" t="s">
        <v>723</v>
      </c>
      <c r="I2060" s="22" t="s">
        <v>2879</v>
      </c>
      <c r="J2060" s="22" t="s">
        <v>4407</v>
      </c>
      <c r="K2060" s="22" t="s">
        <v>66</v>
      </c>
      <c r="L2060" s="22"/>
      <c r="M2060" s="22"/>
      <c r="N2060" s="22"/>
    </row>
    <row r="2061" spans="1:14" x14ac:dyDescent="0.25">
      <c r="A2061" s="22" t="s">
        <v>2840</v>
      </c>
      <c r="B2061" s="22" t="s">
        <v>39</v>
      </c>
      <c r="C2061" s="22" t="s">
        <v>7312</v>
      </c>
      <c r="D2061" s="23">
        <v>-32700</v>
      </c>
      <c r="E2061" s="22" t="s">
        <v>57</v>
      </c>
      <c r="F2061" s="24">
        <v>44385</v>
      </c>
      <c r="G2061" s="22" t="s">
        <v>2839</v>
      </c>
      <c r="H2061" s="22" t="s">
        <v>2681</v>
      </c>
      <c r="I2061" s="22" t="s">
        <v>2878</v>
      </c>
      <c r="J2061" s="22" t="s">
        <v>4407</v>
      </c>
      <c r="K2061" s="22" t="s">
        <v>66</v>
      </c>
      <c r="L2061" s="22"/>
      <c r="M2061" s="22"/>
      <c r="N2061" s="22"/>
    </row>
    <row r="2062" spans="1:14" x14ac:dyDescent="0.25">
      <c r="A2062" s="22" t="s">
        <v>2877</v>
      </c>
      <c r="B2062" s="22" t="s">
        <v>39</v>
      </c>
      <c r="C2062" s="22" t="s">
        <v>3553</v>
      </c>
      <c r="D2062" s="23">
        <v>63100</v>
      </c>
      <c r="E2062" s="22" t="s">
        <v>42</v>
      </c>
      <c r="F2062" s="24">
        <v>44385</v>
      </c>
      <c r="G2062" s="22" t="s">
        <v>2839</v>
      </c>
      <c r="H2062" s="22" t="s">
        <v>1671</v>
      </c>
      <c r="I2062" s="22" t="s">
        <v>2876</v>
      </c>
      <c r="J2062" s="22" t="s">
        <v>4401</v>
      </c>
      <c r="K2062" s="22" t="s">
        <v>292</v>
      </c>
      <c r="L2062" s="22"/>
      <c r="M2062" s="22"/>
      <c r="N2062" s="22"/>
    </row>
    <row r="2063" spans="1:14" x14ac:dyDescent="0.25">
      <c r="A2063" s="22" t="s">
        <v>2832</v>
      </c>
      <c r="B2063" s="22" t="s">
        <v>39</v>
      </c>
      <c r="C2063" s="22" t="s">
        <v>4773</v>
      </c>
      <c r="D2063" s="23">
        <v>849200</v>
      </c>
      <c r="E2063" s="22" t="s">
        <v>45</v>
      </c>
      <c r="F2063" s="24">
        <v>44215</v>
      </c>
      <c r="G2063" s="22" t="s">
        <v>2831</v>
      </c>
      <c r="H2063" s="22"/>
      <c r="I2063" s="22" t="s">
        <v>2831</v>
      </c>
      <c r="J2063" s="22" t="s">
        <v>4552</v>
      </c>
      <c r="K2063" s="22" t="s">
        <v>61</v>
      </c>
      <c r="L2063" s="22"/>
      <c r="M2063" s="22"/>
      <c r="N2063" s="22"/>
    </row>
    <row r="2064" spans="1:14" x14ac:dyDescent="0.25">
      <c r="A2064" s="22" t="s">
        <v>2832</v>
      </c>
      <c r="B2064" s="22" t="s">
        <v>39</v>
      </c>
      <c r="C2064" s="22" t="s">
        <v>4773</v>
      </c>
      <c r="D2064" s="23">
        <v>-531021</v>
      </c>
      <c r="E2064" s="22" t="s">
        <v>45</v>
      </c>
      <c r="F2064" s="24">
        <v>44215</v>
      </c>
      <c r="G2064" s="22" t="s">
        <v>2831</v>
      </c>
      <c r="H2064" s="22"/>
      <c r="I2064" s="22" t="s">
        <v>2831</v>
      </c>
      <c r="J2064" s="22" t="s">
        <v>4401</v>
      </c>
      <c r="K2064" s="22" t="s">
        <v>61</v>
      </c>
      <c r="L2064" s="22"/>
      <c r="M2064" s="22"/>
      <c r="N2064" s="22"/>
    </row>
    <row r="2065" spans="1:14" x14ac:dyDescent="0.25">
      <c r="A2065" s="22" t="s">
        <v>2832</v>
      </c>
      <c r="B2065" s="22" t="s">
        <v>39</v>
      </c>
      <c r="C2065" s="22" t="s">
        <v>4773</v>
      </c>
      <c r="D2065" s="23">
        <v>29504</v>
      </c>
      <c r="E2065" s="22" t="s">
        <v>45</v>
      </c>
      <c r="F2065" s="24">
        <v>44215</v>
      </c>
      <c r="G2065" s="22" t="s">
        <v>2831</v>
      </c>
      <c r="H2065" s="22"/>
      <c r="I2065" s="22" t="s">
        <v>2831</v>
      </c>
      <c r="J2065" s="22" t="s">
        <v>4407</v>
      </c>
      <c r="K2065" s="22" t="s">
        <v>61</v>
      </c>
      <c r="L2065" s="22"/>
      <c r="M2065" s="22"/>
      <c r="N2065" s="22"/>
    </row>
    <row r="2066" spans="1:14" x14ac:dyDescent="0.25">
      <c r="A2066" s="22" t="s">
        <v>2840</v>
      </c>
      <c r="B2066" s="22" t="s">
        <v>39</v>
      </c>
      <c r="C2066" s="22" t="s">
        <v>7312</v>
      </c>
      <c r="D2066" s="23">
        <v>-29504</v>
      </c>
      <c r="E2066" s="22" t="s">
        <v>45</v>
      </c>
      <c r="F2066" s="24">
        <v>44385</v>
      </c>
      <c r="G2066" s="22" t="s">
        <v>2831</v>
      </c>
      <c r="H2066" s="22" t="s">
        <v>2841</v>
      </c>
      <c r="I2066" s="22" t="s">
        <v>2839</v>
      </c>
      <c r="J2066" s="22" t="s">
        <v>4407</v>
      </c>
      <c r="K2066" s="22" t="s">
        <v>66</v>
      </c>
      <c r="L2066" s="22"/>
      <c r="M2066" s="22"/>
      <c r="N2066" s="22"/>
    </row>
    <row r="2067" spans="1:14" x14ac:dyDescent="0.25">
      <c r="A2067" s="22" t="s">
        <v>2832</v>
      </c>
      <c r="B2067" s="22" t="s">
        <v>39</v>
      </c>
      <c r="C2067" s="22" t="s">
        <v>7454</v>
      </c>
      <c r="D2067" s="23">
        <v>-849200</v>
      </c>
      <c r="E2067" s="22" t="s">
        <v>57</v>
      </c>
      <c r="F2067" s="24">
        <v>44215</v>
      </c>
      <c r="G2067" s="22" t="s">
        <v>2831</v>
      </c>
      <c r="H2067" s="22" t="s">
        <v>2062</v>
      </c>
      <c r="I2067" s="22" t="s">
        <v>2838</v>
      </c>
      <c r="J2067" s="22" t="s">
        <v>4552</v>
      </c>
      <c r="K2067" s="22" t="s">
        <v>61</v>
      </c>
      <c r="L2067" s="22"/>
      <c r="M2067" s="22"/>
      <c r="N2067" s="22"/>
    </row>
    <row r="2068" spans="1:14" x14ac:dyDescent="0.25">
      <c r="A2068" s="22" t="s">
        <v>2837</v>
      </c>
      <c r="B2068" s="22" t="s">
        <v>39</v>
      </c>
      <c r="C2068" s="22" t="s">
        <v>3573</v>
      </c>
      <c r="D2068" s="23">
        <v>531021</v>
      </c>
      <c r="E2068" s="22" t="s">
        <v>42</v>
      </c>
      <c r="F2068" s="24">
        <v>44385</v>
      </c>
      <c r="G2068" s="22" t="s">
        <v>2831</v>
      </c>
      <c r="H2068" s="22" t="s">
        <v>1671</v>
      </c>
      <c r="I2068" s="22" t="s">
        <v>2836</v>
      </c>
      <c r="J2068" s="22" t="s">
        <v>4401</v>
      </c>
      <c r="K2068" s="22" t="s">
        <v>292</v>
      </c>
      <c r="L2068" s="22"/>
      <c r="M2068" s="22"/>
      <c r="N2068" s="22"/>
    </row>
    <row r="2069" spans="1:14" x14ac:dyDescent="0.25">
      <c r="A2069" s="22" t="s">
        <v>2807</v>
      </c>
      <c r="B2069" s="22" t="s">
        <v>39</v>
      </c>
      <c r="C2069" s="22" t="s">
        <v>4773</v>
      </c>
      <c r="D2069" s="23">
        <v>533079</v>
      </c>
      <c r="E2069" s="22" t="s">
        <v>45</v>
      </c>
      <c r="F2069" s="24">
        <v>44209</v>
      </c>
      <c r="G2069" s="22" t="s">
        <v>2806</v>
      </c>
      <c r="H2069" s="22"/>
      <c r="I2069" s="22" t="s">
        <v>2806</v>
      </c>
      <c r="J2069" s="22" t="s">
        <v>4552</v>
      </c>
      <c r="K2069" s="22" t="s">
        <v>61</v>
      </c>
      <c r="L2069" s="22"/>
      <c r="M2069" s="22"/>
      <c r="N2069" s="22"/>
    </row>
    <row r="2070" spans="1:14" x14ac:dyDescent="0.25">
      <c r="A2070" s="22" t="s">
        <v>2807</v>
      </c>
      <c r="B2070" s="22" t="s">
        <v>39</v>
      </c>
      <c r="C2070" s="22" t="s">
        <v>4773</v>
      </c>
      <c r="D2070" s="23">
        <v>-504750</v>
      </c>
      <c r="E2070" s="22" t="s">
        <v>45</v>
      </c>
      <c r="F2070" s="24">
        <v>44209</v>
      </c>
      <c r="G2070" s="22" t="s">
        <v>2806</v>
      </c>
      <c r="H2070" s="22"/>
      <c r="I2070" s="22" t="s">
        <v>2806</v>
      </c>
      <c r="J2070" s="22" t="s">
        <v>4401</v>
      </c>
      <c r="K2070" s="22" t="s">
        <v>61</v>
      </c>
      <c r="L2070" s="22"/>
      <c r="M2070" s="22"/>
      <c r="N2070" s="22"/>
    </row>
    <row r="2071" spans="1:14" x14ac:dyDescent="0.25">
      <c r="A2071" s="22" t="s">
        <v>2807</v>
      </c>
      <c r="B2071" s="22" t="s">
        <v>39</v>
      </c>
      <c r="C2071" s="22" t="s">
        <v>7454</v>
      </c>
      <c r="D2071" s="23">
        <v>-43700</v>
      </c>
      <c r="E2071" s="22" t="s">
        <v>57</v>
      </c>
      <c r="F2071" s="24">
        <v>44209</v>
      </c>
      <c r="G2071" s="22" t="s">
        <v>2806</v>
      </c>
      <c r="H2071" s="22" t="s">
        <v>2062</v>
      </c>
      <c r="I2071" s="22" t="s">
        <v>2835</v>
      </c>
      <c r="J2071" s="22" t="s">
        <v>4552</v>
      </c>
      <c r="K2071" s="22" t="s">
        <v>61</v>
      </c>
      <c r="L2071" s="22"/>
      <c r="M2071" s="22"/>
      <c r="N2071" s="22"/>
    </row>
    <row r="2072" spans="1:14" x14ac:dyDescent="0.25">
      <c r="A2072" s="22" t="s">
        <v>2834</v>
      </c>
      <c r="B2072" s="22" t="s">
        <v>39</v>
      </c>
      <c r="C2072" s="22" t="s">
        <v>7454</v>
      </c>
      <c r="D2072" s="23">
        <v>-43700</v>
      </c>
      <c r="E2072" s="22" t="s">
        <v>57</v>
      </c>
      <c r="F2072" s="24">
        <v>44218</v>
      </c>
      <c r="G2072" s="22" t="s">
        <v>2806</v>
      </c>
      <c r="H2072" s="22" t="s">
        <v>2062</v>
      </c>
      <c r="I2072" s="22" t="s">
        <v>2833</v>
      </c>
      <c r="J2072" s="22" t="s">
        <v>4552</v>
      </c>
      <c r="K2072" s="22" t="s">
        <v>61</v>
      </c>
      <c r="L2072" s="22"/>
      <c r="M2072" s="22"/>
      <c r="N2072" s="22"/>
    </row>
    <row r="2073" spans="1:14" x14ac:dyDescent="0.25">
      <c r="A2073" s="22" t="s">
        <v>2832</v>
      </c>
      <c r="B2073" s="22" t="s">
        <v>39</v>
      </c>
      <c r="C2073" s="22" t="s">
        <v>7454</v>
      </c>
      <c r="D2073" s="23">
        <v>-347683</v>
      </c>
      <c r="E2073" s="22" t="s">
        <v>45</v>
      </c>
      <c r="F2073" s="24">
        <v>44215</v>
      </c>
      <c r="G2073" s="22" t="s">
        <v>2806</v>
      </c>
      <c r="H2073" s="22" t="s">
        <v>2809</v>
      </c>
      <c r="I2073" s="22" t="s">
        <v>2831</v>
      </c>
      <c r="J2073" s="22" t="s">
        <v>4552</v>
      </c>
      <c r="K2073" s="22" t="s">
        <v>61</v>
      </c>
      <c r="L2073" s="22"/>
      <c r="M2073" s="22"/>
      <c r="N2073" s="22"/>
    </row>
    <row r="2074" spans="1:14" x14ac:dyDescent="0.25">
      <c r="A2074" s="22" t="s">
        <v>2830</v>
      </c>
      <c r="B2074" s="22" t="s">
        <v>39</v>
      </c>
      <c r="C2074" s="22" t="s">
        <v>7317</v>
      </c>
      <c r="D2074" s="23">
        <v>-97996</v>
      </c>
      <c r="E2074" s="22" t="s">
        <v>57</v>
      </c>
      <c r="F2074" s="24">
        <v>44219</v>
      </c>
      <c r="G2074" s="22" t="s">
        <v>2806</v>
      </c>
      <c r="H2074" s="22" t="s">
        <v>2062</v>
      </c>
      <c r="I2074" s="22" t="s">
        <v>2829</v>
      </c>
      <c r="J2074" s="22" t="s">
        <v>4552</v>
      </c>
      <c r="K2074" s="22" t="s">
        <v>61</v>
      </c>
      <c r="L2074" s="22"/>
      <c r="M2074" s="22"/>
      <c r="N2074" s="22"/>
    </row>
    <row r="2075" spans="1:14" x14ac:dyDescent="0.25">
      <c r="A2075" s="22" t="s">
        <v>2828</v>
      </c>
      <c r="B2075" s="22" t="s">
        <v>39</v>
      </c>
      <c r="C2075" s="22" t="s">
        <v>3480</v>
      </c>
      <c r="D2075" s="23">
        <v>504750</v>
      </c>
      <c r="E2075" s="22" t="s">
        <v>42</v>
      </c>
      <c r="F2075" s="24">
        <v>44385</v>
      </c>
      <c r="G2075" s="22" t="s">
        <v>2806</v>
      </c>
      <c r="H2075" s="22" t="s">
        <v>1671</v>
      </c>
      <c r="I2075" s="22" t="s">
        <v>2827</v>
      </c>
      <c r="J2075" s="22" t="s">
        <v>4401</v>
      </c>
      <c r="K2075" s="22" t="s">
        <v>292</v>
      </c>
      <c r="L2075" s="22"/>
      <c r="M2075" s="22"/>
      <c r="N2075" s="22"/>
    </row>
    <row r="2076" spans="1:14" x14ac:dyDescent="0.25">
      <c r="A2076" s="22" t="s">
        <v>173</v>
      </c>
      <c r="B2076" s="22" t="s">
        <v>39</v>
      </c>
      <c r="C2076" s="22" t="s">
        <v>4773</v>
      </c>
      <c r="D2076" s="23">
        <v>864100</v>
      </c>
      <c r="E2076" s="22" t="s">
        <v>45</v>
      </c>
      <c r="F2076" s="24">
        <v>44410</v>
      </c>
      <c r="G2076" s="22" t="s">
        <v>2825</v>
      </c>
      <c r="H2076" s="22"/>
      <c r="I2076" s="22" t="s">
        <v>2825</v>
      </c>
      <c r="J2076" s="22" t="s">
        <v>4552</v>
      </c>
      <c r="K2076" s="22" t="s">
        <v>61</v>
      </c>
      <c r="L2076" s="22"/>
      <c r="M2076" s="22"/>
      <c r="N2076" s="22"/>
    </row>
    <row r="2077" spans="1:14" x14ac:dyDescent="0.25">
      <c r="A2077" s="22" t="s">
        <v>173</v>
      </c>
      <c r="B2077" s="22" t="s">
        <v>39</v>
      </c>
      <c r="C2077" s="22" t="s">
        <v>4773</v>
      </c>
      <c r="D2077" s="23">
        <v>-725846</v>
      </c>
      <c r="E2077" s="22" t="s">
        <v>45</v>
      </c>
      <c r="F2077" s="24">
        <v>44410</v>
      </c>
      <c r="G2077" s="22" t="s">
        <v>2825</v>
      </c>
      <c r="H2077" s="22"/>
      <c r="I2077" s="22" t="s">
        <v>2825</v>
      </c>
      <c r="J2077" s="22" t="s">
        <v>4401</v>
      </c>
      <c r="K2077" s="22" t="s">
        <v>61</v>
      </c>
      <c r="L2077" s="22"/>
      <c r="M2077" s="22"/>
      <c r="N2077" s="22"/>
    </row>
    <row r="2078" spans="1:14" x14ac:dyDescent="0.25">
      <c r="A2078" s="22" t="s">
        <v>173</v>
      </c>
      <c r="B2078" s="22" t="s">
        <v>39</v>
      </c>
      <c r="C2078" s="22" t="s">
        <v>172</v>
      </c>
      <c r="D2078" s="23">
        <v>-864100</v>
      </c>
      <c r="E2078" s="22" t="s">
        <v>45</v>
      </c>
      <c r="F2078" s="24">
        <v>44410</v>
      </c>
      <c r="G2078" s="22" t="s">
        <v>2825</v>
      </c>
      <c r="H2078" s="22" t="s">
        <v>2875</v>
      </c>
      <c r="I2078" s="22" t="s">
        <v>2874</v>
      </c>
      <c r="J2078" s="22" t="s">
        <v>4552</v>
      </c>
      <c r="K2078" s="22" t="s">
        <v>61</v>
      </c>
      <c r="L2078" s="22"/>
      <c r="M2078" s="22"/>
      <c r="N2078" s="22"/>
    </row>
    <row r="2079" spans="1:14" x14ac:dyDescent="0.25">
      <c r="A2079" s="22" t="s">
        <v>2873</v>
      </c>
      <c r="B2079" s="22" t="s">
        <v>39</v>
      </c>
      <c r="C2079" s="22" t="s">
        <v>5285</v>
      </c>
      <c r="D2079" s="23">
        <v>725846</v>
      </c>
      <c r="E2079" s="22" t="s">
        <v>42</v>
      </c>
      <c r="F2079" s="24">
        <v>44385</v>
      </c>
      <c r="G2079" s="22" t="s">
        <v>2825</v>
      </c>
      <c r="H2079" s="22" t="s">
        <v>1671</v>
      </c>
      <c r="I2079" s="22" t="s">
        <v>2872</v>
      </c>
      <c r="J2079" s="22" t="s">
        <v>4401</v>
      </c>
      <c r="K2079" s="22" t="s">
        <v>292</v>
      </c>
      <c r="L2079" s="22"/>
      <c r="M2079" s="22"/>
      <c r="N2079" s="22"/>
    </row>
    <row r="2080" spans="1:14" x14ac:dyDescent="0.25">
      <c r="A2080" s="22" t="s">
        <v>2665</v>
      </c>
      <c r="B2080" s="22" t="s">
        <v>39</v>
      </c>
      <c r="C2080" s="22" t="s">
        <v>4773</v>
      </c>
      <c r="D2080" s="23">
        <v>2074983</v>
      </c>
      <c r="E2080" s="22" t="s">
        <v>45</v>
      </c>
      <c r="F2080" s="24">
        <v>44219</v>
      </c>
      <c r="G2080" s="22" t="s">
        <v>2808</v>
      </c>
      <c r="H2080" s="22"/>
      <c r="I2080" s="22" t="s">
        <v>2808</v>
      </c>
      <c r="J2080" s="22" t="s">
        <v>4552</v>
      </c>
      <c r="K2080" s="22" t="s">
        <v>61</v>
      </c>
      <c r="L2080" s="22"/>
      <c r="M2080" s="22"/>
      <c r="N2080" s="22"/>
    </row>
    <row r="2081" spans="1:14" x14ac:dyDescent="0.25">
      <c r="A2081" s="22" t="s">
        <v>2665</v>
      </c>
      <c r="B2081" s="22" t="s">
        <v>39</v>
      </c>
      <c r="C2081" s="22" t="s">
        <v>4773</v>
      </c>
      <c r="D2081" s="23">
        <v>-613936</v>
      </c>
      <c r="E2081" s="22" t="s">
        <v>45</v>
      </c>
      <c r="F2081" s="24">
        <v>44219</v>
      </c>
      <c r="G2081" s="22" t="s">
        <v>2808</v>
      </c>
      <c r="H2081" s="22"/>
      <c r="I2081" s="22" t="s">
        <v>2808</v>
      </c>
      <c r="J2081" s="22" t="s">
        <v>4401</v>
      </c>
      <c r="K2081" s="22" t="s">
        <v>61</v>
      </c>
      <c r="L2081" s="22"/>
      <c r="M2081" s="22"/>
      <c r="N2081" s="22"/>
    </row>
    <row r="2082" spans="1:14" x14ac:dyDescent="0.25">
      <c r="A2082" s="22" t="s">
        <v>173</v>
      </c>
      <c r="B2082" s="22" t="s">
        <v>39</v>
      </c>
      <c r="C2082" s="22" t="s">
        <v>172</v>
      </c>
      <c r="D2082" s="23">
        <v>-138254</v>
      </c>
      <c r="E2082" s="22" t="s">
        <v>45</v>
      </c>
      <c r="F2082" s="24">
        <v>44410</v>
      </c>
      <c r="G2082" s="22" t="s">
        <v>2808</v>
      </c>
      <c r="H2082" s="22" t="s">
        <v>2826</v>
      </c>
      <c r="I2082" s="22" t="s">
        <v>2825</v>
      </c>
      <c r="J2082" s="22" t="s">
        <v>4552</v>
      </c>
      <c r="K2082" s="22" t="s">
        <v>61</v>
      </c>
      <c r="L2082" s="22"/>
      <c r="M2082" s="22"/>
      <c r="N2082" s="22"/>
    </row>
    <row r="2083" spans="1:14" x14ac:dyDescent="0.25">
      <c r="A2083" s="22" t="s">
        <v>2824</v>
      </c>
      <c r="B2083" s="22" t="s">
        <v>39</v>
      </c>
      <c r="C2083" s="22" t="s">
        <v>7454</v>
      </c>
      <c r="D2083" s="23">
        <v>-41800</v>
      </c>
      <c r="E2083" s="22" t="s">
        <v>57</v>
      </c>
      <c r="F2083" s="24">
        <v>44320</v>
      </c>
      <c r="G2083" s="22" t="s">
        <v>2808</v>
      </c>
      <c r="H2083" s="22" t="s">
        <v>282</v>
      </c>
      <c r="I2083" s="22" t="s">
        <v>2823</v>
      </c>
      <c r="J2083" s="22" t="s">
        <v>4552</v>
      </c>
      <c r="K2083" s="22" t="s">
        <v>61</v>
      </c>
      <c r="L2083" s="22"/>
      <c r="M2083" s="22"/>
      <c r="N2083" s="22"/>
    </row>
    <row r="2084" spans="1:14" x14ac:dyDescent="0.25">
      <c r="A2084" s="22" t="s">
        <v>2822</v>
      </c>
      <c r="B2084" s="22" t="s">
        <v>39</v>
      </c>
      <c r="C2084" s="22" t="s">
        <v>7454</v>
      </c>
      <c r="D2084" s="23">
        <v>-20200</v>
      </c>
      <c r="E2084" s="22" t="s">
        <v>57</v>
      </c>
      <c r="F2084" s="24">
        <v>44321</v>
      </c>
      <c r="G2084" s="22" t="s">
        <v>2808</v>
      </c>
      <c r="H2084" s="22" t="s">
        <v>280</v>
      </c>
      <c r="I2084" s="22" t="s">
        <v>2821</v>
      </c>
      <c r="J2084" s="22" t="s">
        <v>4552</v>
      </c>
      <c r="K2084" s="22" t="s">
        <v>61</v>
      </c>
      <c r="L2084" s="22"/>
      <c r="M2084" s="22"/>
      <c r="N2084" s="22"/>
    </row>
    <row r="2085" spans="1:14" x14ac:dyDescent="0.25">
      <c r="A2085" s="22" t="s">
        <v>2820</v>
      </c>
      <c r="B2085" s="22" t="s">
        <v>39</v>
      </c>
      <c r="C2085" s="22" t="s">
        <v>7454</v>
      </c>
      <c r="D2085" s="23">
        <v>-43700</v>
      </c>
      <c r="E2085" s="22" t="s">
        <v>57</v>
      </c>
      <c r="F2085" s="24">
        <v>44324</v>
      </c>
      <c r="G2085" s="22" t="s">
        <v>2808</v>
      </c>
      <c r="H2085" s="22" t="s">
        <v>836</v>
      </c>
      <c r="I2085" s="22" t="s">
        <v>2819</v>
      </c>
      <c r="J2085" s="22" t="s">
        <v>4552</v>
      </c>
      <c r="K2085" s="22" t="s">
        <v>61</v>
      </c>
      <c r="L2085" s="22"/>
      <c r="M2085" s="22"/>
      <c r="N2085" s="22"/>
    </row>
    <row r="2086" spans="1:14" x14ac:dyDescent="0.25">
      <c r="A2086" s="22" t="s">
        <v>2818</v>
      </c>
      <c r="B2086" s="22" t="s">
        <v>39</v>
      </c>
      <c r="C2086" s="22" t="s">
        <v>7454</v>
      </c>
      <c r="D2086" s="23">
        <v>-77400</v>
      </c>
      <c r="E2086" s="22" t="s">
        <v>57</v>
      </c>
      <c r="F2086" s="24">
        <v>44326</v>
      </c>
      <c r="G2086" s="22" t="s">
        <v>2808</v>
      </c>
      <c r="H2086" s="22" t="s">
        <v>2740</v>
      </c>
      <c r="I2086" s="22" t="s">
        <v>2817</v>
      </c>
      <c r="J2086" s="22" t="s">
        <v>4552</v>
      </c>
      <c r="K2086" s="22" t="s">
        <v>61</v>
      </c>
      <c r="L2086" s="22"/>
      <c r="M2086" s="22"/>
      <c r="N2086" s="22"/>
    </row>
    <row r="2087" spans="1:14" x14ac:dyDescent="0.25">
      <c r="A2087" s="22" t="s">
        <v>2816</v>
      </c>
      <c r="B2087" s="22" t="s">
        <v>39</v>
      </c>
      <c r="C2087" s="22" t="s">
        <v>7454</v>
      </c>
      <c r="D2087" s="23">
        <v>-77400</v>
      </c>
      <c r="E2087" s="22" t="s">
        <v>57</v>
      </c>
      <c r="F2087" s="24">
        <v>44326</v>
      </c>
      <c r="G2087" s="22" t="s">
        <v>2808</v>
      </c>
      <c r="H2087" s="22" t="s">
        <v>2737</v>
      </c>
      <c r="I2087" s="22" t="s">
        <v>2815</v>
      </c>
      <c r="J2087" s="22" t="s">
        <v>4552</v>
      </c>
      <c r="K2087" s="22" t="s">
        <v>61</v>
      </c>
      <c r="L2087" s="22"/>
      <c r="M2087" s="22"/>
      <c r="N2087" s="22"/>
    </row>
    <row r="2088" spans="1:14" x14ac:dyDescent="0.25">
      <c r="A2088" s="22" t="s">
        <v>2814</v>
      </c>
      <c r="B2088" s="22" t="s">
        <v>39</v>
      </c>
      <c r="C2088" s="22" t="s">
        <v>7454</v>
      </c>
      <c r="D2088" s="23">
        <v>-43700</v>
      </c>
      <c r="E2088" s="22" t="s">
        <v>57</v>
      </c>
      <c r="F2088" s="24">
        <v>44335</v>
      </c>
      <c r="G2088" s="22" t="s">
        <v>2808</v>
      </c>
      <c r="H2088" s="22" t="s">
        <v>897</v>
      </c>
      <c r="I2088" s="22" t="s">
        <v>2813</v>
      </c>
      <c r="J2088" s="22" t="s">
        <v>4552</v>
      </c>
      <c r="K2088" s="22" t="s">
        <v>61</v>
      </c>
      <c r="L2088" s="22"/>
      <c r="M2088" s="22"/>
      <c r="N2088" s="22"/>
    </row>
    <row r="2089" spans="1:14" x14ac:dyDescent="0.25">
      <c r="A2089" s="22" t="s">
        <v>2811</v>
      </c>
      <c r="B2089" s="22" t="s">
        <v>39</v>
      </c>
      <c r="C2089" s="22" t="s">
        <v>7454</v>
      </c>
      <c r="D2089" s="23">
        <v>-23200</v>
      </c>
      <c r="E2089" s="22" t="s">
        <v>45</v>
      </c>
      <c r="F2089" s="24">
        <v>44347</v>
      </c>
      <c r="G2089" s="22" t="s">
        <v>2808</v>
      </c>
      <c r="H2089" s="22" t="s">
        <v>2812</v>
      </c>
      <c r="I2089" s="22" t="s">
        <v>2810</v>
      </c>
      <c r="J2089" s="22" t="s">
        <v>4552</v>
      </c>
      <c r="K2089" s="22" t="s">
        <v>61</v>
      </c>
      <c r="L2089" s="22"/>
      <c r="M2089" s="22"/>
      <c r="N2089" s="22"/>
    </row>
    <row r="2090" spans="1:14" x14ac:dyDescent="0.25">
      <c r="A2090" s="22" t="s">
        <v>2807</v>
      </c>
      <c r="B2090" s="22" t="s">
        <v>39</v>
      </c>
      <c r="C2090" s="22" t="s">
        <v>7454</v>
      </c>
      <c r="D2090" s="23">
        <v>-28329</v>
      </c>
      <c r="E2090" s="22" t="s">
        <v>45</v>
      </c>
      <c r="F2090" s="24">
        <v>44209</v>
      </c>
      <c r="G2090" s="22" t="s">
        <v>2808</v>
      </c>
      <c r="H2090" s="22" t="s">
        <v>2809</v>
      </c>
      <c r="I2090" s="22" t="s">
        <v>2806</v>
      </c>
      <c r="J2090" s="22" t="s">
        <v>4552</v>
      </c>
      <c r="K2090" s="22" t="s">
        <v>61</v>
      </c>
      <c r="L2090" s="22"/>
      <c r="M2090" s="22"/>
      <c r="N2090" s="22"/>
    </row>
    <row r="2091" spans="1:14" x14ac:dyDescent="0.25">
      <c r="A2091" s="22" t="s">
        <v>2665</v>
      </c>
      <c r="B2091" s="22" t="s">
        <v>39</v>
      </c>
      <c r="C2091" s="22" t="s">
        <v>7317</v>
      </c>
      <c r="D2091" s="23">
        <v>-1581000</v>
      </c>
      <c r="E2091" s="22" t="s">
        <v>45</v>
      </c>
      <c r="F2091" s="24">
        <v>44219</v>
      </c>
      <c r="G2091" s="22" t="s">
        <v>2808</v>
      </c>
      <c r="H2091" s="22" t="s">
        <v>2865</v>
      </c>
      <c r="I2091" s="22" t="s">
        <v>2661</v>
      </c>
      <c r="J2091" s="22" t="s">
        <v>4552</v>
      </c>
      <c r="K2091" s="22" t="s">
        <v>61</v>
      </c>
      <c r="L2091" s="22"/>
      <c r="M2091" s="22"/>
      <c r="N2091" s="22"/>
    </row>
    <row r="2092" spans="1:14" x14ac:dyDescent="0.25">
      <c r="A2092" s="22" t="s">
        <v>2864</v>
      </c>
      <c r="B2092" s="22" t="s">
        <v>39</v>
      </c>
      <c r="C2092" s="22" t="s">
        <v>7455</v>
      </c>
      <c r="D2092" s="23">
        <v>613936</v>
      </c>
      <c r="E2092" s="22" t="s">
        <v>42</v>
      </c>
      <c r="F2092" s="24">
        <v>44260</v>
      </c>
      <c r="G2092" s="22" t="s">
        <v>2808</v>
      </c>
      <c r="H2092" s="22" t="s">
        <v>1741</v>
      </c>
      <c r="I2092" s="22" t="s">
        <v>2863</v>
      </c>
      <c r="J2092" s="22" t="s">
        <v>4401</v>
      </c>
      <c r="K2092" s="22" t="s">
        <v>292</v>
      </c>
      <c r="L2092" s="22"/>
      <c r="M2092" s="22"/>
      <c r="N2092" s="22"/>
    </row>
    <row r="2093" spans="1:14" x14ac:dyDescent="0.25">
      <c r="A2093" s="22" t="s">
        <v>2665</v>
      </c>
      <c r="B2093" s="22" t="s">
        <v>39</v>
      </c>
      <c r="C2093" s="22" t="s">
        <v>4773</v>
      </c>
      <c r="D2093" s="23">
        <v>1461047</v>
      </c>
      <c r="E2093" s="22" t="s">
        <v>45</v>
      </c>
      <c r="F2093" s="24">
        <v>44219</v>
      </c>
      <c r="G2093" s="22" t="s">
        <v>2861</v>
      </c>
      <c r="H2093" s="22"/>
      <c r="I2093" s="22" t="s">
        <v>2861</v>
      </c>
      <c r="J2093" s="22" t="s">
        <v>4552</v>
      </c>
      <c r="K2093" s="22" t="s">
        <v>61</v>
      </c>
      <c r="L2093" s="22"/>
      <c r="M2093" s="22"/>
      <c r="N2093" s="22"/>
    </row>
    <row r="2094" spans="1:14" x14ac:dyDescent="0.25">
      <c r="A2094" s="22" t="s">
        <v>2665</v>
      </c>
      <c r="B2094" s="22" t="s">
        <v>39</v>
      </c>
      <c r="C2094" s="22" t="s">
        <v>4773</v>
      </c>
      <c r="D2094" s="23">
        <v>-1058677</v>
      </c>
      <c r="E2094" s="22" t="s">
        <v>45</v>
      </c>
      <c r="F2094" s="24">
        <v>44219</v>
      </c>
      <c r="G2094" s="22" t="s">
        <v>2861</v>
      </c>
      <c r="H2094" s="22"/>
      <c r="I2094" s="22" t="s">
        <v>2861</v>
      </c>
      <c r="J2094" s="22" t="s">
        <v>4401</v>
      </c>
      <c r="K2094" s="22" t="s">
        <v>61</v>
      </c>
      <c r="L2094" s="22"/>
      <c r="M2094" s="22"/>
      <c r="N2094" s="22"/>
    </row>
    <row r="2095" spans="1:14" x14ac:dyDescent="0.25">
      <c r="A2095" s="22" t="s">
        <v>2665</v>
      </c>
      <c r="B2095" s="22" t="s">
        <v>39</v>
      </c>
      <c r="C2095" s="22" t="s">
        <v>4773</v>
      </c>
      <c r="D2095" s="23">
        <v>9447</v>
      </c>
      <c r="E2095" s="22" t="s">
        <v>45</v>
      </c>
      <c r="F2095" s="24">
        <v>44219</v>
      </c>
      <c r="G2095" s="22" t="s">
        <v>2861</v>
      </c>
      <c r="H2095" s="22"/>
      <c r="I2095" s="22" t="s">
        <v>2861</v>
      </c>
      <c r="J2095" s="22" t="s">
        <v>4407</v>
      </c>
      <c r="K2095" s="22" t="s">
        <v>61</v>
      </c>
      <c r="L2095" s="22"/>
      <c r="M2095" s="22"/>
      <c r="N2095" s="22"/>
    </row>
    <row r="2096" spans="1:14" x14ac:dyDescent="0.25">
      <c r="A2096" s="22" t="s">
        <v>2665</v>
      </c>
      <c r="B2096" s="22" t="s">
        <v>39</v>
      </c>
      <c r="C2096" s="22" t="s">
        <v>7317</v>
      </c>
      <c r="D2096" s="23">
        <v>-1461047</v>
      </c>
      <c r="E2096" s="22" t="s">
        <v>45</v>
      </c>
      <c r="F2096" s="24">
        <v>44219</v>
      </c>
      <c r="G2096" s="22" t="s">
        <v>2861</v>
      </c>
      <c r="H2096" s="22" t="s">
        <v>2871</v>
      </c>
      <c r="I2096" s="22" t="s">
        <v>2808</v>
      </c>
      <c r="J2096" s="22" t="s">
        <v>4552</v>
      </c>
      <c r="K2096" s="22" t="s">
        <v>61</v>
      </c>
      <c r="L2096" s="22"/>
      <c r="M2096" s="22"/>
      <c r="N2096" s="22"/>
    </row>
    <row r="2097" spans="1:14" x14ac:dyDescent="0.25">
      <c r="A2097" s="22" t="s">
        <v>2869</v>
      </c>
      <c r="B2097" s="22" t="s">
        <v>39</v>
      </c>
      <c r="C2097" s="22" t="s">
        <v>7318</v>
      </c>
      <c r="D2097" s="23">
        <v>-9447</v>
      </c>
      <c r="E2097" s="22" t="s">
        <v>45</v>
      </c>
      <c r="F2097" s="24">
        <v>44334</v>
      </c>
      <c r="G2097" s="22" t="s">
        <v>2861</v>
      </c>
      <c r="H2097" s="22" t="s">
        <v>2870</v>
      </c>
      <c r="I2097" s="22" t="s">
        <v>2868</v>
      </c>
      <c r="J2097" s="22" t="s">
        <v>4407</v>
      </c>
      <c r="K2097" s="22" t="s">
        <v>66</v>
      </c>
      <c r="L2097" s="22"/>
      <c r="M2097" s="22"/>
      <c r="N2097" s="22"/>
    </row>
    <row r="2098" spans="1:14" x14ac:dyDescent="0.25">
      <c r="A2098" s="22" t="s">
        <v>2921</v>
      </c>
      <c r="B2098" s="22" t="s">
        <v>39</v>
      </c>
      <c r="C2098" s="22" t="s">
        <v>3553</v>
      </c>
      <c r="D2098" s="23">
        <v>1058677</v>
      </c>
      <c r="E2098" s="22" t="s">
        <v>42</v>
      </c>
      <c r="F2098" s="24">
        <v>44295</v>
      </c>
      <c r="G2098" s="22" t="s">
        <v>2861</v>
      </c>
      <c r="H2098" s="22" t="s">
        <v>1812</v>
      </c>
      <c r="I2098" s="22" t="s">
        <v>2920</v>
      </c>
      <c r="J2098" s="22" t="s">
        <v>4401</v>
      </c>
      <c r="K2098" s="22" t="s">
        <v>292</v>
      </c>
      <c r="L2098" s="22"/>
      <c r="M2098" s="22"/>
      <c r="N2098" s="22"/>
    </row>
    <row r="2099" spans="1:14" x14ac:dyDescent="0.25">
      <c r="A2099" s="22" t="s">
        <v>184</v>
      </c>
      <c r="B2099" s="22" t="s">
        <v>39</v>
      </c>
      <c r="C2099" s="22" t="s">
        <v>4773</v>
      </c>
      <c r="D2099" s="23">
        <v>411817</v>
      </c>
      <c r="E2099" s="22" t="s">
        <v>45</v>
      </c>
      <c r="F2099" s="24">
        <v>44253</v>
      </c>
      <c r="G2099" s="22" t="s">
        <v>2859</v>
      </c>
      <c r="H2099" s="22"/>
      <c r="I2099" s="22" t="s">
        <v>2859</v>
      </c>
      <c r="J2099" s="22" t="s">
        <v>4552</v>
      </c>
      <c r="K2099" s="22" t="s">
        <v>66</v>
      </c>
      <c r="L2099" s="22"/>
      <c r="M2099" s="22"/>
      <c r="N2099" s="22"/>
    </row>
    <row r="2100" spans="1:14" x14ac:dyDescent="0.25">
      <c r="A2100" s="22" t="s">
        <v>184</v>
      </c>
      <c r="B2100" s="22" t="s">
        <v>39</v>
      </c>
      <c r="C2100" s="22" t="s">
        <v>4773</v>
      </c>
      <c r="D2100" s="23">
        <v>-1890542</v>
      </c>
      <c r="E2100" s="22" t="s">
        <v>45</v>
      </c>
      <c r="F2100" s="24">
        <v>44253</v>
      </c>
      <c r="G2100" s="22" t="s">
        <v>2859</v>
      </c>
      <c r="H2100" s="22"/>
      <c r="I2100" s="22" t="s">
        <v>2859</v>
      </c>
      <c r="J2100" s="22" t="s">
        <v>4401</v>
      </c>
      <c r="K2100" s="22" t="s">
        <v>66</v>
      </c>
      <c r="L2100" s="22"/>
      <c r="M2100" s="22"/>
      <c r="N2100" s="22"/>
    </row>
    <row r="2101" spans="1:14" x14ac:dyDescent="0.25">
      <c r="A2101" s="22" t="s">
        <v>184</v>
      </c>
      <c r="B2101" s="22" t="s">
        <v>39</v>
      </c>
      <c r="C2101" s="22" t="s">
        <v>4773</v>
      </c>
      <c r="D2101" s="23">
        <v>3563696</v>
      </c>
      <c r="E2101" s="22" t="s">
        <v>45</v>
      </c>
      <c r="F2101" s="24">
        <v>44253</v>
      </c>
      <c r="G2101" s="22" t="s">
        <v>2859</v>
      </c>
      <c r="H2101" s="22"/>
      <c r="I2101" s="22" t="s">
        <v>2859</v>
      </c>
      <c r="J2101" s="22" t="s">
        <v>4407</v>
      </c>
      <c r="K2101" s="22" t="s">
        <v>66</v>
      </c>
      <c r="L2101" s="22"/>
      <c r="M2101" s="22"/>
      <c r="N2101" s="22"/>
    </row>
    <row r="2102" spans="1:14" x14ac:dyDescent="0.25">
      <c r="A2102" s="22" t="s">
        <v>2665</v>
      </c>
      <c r="B2102" s="22" t="s">
        <v>39</v>
      </c>
      <c r="C2102" s="22" t="s">
        <v>7317</v>
      </c>
      <c r="D2102" s="23">
        <v>-411817</v>
      </c>
      <c r="E2102" s="22" t="s">
        <v>45</v>
      </c>
      <c r="F2102" s="24">
        <v>44219</v>
      </c>
      <c r="G2102" s="22" t="s">
        <v>2859</v>
      </c>
      <c r="H2102" s="22" t="s">
        <v>2862</v>
      </c>
      <c r="I2102" s="22" t="s">
        <v>2861</v>
      </c>
      <c r="J2102" s="22" t="s">
        <v>4552</v>
      </c>
      <c r="K2102" s="22" t="s">
        <v>61</v>
      </c>
      <c r="L2102" s="22"/>
      <c r="M2102" s="22"/>
      <c r="N2102" s="22"/>
    </row>
    <row r="2103" spans="1:14" x14ac:dyDescent="0.25">
      <c r="A2103" s="22" t="s">
        <v>184</v>
      </c>
      <c r="B2103" s="22" t="s">
        <v>39</v>
      </c>
      <c r="C2103" s="22" t="s">
        <v>180</v>
      </c>
      <c r="D2103" s="23">
        <v>-3563696</v>
      </c>
      <c r="E2103" s="22" t="s">
        <v>57</v>
      </c>
      <c r="F2103" s="24">
        <v>44253</v>
      </c>
      <c r="G2103" s="22" t="s">
        <v>2859</v>
      </c>
      <c r="H2103" s="22" t="s">
        <v>2860</v>
      </c>
      <c r="I2103" s="22" t="s">
        <v>186</v>
      </c>
      <c r="J2103" s="22" t="s">
        <v>4407</v>
      </c>
      <c r="K2103" s="22" t="s">
        <v>66</v>
      </c>
      <c r="L2103" s="22"/>
      <c r="M2103" s="22"/>
      <c r="N2103" s="22"/>
    </row>
    <row r="2104" spans="1:14" x14ac:dyDescent="0.25">
      <c r="A2104" s="22" t="s">
        <v>2858</v>
      </c>
      <c r="B2104" s="22" t="s">
        <v>39</v>
      </c>
      <c r="C2104" s="22" t="s">
        <v>4403</v>
      </c>
      <c r="D2104" s="23">
        <v>1890542</v>
      </c>
      <c r="E2104" s="22" t="s">
        <v>42</v>
      </c>
      <c r="F2104" s="24">
        <v>44355</v>
      </c>
      <c r="G2104" s="22" t="s">
        <v>2859</v>
      </c>
      <c r="H2104" s="22" t="s">
        <v>605</v>
      </c>
      <c r="I2104" s="22" t="s">
        <v>2857</v>
      </c>
      <c r="J2104" s="22" t="s">
        <v>4401</v>
      </c>
      <c r="K2104" s="22" t="s">
        <v>292</v>
      </c>
      <c r="L2104" s="22"/>
      <c r="M2104" s="22"/>
      <c r="N2104" s="22"/>
    </row>
    <row r="2105" spans="1:14" x14ac:dyDescent="0.25">
      <c r="A2105" s="22" t="s">
        <v>184</v>
      </c>
      <c r="B2105" s="22" t="s">
        <v>39</v>
      </c>
      <c r="C2105" s="22" t="s">
        <v>4773</v>
      </c>
      <c r="D2105" s="23">
        <v>-1755614</v>
      </c>
      <c r="E2105" s="22" t="s">
        <v>45</v>
      </c>
      <c r="F2105" s="24">
        <v>44253</v>
      </c>
      <c r="G2105" s="22" t="s">
        <v>2915</v>
      </c>
      <c r="H2105" s="22"/>
      <c r="I2105" s="22" t="s">
        <v>2915</v>
      </c>
      <c r="J2105" s="22" t="s">
        <v>4401</v>
      </c>
      <c r="K2105" s="22" t="s">
        <v>66</v>
      </c>
      <c r="L2105" s="22"/>
      <c r="M2105" s="22"/>
      <c r="N2105" s="22"/>
    </row>
    <row r="2106" spans="1:14" x14ac:dyDescent="0.25">
      <c r="A2106" s="22" t="s">
        <v>184</v>
      </c>
      <c r="B2106" s="22" t="s">
        <v>39</v>
      </c>
      <c r="C2106" s="22" t="s">
        <v>4773</v>
      </c>
      <c r="D2106" s="23">
        <v>2084971</v>
      </c>
      <c r="E2106" s="22" t="s">
        <v>45</v>
      </c>
      <c r="F2106" s="24">
        <v>44253</v>
      </c>
      <c r="G2106" s="22" t="s">
        <v>2915</v>
      </c>
      <c r="H2106" s="22"/>
      <c r="I2106" s="22" t="s">
        <v>2915</v>
      </c>
      <c r="J2106" s="22" t="s">
        <v>4407</v>
      </c>
      <c r="K2106" s="22" t="s">
        <v>66</v>
      </c>
      <c r="L2106" s="22"/>
      <c r="M2106" s="22"/>
      <c r="N2106" s="22"/>
    </row>
    <row r="2107" spans="1:14" x14ac:dyDescent="0.25">
      <c r="A2107" s="22" t="s">
        <v>184</v>
      </c>
      <c r="B2107" s="22" t="s">
        <v>39</v>
      </c>
      <c r="C2107" s="22" t="s">
        <v>180</v>
      </c>
      <c r="D2107" s="23">
        <v>-2084971</v>
      </c>
      <c r="E2107" s="22" t="s">
        <v>45</v>
      </c>
      <c r="F2107" s="24">
        <v>44253</v>
      </c>
      <c r="G2107" s="22" t="s">
        <v>2915</v>
      </c>
      <c r="H2107" s="22" t="s">
        <v>2919</v>
      </c>
      <c r="I2107" s="22" t="s">
        <v>2859</v>
      </c>
      <c r="J2107" s="22" t="s">
        <v>4407</v>
      </c>
      <c r="K2107" s="22" t="s">
        <v>66</v>
      </c>
      <c r="L2107" s="22"/>
      <c r="M2107" s="22"/>
      <c r="N2107" s="22"/>
    </row>
    <row r="2108" spans="1:14" x14ac:dyDescent="0.25">
      <c r="A2108" s="22" t="s">
        <v>2918</v>
      </c>
      <c r="B2108" s="22" t="s">
        <v>39</v>
      </c>
      <c r="C2108" s="22" t="s">
        <v>3553</v>
      </c>
      <c r="D2108" s="23">
        <v>1755614</v>
      </c>
      <c r="E2108" s="22" t="s">
        <v>42</v>
      </c>
      <c r="F2108" s="24">
        <v>44355</v>
      </c>
      <c r="G2108" s="22" t="s">
        <v>2915</v>
      </c>
      <c r="H2108" s="22" t="s">
        <v>605</v>
      </c>
      <c r="I2108" s="22" t="s">
        <v>2917</v>
      </c>
      <c r="J2108" s="22" t="s">
        <v>4401</v>
      </c>
      <c r="K2108" s="22" t="s">
        <v>292</v>
      </c>
      <c r="L2108" s="22"/>
      <c r="M2108" s="22"/>
      <c r="N2108" s="22"/>
    </row>
    <row r="2109" spans="1:14" x14ac:dyDescent="0.25">
      <c r="A2109" s="22" t="s">
        <v>2913</v>
      </c>
      <c r="B2109" s="22" t="s">
        <v>39</v>
      </c>
      <c r="C2109" s="22" t="s">
        <v>4773</v>
      </c>
      <c r="D2109" s="23">
        <v>-350900</v>
      </c>
      <c r="E2109" s="22" t="s">
        <v>45</v>
      </c>
      <c r="F2109" s="24">
        <v>44385</v>
      </c>
      <c r="G2109" s="22" t="s">
        <v>2914</v>
      </c>
      <c r="H2109" s="22"/>
      <c r="I2109" s="22" t="s">
        <v>2914</v>
      </c>
      <c r="J2109" s="22" t="s">
        <v>4401</v>
      </c>
      <c r="K2109" s="22" t="s">
        <v>292</v>
      </c>
      <c r="L2109" s="22"/>
      <c r="M2109" s="22"/>
      <c r="N2109" s="22"/>
    </row>
    <row r="2110" spans="1:14" x14ac:dyDescent="0.25">
      <c r="A2110" s="22" t="s">
        <v>2913</v>
      </c>
      <c r="B2110" s="22" t="s">
        <v>39</v>
      </c>
      <c r="C2110" s="22" t="s">
        <v>4773</v>
      </c>
      <c r="D2110" s="23">
        <v>329357</v>
      </c>
      <c r="E2110" s="22" t="s">
        <v>45</v>
      </c>
      <c r="F2110" s="24">
        <v>44385</v>
      </c>
      <c r="G2110" s="22" t="s">
        <v>2914</v>
      </c>
      <c r="H2110" s="22"/>
      <c r="I2110" s="22" t="s">
        <v>2914</v>
      </c>
      <c r="J2110" s="22" t="s">
        <v>4407</v>
      </c>
      <c r="K2110" s="22" t="s">
        <v>292</v>
      </c>
      <c r="L2110" s="22"/>
      <c r="M2110" s="22"/>
      <c r="N2110" s="22"/>
    </row>
    <row r="2111" spans="1:14" x14ac:dyDescent="0.25">
      <c r="A2111" s="22" t="s">
        <v>184</v>
      </c>
      <c r="B2111" s="22" t="s">
        <v>39</v>
      </c>
      <c r="C2111" s="22" t="s">
        <v>180</v>
      </c>
      <c r="D2111" s="23">
        <v>-329357</v>
      </c>
      <c r="E2111" s="22" t="s">
        <v>45</v>
      </c>
      <c r="F2111" s="24">
        <v>44253</v>
      </c>
      <c r="G2111" s="22" t="s">
        <v>2914</v>
      </c>
      <c r="H2111" s="22" t="s">
        <v>2916</v>
      </c>
      <c r="I2111" s="22" t="s">
        <v>2915</v>
      </c>
      <c r="J2111" s="22" t="s">
        <v>4407</v>
      </c>
      <c r="K2111" s="22" t="s">
        <v>66</v>
      </c>
      <c r="L2111" s="22"/>
      <c r="M2111" s="22"/>
      <c r="N2111" s="22"/>
    </row>
    <row r="2112" spans="1:14" x14ac:dyDescent="0.25">
      <c r="A2112" s="22" t="s">
        <v>2913</v>
      </c>
      <c r="B2112" s="22" t="s">
        <v>39</v>
      </c>
      <c r="C2112" s="22" t="s">
        <v>3760</v>
      </c>
      <c r="D2112" s="23">
        <v>350900</v>
      </c>
      <c r="E2112" s="22" t="s">
        <v>42</v>
      </c>
      <c r="F2112" s="24">
        <v>44385</v>
      </c>
      <c r="G2112" s="22" t="s">
        <v>2914</v>
      </c>
      <c r="H2112" s="22" t="s">
        <v>1671</v>
      </c>
      <c r="I2112" s="22" t="s">
        <v>2912</v>
      </c>
      <c r="J2112" s="22" t="s">
        <v>4401</v>
      </c>
      <c r="K2112" s="22" t="s">
        <v>292</v>
      </c>
      <c r="L2112" s="22"/>
      <c r="M2112" s="22"/>
      <c r="N2112" s="22"/>
    </row>
    <row r="2113" spans="1:14" x14ac:dyDescent="0.25">
      <c r="A2113" s="22" t="s">
        <v>685</v>
      </c>
      <c r="B2113" s="22" t="s">
        <v>39</v>
      </c>
      <c r="C2113" s="22" t="s">
        <v>7456</v>
      </c>
      <c r="D2113" s="23">
        <v>-168000</v>
      </c>
      <c r="E2113" s="22" t="s">
        <v>45</v>
      </c>
      <c r="F2113" s="24">
        <v>44322</v>
      </c>
      <c r="G2113" s="22" t="s">
        <v>2575</v>
      </c>
      <c r="H2113" s="22"/>
      <c r="I2113" s="22" t="s">
        <v>2575</v>
      </c>
      <c r="J2113" s="22" t="s">
        <v>4401</v>
      </c>
      <c r="K2113" s="22" t="s">
        <v>4479</v>
      </c>
      <c r="L2113" s="22"/>
      <c r="M2113" s="22"/>
      <c r="N2113" s="22"/>
    </row>
    <row r="2114" spans="1:14" x14ac:dyDescent="0.25">
      <c r="A2114" s="22" t="s">
        <v>685</v>
      </c>
      <c r="B2114" s="22" t="s">
        <v>39</v>
      </c>
      <c r="C2114" s="22" t="s">
        <v>7456</v>
      </c>
      <c r="D2114" s="23">
        <v>6594934</v>
      </c>
      <c r="E2114" s="22" t="s">
        <v>45</v>
      </c>
      <c r="F2114" s="24">
        <v>44322</v>
      </c>
      <c r="G2114" s="22" t="s">
        <v>2575</v>
      </c>
      <c r="H2114" s="22"/>
      <c r="I2114" s="22" t="s">
        <v>2575</v>
      </c>
      <c r="J2114" s="22" t="s">
        <v>4407</v>
      </c>
      <c r="K2114" s="22" t="s">
        <v>4479</v>
      </c>
      <c r="L2114" s="22"/>
      <c r="M2114" s="22"/>
      <c r="N2114" s="22"/>
    </row>
    <row r="2115" spans="1:14" x14ac:dyDescent="0.25">
      <c r="A2115" s="22" t="s">
        <v>685</v>
      </c>
      <c r="B2115" s="22" t="s">
        <v>39</v>
      </c>
      <c r="C2115" s="22" t="s">
        <v>7457</v>
      </c>
      <c r="D2115" s="23">
        <v>-6594934</v>
      </c>
      <c r="E2115" s="22" t="s">
        <v>588</v>
      </c>
      <c r="F2115" s="24">
        <v>44322</v>
      </c>
      <c r="G2115" s="22" t="s">
        <v>2575</v>
      </c>
      <c r="H2115" s="22" t="s">
        <v>2856</v>
      </c>
      <c r="I2115" s="22" t="s">
        <v>2855</v>
      </c>
      <c r="J2115" s="22" t="s">
        <v>4407</v>
      </c>
      <c r="K2115" s="22" t="s">
        <v>4479</v>
      </c>
      <c r="L2115" s="22"/>
      <c r="M2115" s="22"/>
      <c r="N2115" s="22"/>
    </row>
    <row r="2116" spans="1:14" x14ac:dyDescent="0.25">
      <c r="A2116" s="22" t="s">
        <v>2854</v>
      </c>
      <c r="B2116" s="22" t="s">
        <v>39</v>
      </c>
      <c r="C2116" s="22" t="s">
        <v>4267</v>
      </c>
      <c r="D2116" s="23">
        <v>168000</v>
      </c>
      <c r="E2116" s="22" t="s">
        <v>42</v>
      </c>
      <c r="F2116" s="24">
        <v>44476</v>
      </c>
      <c r="G2116" s="22" t="s">
        <v>2575</v>
      </c>
      <c r="H2116" s="22" t="s">
        <v>577</v>
      </c>
      <c r="I2116" s="22" t="s">
        <v>2853</v>
      </c>
      <c r="J2116" s="22" t="s">
        <v>4401</v>
      </c>
      <c r="K2116" s="22" t="s">
        <v>292</v>
      </c>
      <c r="L2116" s="22"/>
      <c r="M2116" s="22"/>
      <c r="N2116" s="22"/>
    </row>
    <row r="2117" spans="1:14" x14ac:dyDescent="0.25">
      <c r="A2117" s="22" t="s">
        <v>188</v>
      </c>
      <c r="B2117" s="22" t="s">
        <v>39</v>
      </c>
      <c r="C2117" s="22" t="s">
        <v>7458</v>
      </c>
      <c r="D2117" s="23">
        <v>9813704</v>
      </c>
      <c r="E2117" s="22" t="s">
        <v>45</v>
      </c>
      <c r="F2117" s="24">
        <v>44442</v>
      </c>
      <c r="G2117" s="22" t="s">
        <v>2446</v>
      </c>
      <c r="H2117" s="22"/>
      <c r="I2117" s="22" t="s">
        <v>2446</v>
      </c>
      <c r="J2117" s="22" t="s">
        <v>4552</v>
      </c>
      <c r="K2117" s="22" t="s">
        <v>61</v>
      </c>
      <c r="L2117" s="22"/>
      <c r="M2117" s="22"/>
      <c r="N2117" s="22"/>
    </row>
    <row r="2118" spans="1:14" x14ac:dyDescent="0.25">
      <c r="A2118" s="22" t="s">
        <v>188</v>
      </c>
      <c r="B2118" s="22" t="s">
        <v>39</v>
      </c>
      <c r="C2118" s="22" t="s">
        <v>7458</v>
      </c>
      <c r="D2118" s="23">
        <v>-8990550</v>
      </c>
      <c r="E2118" s="22" t="s">
        <v>45</v>
      </c>
      <c r="F2118" s="24">
        <v>44442</v>
      </c>
      <c r="G2118" s="22" t="s">
        <v>2446</v>
      </c>
      <c r="H2118" s="22"/>
      <c r="I2118" s="22" t="s">
        <v>2446</v>
      </c>
      <c r="J2118" s="22" t="s">
        <v>4401</v>
      </c>
      <c r="K2118" s="22" t="s">
        <v>61</v>
      </c>
      <c r="L2118" s="22"/>
      <c r="M2118" s="22"/>
      <c r="N2118" s="22"/>
    </row>
    <row r="2119" spans="1:14" x14ac:dyDescent="0.25">
      <c r="A2119" s="22" t="s">
        <v>2851</v>
      </c>
      <c r="B2119" s="22" t="s">
        <v>39</v>
      </c>
      <c r="C2119" s="22" t="s">
        <v>187</v>
      </c>
      <c r="D2119" s="23">
        <v>-1444109</v>
      </c>
      <c r="E2119" s="22" t="s">
        <v>57</v>
      </c>
      <c r="F2119" s="24">
        <v>44413</v>
      </c>
      <c r="G2119" s="22" t="s">
        <v>2446</v>
      </c>
      <c r="H2119" s="22" t="s">
        <v>2852</v>
      </c>
      <c r="I2119" s="22" t="s">
        <v>2850</v>
      </c>
      <c r="J2119" s="22" t="s">
        <v>4552</v>
      </c>
      <c r="K2119" s="22" t="s">
        <v>61</v>
      </c>
      <c r="L2119" s="22"/>
      <c r="M2119" s="22"/>
      <c r="N2119" s="22"/>
    </row>
    <row r="2120" spans="1:14" x14ac:dyDescent="0.25">
      <c r="A2120" s="22" t="s">
        <v>2848</v>
      </c>
      <c r="B2120" s="22" t="s">
        <v>39</v>
      </c>
      <c r="C2120" s="22" t="s">
        <v>187</v>
      </c>
      <c r="D2120" s="23">
        <v>-80864</v>
      </c>
      <c r="E2120" s="22" t="s">
        <v>57</v>
      </c>
      <c r="F2120" s="24">
        <v>44420</v>
      </c>
      <c r="G2120" s="22" t="s">
        <v>2446</v>
      </c>
      <c r="H2120" s="22" t="s">
        <v>2849</v>
      </c>
      <c r="I2120" s="22" t="s">
        <v>2847</v>
      </c>
      <c r="J2120" s="22" t="s">
        <v>4552</v>
      </c>
      <c r="K2120" s="22" t="s">
        <v>61</v>
      </c>
      <c r="L2120" s="22"/>
      <c r="M2120" s="22"/>
      <c r="N2120" s="22"/>
    </row>
    <row r="2121" spans="1:14" x14ac:dyDescent="0.25">
      <c r="A2121" s="22" t="s">
        <v>188</v>
      </c>
      <c r="B2121" s="22" t="s">
        <v>39</v>
      </c>
      <c r="C2121" s="22" t="s">
        <v>187</v>
      </c>
      <c r="D2121" s="23">
        <v>-8288731</v>
      </c>
      <c r="E2121" s="22" t="s">
        <v>57</v>
      </c>
      <c r="F2121" s="24">
        <v>44442</v>
      </c>
      <c r="G2121" s="22" t="s">
        <v>2446</v>
      </c>
      <c r="H2121" s="22" t="s">
        <v>2515</v>
      </c>
      <c r="I2121" s="22" t="s">
        <v>190</v>
      </c>
      <c r="J2121" s="22" t="s">
        <v>4552</v>
      </c>
      <c r="K2121" s="22" t="s">
        <v>61</v>
      </c>
      <c r="L2121" s="22"/>
      <c r="M2121" s="22"/>
      <c r="N2121" s="22"/>
    </row>
    <row r="2122" spans="1:14" x14ac:dyDescent="0.25">
      <c r="A2122" s="22" t="s">
        <v>2846</v>
      </c>
      <c r="B2122" s="22" t="s">
        <v>39</v>
      </c>
      <c r="C2122" s="22" t="s">
        <v>3573</v>
      </c>
      <c r="D2122" s="23">
        <v>8990550</v>
      </c>
      <c r="E2122" s="22" t="s">
        <v>42</v>
      </c>
      <c r="F2122" s="24">
        <v>44476</v>
      </c>
      <c r="G2122" s="22" t="s">
        <v>2446</v>
      </c>
      <c r="H2122" s="22" t="s">
        <v>577</v>
      </c>
      <c r="I2122" s="22" t="s">
        <v>2845</v>
      </c>
      <c r="J2122" s="22" t="s">
        <v>4401</v>
      </c>
      <c r="K2122" s="22" t="s">
        <v>292</v>
      </c>
      <c r="L2122" s="22"/>
      <c r="M2122" s="22"/>
      <c r="N2122" s="22"/>
    </row>
    <row r="2123" spans="1:14" x14ac:dyDescent="0.25">
      <c r="A2123" s="22" t="s">
        <v>613</v>
      </c>
      <c r="B2123" s="22" t="s">
        <v>39</v>
      </c>
      <c r="C2123" s="22" t="s">
        <v>7459</v>
      </c>
      <c r="D2123" s="23">
        <v>-1794838</v>
      </c>
      <c r="E2123" s="22" t="s">
        <v>45</v>
      </c>
      <c r="F2123" s="24">
        <v>44433</v>
      </c>
      <c r="G2123" s="22" t="s">
        <v>612</v>
      </c>
      <c r="H2123" s="22"/>
      <c r="I2123" s="22" t="s">
        <v>612</v>
      </c>
      <c r="J2123" s="22" t="s">
        <v>4401</v>
      </c>
      <c r="K2123" s="22" t="s">
        <v>66</v>
      </c>
      <c r="L2123" s="22"/>
      <c r="M2123" s="22"/>
      <c r="N2123" s="22"/>
    </row>
    <row r="2124" spans="1:14" x14ac:dyDescent="0.25">
      <c r="A2124" s="22" t="s">
        <v>613</v>
      </c>
      <c r="B2124" s="22" t="s">
        <v>39</v>
      </c>
      <c r="C2124" s="22" t="s">
        <v>7459</v>
      </c>
      <c r="D2124" s="23">
        <v>2305214</v>
      </c>
      <c r="E2124" s="22" t="s">
        <v>45</v>
      </c>
      <c r="F2124" s="24">
        <v>44433</v>
      </c>
      <c r="G2124" s="22" t="s">
        <v>612</v>
      </c>
      <c r="H2124" s="22"/>
      <c r="I2124" s="22" t="s">
        <v>612</v>
      </c>
      <c r="J2124" s="22" t="s">
        <v>4407</v>
      </c>
      <c r="K2124" s="22" t="s">
        <v>66</v>
      </c>
      <c r="L2124" s="22"/>
      <c r="M2124" s="22"/>
      <c r="N2124" s="22"/>
    </row>
    <row r="2125" spans="1:14" x14ac:dyDescent="0.25">
      <c r="A2125" s="22" t="s">
        <v>613</v>
      </c>
      <c r="B2125" s="22" t="s">
        <v>39</v>
      </c>
      <c r="C2125" s="22" t="s">
        <v>191</v>
      </c>
      <c r="D2125" s="23">
        <v>-2305214</v>
      </c>
      <c r="E2125" s="22" t="s">
        <v>57</v>
      </c>
      <c r="F2125" s="24">
        <v>44433</v>
      </c>
      <c r="G2125" s="22" t="s">
        <v>612</v>
      </c>
      <c r="H2125" s="22" t="s">
        <v>573</v>
      </c>
      <c r="I2125" s="22" t="s">
        <v>2844</v>
      </c>
      <c r="J2125" s="22" t="s">
        <v>4407</v>
      </c>
      <c r="K2125" s="22" t="s">
        <v>66</v>
      </c>
      <c r="L2125" s="22"/>
      <c r="M2125" s="22"/>
      <c r="N2125" s="22"/>
    </row>
    <row r="2126" spans="1:14" x14ac:dyDescent="0.25">
      <c r="A2126" s="22" t="s">
        <v>2843</v>
      </c>
      <c r="B2126" s="22" t="s">
        <v>39</v>
      </c>
      <c r="C2126" s="22" t="s">
        <v>47</v>
      </c>
      <c r="D2126" s="23">
        <v>1794838</v>
      </c>
      <c r="E2126" s="22" t="s">
        <v>42</v>
      </c>
      <c r="F2126" s="24">
        <v>44476</v>
      </c>
      <c r="G2126" s="22" t="s">
        <v>612</v>
      </c>
      <c r="H2126" s="22" t="s">
        <v>577</v>
      </c>
      <c r="I2126" s="22" t="s">
        <v>2842</v>
      </c>
      <c r="J2126" s="22" t="s">
        <v>4401</v>
      </c>
      <c r="K2126" s="22" t="s">
        <v>292</v>
      </c>
      <c r="L2126" s="22"/>
      <c r="M2126" s="22"/>
      <c r="N2126" s="22"/>
    </row>
    <row r="2127" spans="1:14" x14ac:dyDescent="0.25">
      <c r="A2127" s="22" t="s">
        <v>1504</v>
      </c>
      <c r="B2127" s="22" t="s">
        <v>39</v>
      </c>
      <c r="C2127" s="22" t="s">
        <v>7459</v>
      </c>
      <c r="D2127" s="23">
        <v>3520530</v>
      </c>
      <c r="E2127" s="22" t="s">
        <v>45</v>
      </c>
      <c r="F2127" s="24">
        <v>44508</v>
      </c>
      <c r="G2127" s="22" t="s">
        <v>7460</v>
      </c>
      <c r="H2127" s="22"/>
      <c r="I2127" s="22" t="s">
        <v>7461</v>
      </c>
      <c r="J2127" s="22" t="s">
        <v>4552</v>
      </c>
      <c r="K2127" s="22" t="s">
        <v>292</v>
      </c>
      <c r="L2127" s="22"/>
      <c r="M2127" s="22"/>
      <c r="N2127" s="22"/>
    </row>
    <row r="2128" spans="1:14" x14ac:dyDescent="0.25">
      <c r="A2128" s="22" t="s">
        <v>1504</v>
      </c>
      <c r="B2128" s="22" t="s">
        <v>39</v>
      </c>
      <c r="C2128" s="22" t="s">
        <v>7459</v>
      </c>
      <c r="D2128" s="23">
        <v>-45100404</v>
      </c>
      <c r="E2128" s="22" t="s">
        <v>45</v>
      </c>
      <c r="F2128" s="24">
        <v>44508</v>
      </c>
      <c r="G2128" s="22" t="s">
        <v>7460</v>
      </c>
      <c r="H2128" s="22"/>
      <c r="I2128" s="22" t="s">
        <v>7461</v>
      </c>
      <c r="J2128" s="22" t="s">
        <v>4401</v>
      </c>
      <c r="K2128" s="22" t="s">
        <v>292</v>
      </c>
      <c r="L2128" s="22"/>
      <c r="M2128" s="22"/>
      <c r="N2128" s="22"/>
    </row>
    <row r="2129" spans="1:14" x14ac:dyDescent="0.25">
      <c r="A2129" s="22" t="s">
        <v>1504</v>
      </c>
      <c r="B2129" s="22" t="s">
        <v>39</v>
      </c>
      <c r="C2129" s="22" t="s">
        <v>7459</v>
      </c>
      <c r="D2129" s="23">
        <v>29922309</v>
      </c>
      <c r="E2129" s="22" t="s">
        <v>45</v>
      </c>
      <c r="F2129" s="24">
        <v>44508</v>
      </c>
      <c r="G2129" s="22" t="s">
        <v>7460</v>
      </c>
      <c r="H2129" s="22"/>
      <c r="I2129" s="22" t="s">
        <v>7461</v>
      </c>
      <c r="J2129" s="22" t="s">
        <v>4407</v>
      </c>
      <c r="K2129" s="22" t="s">
        <v>292</v>
      </c>
      <c r="L2129" s="22"/>
      <c r="M2129" s="22"/>
      <c r="N2129" s="22"/>
    </row>
    <row r="2130" spans="1:14" x14ac:dyDescent="0.25">
      <c r="A2130" s="22" t="s">
        <v>1504</v>
      </c>
      <c r="B2130" s="22" t="s">
        <v>39</v>
      </c>
      <c r="C2130" s="22" t="s">
        <v>7459</v>
      </c>
      <c r="D2130" s="23">
        <v>-3520530</v>
      </c>
      <c r="E2130" s="22" t="s">
        <v>45</v>
      </c>
      <c r="F2130" s="24">
        <v>44508</v>
      </c>
      <c r="G2130" s="22" t="s">
        <v>7460</v>
      </c>
      <c r="H2130" s="22"/>
      <c r="I2130" s="22" t="s">
        <v>7460</v>
      </c>
      <c r="J2130" s="22" t="s">
        <v>4552</v>
      </c>
      <c r="K2130" s="22" t="s">
        <v>292</v>
      </c>
      <c r="L2130" s="22"/>
      <c r="M2130" s="22"/>
      <c r="N2130" s="22"/>
    </row>
    <row r="2131" spans="1:14" x14ac:dyDescent="0.25">
      <c r="A2131" s="22" t="s">
        <v>1504</v>
      </c>
      <c r="B2131" s="22" t="s">
        <v>39</v>
      </c>
      <c r="C2131" s="22" t="s">
        <v>7459</v>
      </c>
      <c r="D2131" s="23">
        <v>45100404</v>
      </c>
      <c r="E2131" s="22" t="s">
        <v>45</v>
      </c>
      <c r="F2131" s="24">
        <v>44508</v>
      </c>
      <c r="G2131" s="22" t="s">
        <v>7460</v>
      </c>
      <c r="H2131" s="22"/>
      <c r="I2131" s="22" t="s">
        <v>7460</v>
      </c>
      <c r="J2131" s="22" t="s">
        <v>4401</v>
      </c>
      <c r="K2131" s="22" t="s">
        <v>292</v>
      </c>
      <c r="L2131" s="22"/>
      <c r="M2131" s="22"/>
      <c r="N2131" s="22"/>
    </row>
    <row r="2132" spans="1:14" x14ac:dyDescent="0.25">
      <c r="A2132" s="22" t="s">
        <v>1504</v>
      </c>
      <c r="B2132" s="22" t="s">
        <v>39</v>
      </c>
      <c r="C2132" s="22" t="s">
        <v>7459</v>
      </c>
      <c r="D2132" s="23">
        <v>-29922309</v>
      </c>
      <c r="E2132" s="22" t="s">
        <v>45</v>
      </c>
      <c r="F2132" s="24">
        <v>44508</v>
      </c>
      <c r="G2132" s="22" t="s">
        <v>7460</v>
      </c>
      <c r="H2132" s="22"/>
      <c r="I2132" s="22" t="s">
        <v>7460</v>
      </c>
      <c r="J2132" s="22" t="s">
        <v>4407</v>
      </c>
      <c r="K2132" s="22" t="s">
        <v>292</v>
      </c>
      <c r="L2132" s="22"/>
      <c r="M2132" s="22"/>
      <c r="N2132" s="22"/>
    </row>
    <row r="2133" spans="1:14" x14ac:dyDescent="0.25">
      <c r="A2133" s="22" t="s">
        <v>1504</v>
      </c>
      <c r="B2133" s="22" t="s">
        <v>39</v>
      </c>
      <c r="C2133" s="22" t="s">
        <v>47</v>
      </c>
      <c r="D2133" s="23">
        <v>11657565</v>
      </c>
      <c r="E2133" s="22" t="s">
        <v>45</v>
      </c>
      <c r="F2133" s="24">
        <v>44508</v>
      </c>
      <c r="G2133" s="22" t="s">
        <v>7460</v>
      </c>
      <c r="H2133" s="22" t="s">
        <v>6029</v>
      </c>
      <c r="I2133" s="22" t="s">
        <v>7461</v>
      </c>
      <c r="J2133" s="22" t="s">
        <v>4401</v>
      </c>
      <c r="K2133" s="22" t="s">
        <v>292</v>
      </c>
      <c r="L2133" s="22"/>
      <c r="M2133" s="22"/>
      <c r="N2133" s="22"/>
    </row>
    <row r="2134" spans="1:14" x14ac:dyDescent="0.25">
      <c r="A2134" s="22" t="s">
        <v>1504</v>
      </c>
      <c r="B2134" s="22" t="s">
        <v>39</v>
      </c>
      <c r="C2134" s="22" t="s">
        <v>47</v>
      </c>
      <c r="D2134" s="23">
        <v>-11657565</v>
      </c>
      <c r="E2134" s="22" t="s">
        <v>45</v>
      </c>
      <c r="F2134" s="24">
        <v>44508</v>
      </c>
      <c r="G2134" s="22" t="s">
        <v>7460</v>
      </c>
      <c r="H2134" s="22" t="s">
        <v>6029</v>
      </c>
      <c r="I2134" s="22" t="s">
        <v>7460</v>
      </c>
      <c r="J2134" s="22" t="s">
        <v>4401</v>
      </c>
      <c r="K2134" s="22" t="s">
        <v>292</v>
      </c>
      <c r="L2134" s="22"/>
      <c r="M2134" s="22"/>
      <c r="N2134" s="22"/>
    </row>
    <row r="2135" spans="1:14" x14ac:dyDescent="0.25">
      <c r="A2135" s="22" t="s">
        <v>618</v>
      </c>
      <c r="B2135" s="22" t="s">
        <v>39</v>
      </c>
      <c r="C2135" s="22" t="s">
        <v>7458</v>
      </c>
      <c r="D2135" s="23">
        <v>-484334</v>
      </c>
      <c r="E2135" s="22" t="s">
        <v>45</v>
      </c>
      <c r="F2135" s="24">
        <v>44439</v>
      </c>
      <c r="G2135" s="22" t="s">
        <v>724</v>
      </c>
      <c r="H2135" s="22"/>
      <c r="I2135" s="22" t="s">
        <v>724</v>
      </c>
      <c r="J2135" s="22" t="s">
        <v>4401</v>
      </c>
      <c r="K2135" s="22" t="s">
        <v>66</v>
      </c>
      <c r="L2135" s="22"/>
      <c r="M2135" s="22"/>
      <c r="N2135" s="22"/>
    </row>
    <row r="2136" spans="1:14" x14ac:dyDescent="0.25">
      <c r="A2136" s="22" t="s">
        <v>618</v>
      </c>
      <c r="B2136" s="22" t="s">
        <v>39</v>
      </c>
      <c r="C2136" s="22" t="s">
        <v>7458</v>
      </c>
      <c r="D2136" s="23">
        <v>968667</v>
      </c>
      <c r="E2136" s="22" t="s">
        <v>45</v>
      </c>
      <c r="F2136" s="24">
        <v>44439</v>
      </c>
      <c r="G2136" s="22" t="s">
        <v>724</v>
      </c>
      <c r="H2136" s="22"/>
      <c r="I2136" s="22" t="s">
        <v>724</v>
      </c>
      <c r="J2136" s="22" t="s">
        <v>4407</v>
      </c>
      <c r="K2136" s="22" t="s">
        <v>66</v>
      </c>
      <c r="L2136" s="22"/>
      <c r="M2136" s="22"/>
      <c r="N2136" s="22"/>
    </row>
    <row r="2137" spans="1:14" x14ac:dyDescent="0.25">
      <c r="A2137" s="22" t="s">
        <v>618</v>
      </c>
      <c r="B2137" s="22" t="s">
        <v>39</v>
      </c>
      <c r="C2137" s="22" t="s">
        <v>191</v>
      </c>
      <c r="D2137" s="23">
        <v>-713206</v>
      </c>
      <c r="E2137" s="22" t="s">
        <v>57</v>
      </c>
      <c r="F2137" s="24">
        <v>44439</v>
      </c>
      <c r="G2137" s="22" t="s">
        <v>724</v>
      </c>
      <c r="H2137" s="22" t="s">
        <v>2468</v>
      </c>
      <c r="I2137" s="22" t="s">
        <v>2467</v>
      </c>
      <c r="J2137" s="22" t="s">
        <v>4407</v>
      </c>
      <c r="K2137" s="22" t="s">
        <v>66</v>
      </c>
      <c r="L2137" s="22"/>
      <c r="M2137" s="22"/>
      <c r="N2137" s="22"/>
    </row>
    <row r="2138" spans="1:14" x14ac:dyDescent="0.25">
      <c r="A2138" s="22" t="s">
        <v>2466</v>
      </c>
      <c r="B2138" s="22" t="s">
        <v>39</v>
      </c>
      <c r="C2138" s="22" t="s">
        <v>191</v>
      </c>
      <c r="D2138" s="23">
        <v>-255461</v>
      </c>
      <c r="E2138" s="22" t="s">
        <v>57</v>
      </c>
      <c r="F2138" s="24">
        <v>44439</v>
      </c>
      <c r="G2138" s="22" t="s">
        <v>724</v>
      </c>
      <c r="H2138" s="22" t="s">
        <v>2461</v>
      </c>
      <c r="I2138" s="22" t="s">
        <v>2465</v>
      </c>
      <c r="J2138" s="22" t="s">
        <v>4407</v>
      </c>
      <c r="K2138" s="22" t="s">
        <v>66</v>
      </c>
      <c r="L2138" s="22"/>
      <c r="M2138" s="22"/>
      <c r="N2138" s="22"/>
    </row>
    <row r="2139" spans="1:14" x14ac:dyDescent="0.25">
      <c r="A2139" s="22" t="s">
        <v>2464</v>
      </c>
      <c r="B2139" s="22" t="s">
        <v>39</v>
      </c>
      <c r="C2139" s="22" t="s">
        <v>3504</v>
      </c>
      <c r="D2139" s="23">
        <v>484334</v>
      </c>
      <c r="E2139" s="22" t="s">
        <v>42</v>
      </c>
      <c r="F2139" s="24">
        <v>44476</v>
      </c>
      <c r="G2139" s="22" t="s">
        <v>724</v>
      </c>
      <c r="H2139" s="22" t="s">
        <v>577</v>
      </c>
      <c r="I2139" s="22" t="s">
        <v>2463</v>
      </c>
      <c r="J2139" s="22" t="s">
        <v>4401</v>
      </c>
      <c r="K2139" s="22" t="s">
        <v>292</v>
      </c>
      <c r="L2139" s="22"/>
      <c r="M2139" s="22"/>
      <c r="N2139" s="22"/>
    </row>
    <row r="2140" spans="1:14" x14ac:dyDescent="0.25">
      <c r="A2140" s="22" t="s">
        <v>2412</v>
      </c>
      <c r="B2140" s="22" t="s">
        <v>39</v>
      </c>
      <c r="C2140" s="22" t="s">
        <v>7462</v>
      </c>
      <c r="D2140" s="23">
        <v>-420000</v>
      </c>
      <c r="E2140" s="22" t="s">
        <v>57</v>
      </c>
      <c r="F2140" s="24">
        <v>44452</v>
      </c>
      <c r="G2140" s="22" t="s">
        <v>2411</v>
      </c>
      <c r="H2140" s="22" t="s">
        <v>919</v>
      </c>
      <c r="I2140" s="22" t="s">
        <v>2462</v>
      </c>
      <c r="J2140" s="22" t="s">
        <v>4407</v>
      </c>
      <c r="K2140" s="22" t="s">
        <v>66</v>
      </c>
      <c r="L2140" s="22"/>
      <c r="M2140" s="22"/>
      <c r="N2140" s="22"/>
    </row>
    <row r="2141" spans="1:14" x14ac:dyDescent="0.25">
      <c r="A2141" s="22" t="s">
        <v>2460</v>
      </c>
      <c r="B2141" s="22" t="s">
        <v>39</v>
      </c>
      <c r="C2141" s="22" t="s">
        <v>7462</v>
      </c>
      <c r="D2141" s="23">
        <v>-32700</v>
      </c>
      <c r="E2141" s="22" t="s">
        <v>57</v>
      </c>
      <c r="F2141" s="24">
        <v>44469</v>
      </c>
      <c r="G2141" s="22" t="s">
        <v>2411</v>
      </c>
      <c r="H2141" s="22" t="s">
        <v>2461</v>
      </c>
      <c r="I2141" s="22" t="s">
        <v>2459</v>
      </c>
      <c r="J2141" s="22" t="s">
        <v>4407</v>
      </c>
      <c r="K2141" s="22" t="s">
        <v>66</v>
      </c>
      <c r="L2141" s="22"/>
      <c r="M2141" s="22"/>
      <c r="N2141" s="22"/>
    </row>
    <row r="2142" spans="1:14" x14ac:dyDescent="0.25">
      <c r="A2142" s="22" t="s">
        <v>2412</v>
      </c>
      <c r="B2142" s="22" t="s">
        <v>39</v>
      </c>
      <c r="C2142" s="22" t="s">
        <v>7458</v>
      </c>
      <c r="D2142" s="23">
        <v>2678222</v>
      </c>
      <c r="E2142" s="22" t="s">
        <v>45</v>
      </c>
      <c r="F2142" s="24">
        <v>44452</v>
      </c>
      <c r="G2142" s="22" t="s">
        <v>2411</v>
      </c>
      <c r="H2142" s="22"/>
      <c r="I2142" s="22" t="s">
        <v>2411</v>
      </c>
      <c r="J2142" s="22" t="s">
        <v>4552</v>
      </c>
      <c r="K2142" s="22" t="s">
        <v>66</v>
      </c>
      <c r="L2142" s="22"/>
      <c r="M2142" s="22"/>
      <c r="N2142" s="22"/>
    </row>
    <row r="2143" spans="1:14" x14ac:dyDescent="0.25">
      <c r="A2143" s="22" t="s">
        <v>2412</v>
      </c>
      <c r="B2143" s="22" t="s">
        <v>39</v>
      </c>
      <c r="C2143" s="22" t="s">
        <v>7458</v>
      </c>
      <c r="D2143" s="23">
        <v>-15282073</v>
      </c>
      <c r="E2143" s="22" t="s">
        <v>45</v>
      </c>
      <c r="F2143" s="24">
        <v>44452</v>
      </c>
      <c r="G2143" s="22" t="s">
        <v>2411</v>
      </c>
      <c r="H2143" s="22"/>
      <c r="I2143" s="22" t="s">
        <v>2411</v>
      </c>
      <c r="J2143" s="22" t="s">
        <v>4401</v>
      </c>
      <c r="K2143" s="22" t="s">
        <v>66</v>
      </c>
      <c r="L2143" s="22"/>
      <c r="M2143" s="22"/>
      <c r="N2143" s="22"/>
    </row>
    <row r="2144" spans="1:14" x14ac:dyDescent="0.25">
      <c r="A2144" s="22" t="s">
        <v>2412</v>
      </c>
      <c r="B2144" s="22" t="s">
        <v>39</v>
      </c>
      <c r="C2144" s="22" t="s">
        <v>7458</v>
      </c>
      <c r="D2144" s="23">
        <v>12824484</v>
      </c>
      <c r="E2144" s="22" t="s">
        <v>45</v>
      </c>
      <c r="F2144" s="24">
        <v>44452</v>
      </c>
      <c r="G2144" s="22" t="s">
        <v>2411</v>
      </c>
      <c r="H2144" s="22"/>
      <c r="I2144" s="22" t="s">
        <v>2411</v>
      </c>
      <c r="J2144" s="22" t="s">
        <v>4407</v>
      </c>
      <c r="K2144" s="22" t="s">
        <v>66</v>
      </c>
      <c r="L2144" s="22"/>
      <c r="M2144" s="22"/>
      <c r="N2144" s="22"/>
    </row>
    <row r="2145" spans="1:14" x14ac:dyDescent="0.25">
      <c r="A2145" s="22" t="s">
        <v>2457</v>
      </c>
      <c r="B2145" s="22" t="s">
        <v>39</v>
      </c>
      <c r="C2145" s="22" t="s">
        <v>187</v>
      </c>
      <c r="D2145" s="23">
        <v>-157326</v>
      </c>
      <c r="E2145" s="22" t="s">
        <v>57</v>
      </c>
      <c r="F2145" s="24">
        <v>44410</v>
      </c>
      <c r="G2145" s="22" t="s">
        <v>2411</v>
      </c>
      <c r="H2145" s="22" t="s">
        <v>2458</v>
      </c>
      <c r="I2145" s="22" t="s">
        <v>2456</v>
      </c>
      <c r="J2145" s="22" t="s">
        <v>4552</v>
      </c>
      <c r="K2145" s="22" t="s">
        <v>61</v>
      </c>
      <c r="L2145" s="22"/>
      <c r="M2145" s="22"/>
      <c r="N2145" s="22"/>
    </row>
    <row r="2146" spans="1:14" x14ac:dyDescent="0.25">
      <c r="A2146" s="22" t="s">
        <v>2455</v>
      </c>
      <c r="B2146" s="22" t="s">
        <v>39</v>
      </c>
      <c r="C2146" s="22" t="s">
        <v>187</v>
      </c>
      <c r="D2146" s="23">
        <v>-103600</v>
      </c>
      <c r="E2146" s="22" t="s">
        <v>57</v>
      </c>
      <c r="F2146" s="24">
        <v>44418</v>
      </c>
      <c r="G2146" s="22" t="s">
        <v>2411</v>
      </c>
      <c r="H2146" s="22" t="s">
        <v>1707</v>
      </c>
      <c r="I2146" s="22" t="s">
        <v>2454</v>
      </c>
      <c r="J2146" s="22" t="s">
        <v>4552</v>
      </c>
      <c r="K2146" s="22" t="s">
        <v>61</v>
      </c>
      <c r="L2146" s="22"/>
      <c r="M2146" s="22"/>
      <c r="N2146" s="22"/>
    </row>
    <row r="2147" spans="1:14" x14ac:dyDescent="0.25">
      <c r="A2147" s="22" t="s">
        <v>2453</v>
      </c>
      <c r="B2147" s="22" t="s">
        <v>39</v>
      </c>
      <c r="C2147" s="22" t="s">
        <v>187</v>
      </c>
      <c r="D2147" s="23">
        <v>-215700</v>
      </c>
      <c r="E2147" s="22" t="s">
        <v>57</v>
      </c>
      <c r="F2147" s="24">
        <v>44431</v>
      </c>
      <c r="G2147" s="22" t="s">
        <v>2411</v>
      </c>
      <c r="H2147" s="22" t="s">
        <v>1006</v>
      </c>
      <c r="I2147" s="22" t="s">
        <v>2452</v>
      </c>
      <c r="J2147" s="22" t="s">
        <v>4552</v>
      </c>
      <c r="K2147" s="22" t="s">
        <v>61</v>
      </c>
      <c r="L2147" s="22"/>
      <c r="M2147" s="22"/>
      <c r="N2147" s="22"/>
    </row>
    <row r="2148" spans="1:14" x14ac:dyDescent="0.25">
      <c r="A2148" s="22" t="s">
        <v>2451</v>
      </c>
      <c r="B2148" s="22" t="s">
        <v>39</v>
      </c>
      <c r="C2148" s="22" t="s">
        <v>187</v>
      </c>
      <c r="D2148" s="23">
        <v>-240242</v>
      </c>
      <c r="E2148" s="22" t="s">
        <v>57</v>
      </c>
      <c r="F2148" s="24">
        <v>44433</v>
      </c>
      <c r="G2148" s="22" t="s">
        <v>2411</v>
      </c>
      <c r="H2148" s="22" t="s">
        <v>1006</v>
      </c>
      <c r="I2148" s="22" t="s">
        <v>2450</v>
      </c>
      <c r="J2148" s="22" t="s">
        <v>4552</v>
      </c>
      <c r="K2148" s="22" t="s">
        <v>61</v>
      </c>
      <c r="L2148" s="22"/>
      <c r="M2148" s="22"/>
      <c r="N2148" s="22"/>
    </row>
    <row r="2149" spans="1:14" x14ac:dyDescent="0.25">
      <c r="A2149" s="22" t="s">
        <v>2449</v>
      </c>
      <c r="B2149" s="22" t="s">
        <v>39</v>
      </c>
      <c r="C2149" s="22" t="s">
        <v>187</v>
      </c>
      <c r="D2149" s="23">
        <v>-165800</v>
      </c>
      <c r="E2149" s="22" t="s">
        <v>57</v>
      </c>
      <c r="F2149" s="24">
        <v>44438</v>
      </c>
      <c r="G2149" s="22" t="s">
        <v>2411</v>
      </c>
      <c r="H2149" s="22" t="s">
        <v>1006</v>
      </c>
      <c r="I2149" s="22" t="s">
        <v>2448</v>
      </c>
      <c r="J2149" s="22" t="s">
        <v>4552</v>
      </c>
      <c r="K2149" s="22" t="s">
        <v>61</v>
      </c>
      <c r="L2149" s="22"/>
      <c r="M2149" s="22"/>
      <c r="N2149" s="22"/>
    </row>
    <row r="2150" spans="1:14" x14ac:dyDescent="0.25">
      <c r="A2150" s="22" t="s">
        <v>188</v>
      </c>
      <c r="B2150" s="22" t="s">
        <v>39</v>
      </c>
      <c r="C2150" s="22" t="s">
        <v>187</v>
      </c>
      <c r="D2150" s="23">
        <v>-823154</v>
      </c>
      <c r="E2150" s="22" t="s">
        <v>45</v>
      </c>
      <c r="F2150" s="24">
        <v>44442</v>
      </c>
      <c r="G2150" s="22" t="s">
        <v>2411</v>
      </c>
      <c r="H2150" s="22" t="s">
        <v>2447</v>
      </c>
      <c r="I2150" s="22" t="s">
        <v>2446</v>
      </c>
      <c r="J2150" s="22" t="s">
        <v>4552</v>
      </c>
      <c r="K2150" s="22" t="s">
        <v>61</v>
      </c>
      <c r="L2150" s="22"/>
      <c r="M2150" s="22"/>
      <c r="N2150" s="22"/>
    </row>
    <row r="2151" spans="1:14" x14ac:dyDescent="0.25">
      <c r="A2151" s="22" t="s">
        <v>2445</v>
      </c>
      <c r="B2151" s="22" t="s">
        <v>39</v>
      </c>
      <c r="C2151" s="22" t="s">
        <v>191</v>
      </c>
      <c r="D2151" s="23">
        <v>-1226444</v>
      </c>
      <c r="E2151" s="22" t="s">
        <v>57</v>
      </c>
      <c r="F2151" s="24">
        <v>44418</v>
      </c>
      <c r="G2151" s="22" t="s">
        <v>2411</v>
      </c>
      <c r="H2151" s="22" t="s">
        <v>843</v>
      </c>
      <c r="I2151" s="22" t="s">
        <v>2444</v>
      </c>
      <c r="J2151" s="22" t="s">
        <v>4407</v>
      </c>
      <c r="K2151" s="22" t="s">
        <v>66</v>
      </c>
      <c r="L2151" s="22"/>
      <c r="M2151" s="22"/>
      <c r="N2151" s="22"/>
    </row>
    <row r="2152" spans="1:14" x14ac:dyDescent="0.25">
      <c r="A2152" s="22" t="s">
        <v>2442</v>
      </c>
      <c r="B2152" s="22" t="s">
        <v>39</v>
      </c>
      <c r="C2152" s="22" t="s">
        <v>191</v>
      </c>
      <c r="D2152" s="23">
        <v>-1066565</v>
      </c>
      <c r="E2152" s="22" t="s">
        <v>57</v>
      </c>
      <c r="F2152" s="24">
        <v>44435</v>
      </c>
      <c r="G2152" s="22" t="s">
        <v>2411</v>
      </c>
      <c r="H2152" s="22" t="s">
        <v>2443</v>
      </c>
      <c r="I2152" s="22" t="s">
        <v>2441</v>
      </c>
      <c r="J2152" s="22" t="s">
        <v>4407</v>
      </c>
      <c r="K2152" s="22" t="s">
        <v>66</v>
      </c>
      <c r="L2152" s="22"/>
      <c r="M2152" s="22"/>
      <c r="N2152" s="22"/>
    </row>
    <row r="2153" spans="1:14" x14ac:dyDescent="0.25">
      <c r="A2153" s="22" t="s">
        <v>2439</v>
      </c>
      <c r="B2153" s="22" t="s">
        <v>39</v>
      </c>
      <c r="C2153" s="22" t="s">
        <v>191</v>
      </c>
      <c r="D2153" s="23">
        <v>-3590455</v>
      </c>
      <c r="E2153" s="22" t="s">
        <v>57</v>
      </c>
      <c r="F2153" s="24">
        <v>44435</v>
      </c>
      <c r="G2153" s="22" t="s">
        <v>2411</v>
      </c>
      <c r="H2153" s="22" t="s">
        <v>2440</v>
      </c>
      <c r="I2153" s="22" t="s">
        <v>2438</v>
      </c>
      <c r="J2153" s="22" t="s">
        <v>4407</v>
      </c>
      <c r="K2153" s="22" t="s">
        <v>66</v>
      </c>
      <c r="L2153" s="22"/>
      <c r="M2153" s="22"/>
      <c r="N2153" s="22"/>
    </row>
    <row r="2154" spans="1:14" x14ac:dyDescent="0.25">
      <c r="A2154" s="22" t="s">
        <v>2436</v>
      </c>
      <c r="B2154" s="22" t="s">
        <v>39</v>
      </c>
      <c r="C2154" s="22" t="s">
        <v>191</v>
      </c>
      <c r="D2154" s="23">
        <v>-2459908</v>
      </c>
      <c r="E2154" s="22" t="s">
        <v>57</v>
      </c>
      <c r="F2154" s="24">
        <v>44436</v>
      </c>
      <c r="G2154" s="22" t="s">
        <v>2411</v>
      </c>
      <c r="H2154" s="22" t="s">
        <v>2437</v>
      </c>
      <c r="I2154" s="22" t="s">
        <v>2435</v>
      </c>
      <c r="J2154" s="22" t="s">
        <v>4407</v>
      </c>
      <c r="K2154" s="22" t="s">
        <v>66</v>
      </c>
      <c r="L2154" s="22"/>
      <c r="M2154" s="22"/>
      <c r="N2154" s="22"/>
    </row>
    <row r="2155" spans="1:14" x14ac:dyDescent="0.25">
      <c r="A2155" s="22" t="s">
        <v>2433</v>
      </c>
      <c r="B2155" s="22" t="s">
        <v>39</v>
      </c>
      <c r="C2155" s="22" t="s">
        <v>191</v>
      </c>
      <c r="D2155" s="23">
        <v>-1402928</v>
      </c>
      <c r="E2155" s="22" t="s">
        <v>57</v>
      </c>
      <c r="F2155" s="24">
        <v>44438</v>
      </c>
      <c r="G2155" s="22" t="s">
        <v>2411</v>
      </c>
      <c r="H2155" s="22" t="s">
        <v>2434</v>
      </c>
      <c r="I2155" s="22" t="s">
        <v>2432</v>
      </c>
      <c r="J2155" s="22" t="s">
        <v>4407</v>
      </c>
      <c r="K2155" s="22" t="s">
        <v>66</v>
      </c>
      <c r="L2155" s="22"/>
      <c r="M2155" s="22"/>
      <c r="N2155" s="22"/>
    </row>
    <row r="2156" spans="1:14" x14ac:dyDescent="0.25">
      <c r="A2156" s="22" t="s">
        <v>192</v>
      </c>
      <c r="B2156" s="22" t="s">
        <v>39</v>
      </c>
      <c r="C2156" s="22" t="s">
        <v>191</v>
      </c>
      <c r="D2156" s="23">
        <v>-2625484</v>
      </c>
      <c r="E2156" s="22" t="s">
        <v>57</v>
      </c>
      <c r="F2156" s="24">
        <v>44442</v>
      </c>
      <c r="G2156" s="22" t="s">
        <v>2411</v>
      </c>
      <c r="H2156" s="22" t="s">
        <v>2431</v>
      </c>
      <c r="I2156" s="22" t="s">
        <v>194</v>
      </c>
      <c r="J2156" s="22" t="s">
        <v>4407</v>
      </c>
      <c r="K2156" s="22" t="s">
        <v>66</v>
      </c>
      <c r="L2156" s="22"/>
      <c r="M2156" s="22"/>
      <c r="N2156" s="22"/>
    </row>
    <row r="2157" spans="1:14" x14ac:dyDescent="0.25">
      <c r="A2157" s="22" t="s">
        <v>2430</v>
      </c>
      <c r="B2157" s="22" t="s">
        <v>39</v>
      </c>
      <c r="C2157" s="22" t="s">
        <v>7463</v>
      </c>
      <c r="D2157" s="23">
        <v>-293600</v>
      </c>
      <c r="E2157" s="22" t="s">
        <v>57</v>
      </c>
      <c r="F2157" s="24">
        <v>44412</v>
      </c>
      <c r="G2157" s="22" t="s">
        <v>2411</v>
      </c>
      <c r="H2157" s="22" t="s">
        <v>282</v>
      </c>
      <c r="I2157" s="22" t="s">
        <v>2429</v>
      </c>
      <c r="J2157" s="22" t="s">
        <v>4552</v>
      </c>
      <c r="K2157" s="22" t="s">
        <v>61</v>
      </c>
      <c r="L2157" s="22"/>
      <c r="M2157" s="22"/>
      <c r="N2157" s="22"/>
    </row>
    <row r="2158" spans="1:14" x14ac:dyDescent="0.25">
      <c r="A2158" s="22" t="s">
        <v>2428</v>
      </c>
      <c r="B2158" s="22" t="s">
        <v>39</v>
      </c>
      <c r="C2158" s="22" t="s">
        <v>7463</v>
      </c>
      <c r="D2158" s="23">
        <v>-207500</v>
      </c>
      <c r="E2158" s="22" t="s">
        <v>57</v>
      </c>
      <c r="F2158" s="24">
        <v>44412</v>
      </c>
      <c r="G2158" s="22" t="s">
        <v>2411</v>
      </c>
      <c r="H2158" s="22" t="s">
        <v>486</v>
      </c>
      <c r="I2158" s="22" t="s">
        <v>2427</v>
      </c>
      <c r="J2158" s="22" t="s">
        <v>4552</v>
      </c>
      <c r="K2158" s="22" t="s">
        <v>61</v>
      </c>
      <c r="L2158" s="22"/>
      <c r="M2158" s="22"/>
      <c r="N2158" s="22"/>
    </row>
    <row r="2159" spans="1:14" x14ac:dyDescent="0.25">
      <c r="A2159" s="22" t="s">
        <v>2426</v>
      </c>
      <c r="B2159" s="22" t="s">
        <v>39</v>
      </c>
      <c r="C2159" s="22" t="s">
        <v>7463</v>
      </c>
      <c r="D2159" s="23">
        <v>-471300</v>
      </c>
      <c r="E2159" s="22" t="s">
        <v>57</v>
      </c>
      <c r="F2159" s="24">
        <v>44419</v>
      </c>
      <c r="G2159" s="22" t="s">
        <v>2411</v>
      </c>
      <c r="H2159" s="22" t="s">
        <v>280</v>
      </c>
      <c r="I2159" s="22" t="s">
        <v>2425</v>
      </c>
      <c r="J2159" s="22" t="s">
        <v>4552</v>
      </c>
      <c r="K2159" s="22" t="s">
        <v>61</v>
      </c>
      <c r="L2159" s="22"/>
      <c r="M2159" s="22"/>
      <c r="N2159" s="22"/>
    </row>
    <row r="2160" spans="1:14" x14ac:dyDescent="0.25">
      <c r="A2160" s="22" t="s">
        <v>2424</v>
      </c>
      <c r="B2160" s="22" t="s">
        <v>39</v>
      </c>
      <c r="C2160" s="22" t="s">
        <v>3504</v>
      </c>
      <c r="D2160" s="23">
        <v>15282073</v>
      </c>
      <c r="E2160" s="22" t="s">
        <v>42</v>
      </c>
      <c r="F2160" s="24">
        <v>44446</v>
      </c>
      <c r="G2160" s="22" t="s">
        <v>2411</v>
      </c>
      <c r="H2160" s="22" t="s">
        <v>605</v>
      </c>
      <c r="I2160" s="22" t="s">
        <v>2423</v>
      </c>
      <c r="J2160" s="22" t="s">
        <v>4401</v>
      </c>
      <c r="K2160" s="22" t="s">
        <v>292</v>
      </c>
      <c r="L2160" s="22"/>
      <c r="M2160" s="22"/>
      <c r="N2160" s="22"/>
    </row>
    <row r="2161" spans="1:14" x14ac:dyDescent="0.25">
      <c r="A2161" s="22" t="s">
        <v>56</v>
      </c>
      <c r="B2161" s="22" t="s">
        <v>39</v>
      </c>
      <c r="C2161" s="22" t="s">
        <v>55</v>
      </c>
      <c r="D2161" s="23">
        <v>-3617847</v>
      </c>
      <c r="E2161" s="22" t="s">
        <v>57</v>
      </c>
      <c r="F2161" s="24">
        <v>44456</v>
      </c>
      <c r="G2161" s="22" t="s">
        <v>2376</v>
      </c>
      <c r="H2161" s="22" t="s">
        <v>2382</v>
      </c>
      <c r="I2161" s="22" t="s">
        <v>59</v>
      </c>
      <c r="J2161" s="22" t="s">
        <v>4552</v>
      </c>
      <c r="K2161" s="22" t="s">
        <v>61</v>
      </c>
      <c r="L2161" s="22"/>
      <c r="M2161" s="22"/>
      <c r="N2161" s="22"/>
    </row>
    <row r="2162" spans="1:14" x14ac:dyDescent="0.25">
      <c r="A2162" s="22" t="s">
        <v>2380</v>
      </c>
      <c r="B2162" s="22" t="s">
        <v>39</v>
      </c>
      <c r="C2162" s="22" t="s">
        <v>62</v>
      </c>
      <c r="D2162" s="23">
        <v>-197223</v>
      </c>
      <c r="E2162" s="22" t="s">
        <v>57</v>
      </c>
      <c r="F2162" s="24">
        <v>44452</v>
      </c>
      <c r="G2162" s="22" t="s">
        <v>2376</v>
      </c>
      <c r="H2162" s="22" t="s">
        <v>2381</v>
      </c>
      <c r="I2162" s="22" t="s">
        <v>2379</v>
      </c>
      <c r="J2162" s="22" t="s">
        <v>4407</v>
      </c>
      <c r="K2162" s="22" t="s">
        <v>66</v>
      </c>
      <c r="L2162" s="22"/>
      <c r="M2162" s="22"/>
      <c r="N2162" s="22"/>
    </row>
    <row r="2163" spans="1:14" x14ac:dyDescent="0.25">
      <c r="A2163" s="22" t="s">
        <v>67</v>
      </c>
      <c r="B2163" s="22" t="s">
        <v>39</v>
      </c>
      <c r="C2163" s="22" t="s">
        <v>62</v>
      </c>
      <c r="D2163" s="23">
        <v>-487750</v>
      </c>
      <c r="E2163" s="22" t="s">
        <v>57</v>
      </c>
      <c r="F2163" s="24">
        <v>44449</v>
      </c>
      <c r="G2163" s="22" t="s">
        <v>2376</v>
      </c>
      <c r="H2163" s="22" t="s">
        <v>2378</v>
      </c>
      <c r="I2163" s="22" t="s">
        <v>69</v>
      </c>
      <c r="J2163" s="22" t="s">
        <v>4407</v>
      </c>
      <c r="K2163" s="22" t="s">
        <v>66</v>
      </c>
      <c r="L2163" s="22"/>
      <c r="M2163" s="22"/>
      <c r="N2163" s="22"/>
    </row>
    <row r="2164" spans="1:14" x14ac:dyDescent="0.25">
      <c r="A2164" s="22" t="s">
        <v>2377</v>
      </c>
      <c r="B2164" s="22" t="s">
        <v>39</v>
      </c>
      <c r="C2164" s="22" t="s">
        <v>7464</v>
      </c>
      <c r="D2164" s="23">
        <v>3617847</v>
      </c>
      <c r="E2164" s="22" t="s">
        <v>45</v>
      </c>
      <c r="F2164" s="24">
        <v>44508</v>
      </c>
      <c r="G2164" s="22" t="s">
        <v>2376</v>
      </c>
      <c r="H2164" s="22"/>
      <c r="I2164" s="22" t="s">
        <v>2376</v>
      </c>
      <c r="J2164" s="22" t="s">
        <v>4552</v>
      </c>
      <c r="K2164" s="22" t="s">
        <v>292</v>
      </c>
      <c r="L2164" s="22"/>
      <c r="M2164" s="22"/>
      <c r="N2164" s="22"/>
    </row>
    <row r="2165" spans="1:14" x14ac:dyDescent="0.25">
      <c r="A2165" s="22" t="s">
        <v>2377</v>
      </c>
      <c r="B2165" s="22" t="s">
        <v>39</v>
      </c>
      <c r="C2165" s="22" t="s">
        <v>7464</v>
      </c>
      <c r="D2165" s="23">
        <v>-11072004</v>
      </c>
      <c r="E2165" s="22" t="s">
        <v>45</v>
      </c>
      <c r="F2165" s="24">
        <v>44508</v>
      </c>
      <c r="G2165" s="22" t="s">
        <v>2376</v>
      </c>
      <c r="H2165" s="22"/>
      <c r="I2165" s="22" t="s">
        <v>2376</v>
      </c>
      <c r="J2165" s="22" t="s">
        <v>4401</v>
      </c>
      <c r="K2165" s="22" t="s">
        <v>292</v>
      </c>
      <c r="L2165" s="22"/>
      <c r="M2165" s="22"/>
      <c r="N2165" s="22"/>
    </row>
    <row r="2166" spans="1:14" x14ac:dyDescent="0.25">
      <c r="A2166" s="22" t="s">
        <v>2377</v>
      </c>
      <c r="B2166" s="22" t="s">
        <v>39</v>
      </c>
      <c r="C2166" s="22" t="s">
        <v>7464</v>
      </c>
      <c r="D2166" s="23">
        <v>684973</v>
      </c>
      <c r="E2166" s="22" t="s">
        <v>45</v>
      </c>
      <c r="F2166" s="24">
        <v>44508</v>
      </c>
      <c r="G2166" s="22" t="s">
        <v>2376</v>
      </c>
      <c r="H2166" s="22"/>
      <c r="I2166" s="22" t="s">
        <v>2376</v>
      </c>
      <c r="J2166" s="22" t="s">
        <v>4407</v>
      </c>
      <c r="K2166" s="22" t="s">
        <v>292</v>
      </c>
      <c r="L2166" s="22"/>
      <c r="M2166" s="22"/>
      <c r="N2166" s="22"/>
    </row>
    <row r="2167" spans="1:14" x14ac:dyDescent="0.25">
      <c r="A2167" s="22" t="s">
        <v>2377</v>
      </c>
      <c r="B2167" s="22" t="s">
        <v>39</v>
      </c>
      <c r="C2167" s="22" t="s">
        <v>3504</v>
      </c>
      <c r="D2167" s="23">
        <v>11072004</v>
      </c>
      <c r="E2167" s="22" t="s">
        <v>42</v>
      </c>
      <c r="F2167" s="24">
        <v>44508</v>
      </c>
      <c r="G2167" s="22" t="s">
        <v>2376</v>
      </c>
      <c r="H2167" s="22" t="s">
        <v>292</v>
      </c>
      <c r="I2167" s="22" t="s">
        <v>2619</v>
      </c>
      <c r="J2167" s="22" t="s">
        <v>4401</v>
      </c>
      <c r="K2167" s="22" t="s">
        <v>292</v>
      </c>
      <c r="L2167" s="22"/>
      <c r="M2167" s="22"/>
      <c r="N2167" s="22"/>
    </row>
    <row r="2168" spans="1:14" x14ac:dyDescent="0.25">
      <c r="A2168" s="22" t="s">
        <v>2514</v>
      </c>
      <c r="B2168" s="22" t="s">
        <v>39</v>
      </c>
      <c r="C2168" s="22" t="s">
        <v>55</v>
      </c>
      <c r="D2168" s="23">
        <v>-1909583</v>
      </c>
      <c r="E2168" s="22" t="s">
        <v>57</v>
      </c>
      <c r="F2168" s="24">
        <v>44462</v>
      </c>
      <c r="G2168" s="22" t="s">
        <v>2505</v>
      </c>
      <c r="H2168" s="22" t="s">
        <v>2515</v>
      </c>
      <c r="I2168" s="22" t="s">
        <v>2513</v>
      </c>
      <c r="J2168" s="22" t="s">
        <v>4552</v>
      </c>
      <c r="K2168" s="22" t="s">
        <v>61</v>
      </c>
      <c r="L2168" s="22"/>
      <c r="M2168" s="22"/>
      <c r="N2168" s="22"/>
    </row>
    <row r="2169" spans="1:14" x14ac:dyDescent="0.25">
      <c r="A2169" s="22" t="s">
        <v>2511</v>
      </c>
      <c r="B2169" s="22" t="s">
        <v>39</v>
      </c>
      <c r="C2169" s="22" t="s">
        <v>62</v>
      </c>
      <c r="D2169" s="23">
        <v>-53700</v>
      </c>
      <c r="E2169" s="22" t="s">
        <v>57</v>
      </c>
      <c r="F2169" s="24">
        <v>44454</v>
      </c>
      <c r="G2169" s="22" t="s">
        <v>2505</v>
      </c>
      <c r="H2169" s="22" t="s">
        <v>2512</v>
      </c>
      <c r="I2169" s="22" t="s">
        <v>2510</v>
      </c>
      <c r="J2169" s="22" t="s">
        <v>4407</v>
      </c>
      <c r="K2169" s="22" t="s">
        <v>66</v>
      </c>
      <c r="L2169" s="22"/>
      <c r="M2169" s="22"/>
      <c r="N2169" s="22"/>
    </row>
    <row r="2170" spans="1:14" x14ac:dyDescent="0.25">
      <c r="A2170" s="22" t="s">
        <v>2509</v>
      </c>
      <c r="B2170" s="22" t="s">
        <v>39</v>
      </c>
      <c r="C2170" s="22" t="s">
        <v>7462</v>
      </c>
      <c r="D2170" s="23">
        <v>-11700</v>
      </c>
      <c r="E2170" s="22" t="s">
        <v>57</v>
      </c>
      <c r="F2170" s="24">
        <v>44466</v>
      </c>
      <c r="G2170" s="22" t="s">
        <v>2505</v>
      </c>
      <c r="H2170" s="22" t="s">
        <v>1386</v>
      </c>
      <c r="I2170" s="22" t="s">
        <v>2508</v>
      </c>
      <c r="J2170" s="22" t="s">
        <v>4407</v>
      </c>
      <c r="K2170" s="22" t="s">
        <v>66</v>
      </c>
      <c r="L2170" s="22"/>
      <c r="M2170" s="22"/>
      <c r="N2170" s="22"/>
    </row>
    <row r="2171" spans="1:14" x14ac:dyDescent="0.25">
      <c r="A2171" s="22" t="s">
        <v>2506</v>
      </c>
      <c r="B2171" s="22" t="s">
        <v>39</v>
      </c>
      <c r="C2171" s="22" t="s">
        <v>3573</v>
      </c>
      <c r="D2171" s="23">
        <v>1974983</v>
      </c>
      <c r="E2171" s="22" t="s">
        <v>42</v>
      </c>
      <c r="F2171" s="24">
        <v>44508</v>
      </c>
      <c r="G2171" s="22" t="s">
        <v>2505</v>
      </c>
      <c r="H2171" s="22" t="s">
        <v>292</v>
      </c>
      <c r="I2171" s="22" t="s">
        <v>2507</v>
      </c>
      <c r="J2171" s="22" t="s">
        <v>4401</v>
      </c>
      <c r="K2171" s="22" t="s">
        <v>292</v>
      </c>
      <c r="L2171" s="22"/>
      <c r="M2171" s="22"/>
      <c r="N2171" s="22"/>
    </row>
    <row r="2172" spans="1:14" x14ac:dyDescent="0.25">
      <c r="A2172" s="22" t="s">
        <v>2506</v>
      </c>
      <c r="B2172" s="22" t="s">
        <v>39</v>
      </c>
      <c r="C2172" s="22" t="s">
        <v>3573</v>
      </c>
      <c r="D2172" s="23">
        <v>1909583</v>
      </c>
      <c r="E2172" s="22" t="s">
        <v>45</v>
      </c>
      <c r="F2172" s="24">
        <v>44508</v>
      </c>
      <c r="G2172" s="22" t="s">
        <v>2505</v>
      </c>
      <c r="H2172" s="22" t="s">
        <v>230</v>
      </c>
      <c r="I2172" s="22" t="s">
        <v>2505</v>
      </c>
      <c r="J2172" s="22" t="s">
        <v>4552</v>
      </c>
      <c r="K2172" s="22" t="s">
        <v>292</v>
      </c>
      <c r="L2172" s="22"/>
      <c r="M2172" s="22"/>
      <c r="N2172" s="22"/>
    </row>
    <row r="2173" spans="1:14" x14ac:dyDescent="0.25">
      <c r="A2173" s="22" t="s">
        <v>2506</v>
      </c>
      <c r="B2173" s="22" t="s">
        <v>39</v>
      </c>
      <c r="C2173" s="22" t="s">
        <v>3573</v>
      </c>
      <c r="D2173" s="23">
        <v>-1974983</v>
      </c>
      <c r="E2173" s="22" t="s">
        <v>45</v>
      </c>
      <c r="F2173" s="24">
        <v>44508</v>
      </c>
      <c r="G2173" s="22" t="s">
        <v>2505</v>
      </c>
      <c r="H2173" s="22" t="s">
        <v>230</v>
      </c>
      <c r="I2173" s="22" t="s">
        <v>2505</v>
      </c>
      <c r="J2173" s="22" t="s">
        <v>4401</v>
      </c>
      <c r="K2173" s="22" t="s">
        <v>292</v>
      </c>
      <c r="L2173" s="22"/>
      <c r="M2173" s="22"/>
      <c r="N2173" s="22"/>
    </row>
    <row r="2174" spans="1:14" x14ac:dyDescent="0.25">
      <c r="A2174" s="22" t="s">
        <v>2506</v>
      </c>
      <c r="B2174" s="22" t="s">
        <v>39</v>
      </c>
      <c r="C2174" s="22" t="s">
        <v>3573</v>
      </c>
      <c r="D2174" s="23">
        <v>65400</v>
      </c>
      <c r="E2174" s="22" t="s">
        <v>45</v>
      </c>
      <c r="F2174" s="24">
        <v>44508</v>
      </c>
      <c r="G2174" s="22" t="s">
        <v>2505</v>
      </c>
      <c r="H2174" s="22" t="s">
        <v>230</v>
      </c>
      <c r="I2174" s="22" t="s">
        <v>2505</v>
      </c>
      <c r="J2174" s="22" t="s">
        <v>4407</v>
      </c>
      <c r="K2174" s="22" t="s">
        <v>292</v>
      </c>
      <c r="L2174" s="22"/>
      <c r="M2174" s="22"/>
      <c r="N2174" s="22"/>
    </row>
    <row r="2175" spans="1:14" x14ac:dyDescent="0.25">
      <c r="A2175" s="22" t="s">
        <v>865</v>
      </c>
      <c r="B2175" s="22" t="s">
        <v>39</v>
      </c>
      <c r="C2175" s="22" t="s">
        <v>62</v>
      </c>
      <c r="D2175" s="23">
        <v>-5593781</v>
      </c>
      <c r="E2175" s="22" t="s">
        <v>57</v>
      </c>
      <c r="F2175" s="24">
        <v>44449</v>
      </c>
      <c r="G2175" s="22" t="s">
        <v>864</v>
      </c>
      <c r="H2175" s="22" t="s">
        <v>249</v>
      </c>
      <c r="I2175" s="22" t="s">
        <v>2618</v>
      </c>
      <c r="J2175" s="22" t="s">
        <v>4407</v>
      </c>
      <c r="K2175" s="22" t="s">
        <v>66</v>
      </c>
      <c r="L2175" s="22"/>
      <c r="M2175" s="22"/>
      <c r="N2175" s="22"/>
    </row>
    <row r="2176" spans="1:14" x14ac:dyDescent="0.25">
      <c r="A2176" s="22" t="s">
        <v>865</v>
      </c>
      <c r="B2176" s="22" t="s">
        <v>39</v>
      </c>
      <c r="C2176" s="22" t="s">
        <v>7465</v>
      </c>
      <c r="D2176" s="23">
        <v>-5830185</v>
      </c>
      <c r="E2176" s="22" t="s">
        <v>45</v>
      </c>
      <c r="F2176" s="24">
        <v>44449</v>
      </c>
      <c r="G2176" s="22" t="s">
        <v>864</v>
      </c>
      <c r="H2176" s="22"/>
      <c r="I2176" s="22" t="s">
        <v>864</v>
      </c>
      <c r="J2176" s="22" t="s">
        <v>4401</v>
      </c>
      <c r="K2176" s="22" t="s">
        <v>66</v>
      </c>
      <c r="L2176" s="22"/>
      <c r="M2176" s="22"/>
      <c r="N2176" s="22"/>
    </row>
    <row r="2177" spans="1:14" x14ac:dyDescent="0.25">
      <c r="A2177" s="22" t="s">
        <v>865</v>
      </c>
      <c r="B2177" s="22" t="s">
        <v>39</v>
      </c>
      <c r="C2177" s="22" t="s">
        <v>7465</v>
      </c>
      <c r="D2177" s="23">
        <v>5929781</v>
      </c>
      <c r="E2177" s="22" t="s">
        <v>45</v>
      </c>
      <c r="F2177" s="24">
        <v>44449</v>
      </c>
      <c r="G2177" s="22" t="s">
        <v>864</v>
      </c>
      <c r="H2177" s="22"/>
      <c r="I2177" s="22" t="s">
        <v>864</v>
      </c>
      <c r="J2177" s="22" t="s">
        <v>4407</v>
      </c>
      <c r="K2177" s="22" t="s">
        <v>66</v>
      </c>
      <c r="L2177" s="22"/>
      <c r="M2177" s="22"/>
      <c r="N2177" s="22"/>
    </row>
    <row r="2178" spans="1:14" x14ac:dyDescent="0.25">
      <c r="A2178" s="22" t="s">
        <v>2617</v>
      </c>
      <c r="B2178" s="22" t="s">
        <v>39</v>
      </c>
      <c r="C2178" s="22" t="s">
        <v>7466</v>
      </c>
      <c r="D2178" s="23">
        <v>-146600</v>
      </c>
      <c r="E2178" s="22" t="s">
        <v>57</v>
      </c>
      <c r="F2178" s="24">
        <v>44418</v>
      </c>
      <c r="G2178" s="22" t="s">
        <v>864</v>
      </c>
      <c r="H2178" s="22" t="s">
        <v>249</v>
      </c>
      <c r="I2178" s="22" t="s">
        <v>2616</v>
      </c>
      <c r="J2178" s="22" t="s">
        <v>4407</v>
      </c>
      <c r="K2178" s="22" t="s">
        <v>66</v>
      </c>
      <c r="L2178" s="22"/>
      <c r="M2178" s="22"/>
      <c r="N2178" s="22"/>
    </row>
    <row r="2179" spans="1:14" x14ac:dyDescent="0.25">
      <c r="A2179" s="22" t="s">
        <v>2615</v>
      </c>
      <c r="B2179" s="22" t="s">
        <v>39</v>
      </c>
      <c r="C2179" s="22" t="s">
        <v>7466</v>
      </c>
      <c r="D2179" s="23">
        <v>-23700</v>
      </c>
      <c r="E2179" s="22" t="s">
        <v>57</v>
      </c>
      <c r="F2179" s="24">
        <v>44419</v>
      </c>
      <c r="G2179" s="22" t="s">
        <v>864</v>
      </c>
      <c r="H2179" s="22" t="s">
        <v>249</v>
      </c>
      <c r="I2179" s="22" t="s">
        <v>2614</v>
      </c>
      <c r="J2179" s="22" t="s">
        <v>4407</v>
      </c>
      <c r="K2179" s="22" t="s">
        <v>66</v>
      </c>
      <c r="L2179" s="22"/>
      <c r="M2179" s="22"/>
      <c r="N2179" s="22"/>
    </row>
    <row r="2180" spans="1:14" x14ac:dyDescent="0.25">
      <c r="A2180" s="22" t="s">
        <v>2613</v>
      </c>
      <c r="B2180" s="22" t="s">
        <v>39</v>
      </c>
      <c r="C2180" s="22" t="s">
        <v>7466</v>
      </c>
      <c r="D2180" s="23">
        <v>-15300</v>
      </c>
      <c r="E2180" s="22" t="s">
        <v>57</v>
      </c>
      <c r="F2180" s="24">
        <v>44419</v>
      </c>
      <c r="G2180" s="22" t="s">
        <v>864</v>
      </c>
      <c r="H2180" s="22" t="s">
        <v>249</v>
      </c>
      <c r="I2180" s="22" t="s">
        <v>2612</v>
      </c>
      <c r="J2180" s="22" t="s">
        <v>4407</v>
      </c>
      <c r="K2180" s="22" t="s">
        <v>66</v>
      </c>
      <c r="L2180" s="22"/>
      <c r="M2180" s="22"/>
      <c r="N2180" s="22"/>
    </row>
    <row r="2181" spans="1:14" x14ac:dyDescent="0.25">
      <c r="A2181" s="22" t="s">
        <v>2611</v>
      </c>
      <c r="B2181" s="22" t="s">
        <v>39</v>
      </c>
      <c r="C2181" s="22" t="s">
        <v>7466</v>
      </c>
      <c r="D2181" s="23">
        <v>-90700</v>
      </c>
      <c r="E2181" s="22" t="s">
        <v>57</v>
      </c>
      <c r="F2181" s="24">
        <v>44420</v>
      </c>
      <c r="G2181" s="22" t="s">
        <v>864</v>
      </c>
      <c r="H2181" s="22" t="s">
        <v>249</v>
      </c>
      <c r="I2181" s="22" t="s">
        <v>2610</v>
      </c>
      <c r="J2181" s="22" t="s">
        <v>4407</v>
      </c>
      <c r="K2181" s="22" t="s">
        <v>66</v>
      </c>
      <c r="L2181" s="22"/>
      <c r="M2181" s="22"/>
      <c r="N2181" s="22"/>
    </row>
    <row r="2182" spans="1:14" x14ac:dyDescent="0.25">
      <c r="A2182" s="22" t="s">
        <v>2609</v>
      </c>
      <c r="B2182" s="22" t="s">
        <v>39</v>
      </c>
      <c r="C2182" s="22" t="s">
        <v>7466</v>
      </c>
      <c r="D2182" s="23">
        <v>-59700</v>
      </c>
      <c r="E2182" s="22" t="s">
        <v>57</v>
      </c>
      <c r="F2182" s="24">
        <v>44431</v>
      </c>
      <c r="G2182" s="22" t="s">
        <v>864</v>
      </c>
      <c r="H2182" s="22" t="s">
        <v>249</v>
      </c>
      <c r="I2182" s="22" t="s">
        <v>2608</v>
      </c>
      <c r="J2182" s="22" t="s">
        <v>4407</v>
      </c>
      <c r="K2182" s="22" t="s">
        <v>66</v>
      </c>
      <c r="L2182" s="22"/>
      <c r="M2182" s="22"/>
      <c r="N2182" s="22"/>
    </row>
    <row r="2183" spans="1:14" x14ac:dyDescent="0.25">
      <c r="A2183" s="22" t="s">
        <v>2607</v>
      </c>
      <c r="B2183" s="22" t="s">
        <v>39</v>
      </c>
      <c r="C2183" s="22" t="s">
        <v>4267</v>
      </c>
      <c r="D2183" s="23">
        <v>5830185</v>
      </c>
      <c r="E2183" s="22" t="s">
        <v>42</v>
      </c>
      <c r="F2183" s="24">
        <v>44508</v>
      </c>
      <c r="G2183" s="22" t="s">
        <v>864</v>
      </c>
      <c r="H2183" s="22" t="s">
        <v>292</v>
      </c>
      <c r="I2183" s="22" t="s">
        <v>2606</v>
      </c>
      <c r="J2183" s="22" t="s">
        <v>4401</v>
      </c>
      <c r="K2183" s="22" t="s">
        <v>292</v>
      </c>
      <c r="L2183" s="22"/>
      <c r="M2183" s="22"/>
      <c r="N2183" s="22"/>
    </row>
    <row r="2184" spans="1:14" x14ac:dyDescent="0.25">
      <c r="A2184" s="22" t="s">
        <v>2503</v>
      </c>
      <c r="B2184" s="22" t="s">
        <v>39</v>
      </c>
      <c r="C2184" s="22" t="s">
        <v>55</v>
      </c>
      <c r="D2184" s="23">
        <v>-53700</v>
      </c>
      <c r="E2184" s="22" t="s">
        <v>57</v>
      </c>
      <c r="F2184" s="24">
        <v>44449</v>
      </c>
      <c r="G2184" s="22" t="s">
        <v>2336</v>
      </c>
      <c r="H2184" s="22" t="s">
        <v>2504</v>
      </c>
      <c r="I2184" s="22" t="s">
        <v>2502</v>
      </c>
      <c r="J2184" s="22" t="s">
        <v>4552</v>
      </c>
      <c r="K2184" s="22" t="s">
        <v>61</v>
      </c>
      <c r="L2184" s="22"/>
      <c r="M2184" s="22"/>
      <c r="N2184" s="22"/>
    </row>
    <row r="2185" spans="1:14" x14ac:dyDescent="0.25">
      <c r="A2185" s="22" t="s">
        <v>2501</v>
      </c>
      <c r="B2185" s="22" t="s">
        <v>39</v>
      </c>
      <c r="C2185" s="22" t="s">
        <v>55</v>
      </c>
      <c r="D2185" s="23">
        <v>-1148387</v>
      </c>
      <c r="E2185" s="22" t="s">
        <v>57</v>
      </c>
      <c r="F2185" s="24">
        <v>44459</v>
      </c>
      <c r="G2185" s="22" t="s">
        <v>2336</v>
      </c>
      <c r="H2185" s="22" t="s">
        <v>550</v>
      </c>
      <c r="I2185" s="22" t="s">
        <v>2500</v>
      </c>
      <c r="J2185" s="22" t="s">
        <v>4552</v>
      </c>
      <c r="K2185" s="22" t="s">
        <v>61</v>
      </c>
      <c r="L2185" s="22"/>
      <c r="M2185" s="22"/>
      <c r="N2185" s="22"/>
    </row>
    <row r="2186" spans="1:14" x14ac:dyDescent="0.25">
      <c r="A2186" s="22" t="s">
        <v>2499</v>
      </c>
      <c r="B2186" s="22" t="s">
        <v>39</v>
      </c>
      <c r="C2186" s="22" t="s">
        <v>7467</v>
      </c>
      <c r="D2186" s="23">
        <v>-29200</v>
      </c>
      <c r="E2186" s="22" t="s">
        <v>57</v>
      </c>
      <c r="F2186" s="24">
        <v>44442</v>
      </c>
      <c r="G2186" s="22" t="s">
        <v>2336</v>
      </c>
      <c r="H2186" s="22" t="s">
        <v>280</v>
      </c>
      <c r="I2186" s="22" t="s">
        <v>2498</v>
      </c>
      <c r="J2186" s="22" t="s">
        <v>4552</v>
      </c>
      <c r="K2186" s="22" t="s">
        <v>61</v>
      </c>
      <c r="L2186" s="22"/>
      <c r="M2186" s="22"/>
      <c r="N2186" s="22"/>
    </row>
    <row r="2187" spans="1:14" x14ac:dyDescent="0.25">
      <c r="A2187" s="22" t="s">
        <v>2497</v>
      </c>
      <c r="B2187" s="22" t="s">
        <v>39</v>
      </c>
      <c r="C2187" s="22" t="s">
        <v>7467</v>
      </c>
      <c r="D2187" s="23">
        <v>-130700</v>
      </c>
      <c r="E2187" s="22" t="s">
        <v>57</v>
      </c>
      <c r="F2187" s="24">
        <v>44447</v>
      </c>
      <c r="G2187" s="22" t="s">
        <v>2336</v>
      </c>
      <c r="H2187" s="22" t="s">
        <v>280</v>
      </c>
      <c r="I2187" s="22" t="s">
        <v>2496</v>
      </c>
      <c r="J2187" s="22" t="s">
        <v>4552</v>
      </c>
      <c r="K2187" s="22" t="s">
        <v>61</v>
      </c>
      <c r="L2187" s="22"/>
      <c r="M2187" s="22"/>
      <c r="N2187" s="22"/>
    </row>
    <row r="2188" spans="1:14" x14ac:dyDescent="0.25">
      <c r="A2188" s="22" t="s">
        <v>2495</v>
      </c>
      <c r="B2188" s="22" t="s">
        <v>39</v>
      </c>
      <c r="C2188" s="22" t="s">
        <v>7467</v>
      </c>
      <c r="D2188" s="23">
        <v>-45000</v>
      </c>
      <c r="E2188" s="22" t="s">
        <v>57</v>
      </c>
      <c r="F2188" s="24">
        <v>44447</v>
      </c>
      <c r="G2188" s="22" t="s">
        <v>2336</v>
      </c>
      <c r="H2188" s="22" t="s">
        <v>280</v>
      </c>
      <c r="I2188" s="22" t="s">
        <v>2494</v>
      </c>
      <c r="J2188" s="22" t="s">
        <v>4552</v>
      </c>
      <c r="K2188" s="22" t="s">
        <v>61</v>
      </c>
      <c r="L2188" s="22"/>
      <c r="M2188" s="22"/>
      <c r="N2188" s="22"/>
    </row>
    <row r="2189" spans="1:14" x14ac:dyDescent="0.25">
      <c r="A2189" s="22" t="s">
        <v>2493</v>
      </c>
      <c r="B2189" s="22" t="s">
        <v>39</v>
      </c>
      <c r="C2189" s="22" t="s">
        <v>7467</v>
      </c>
      <c r="D2189" s="23">
        <v>-43700</v>
      </c>
      <c r="E2189" s="22" t="s">
        <v>57</v>
      </c>
      <c r="F2189" s="24">
        <v>44447</v>
      </c>
      <c r="G2189" s="22" t="s">
        <v>2336</v>
      </c>
      <c r="H2189" s="22" t="s">
        <v>280</v>
      </c>
      <c r="I2189" s="22" t="s">
        <v>2492</v>
      </c>
      <c r="J2189" s="22" t="s">
        <v>4552</v>
      </c>
      <c r="K2189" s="22" t="s">
        <v>61</v>
      </c>
      <c r="L2189" s="22"/>
      <c r="M2189" s="22"/>
      <c r="N2189" s="22"/>
    </row>
    <row r="2190" spans="1:14" x14ac:dyDescent="0.25">
      <c r="A2190" s="22" t="s">
        <v>2491</v>
      </c>
      <c r="B2190" s="22" t="s">
        <v>39</v>
      </c>
      <c r="C2190" s="22" t="s">
        <v>7467</v>
      </c>
      <c r="D2190" s="23">
        <v>-29200</v>
      </c>
      <c r="E2190" s="22" t="s">
        <v>57</v>
      </c>
      <c r="F2190" s="24">
        <v>44449</v>
      </c>
      <c r="G2190" s="22" t="s">
        <v>2336</v>
      </c>
      <c r="H2190" s="22" t="s">
        <v>483</v>
      </c>
      <c r="I2190" s="22" t="s">
        <v>2490</v>
      </c>
      <c r="J2190" s="22" t="s">
        <v>4552</v>
      </c>
      <c r="K2190" s="22" t="s">
        <v>61</v>
      </c>
      <c r="L2190" s="22"/>
      <c r="M2190" s="22"/>
      <c r="N2190" s="22"/>
    </row>
    <row r="2191" spans="1:14" x14ac:dyDescent="0.25">
      <c r="A2191" s="22" t="s">
        <v>2489</v>
      </c>
      <c r="B2191" s="22" t="s">
        <v>39</v>
      </c>
      <c r="C2191" s="22" t="s">
        <v>7467</v>
      </c>
      <c r="D2191" s="23">
        <v>-43700</v>
      </c>
      <c r="E2191" s="22" t="s">
        <v>57</v>
      </c>
      <c r="F2191" s="24">
        <v>44452</v>
      </c>
      <c r="G2191" s="22" t="s">
        <v>2336</v>
      </c>
      <c r="H2191" s="22" t="s">
        <v>550</v>
      </c>
      <c r="I2191" s="22" t="s">
        <v>2488</v>
      </c>
      <c r="J2191" s="22" t="s">
        <v>4552</v>
      </c>
      <c r="K2191" s="22" t="s">
        <v>61</v>
      </c>
      <c r="L2191" s="22"/>
      <c r="M2191" s="22"/>
      <c r="N2191" s="22"/>
    </row>
    <row r="2192" spans="1:14" x14ac:dyDescent="0.25">
      <c r="A2192" s="22" t="s">
        <v>2487</v>
      </c>
      <c r="B2192" s="22" t="s">
        <v>39</v>
      </c>
      <c r="C2192" s="22" t="s">
        <v>7467</v>
      </c>
      <c r="D2192" s="23">
        <v>-68100</v>
      </c>
      <c r="E2192" s="22" t="s">
        <v>57</v>
      </c>
      <c r="F2192" s="24">
        <v>44461</v>
      </c>
      <c r="G2192" s="22" t="s">
        <v>2336</v>
      </c>
      <c r="H2192" s="22" t="s">
        <v>280</v>
      </c>
      <c r="I2192" s="22" t="s">
        <v>2486</v>
      </c>
      <c r="J2192" s="22" t="s">
        <v>4552</v>
      </c>
      <c r="K2192" s="22" t="s">
        <v>61</v>
      </c>
      <c r="L2192" s="22"/>
      <c r="M2192" s="22"/>
      <c r="N2192" s="22"/>
    </row>
    <row r="2193" spans="1:14" x14ac:dyDescent="0.25">
      <c r="A2193" s="22" t="s">
        <v>2484</v>
      </c>
      <c r="B2193" s="22" t="s">
        <v>39</v>
      </c>
      <c r="C2193" s="22" t="s">
        <v>7467</v>
      </c>
      <c r="D2193" s="23">
        <v>-29200</v>
      </c>
      <c r="E2193" s="22" t="s">
        <v>57</v>
      </c>
      <c r="F2193" s="24">
        <v>44462</v>
      </c>
      <c r="G2193" s="22" t="s">
        <v>2336</v>
      </c>
      <c r="H2193" s="22" t="s">
        <v>2485</v>
      </c>
      <c r="I2193" s="22" t="s">
        <v>2483</v>
      </c>
      <c r="J2193" s="22" t="s">
        <v>4552</v>
      </c>
      <c r="K2193" s="22" t="s">
        <v>61</v>
      </c>
      <c r="L2193" s="22"/>
      <c r="M2193" s="22"/>
      <c r="N2193" s="22"/>
    </row>
    <row r="2194" spans="1:14" x14ac:dyDescent="0.25">
      <c r="A2194" s="22" t="s">
        <v>2482</v>
      </c>
      <c r="B2194" s="22" t="s">
        <v>39</v>
      </c>
      <c r="C2194" s="22" t="s">
        <v>7467</v>
      </c>
      <c r="D2194" s="23">
        <v>-29200</v>
      </c>
      <c r="E2194" s="22" t="s">
        <v>57</v>
      </c>
      <c r="F2194" s="24">
        <v>44463</v>
      </c>
      <c r="G2194" s="22" t="s">
        <v>2336</v>
      </c>
      <c r="H2194" s="22" t="s">
        <v>483</v>
      </c>
      <c r="I2194" s="22" t="s">
        <v>2481</v>
      </c>
      <c r="J2194" s="22" t="s">
        <v>4552</v>
      </c>
      <c r="K2194" s="22" t="s">
        <v>61</v>
      </c>
      <c r="L2194" s="22"/>
      <c r="M2194" s="22"/>
      <c r="N2194" s="22"/>
    </row>
    <row r="2195" spans="1:14" x14ac:dyDescent="0.25">
      <c r="A2195" s="22" t="s">
        <v>2480</v>
      </c>
      <c r="B2195" s="22" t="s">
        <v>39</v>
      </c>
      <c r="C2195" s="22" t="s">
        <v>7467</v>
      </c>
      <c r="D2195" s="23">
        <v>-43700</v>
      </c>
      <c r="E2195" s="22" t="s">
        <v>57</v>
      </c>
      <c r="F2195" s="24">
        <v>44468</v>
      </c>
      <c r="G2195" s="22" t="s">
        <v>2336</v>
      </c>
      <c r="H2195" s="22" t="s">
        <v>280</v>
      </c>
      <c r="I2195" s="22" t="s">
        <v>2479</v>
      </c>
      <c r="J2195" s="22" t="s">
        <v>4552</v>
      </c>
      <c r="K2195" s="22" t="s">
        <v>61</v>
      </c>
      <c r="L2195" s="22"/>
      <c r="M2195" s="22"/>
      <c r="N2195" s="22"/>
    </row>
    <row r="2196" spans="1:14" x14ac:dyDescent="0.25">
      <c r="A2196" s="22" t="s">
        <v>2478</v>
      </c>
      <c r="B2196" s="22" t="s">
        <v>39</v>
      </c>
      <c r="C2196" s="22" t="s">
        <v>7467</v>
      </c>
      <c r="D2196" s="23">
        <v>-43700</v>
      </c>
      <c r="E2196" s="22" t="s">
        <v>57</v>
      </c>
      <c r="F2196" s="24">
        <v>44468</v>
      </c>
      <c r="G2196" s="22" t="s">
        <v>2336</v>
      </c>
      <c r="H2196" s="22" t="s">
        <v>919</v>
      </c>
      <c r="I2196" s="22" t="s">
        <v>2477</v>
      </c>
      <c r="J2196" s="22" t="s">
        <v>4552</v>
      </c>
      <c r="K2196" s="22" t="s">
        <v>61</v>
      </c>
      <c r="L2196" s="22"/>
      <c r="M2196" s="22"/>
      <c r="N2196" s="22"/>
    </row>
    <row r="2197" spans="1:14" x14ac:dyDescent="0.25">
      <c r="A2197" s="22" t="s">
        <v>2476</v>
      </c>
      <c r="B2197" s="22" t="s">
        <v>39</v>
      </c>
      <c r="C2197" s="22" t="s">
        <v>7467</v>
      </c>
      <c r="D2197" s="23">
        <v>-28100</v>
      </c>
      <c r="E2197" s="22" t="s">
        <v>57</v>
      </c>
      <c r="F2197" s="24">
        <v>44469</v>
      </c>
      <c r="G2197" s="22" t="s">
        <v>2336</v>
      </c>
      <c r="H2197" s="22" t="s">
        <v>280</v>
      </c>
      <c r="I2197" s="22" t="s">
        <v>2475</v>
      </c>
      <c r="J2197" s="22" t="s">
        <v>4552</v>
      </c>
      <c r="K2197" s="22" t="s">
        <v>61</v>
      </c>
      <c r="L2197" s="22"/>
      <c r="M2197" s="22"/>
      <c r="N2197" s="22"/>
    </row>
    <row r="2198" spans="1:14" x14ac:dyDescent="0.25">
      <c r="A2198" s="22" t="s">
        <v>2474</v>
      </c>
      <c r="B2198" s="22" t="s">
        <v>39</v>
      </c>
      <c r="C2198" s="22" t="s">
        <v>62</v>
      </c>
      <c r="D2198" s="23">
        <v>-54724</v>
      </c>
      <c r="E2198" s="22" t="s">
        <v>57</v>
      </c>
      <c r="F2198" s="24">
        <v>44445</v>
      </c>
      <c r="G2198" s="22" t="s">
        <v>2336</v>
      </c>
      <c r="H2198" s="22" t="s">
        <v>764</v>
      </c>
      <c r="I2198" s="22" t="s">
        <v>2473</v>
      </c>
      <c r="J2198" s="22" t="s">
        <v>4407</v>
      </c>
      <c r="K2198" s="22" t="s">
        <v>66</v>
      </c>
      <c r="L2198" s="22"/>
      <c r="M2198" s="22"/>
      <c r="N2198" s="22"/>
    </row>
    <row r="2199" spans="1:14" x14ac:dyDescent="0.25">
      <c r="A2199" s="22" t="s">
        <v>2368</v>
      </c>
      <c r="B2199" s="22" t="s">
        <v>39</v>
      </c>
      <c r="C2199" s="22" t="s">
        <v>62</v>
      </c>
      <c r="D2199" s="23">
        <v>-68733</v>
      </c>
      <c r="E2199" s="22" t="s">
        <v>57</v>
      </c>
      <c r="F2199" s="24">
        <v>44451</v>
      </c>
      <c r="G2199" s="22" t="s">
        <v>2336</v>
      </c>
      <c r="H2199" s="22" t="s">
        <v>2472</v>
      </c>
      <c r="I2199" s="22" t="s">
        <v>2471</v>
      </c>
      <c r="J2199" s="22" t="s">
        <v>4407</v>
      </c>
      <c r="K2199" s="22" t="s">
        <v>66</v>
      </c>
      <c r="L2199" s="22"/>
      <c r="M2199" s="22"/>
      <c r="N2199" s="22"/>
    </row>
    <row r="2200" spans="1:14" x14ac:dyDescent="0.25">
      <c r="A2200" s="22" t="s">
        <v>2470</v>
      </c>
      <c r="B2200" s="22" t="s">
        <v>39</v>
      </c>
      <c r="C2200" s="22" t="s">
        <v>7462</v>
      </c>
      <c r="D2200" s="23">
        <v>-47200</v>
      </c>
      <c r="E2200" s="22" t="s">
        <v>57</v>
      </c>
      <c r="F2200" s="24">
        <v>44446</v>
      </c>
      <c r="G2200" s="22" t="s">
        <v>2336</v>
      </c>
      <c r="H2200" s="22" t="s">
        <v>304</v>
      </c>
      <c r="I2200" s="22" t="s">
        <v>2469</v>
      </c>
      <c r="J2200" s="22" t="s">
        <v>4407</v>
      </c>
      <c r="K2200" s="22" t="s">
        <v>66</v>
      </c>
      <c r="L2200" s="22"/>
      <c r="M2200" s="22"/>
      <c r="N2200" s="22"/>
    </row>
    <row r="2201" spans="1:14" x14ac:dyDescent="0.25">
      <c r="A2201" s="22" t="s">
        <v>2422</v>
      </c>
      <c r="B2201" s="22" t="s">
        <v>39</v>
      </c>
      <c r="C2201" s="22" t="s">
        <v>7462</v>
      </c>
      <c r="D2201" s="23">
        <v>-9700</v>
      </c>
      <c r="E2201" s="22" t="s">
        <v>57</v>
      </c>
      <c r="F2201" s="24">
        <v>44459</v>
      </c>
      <c r="G2201" s="22" t="s">
        <v>2336</v>
      </c>
      <c r="H2201" s="22" t="s">
        <v>298</v>
      </c>
      <c r="I2201" s="22" t="s">
        <v>2421</v>
      </c>
      <c r="J2201" s="22" t="s">
        <v>4407</v>
      </c>
      <c r="K2201" s="22" t="s">
        <v>66</v>
      </c>
      <c r="L2201" s="22"/>
      <c r="M2201" s="22"/>
      <c r="N2201" s="22"/>
    </row>
    <row r="2202" spans="1:14" x14ac:dyDescent="0.25">
      <c r="A2202" s="22" t="s">
        <v>2374</v>
      </c>
      <c r="B2202" s="22" t="s">
        <v>39</v>
      </c>
      <c r="C2202" s="22" t="s">
        <v>7462</v>
      </c>
      <c r="D2202" s="23">
        <v>-32700</v>
      </c>
      <c r="E2202" s="22" t="s">
        <v>57</v>
      </c>
      <c r="F2202" s="24">
        <v>44459</v>
      </c>
      <c r="G2202" s="22" t="s">
        <v>2336</v>
      </c>
      <c r="H2202" s="22" t="s">
        <v>2375</v>
      </c>
      <c r="I2202" s="22" t="s">
        <v>2373</v>
      </c>
      <c r="J2202" s="22" t="s">
        <v>4407</v>
      </c>
      <c r="K2202" s="22" t="s">
        <v>66</v>
      </c>
      <c r="L2202" s="22"/>
      <c r="M2202" s="22"/>
      <c r="N2202" s="22"/>
    </row>
    <row r="2203" spans="1:14" x14ac:dyDescent="0.25">
      <c r="A2203" s="22" t="s">
        <v>2372</v>
      </c>
      <c r="B2203" s="22" t="s">
        <v>39</v>
      </c>
      <c r="C2203" s="22" t="s">
        <v>7462</v>
      </c>
      <c r="D2203" s="23">
        <v>-47200</v>
      </c>
      <c r="E2203" s="22" t="s">
        <v>57</v>
      </c>
      <c r="F2203" s="24">
        <v>44459</v>
      </c>
      <c r="G2203" s="22" t="s">
        <v>2336</v>
      </c>
      <c r="H2203" s="22" t="s">
        <v>505</v>
      </c>
      <c r="I2203" s="22" t="s">
        <v>2371</v>
      </c>
      <c r="J2203" s="22" t="s">
        <v>4407</v>
      </c>
      <c r="K2203" s="22" t="s">
        <v>66</v>
      </c>
      <c r="L2203" s="22"/>
      <c r="M2203" s="22"/>
      <c r="N2203" s="22"/>
    </row>
    <row r="2204" spans="1:14" x14ac:dyDescent="0.25">
      <c r="A2204" s="22" t="s">
        <v>7911</v>
      </c>
      <c r="B2204" s="22" t="s">
        <v>39</v>
      </c>
      <c r="C2204" s="22" t="s">
        <v>7462</v>
      </c>
      <c r="D2204" s="23">
        <v>-32700</v>
      </c>
      <c r="E2204" s="22" t="s">
        <v>57</v>
      </c>
      <c r="F2204" s="24">
        <v>44469</v>
      </c>
      <c r="G2204" s="22" t="s">
        <v>2336</v>
      </c>
      <c r="H2204" s="22" t="s">
        <v>1360</v>
      </c>
      <c r="I2204" s="22" t="s">
        <v>2369</v>
      </c>
      <c r="J2204" s="22" t="s">
        <v>4407</v>
      </c>
      <c r="K2204" s="22" t="s">
        <v>66</v>
      </c>
      <c r="L2204" s="22"/>
      <c r="M2204" s="22"/>
      <c r="N2204" s="22"/>
    </row>
    <row r="2205" spans="1:14" x14ac:dyDescent="0.25">
      <c r="A2205" s="22" t="s">
        <v>2368</v>
      </c>
      <c r="B2205" s="22" t="s">
        <v>39</v>
      </c>
      <c r="C2205" s="22" t="s">
        <v>7468</v>
      </c>
      <c r="D2205" s="23">
        <v>-2320387</v>
      </c>
      <c r="E2205" s="22" t="s">
        <v>45</v>
      </c>
      <c r="F2205" s="24">
        <v>44451</v>
      </c>
      <c r="G2205" s="22" t="s">
        <v>2336</v>
      </c>
      <c r="H2205" s="22"/>
      <c r="I2205" s="22" t="s">
        <v>2336</v>
      </c>
      <c r="J2205" s="22" t="s">
        <v>4466</v>
      </c>
      <c r="K2205" s="22" t="s">
        <v>66</v>
      </c>
      <c r="L2205" s="22"/>
      <c r="M2205" s="22"/>
      <c r="N2205" s="22"/>
    </row>
    <row r="2206" spans="1:14" x14ac:dyDescent="0.25">
      <c r="A2206" s="22" t="s">
        <v>2368</v>
      </c>
      <c r="B2206" s="22" t="s">
        <v>39</v>
      </c>
      <c r="C2206" s="22" t="s">
        <v>7468</v>
      </c>
      <c r="D2206" s="23">
        <v>2039398</v>
      </c>
      <c r="E2206" s="22" t="s">
        <v>45</v>
      </c>
      <c r="F2206" s="24">
        <v>44451</v>
      </c>
      <c r="G2206" s="22" t="s">
        <v>2336</v>
      </c>
      <c r="H2206" s="22"/>
      <c r="I2206" s="22" t="s">
        <v>2336</v>
      </c>
      <c r="J2206" s="22" t="s">
        <v>4552</v>
      </c>
      <c r="K2206" s="22" t="s">
        <v>66</v>
      </c>
      <c r="L2206" s="22"/>
      <c r="M2206" s="22"/>
      <c r="N2206" s="22"/>
    </row>
    <row r="2207" spans="1:14" x14ac:dyDescent="0.25">
      <c r="A2207" s="22" t="s">
        <v>2368</v>
      </c>
      <c r="B2207" s="22" t="s">
        <v>39</v>
      </c>
      <c r="C2207" s="22" t="s">
        <v>7468</v>
      </c>
      <c r="D2207" s="23">
        <v>325657</v>
      </c>
      <c r="E2207" s="22" t="s">
        <v>45</v>
      </c>
      <c r="F2207" s="24">
        <v>44451</v>
      </c>
      <c r="G2207" s="22" t="s">
        <v>2336</v>
      </c>
      <c r="H2207" s="22"/>
      <c r="I2207" s="22" t="s">
        <v>2336</v>
      </c>
      <c r="J2207" s="22" t="s">
        <v>4407</v>
      </c>
      <c r="K2207" s="22" t="s">
        <v>66</v>
      </c>
      <c r="L2207" s="22"/>
      <c r="M2207" s="22"/>
      <c r="N2207" s="22"/>
    </row>
    <row r="2208" spans="1:14" x14ac:dyDescent="0.25">
      <c r="A2208" s="22" t="s">
        <v>2366</v>
      </c>
      <c r="B2208" s="22" t="s">
        <v>39</v>
      </c>
      <c r="C2208" s="22" t="s">
        <v>187</v>
      </c>
      <c r="D2208" s="23">
        <v>-54511</v>
      </c>
      <c r="E2208" s="22" t="s">
        <v>57</v>
      </c>
      <c r="F2208" s="24">
        <v>44420</v>
      </c>
      <c r="G2208" s="22" t="s">
        <v>2336</v>
      </c>
      <c r="H2208" s="22" t="s">
        <v>2367</v>
      </c>
      <c r="I2208" s="22" t="s">
        <v>2365</v>
      </c>
      <c r="J2208" s="22" t="s">
        <v>4552</v>
      </c>
      <c r="K2208" s="22" t="s">
        <v>61</v>
      </c>
      <c r="L2208" s="22"/>
      <c r="M2208" s="22"/>
      <c r="N2208" s="22"/>
    </row>
    <row r="2209" spans="1:14" x14ac:dyDescent="0.25">
      <c r="A2209" s="22" t="s">
        <v>2364</v>
      </c>
      <c r="B2209" s="22" t="s">
        <v>39</v>
      </c>
      <c r="C2209" s="22" t="s">
        <v>187</v>
      </c>
      <c r="D2209" s="23">
        <v>-53700</v>
      </c>
      <c r="E2209" s="22" t="s">
        <v>57</v>
      </c>
      <c r="F2209" s="24">
        <v>44439</v>
      </c>
      <c r="G2209" s="22" t="s">
        <v>2336</v>
      </c>
      <c r="H2209" s="22" t="s">
        <v>494</v>
      </c>
      <c r="I2209" s="22" t="s">
        <v>2363</v>
      </c>
      <c r="J2209" s="22" t="s">
        <v>4552</v>
      </c>
      <c r="K2209" s="22" t="s">
        <v>61</v>
      </c>
      <c r="L2209" s="22"/>
      <c r="M2209" s="22"/>
      <c r="N2209" s="22"/>
    </row>
    <row r="2210" spans="1:14" x14ac:dyDescent="0.25">
      <c r="A2210" s="22" t="s">
        <v>2362</v>
      </c>
      <c r="B2210" s="22" t="s">
        <v>39</v>
      </c>
      <c r="C2210" s="22" t="s">
        <v>7466</v>
      </c>
      <c r="D2210" s="23">
        <v>-32700</v>
      </c>
      <c r="E2210" s="22" t="s">
        <v>57</v>
      </c>
      <c r="F2210" s="24">
        <v>44413</v>
      </c>
      <c r="G2210" s="22" t="s">
        <v>2336</v>
      </c>
      <c r="H2210" s="22" t="s">
        <v>989</v>
      </c>
      <c r="I2210" s="22" t="s">
        <v>2361</v>
      </c>
      <c r="J2210" s="22" t="s">
        <v>4407</v>
      </c>
      <c r="K2210" s="22" t="s">
        <v>66</v>
      </c>
      <c r="L2210" s="22"/>
      <c r="M2210" s="22"/>
      <c r="N2210" s="22"/>
    </row>
    <row r="2211" spans="1:14" x14ac:dyDescent="0.25">
      <c r="A2211" s="22" t="s">
        <v>2360</v>
      </c>
      <c r="B2211" s="22" t="s">
        <v>39</v>
      </c>
      <c r="C2211" s="22" t="s">
        <v>7463</v>
      </c>
      <c r="D2211" s="23">
        <v>-36800</v>
      </c>
      <c r="E2211" s="22" t="s">
        <v>57</v>
      </c>
      <c r="F2211" s="24">
        <v>44418</v>
      </c>
      <c r="G2211" s="22" t="s">
        <v>2336</v>
      </c>
      <c r="H2211" s="22" t="s">
        <v>897</v>
      </c>
      <c r="I2211" s="22" t="s">
        <v>2359</v>
      </c>
      <c r="J2211" s="22" t="s">
        <v>4552</v>
      </c>
      <c r="K2211" s="22" t="s">
        <v>61</v>
      </c>
      <c r="L2211" s="22"/>
      <c r="M2211" s="22"/>
      <c r="N2211" s="22"/>
    </row>
    <row r="2212" spans="1:14" x14ac:dyDescent="0.25">
      <c r="A2212" s="22" t="s">
        <v>2358</v>
      </c>
      <c r="B2212" s="22" t="s">
        <v>39</v>
      </c>
      <c r="C2212" s="22" t="s">
        <v>7463</v>
      </c>
      <c r="D2212" s="23">
        <v>-41200</v>
      </c>
      <c r="E2212" s="22" t="s">
        <v>57</v>
      </c>
      <c r="F2212" s="24">
        <v>44418</v>
      </c>
      <c r="G2212" s="22" t="s">
        <v>2336</v>
      </c>
      <c r="H2212" s="22" t="s">
        <v>486</v>
      </c>
      <c r="I2212" s="22" t="s">
        <v>2357</v>
      </c>
      <c r="J2212" s="22" t="s">
        <v>4552</v>
      </c>
      <c r="K2212" s="22" t="s">
        <v>61</v>
      </c>
      <c r="L2212" s="22"/>
      <c r="M2212" s="22"/>
      <c r="N2212" s="22"/>
    </row>
    <row r="2213" spans="1:14" x14ac:dyDescent="0.25">
      <c r="A2213" s="22" t="s">
        <v>2356</v>
      </c>
      <c r="B2213" s="22" t="s">
        <v>39</v>
      </c>
      <c r="C2213" s="22" t="s">
        <v>7463</v>
      </c>
      <c r="D2213" s="23">
        <v>-29200</v>
      </c>
      <c r="E2213" s="22" t="s">
        <v>57</v>
      </c>
      <c r="F2213" s="24">
        <v>44425</v>
      </c>
      <c r="G2213" s="22" t="s">
        <v>2336</v>
      </c>
      <c r="H2213" s="22" t="s">
        <v>483</v>
      </c>
      <c r="I2213" s="22" t="s">
        <v>2355</v>
      </c>
      <c r="J2213" s="22" t="s">
        <v>4552</v>
      </c>
      <c r="K2213" s="22" t="s">
        <v>61</v>
      </c>
      <c r="L2213" s="22"/>
      <c r="M2213" s="22"/>
      <c r="N2213" s="22"/>
    </row>
    <row r="2214" spans="1:14" x14ac:dyDescent="0.25">
      <c r="A2214" s="22" t="s">
        <v>2340</v>
      </c>
      <c r="B2214" s="22" t="s">
        <v>39</v>
      </c>
      <c r="C2214" s="22" t="s">
        <v>7463</v>
      </c>
      <c r="D2214" s="23">
        <v>-29200</v>
      </c>
      <c r="E2214" s="22" t="s">
        <v>57</v>
      </c>
      <c r="F2214" s="24">
        <v>44431</v>
      </c>
      <c r="G2214" s="22" t="s">
        <v>2336</v>
      </c>
      <c r="H2214" s="22" t="s">
        <v>483</v>
      </c>
      <c r="I2214" s="22" t="s">
        <v>2339</v>
      </c>
      <c r="J2214" s="22" t="s">
        <v>4552</v>
      </c>
      <c r="K2214" s="22" t="s">
        <v>61</v>
      </c>
      <c r="L2214" s="22"/>
      <c r="M2214" s="22"/>
      <c r="N2214" s="22"/>
    </row>
    <row r="2215" spans="1:14" x14ac:dyDescent="0.25">
      <c r="A2215" s="22" t="s">
        <v>2338</v>
      </c>
      <c r="B2215" s="22" t="s">
        <v>39</v>
      </c>
      <c r="C2215" s="22" t="s">
        <v>7463</v>
      </c>
      <c r="D2215" s="23">
        <v>-29200</v>
      </c>
      <c r="E2215" s="22" t="s">
        <v>57</v>
      </c>
      <c r="F2215" s="24">
        <v>44435</v>
      </c>
      <c r="G2215" s="22" t="s">
        <v>2336</v>
      </c>
      <c r="H2215" s="22" t="s">
        <v>559</v>
      </c>
      <c r="I2215" s="22" t="s">
        <v>2337</v>
      </c>
      <c r="J2215" s="22" t="s">
        <v>4552</v>
      </c>
      <c r="K2215" s="22" t="s">
        <v>61</v>
      </c>
      <c r="L2215" s="22"/>
      <c r="M2215" s="22"/>
      <c r="N2215" s="22"/>
    </row>
    <row r="2216" spans="1:14" x14ac:dyDescent="0.25">
      <c r="A2216" s="22" t="s">
        <v>2335</v>
      </c>
      <c r="B2216" s="22" t="s">
        <v>39</v>
      </c>
      <c r="C2216" s="22" t="s">
        <v>40</v>
      </c>
      <c r="D2216" s="23">
        <v>2320387</v>
      </c>
      <c r="E2216" s="22" t="s">
        <v>42</v>
      </c>
      <c r="F2216" s="24">
        <v>44508</v>
      </c>
      <c r="G2216" s="22" t="s">
        <v>2336</v>
      </c>
      <c r="H2216" s="22" t="s">
        <v>520</v>
      </c>
      <c r="I2216" s="22" t="s">
        <v>2334</v>
      </c>
      <c r="J2216" s="22" t="s">
        <v>4466</v>
      </c>
      <c r="K2216" s="22" t="s">
        <v>292</v>
      </c>
      <c r="L2216" s="22"/>
      <c r="M2216" s="22"/>
      <c r="N2216" s="22"/>
    </row>
    <row r="2217" spans="1:14" x14ac:dyDescent="0.25">
      <c r="A2217" s="22" t="s">
        <v>2328</v>
      </c>
      <c r="B2217" s="22" t="s">
        <v>39</v>
      </c>
      <c r="C2217" s="22" t="s">
        <v>7467</v>
      </c>
      <c r="D2217" s="23">
        <v>-16700</v>
      </c>
      <c r="E2217" s="22" t="s">
        <v>57</v>
      </c>
      <c r="F2217" s="24">
        <v>44441</v>
      </c>
      <c r="G2217" s="22" t="s">
        <v>744</v>
      </c>
      <c r="H2217" s="22" t="s">
        <v>2329</v>
      </c>
      <c r="I2217" s="22" t="s">
        <v>2327</v>
      </c>
      <c r="J2217" s="22" t="s">
        <v>4552</v>
      </c>
      <c r="K2217" s="22" t="s">
        <v>61</v>
      </c>
      <c r="L2217" s="22"/>
      <c r="M2217" s="22"/>
      <c r="N2217" s="22"/>
    </row>
    <row r="2218" spans="1:14" x14ac:dyDescent="0.25">
      <c r="A2218" s="22" t="s">
        <v>2331</v>
      </c>
      <c r="B2218" s="22" t="s">
        <v>39</v>
      </c>
      <c r="C2218" s="22" t="s">
        <v>7467</v>
      </c>
      <c r="D2218" s="23">
        <v>-8300</v>
      </c>
      <c r="E2218" s="22" t="s">
        <v>57</v>
      </c>
      <c r="F2218" s="24">
        <v>44447</v>
      </c>
      <c r="G2218" s="22" t="s">
        <v>744</v>
      </c>
      <c r="H2218" s="22" t="s">
        <v>802</v>
      </c>
      <c r="I2218" s="22" t="s">
        <v>2330</v>
      </c>
      <c r="J2218" s="22" t="s">
        <v>4552</v>
      </c>
      <c r="K2218" s="22" t="s">
        <v>61</v>
      </c>
      <c r="L2218" s="22"/>
      <c r="M2218" s="22"/>
      <c r="N2218" s="22"/>
    </row>
    <row r="2219" spans="1:14" x14ac:dyDescent="0.25">
      <c r="A2219" s="22" t="s">
        <v>2333</v>
      </c>
      <c r="B2219" s="22" t="s">
        <v>39</v>
      </c>
      <c r="C2219" s="22" t="s">
        <v>7467</v>
      </c>
      <c r="D2219" s="23">
        <v>-8300</v>
      </c>
      <c r="E2219" s="22" t="s">
        <v>57</v>
      </c>
      <c r="F2219" s="24">
        <v>44447</v>
      </c>
      <c r="G2219" s="22" t="s">
        <v>744</v>
      </c>
      <c r="H2219" s="22" t="s">
        <v>478</v>
      </c>
      <c r="I2219" s="22" t="s">
        <v>2332</v>
      </c>
      <c r="J2219" s="22" t="s">
        <v>4552</v>
      </c>
      <c r="K2219" s="22" t="s">
        <v>61</v>
      </c>
      <c r="L2219" s="22"/>
      <c r="M2219" s="22"/>
      <c r="N2219" s="22"/>
    </row>
    <row r="2220" spans="1:14" x14ac:dyDescent="0.25">
      <c r="A2220" s="22" t="s">
        <v>2342</v>
      </c>
      <c r="B2220" s="22" t="s">
        <v>39</v>
      </c>
      <c r="C2220" s="22" t="s">
        <v>7467</v>
      </c>
      <c r="D2220" s="23">
        <v>-29200</v>
      </c>
      <c r="E2220" s="22" t="s">
        <v>57</v>
      </c>
      <c r="F2220" s="24">
        <v>44453</v>
      </c>
      <c r="G2220" s="22" t="s">
        <v>744</v>
      </c>
      <c r="H2220" s="22" t="s">
        <v>550</v>
      </c>
      <c r="I2220" s="22" t="s">
        <v>2341</v>
      </c>
      <c r="J2220" s="22" t="s">
        <v>4552</v>
      </c>
      <c r="K2220" s="22" t="s">
        <v>61</v>
      </c>
      <c r="L2220" s="22"/>
      <c r="M2220" s="22"/>
      <c r="N2220" s="22"/>
    </row>
    <row r="2221" spans="1:14" x14ac:dyDescent="0.25">
      <c r="A2221" s="22" t="s">
        <v>2344</v>
      </c>
      <c r="B2221" s="22" t="s">
        <v>39</v>
      </c>
      <c r="C2221" s="22" t="s">
        <v>7467</v>
      </c>
      <c r="D2221" s="23">
        <v>-18700</v>
      </c>
      <c r="E2221" s="22" t="s">
        <v>57</v>
      </c>
      <c r="F2221" s="24">
        <v>44455</v>
      </c>
      <c r="G2221" s="22" t="s">
        <v>744</v>
      </c>
      <c r="H2221" s="22" t="s">
        <v>802</v>
      </c>
      <c r="I2221" s="22" t="s">
        <v>2343</v>
      </c>
      <c r="J2221" s="22" t="s">
        <v>4552</v>
      </c>
      <c r="K2221" s="22" t="s">
        <v>61</v>
      </c>
      <c r="L2221" s="22"/>
      <c r="M2221" s="22"/>
      <c r="N2221" s="22"/>
    </row>
    <row r="2222" spans="1:14" x14ac:dyDescent="0.25">
      <c r="A2222" s="22" t="s">
        <v>2346</v>
      </c>
      <c r="B2222" s="22" t="s">
        <v>39</v>
      </c>
      <c r="C2222" s="22" t="s">
        <v>7467</v>
      </c>
      <c r="D2222" s="23">
        <v>-18700</v>
      </c>
      <c r="E2222" s="22" t="s">
        <v>57</v>
      </c>
      <c r="F2222" s="24">
        <v>44455</v>
      </c>
      <c r="G2222" s="22" t="s">
        <v>744</v>
      </c>
      <c r="H2222" s="22" t="s">
        <v>478</v>
      </c>
      <c r="I2222" s="22" t="s">
        <v>2345</v>
      </c>
      <c r="J2222" s="22" t="s">
        <v>4552</v>
      </c>
      <c r="K2222" s="22" t="s">
        <v>61</v>
      </c>
      <c r="L2222" s="22"/>
      <c r="M2222" s="22"/>
      <c r="N2222" s="22"/>
    </row>
    <row r="2223" spans="1:14" x14ac:dyDescent="0.25">
      <c r="A2223" s="22" t="s">
        <v>2348</v>
      </c>
      <c r="B2223" s="22" t="s">
        <v>39</v>
      </c>
      <c r="C2223" s="22" t="s">
        <v>7467</v>
      </c>
      <c r="D2223" s="23">
        <v>-34900</v>
      </c>
      <c r="E2223" s="22" t="s">
        <v>57</v>
      </c>
      <c r="F2223" s="24">
        <v>44462</v>
      </c>
      <c r="G2223" s="22" t="s">
        <v>744</v>
      </c>
      <c r="H2223" s="22" t="s">
        <v>2349</v>
      </c>
      <c r="I2223" s="22" t="s">
        <v>2347</v>
      </c>
      <c r="J2223" s="22" t="s">
        <v>4552</v>
      </c>
      <c r="K2223" s="22" t="s">
        <v>61</v>
      </c>
      <c r="L2223" s="22"/>
      <c r="M2223" s="22"/>
      <c r="N2223" s="22"/>
    </row>
    <row r="2224" spans="1:14" x14ac:dyDescent="0.25">
      <c r="A2224" s="22" t="s">
        <v>2351</v>
      </c>
      <c r="B2224" s="22" t="s">
        <v>39</v>
      </c>
      <c r="C2224" s="22" t="s">
        <v>62</v>
      </c>
      <c r="D2224" s="23">
        <v>-772148</v>
      </c>
      <c r="E2224" s="22" t="s">
        <v>57</v>
      </c>
      <c r="F2224" s="24">
        <v>44461</v>
      </c>
      <c r="G2224" s="22" t="s">
        <v>744</v>
      </c>
      <c r="H2224" s="22" t="s">
        <v>2352</v>
      </c>
      <c r="I2224" s="22" t="s">
        <v>2350</v>
      </c>
      <c r="J2224" s="22" t="s">
        <v>4407</v>
      </c>
      <c r="K2224" s="22" t="s">
        <v>66</v>
      </c>
      <c r="L2224" s="22"/>
      <c r="M2224" s="22"/>
      <c r="N2224" s="22"/>
    </row>
    <row r="2225" spans="1:14" x14ac:dyDescent="0.25">
      <c r="A2225" s="22" t="s">
        <v>745</v>
      </c>
      <c r="B2225" s="22" t="s">
        <v>39</v>
      </c>
      <c r="C2225" s="22" t="s">
        <v>62</v>
      </c>
      <c r="D2225" s="23">
        <v>-3248523</v>
      </c>
      <c r="E2225" s="22" t="s">
        <v>57</v>
      </c>
      <c r="F2225" s="24">
        <v>44459</v>
      </c>
      <c r="G2225" s="22" t="s">
        <v>744</v>
      </c>
      <c r="H2225" s="22" t="s">
        <v>2354</v>
      </c>
      <c r="I2225" s="22" t="s">
        <v>2353</v>
      </c>
      <c r="J2225" s="22" t="s">
        <v>4407</v>
      </c>
      <c r="K2225" s="22" t="s">
        <v>66</v>
      </c>
      <c r="L2225" s="22"/>
      <c r="M2225" s="22"/>
      <c r="N2225" s="22"/>
    </row>
    <row r="2226" spans="1:14" x14ac:dyDescent="0.25">
      <c r="A2226" s="22" t="s">
        <v>2420</v>
      </c>
      <c r="B2226" s="22" t="s">
        <v>39</v>
      </c>
      <c r="C2226" s="22" t="s">
        <v>62</v>
      </c>
      <c r="D2226" s="23">
        <v>-1171667</v>
      </c>
      <c r="E2226" s="22" t="s">
        <v>57</v>
      </c>
      <c r="F2226" s="24">
        <v>44461</v>
      </c>
      <c r="G2226" s="22" t="s">
        <v>744</v>
      </c>
      <c r="H2226" s="22" t="s">
        <v>2176</v>
      </c>
      <c r="I2226" s="22" t="s">
        <v>2419</v>
      </c>
      <c r="J2226" s="22" t="s">
        <v>4407</v>
      </c>
      <c r="K2226" s="22" t="s">
        <v>66</v>
      </c>
      <c r="L2226" s="22"/>
      <c r="M2226" s="22"/>
      <c r="N2226" s="22"/>
    </row>
    <row r="2227" spans="1:14" x14ac:dyDescent="0.25">
      <c r="A2227" s="22" t="s">
        <v>2368</v>
      </c>
      <c r="B2227" s="22" t="s">
        <v>39</v>
      </c>
      <c r="C2227" s="22" t="s">
        <v>62</v>
      </c>
      <c r="D2227" s="23">
        <v>-44668</v>
      </c>
      <c r="E2227" s="22" t="s">
        <v>45</v>
      </c>
      <c r="F2227" s="24">
        <v>44451</v>
      </c>
      <c r="G2227" s="22" t="s">
        <v>744</v>
      </c>
      <c r="H2227" s="22" t="s">
        <v>2418</v>
      </c>
      <c r="I2227" s="22" t="s">
        <v>2336</v>
      </c>
      <c r="J2227" s="22" t="s">
        <v>4407</v>
      </c>
      <c r="K2227" s="22" t="s">
        <v>66</v>
      </c>
      <c r="L2227" s="22"/>
      <c r="M2227" s="22"/>
      <c r="N2227" s="22"/>
    </row>
    <row r="2228" spans="1:14" x14ac:dyDescent="0.25">
      <c r="A2228" s="22" t="s">
        <v>2417</v>
      </c>
      <c r="B2228" s="22" t="s">
        <v>39</v>
      </c>
      <c r="C2228" s="22" t="s">
        <v>7462</v>
      </c>
      <c r="D2228" s="23">
        <v>-22300</v>
      </c>
      <c r="E2228" s="22" t="s">
        <v>57</v>
      </c>
      <c r="F2228" s="24">
        <v>44442</v>
      </c>
      <c r="G2228" s="22" t="s">
        <v>744</v>
      </c>
      <c r="H2228" s="22" t="s">
        <v>2415</v>
      </c>
      <c r="I2228" s="22" t="s">
        <v>2416</v>
      </c>
      <c r="J2228" s="22" t="s">
        <v>4407</v>
      </c>
      <c r="K2228" s="22" t="s">
        <v>66</v>
      </c>
      <c r="L2228" s="22"/>
      <c r="M2228" s="22"/>
      <c r="N2228" s="22"/>
    </row>
    <row r="2229" spans="1:14" x14ac:dyDescent="0.25">
      <c r="A2229" s="22" t="s">
        <v>2414</v>
      </c>
      <c r="B2229" s="22" t="s">
        <v>39</v>
      </c>
      <c r="C2229" s="22" t="s">
        <v>7462</v>
      </c>
      <c r="D2229" s="23">
        <v>-47200</v>
      </c>
      <c r="E2229" s="22" t="s">
        <v>57</v>
      </c>
      <c r="F2229" s="24">
        <v>44469</v>
      </c>
      <c r="G2229" s="22" t="s">
        <v>744</v>
      </c>
      <c r="H2229" s="22" t="s">
        <v>2415</v>
      </c>
      <c r="I2229" s="22" t="s">
        <v>2413</v>
      </c>
      <c r="J2229" s="22" t="s">
        <v>4407</v>
      </c>
      <c r="K2229" s="22" t="s">
        <v>66</v>
      </c>
      <c r="L2229" s="22"/>
      <c r="M2229" s="22"/>
      <c r="N2229" s="22"/>
    </row>
    <row r="2230" spans="1:14" x14ac:dyDescent="0.25">
      <c r="A2230" s="22" t="s">
        <v>2412</v>
      </c>
      <c r="B2230" s="22" t="s">
        <v>39</v>
      </c>
      <c r="C2230" s="22" t="s">
        <v>7462</v>
      </c>
      <c r="D2230" s="23">
        <v>-220633</v>
      </c>
      <c r="E2230" s="22" t="s">
        <v>45</v>
      </c>
      <c r="F2230" s="24">
        <v>44452</v>
      </c>
      <c r="G2230" s="22" t="s">
        <v>744</v>
      </c>
      <c r="H2230" s="22" t="s">
        <v>1860</v>
      </c>
      <c r="I2230" s="22" t="s">
        <v>2411</v>
      </c>
      <c r="J2230" s="22" t="s">
        <v>4407</v>
      </c>
      <c r="K2230" s="22" t="s">
        <v>66</v>
      </c>
      <c r="L2230" s="22"/>
      <c r="M2230" s="22"/>
      <c r="N2230" s="22"/>
    </row>
    <row r="2231" spans="1:14" x14ac:dyDescent="0.25">
      <c r="A2231" s="22" t="s">
        <v>745</v>
      </c>
      <c r="B2231" s="22" t="s">
        <v>39</v>
      </c>
      <c r="C2231" s="22" t="s">
        <v>7468</v>
      </c>
      <c r="D2231" s="23">
        <v>368500</v>
      </c>
      <c r="E2231" s="22" t="s">
        <v>45</v>
      </c>
      <c r="F2231" s="24">
        <v>44459</v>
      </c>
      <c r="G2231" s="22" t="s">
        <v>744</v>
      </c>
      <c r="H2231" s="22"/>
      <c r="I2231" s="22" t="s">
        <v>744</v>
      </c>
      <c r="J2231" s="22" t="s">
        <v>4552</v>
      </c>
      <c r="K2231" s="22" t="s">
        <v>66</v>
      </c>
      <c r="L2231" s="22"/>
      <c r="M2231" s="22"/>
      <c r="N2231" s="22"/>
    </row>
    <row r="2232" spans="1:14" x14ac:dyDescent="0.25">
      <c r="A2232" s="22" t="s">
        <v>745</v>
      </c>
      <c r="B2232" s="22" t="s">
        <v>39</v>
      </c>
      <c r="C2232" s="22" t="s">
        <v>7468</v>
      </c>
      <c r="D2232" s="23">
        <v>-6032217</v>
      </c>
      <c r="E2232" s="22" t="s">
        <v>45</v>
      </c>
      <c r="F2232" s="24">
        <v>44459</v>
      </c>
      <c r="G2232" s="22" t="s">
        <v>744</v>
      </c>
      <c r="H2232" s="22"/>
      <c r="I2232" s="22" t="s">
        <v>744</v>
      </c>
      <c r="J2232" s="22" t="s">
        <v>4401</v>
      </c>
      <c r="K2232" s="22" t="s">
        <v>66</v>
      </c>
      <c r="L2232" s="22"/>
      <c r="M2232" s="22"/>
      <c r="N2232" s="22"/>
    </row>
    <row r="2233" spans="1:14" x14ac:dyDescent="0.25">
      <c r="A2233" s="22" t="s">
        <v>745</v>
      </c>
      <c r="B2233" s="22" t="s">
        <v>39</v>
      </c>
      <c r="C2233" s="22" t="s">
        <v>7468</v>
      </c>
      <c r="D2233" s="23">
        <v>5679239</v>
      </c>
      <c r="E2233" s="22" t="s">
        <v>45</v>
      </c>
      <c r="F2233" s="24">
        <v>44459</v>
      </c>
      <c r="G2233" s="22" t="s">
        <v>744</v>
      </c>
      <c r="H2233" s="22"/>
      <c r="I2233" s="22" t="s">
        <v>744</v>
      </c>
      <c r="J2233" s="22" t="s">
        <v>4407</v>
      </c>
      <c r="K2233" s="22" t="s">
        <v>66</v>
      </c>
      <c r="L2233" s="22"/>
      <c r="M2233" s="22"/>
      <c r="N2233" s="22"/>
    </row>
    <row r="2234" spans="1:14" x14ac:dyDescent="0.25">
      <c r="A2234" s="22" t="s">
        <v>2410</v>
      </c>
      <c r="B2234" s="22" t="s">
        <v>39</v>
      </c>
      <c r="C2234" s="22" t="s">
        <v>7466</v>
      </c>
      <c r="D2234" s="23">
        <v>-119400</v>
      </c>
      <c r="E2234" s="22" t="s">
        <v>57</v>
      </c>
      <c r="F2234" s="24">
        <v>44419</v>
      </c>
      <c r="G2234" s="22" t="s">
        <v>744</v>
      </c>
      <c r="H2234" s="22" t="s">
        <v>919</v>
      </c>
      <c r="I2234" s="22" t="s">
        <v>2409</v>
      </c>
      <c r="J2234" s="22" t="s">
        <v>4407</v>
      </c>
      <c r="K2234" s="22" t="s">
        <v>66</v>
      </c>
      <c r="L2234" s="22"/>
      <c r="M2234" s="22"/>
      <c r="N2234" s="22"/>
    </row>
    <row r="2235" spans="1:14" x14ac:dyDescent="0.25">
      <c r="A2235" s="22" t="s">
        <v>2408</v>
      </c>
      <c r="B2235" s="22" t="s">
        <v>39</v>
      </c>
      <c r="C2235" s="22" t="s">
        <v>7466</v>
      </c>
      <c r="D2235" s="23">
        <v>-32700</v>
      </c>
      <c r="E2235" s="22" t="s">
        <v>57</v>
      </c>
      <c r="F2235" s="24">
        <v>44431</v>
      </c>
      <c r="G2235" s="22" t="s">
        <v>744</v>
      </c>
      <c r="H2235" s="22" t="s">
        <v>919</v>
      </c>
      <c r="I2235" s="22" t="s">
        <v>2407</v>
      </c>
      <c r="J2235" s="22" t="s">
        <v>4407</v>
      </c>
      <c r="K2235" s="22" t="s">
        <v>66</v>
      </c>
      <c r="L2235" s="22"/>
      <c r="M2235" s="22"/>
      <c r="N2235" s="22"/>
    </row>
    <row r="2236" spans="1:14" x14ac:dyDescent="0.25">
      <c r="A2236" s="22" t="s">
        <v>2405</v>
      </c>
      <c r="B2236" s="22" t="s">
        <v>39</v>
      </c>
      <c r="C2236" s="22" t="s">
        <v>7463</v>
      </c>
      <c r="D2236" s="23">
        <v>-28900</v>
      </c>
      <c r="E2236" s="22" t="s">
        <v>57</v>
      </c>
      <c r="F2236" s="24">
        <v>44413</v>
      </c>
      <c r="G2236" s="22" t="s">
        <v>744</v>
      </c>
      <c r="H2236" s="22" t="s">
        <v>2406</v>
      </c>
      <c r="I2236" s="22" t="s">
        <v>2404</v>
      </c>
      <c r="J2236" s="22" t="s">
        <v>4552</v>
      </c>
      <c r="K2236" s="22" t="s">
        <v>61</v>
      </c>
      <c r="L2236" s="22"/>
      <c r="M2236" s="22"/>
      <c r="N2236" s="22"/>
    </row>
    <row r="2237" spans="1:14" x14ac:dyDescent="0.25">
      <c r="A2237" s="22" t="s">
        <v>2402</v>
      </c>
      <c r="B2237" s="22" t="s">
        <v>39</v>
      </c>
      <c r="C2237" s="22" t="s">
        <v>7463</v>
      </c>
      <c r="D2237" s="23">
        <v>-29200</v>
      </c>
      <c r="E2237" s="22" t="s">
        <v>57</v>
      </c>
      <c r="F2237" s="24">
        <v>44414</v>
      </c>
      <c r="G2237" s="22" t="s">
        <v>744</v>
      </c>
      <c r="H2237" s="22" t="s">
        <v>2403</v>
      </c>
      <c r="I2237" s="22" t="s">
        <v>2401</v>
      </c>
      <c r="J2237" s="22" t="s">
        <v>4552</v>
      </c>
      <c r="K2237" s="22" t="s">
        <v>61</v>
      </c>
      <c r="L2237" s="22"/>
      <c r="M2237" s="22"/>
      <c r="N2237" s="22"/>
    </row>
    <row r="2238" spans="1:14" x14ac:dyDescent="0.25">
      <c r="A2238" s="22" t="s">
        <v>2399</v>
      </c>
      <c r="B2238" s="22" t="s">
        <v>39</v>
      </c>
      <c r="C2238" s="22" t="s">
        <v>7463</v>
      </c>
      <c r="D2238" s="23">
        <v>-29200</v>
      </c>
      <c r="E2238" s="22" t="s">
        <v>57</v>
      </c>
      <c r="F2238" s="24">
        <v>44419</v>
      </c>
      <c r="G2238" s="22" t="s">
        <v>744</v>
      </c>
      <c r="H2238" s="22" t="s">
        <v>2400</v>
      </c>
      <c r="I2238" s="22" t="s">
        <v>2398</v>
      </c>
      <c r="J2238" s="22" t="s">
        <v>4552</v>
      </c>
      <c r="K2238" s="22" t="s">
        <v>61</v>
      </c>
      <c r="L2238" s="22"/>
      <c r="M2238" s="22"/>
      <c r="N2238" s="22"/>
    </row>
    <row r="2239" spans="1:14" x14ac:dyDescent="0.25">
      <c r="A2239" s="22" t="s">
        <v>2396</v>
      </c>
      <c r="B2239" s="22" t="s">
        <v>39</v>
      </c>
      <c r="C2239" s="22" t="s">
        <v>7463</v>
      </c>
      <c r="D2239" s="23">
        <v>-29200</v>
      </c>
      <c r="E2239" s="22" t="s">
        <v>57</v>
      </c>
      <c r="F2239" s="24">
        <v>44419</v>
      </c>
      <c r="G2239" s="22" t="s">
        <v>744</v>
      </c>
      <c r="H2239" s="22" t="s">
        <v>2397</v>
      </c>
      <c r="I2239" s="22" t="s">
        <v>2395</v>
      </c>
      <c r="J2239" s="22" t="s">
        <v>4552</v>
      </c>
      <c r="K2239" s="22" t="s">
        <v>61</v>
      </c>
      <c r="L2239" s="22"/>
      <c r="M2239" s="22"/>
      <c r="N2239" s="22"/>
    </row>
    <row r="2240" spans="1:14" x14ac:dyDescent="0.25">
      <c r="A2240" s="22" t="s">
        <v>2394</v>
      </c>
      <c r="B2240" s="22" t="s">
        <v>39</v>
      </c>
      <c r="C2240" s="22" t="s">
        <v>7463</v>
      </c>
      <c r="D2240" s="23">
        <v>-43700</v>
      </c>
      <c r="E2240" s="22" t="s">
        <v>57</v>
      </c>
      <c r="F2240" s="24">
        <v>44426</v>
      </c>
      <c r="G2240" s="22" t="s">
        <v>744</v>
      </c>
      <c r="H2240" s="22" t="s">
        <v>280</v>
      </c>
      <c r="I2240" s="22" t="s">
        <v>2393</v>
      </c>
      <c r="J2240" s="22" t="s">
        <v>4552</v>
      </c>
      <c r="K2240" s="22" t="s">
        <v>61</v>
      </c>
      <c r="L2240" s="22"/>
      <c r="M2240" s="22"/>
      <c r="N2240" s="22"/>
    </row>
    <row r="2241" spans="1:14" x14ac:dyDescent="0.25">
      <c r="A2241" s="22" t="s">
        <v>2392</v>
      </c>
      <c r="B2241" s="22" t="s">
        <v>39</v>
      </c>
      <c r="C2241" s="22" t="s">
        <v>7463</v>
      </c>
      <c r="D2241" s="23">
        <v>-32700</v>
      </c>
      <c r="E2241" s="22" t="s">
        <v>57</v>
      </c>
      <c r="F2241" s="24">
        <v>44433</v>
      </c>
      <c r="G2241" s="22" t="s">
        <v>744</v>
      </c>
      <c r="H2241" s="22" t="s">
        <v>280</v>
      </c>
      <c r="I2241" s="22" t="s">
        <v>2391</v>
      </c>
      <c r="J2241" s="22" t="s">
        <v>4552</v>
      </c>
      <c r="K2241" s="22" t="s">
        <v>61</v>
      </c>
      <c r="L2241" s="22"/>
      <c r="M2241" s="22"/>
      <c r="N2241" s="22"/>
    </row>
    <row r="2242" spans="1:14" x14ac:dyDescent="0.25">
      <c r="A2242" s="22" t="s">
        <v>2390</v>
      </c>
      <c r="B2242" s="22" t="s">
        <v>39</v>
      </c>
      <c r="C2242" s="22" t="s">
        <v>7463</v>
      </c>
      <c r="D2242" s="23">
        <v>-9700</v>
      </c>
      <c r="E2242" s="22" t="s">
        <v>57</v>
      </c>
      <c r="F2242" s="24">
        <v>44438</v>
      </c>
      <c r="G2242" s="22" t="s">
        <v>744</v>
      </c>
      <c r="H2242" s="22" t="s">
        <v>280</v>
      </c>
      <c r="I2242" s="22" t="s">
        <v>2389</v>
      </c>
      <c r="J2242" s="22" t="s">
        <v>4552</v>
      </c>
      <c r="K2242" s="22" t="s">
        <v>61</v>
      </c>
      <c r="L2242" s="22"/>
      <c r="M2242" s="22"/>
      <c r="N2242" s="22"/>
    </row>
    <row r="2243" spans="1:14" x14ac:dyDescent="0.25">
      <c r="A2243" s="22" t="s">
        <v>2388</v>
      </c>
      <c r="B2243" s="22" t="s">
        <v>39</v>
      </c>
      <c r="C2243" s="22" t="s">
        <v>7463</v>
      </c>
      <c r="D2243" s="23">
        <v>-20200</v>
      </c>
      <c r="E2243" s="22" t="s">
        <v>57</v>
      </c>
      <c r="F2243" s="24">
        <v>44442</v>
      </c>
      <c r="G2243" s="22" t="s">
        <v>744</v>
      </c>
      <c r="H2243" s="22" t="s">
        <v>280</v>
      </c>
      <c r="I2243" s="22" t="s">
        <v>2387</v>
      </c>
      <c r="J2243" s="22" t="s">
        <v>4552</v>
      </c>
      <c r="K2243" s="22" t="s">
        <v>61</v>
      </c>
      <c r="L2243" s="22"/>
      <c r="M2243" s="22"/>
      <c r="N2243" s="22"/>
    </row>
    <row r="2244" spans="1:14" x14ac:dyDescent="0.25">
      <c r="A2244" s="22" t="s">
        <v>2386</v>
      </c>
      <c r="B2244" s="22" t="s">
        <v>39</v>
      </c>
      <c r="C2244" s="22" t="s">
        <v>7463</v>
      </c>
      <c r="D2244" s="23">
        <v>-10900</v>
      </c>
      <c r="E2244" s="22" t="s">
        <v>57</v>
      </c>
      <c r="F2244" s="24">
        <v>44442</v>
      </c>
      <c r="G2244" s="22" t="s">
        <v>744</v>
      </c>
      <c r="H2244" s="22" t="s">
        <v>280</v>
      </c>
      <c r="I2244" s="22" t="s">
        <v>2385</v>
      </c>
      <c r="J2244" s="22" t="s">
        <v>4552</v>
      </c>
      <c r="K2244" s="22" t="s">
        <v>61</v>
      </c>
      <c r="L2244" s="22"/>
      <c r="M2244" s="22"/>
      <c r="N2244" s="22"/>
    </row>
    <row r="2245" spans="1:14" x14ac:dyDescent="0.25">
      <c r="A2245" s="22" t="s">
        <v>2384</v>
      </c>
      <c r="B2245" s="22" t="s">
        <v>39</v>
      </c>
      <c r="C2245" s="22" t="s">
        <v>40</v>
      </c>
      <c r="D2245" s="23">
        <v>6032217</v>
      </c>
      <c r="E2245" s="22" t="s">
        <v>42</v>
      </c>
      <c r="F2245" s="24">
        <v>44508</v>
      </c>
      <c r="G2245" s="22" t="s">
        <v>744</v>
      </c>
      <c r="H2245" s="22" t="s">
        <v>49</v>
      </c>
      <c r="I2245" s="22" t="s">
        <v>2383</v>
      </c>
      <c r="J2245" s="22" t="s">
        <v>4401</v>
      </c>
      <c r="K2245" s="22" t="s">
        <v>292</v>
      </c>
      <c r="L2245" s="22"/>
      <c r="M2245" s="22"/>
      <c r="N2245" s="22"/>
    </row>
    <row r="2246" spans="1:14" x14ac:dyDescent="0.25">
      <c r="A2246" s="22" t="s">
        <v>595</v>
      </c>
      <c r="B2246" s="22" t="s">
        <v>39</v>
      </c>
      <c r="C2246" s="22" t="s">
        <v>7462</v>
      </c>
      <c r="D2246" s="23">
        <v>-32700</v>
      </c>
      <c r="E2246" s="22" t="s">
        <v>57</v>
      </c>
      <c r="F2246" s="24">
        <v>44467</v>
      </c>
      <c r="G2246" s="22" t="s">
        <v>594</v>
      </c>
      <c r="H2246" s="22" t="s">
        <v>608</v>
      </c>
      <c r="I2246" s="22" t="s">
        <v>7469</v>
      </c>
      <c r="J2246" s="22" t="s">
        <v>4407</v>
      </c>
      <c r="K2246" s="22" t="s">
        <v>66</v>
      </c>
      <c r="L2246" s="22"/>
      <c r="M2246" s="22"/>
      <c r="N2246" s="22"/>
    </row>
    <row r="2247" spans="1:14" x14ac:dyDescent="0.25">
      <c r="A2247" s="22" t="s">
        <v>595</v>
      </c>
      <c r="B2247" s="22" t="s">
        <v>39</v>
      </c>
      <c r="C2247" s="22" t="s">
        <v>7465</v>
      </c>
      <c r="D2247" s="23">
        <v>-21543</v>
      </c>
      <c r="E2247" s="22" t="s">
        <v>45</v>
      </c>
      <c r="F2247" s="24">
        <v>44467</v>
      </c>
      <c r="G2247" s="22" t="s">
        <v>594</v>
      </c>
      <c r="H2247" s="22"/>
      <c r="I2247" s="22" t="s">
        <v>594</v>
      </c>
      <c r="J2247" s="22" t="s">
        <v>4401</v>
      </c>
      <c r="K2247" s="22" t="s">
        <v>66</v>
      </c>
      <c r="L2247" s="22"/>
      <c r="M2247" s="22"/>
      <c r="N2247" s="22"/>
    </row>
    <row r="2248" spans="1:14" x14ac:dyDescent="0.25">
      <c r="A2248" s="22" t="s">
        <v>595</v>
      </c>
      <c r="B2248" s="22" t="s">
        <v>39</v>
      </c>
      <c r="C2248" s="22" t="s">
        <v>7465</v>
      </c>
      <c r="D2248" s="23">
        <v>32700</v>
      </c>
      <c r="E2248" s="22" t="s">
        <v>45</v>
      </c>
      <c r="F2248" s="24">
        <v>44467</v>
      </c>
      <c r="G2248" s="22" t="s">
        <v>594</v>
      </c>
      <c r="H2248" s="22"/>
      <c r="I2248" s="22" t="s">
        <v>594</v>
      </c>
      <c r="J2248" s="22" t="s">
        <v>4407</v>
      </c>
      <c r="K2248" s="22" t="s">
        <v>66</v>
      </c>
      <c r="L2248" s="22"/>
      <c r="M2248" s="22"/>
      <c r="N2248" s="22"/>
    </row>
    <row r="2249" spans="1:14" x14ac:dyDescent="0.25">
      <c r="A2249" s="22" t="s">
        <v>2913</v>
      </c>
      <c r="B2249" s="22" t="s">
        <v>39</v>
      </c>
      <c r="C2249" s="22" t="s">
        <v>3760</v>
      </c>
      <c r="D2249" s="23">
        <v>21543</v>
      </c>
      <c r="E2249" s="22" t="s">
        <v>45</v>
      </c>
      <c r="F2249" s="24">
        <v>44385</v>
      </c>
      <c r="G2249" s="22" t="s">
        <v>594</v>
      </c>
      <c r="H2249" s="22" t="s">
        <v>7470</v>
      </c>
      <c r="I2249" s="22" t="s">
        <v>2914</v>
      </c>
      <c r="J2249" s="22" t="s">
        <v>4401</v>
      </c>
      <c r="K2249" s="22" t="s">
        <v>292</v>
      </c>
      <c r="L2249" s="22"/>
      <c r="M2249" s="22"/>
      <c r="N2249" s="22"/>
    </row>
    <row r="2250" spans="1:14" x14ac:dyDescent="0.25">
      <c r="A2250" s="22" t="s">
        <v>2549</v>
      </c>
      <c r="B2250" s="22" t="s">
        <v>39</v>
      </c>
      <c r="C2250" s="22" t="s">
        <v>7465</v>
      </c>
      <c r="D2250" s="23">
        <v>-78750</v>
      </c>
      <c r="E2250" s="22" t="s">
        <v>45</v>
      </c>
      <c r="F2250" s="24">
        <v>44417</v>
      </c>
      <c r="G2250" s="22" t="s">
        <v>2548</v>
      </c>
      <c r="H2250" s="22"/>
      <c r="I2250" s="22" t="s">
        <v>2548</v>
      </c>
      <c r="J2250" s="22" t="s">
        <v>4401</v>
      </c>
      <c r="K2250" s="22" t="s">
        <v>66</v>
      </c>
      <c r="L2250" s="22"/>
      <c r="M2250" s="22"/>
      <c r="N2250" s="22"/>
    </row>
    <row r="2251" spans="1:14" x14ac:dyDescent="0.25">
      <c r="A2251" s="22" t="s">
        <v>2549</v>
      </c>
      <c r="B2251" s="22" t="s">
        <v>39</v>
      </c>
      <c r="C2251" s="22" t="s">
        <v>7465</v>
      </c>
      <c r="D2251" s="23">
        <v>98100</v>
      </c>
      <c r="E2251" s="22" t="s">
        <v>45</v>
      </c>
      <c r="F2251" s="24">
        <v>44417</v>
      </c>
      <c r="G2251" s="22" t="s">
        <v>2548</v>
      </c>
      <c r="H2251" s="22"/>
      <c r="I2251" s="22" t="s">
        <v>2548</v>
      </c>
      <c r="J2251" s="22" t="s">
        <v>4407</v>
      </c>
      <c r="K2251" s="22" t="s">
        <v>66</v>
      </c>
      <c r="L2251" s="22"/>
      <c r="M2251" s="22"/>
      <c r="N2251" s="22"/>
    </row>
    <row r="2252" spans="1:14" x14ac:dyDescent="0.25">
      <c r="A2252" s="22" t="s">
        <v>2604</v>
      </c>
      <c r="B2252" s="22" t="s">
        <v>39</v>
      </c>
      <c r="C2252" s="22" t="s">
        <v>7466</v>
      </c>
      <c r="D2252" s="23">
        <v>-32700</v>
      </c>
      <c r="E2252" s="22" t="s">
        <v>57</v>
      </c>
      <c r="F2252" s="24">
        <v>44412</v>
      </c>
      <c r="G2252" s="22" t="s">
        <v>2548</v>
      </c>
      <c r="H2252" s="22" t="s">
        <v>2605</v>
      </c>
      <c r="I2252" s="22" t="s">
        <v>2603</v>
      </c>
      <c r="J2252" s="22" t="s">
        <v>4407</v>
      </c>
      <c r="K2252" s="22" t="s">
        <v>66</v>
      </c>
      <c r="L2252" s="22"/>
      <c r="M2252" s="22"/>
      <c r="N2252" s="22"/>
    </row>
    <row r="2253" spans="1:14" x14ac:dyDescent="0.25">
      <c r="A2253" s="22" t="s">
        <v>2602</v>
      </c>
      <c r="B2253" s="22" t="s">
        <v>39</v>
      </c>
      <c r="C2253" s="22" t="s">
        <v>7466</v>
      </c>
      <c r="D2253" s="23">
        <v>-32700</v>
      </c>
      <c r="E2253" s="22" t="s">
        <v>57</v>
      </c>
      <c r="F2253" s="24">
        <v>44417</v>
      </c>
      <c r="G2253" s="22" t="s">
        <v>2548</v>
      </c>
      <c r="H2253" s="22" t="s">
        <v>332</v>
      </c>
      <c r="I2253" s="22" t="s">
        <v>2601</v>
      </c>
      <c r="J2253" s="22" t="s">
        <v>4407</v>
      </c>
      <c r="K2253" s="22" t="s">
        <v>66</v>
      </c>
      <c r="L2253" s="22"/>
      <c r="M2253" s="22"/>
      <c r="N2253" s="22"/>
    </row>
    <row r="2254" spans="1:14" x14ac:dyDescent="0.25">
      <c r="A2254" s="22" t="s">
        <v>2549</v>
      </c>
      <c r="B2254" s="22" t="s">
        <v>39</v>
      </c>
      <c r="C2254" s="22" t="s">
        <v>7466</v>
      </c>
      <c r="D2254" s="23">
        <v>-32700</v>
      </c>
      <c r="E2254" s="22" t="s">
        <v>57</v>
      </c>
      <c r="F2254" s="24">
        <v>44417</v>
      </c>
      <c r="G2254" s="22" t="s">
        <v>2548</v>
      </c>
      <c r="H2254" s="22" t="s">
        <v>332</v>
      </c>
      <c r="I2254" s="22" t="s">
        <v>2600</v>
      </c>
      <c r="J2254" s="22" t="s">
        <v>4407</v>
      </c>
      <c r="K2254" s="22" t="s">
        <v>66</v>
      </c>
      <c r="L2254" s="22"/>
      <c r="M2254" s="22"/>
      <c r="N2254" s="22"/>
    </row>
    <row r="2255" spans="1:14" x14ac:dyDescent="0.25">
      <c r="A2255" s="22" t="s">
        <v>2599</v>
      </c>
      <c r="B2255" s="22" t="s">
        <v>39</v>
      </c>
      <c r="C2255" s="22" t="s">
        <v>3480</v>
      </c>
      <c r="D2255" s="23">
        <v>78750</v>
      </c>
      <c r="E2255" s="22" t="s">
        <v>42</v>
      </c>
      <c r="F2255" s="24">
        <v>44414</v>
      </c>
      <c r="G2255" s="22" t="s">
        <v>2548</v>
      </c>
      <c r="H2255" s="22" t="s">
        <v>1671</v>
      </c>
      <c r="I2255" s="22" t="s">
        <v>2598</v>
      </c>
      <c r="J2255" s="22" t="s">
        <v>4401</v>
      </c>
      <c r="K2255" s="22" t="s">
        <v>292</v>
      </c>
      <c r="L2255" s="22"/>
      <c r="M2255" s="22"/>
      <c r="N2255" s="22"/>
    </row>
    <row r="2256" spans="1:14" x14ac:dyDescent="0.25">
      <c r="A2256" s="22" t="s">
        <v>2597</v>
      </c>
      <c r="B2256" s="22" t="s">
        <v>39</v>
      </c>
      <c r="C2256" s="22" t="s">
        <v>55</v>
      </c>
      <c r="D2256" s="23">
        <v>-53700</v>
      </c>
      <c r="E2256" s="22" t="s">
        <v>57</v>
      </c>
      <c r="F2256" s="24">
        <v>44467</v>
      </c>
      <c r="G2256" s="22" t="s">
        <v>691</v>
      </c>
      <c r="H2256" s="22" t="s">
        <v>695</v>
      </c>
      <c r="I2256" s="22" t="s">
        <v>2596</v>
      </c>
      <c r="J2256" s="22" t="s">
        <v>4552</v>
      </c>
      <c r="K2256" s="22" t="s">
        <v>61</v>
      </c>
      <c r="L2256" s="22"/>
      <c r="M2256" s="22"/>
      <c r="N2256" s="22"/>
    </row>
    <row r="2257" spans="1:14" x14ac:dyDescent="0.25">
      <c r="A2257" s="22" t="s">
        <v>647</v>
      </c>
      <c r="B2257" s="22" t="s">
        <v>39</v>
      </c>
      <c r="C2257" s="22" t="s">
        <v>55</v>
      </c>
      <c r="D2257" s="23">
        <v>-2135888</v>
      </c>
      <c r="E2257" s="22" t="s">
        <v>57</v>
      </c>
      <c r="F2257" s="24">
        <v>44452</v>
      </c>
      <c r="G2257" s="22" t="s">
        <v>691</v>
      </c>
      <c r="H2257" s="22" t="s">
        <v>695</v>
      </c>
      <c r="I2257" s="22" t="s">
        <v>2595</v>
      </c>
      <c r="J2257" s="22" t="s">
        <v>4552</v>
      </c>
      <c r="K2257" s="22" t="s">
        <v>61</v>
      </c>
      <c r="L2257" s="22"/>
      <c r="M2257" s="22"/>
      <c r="N2257" s="22"/>
    </row>
    <row r="2258" spans="1:14" x14ac:dyDescent="0.25">
      <c r="A2258" s="22" t="s">
        <v>647</v>
      </c>
      <c r="B2258" s="22" t="s">
        <v>39</v>
      </c>
      <c r="C2258" s="22" t="s">
        <v>7465</v>
      </c>
      <c r="D2258" s="23">
        <v>2189588</v>
      </c>
      <c r="E2258" s="22" t="s">
        <v>45</v>
      </c>
      <c r="F2258" s="24">
        <v>44452</v>
      </c>
      <c r="G2258" s="22" t="s">
        <v>691</v>
      </c>
      <c r="H2258" s="22"/>
      <c r="I2258" s="22" t="s">
        <v>691</v>
      </c>
      <c r="J2258" s="22" t="s">
        <v>4552</v>
      </c>
      <c r="K2258" s="22" t="s">
        <v>61</v>
      </c>
      <c r="L2258" s="22"/>
      <c r="M2258" s="22"/>
      <c r="N2258" s="22"/>
    </row>
    <row r="2259" spans="1:14" x14ac:dyDescent="0.25">
      <c r="A2259" s="22" t="s">
        <v>647</v>
      </c>
      <c r="B2259" s="22" t="s">
        <v>39</v>
      </c>
      <c r="C2259" s="22" t="s">
        <v>7465</v>
      </c>
      <c r="D2259" s="23">
        <v>-2363519</v>
      </c>
      <c r="E2259" s="22" t="s">
        <v>45</v>
      </c>
      <c r="F2259" s="24">
        <v>44452</v>
      </c>
      <c r="G2259" s="22" t="s">
        <v>691</v>
      </c>
      <c r="H2259" s="22"/>
      <c r="I2259" s="22" t="s">
        <v>691</v>
      </c>
      <c r="J2259" s="22" t="s">
        <v>4401</v>
      </c>
      <c r="K2259" s="22" t="s">
        <v>61</v>
      </c>
      <c r="L2259" s="22"/>
      <c r="M2259" s="22"/>
      <c r="N2259" s="22"/>
    </row>
    <row r="2260" spans="1:14" x14ac:dyDescent="0.25">
      <c r="A2260" s="22" t="s">
        <v>647</v>
      </c>
      <c r="B2260" s="22" t="s">
        <v>39</v>
      </c>
      <c r="C2260" s="22" t="s">
        <v>7465</v>
      </c>
      <c r="D2260" s="23">
        <v>197700</v>
      </c>
      <c r="E2260" s="22" t="s">
        <v>45</v>
      </c>
      <c r="F2260" s="24">
        <v>44452</v>
      </c>
      <c r="G2260" s="22" t="s">
        <v>691</v>
      </c>
      <c r="H2260" s="22"/>
      <c r="I2260" s="22" t="s">
        <v>691</v>
      </c>
      <c r="J2260" s="22" t="s">
        <v>4407</v>
      </c>
      <c r="K2260" s="22" t="s">
        <v>61</v>
      </c>
      <c r="L2260" s="22"/>
      <c r="M2260" s="22"/>
      <c r="N2260" s="22"/>
    </row>
    <row r="2261" spans="1:14" x14ac:dyDescent="0.25">
      <c r="A2261" s="22" t="s">
        <v>2593</v>
      </c>
      <c r="B2261" s="22" t="s">
        <v>39</v>
      </c>
      <c r="C2261" s="22" t="s">
        <v>191</v>
      </c>
      <c r="D2261" s="23">
        <v>-53700</v>
      </c>
      <c r="E2261" s="22" t="s">
        <v>57</v>
      </c>
      <c r="F2261" s="24">
        <v>44428</v>
      </c>
      <c r="G2261" s="22" t="s">
        <v>691</v>
      </c>
      <c r="H2261" s="22" t="s">
        <v>2594</v>
      </c>
      <c r="I2261" s="22" t="s">
        <v>2592</v>
      </c>
      <c r="J2261" s="22" t="s">
        <v>4407</v>
      </c>
      <c r="K2261" s="22" t="s">
        <v>66</v>
      </c>
      <c r="L2261" s="22"/>
      <c r="M2261" s="22"/>
      <c r="N2261" s="22"/>
    </row>
    <row r="2262" spans="1:14" x14ac:dyDescent="0.25">
      <c r="A2262" s="22" t="s">
        <v>2645</v>
      </c>
      <c r="B2262" s="22" t="s">
        <v>39</v>
      </c>
      <c r="C2262" s="22" t="s">
        <v>3553</v>
      </c>
      <c r="D2262" s="23">
        <v>2363519</v>
      </c>
      <c r="E2262" s="22" t="s">
        <v>42</v>
      </c>
      <c r="F2262" s="24">
        <v>44414</v>
      </c>
      <c r="G2262" s="22" t="s">
        <v>691</v>
      </c>
      <c r="H2262" s="22" t="s">
        <v>1671</v>
      </c>
      <c r="I2262" s="22" t="s">
        <v>2644</v>
      </c>
      <c r="J2262" s="22" t="s">
        <v>4401</v>
      </c>
      <c r="K2262" s="22" t="s">
        <v>292</v>
      </c>
      <c r="L2262" s="22"/>
      <c r="M2262" s="22"/>
      <c r="N2262" s="22"/>
    </row>
    <row r="2263" spans="1:14" x14ac:dyDescent="0.25">
      <c r="A2263" s="22" t="s">
        <v>2642</v>
      </c>
      <c r="B2263" s="22" t="s">
        <v>39</v>
      </c>
      <c r="C2263" s="22" t="s">
        <v>7471</v>
      </c>
      <c r="D2263" s="23">
        <v>-144000</v>
      </c>
      <c r="E2263" s="22" t="s">
        <v>588</v>
      </c>
      <c r="F2263" s="24">
        <v>44322</v>
      </c>
      <c r="G2263" s="22" t="s">
        <v>691</v>
      </c>
      <c r="H2263" s="22" t="s">
        <v>2643</v>
      </c>
      <c r="I2263" s="22" t="s">
        <v>2641</v>
      </c>
      <c r="J2263" s="22" t="s">
        <v>4407</v>
      </c>
      <c r="K2263" s="22" t="s">
        <v>4479</v>
      </c>
      <c r="L2263" s="22"/>
      <c r="M2263" s="22"/>
      <c r="N2263" s="22"/>
    </row>
    <row r="2264" spans="1:14" x14ac:dyDescent="0.25">
      <c r="A2264" s="22" t="s">
        <v>621</v>
      </c>
      <c r="B2264" s="22" t="s">
        <v>39</v>
      </c>
      <c r="C2264" s="22" t="s">
        <v>7465</v>
      </c>
      <c r="D2264" s="23">
        <v>-876232</v>
      </c>
      <c r="E2264" s="22" t="s">
        <v>45</v>
      </c>
      <c r="F2264" s="24">
        <v>44438</v>
      </c>
      <c r="G2264" s="22" t="s">
        <v>2632</v>
      </c>
      <c r="H2264" s="22"/>
      <c r="I2264" s="22" t="s">
        <v>2632</v>
      </c>
      <c r="J2264" s="22" t="s">
        <v>4401</v>
      </c>
      <c r="K2264" s="22" t="s">
        <v>66</v>
      </c>
      <c r="L2264" s="22"/>
      <c r="M2264" s="22"/>
      <c r="N2264" s="22"/>
    </row>
    <row r="2265" spans="1:14" x14ac:dyDescent="0.25">
      <c r="A2265" s="22" t="s">
        <v>621</v>
      </c>
      <c r="B2265" s="22" t="s">
        <v>39</v>
      </c>
      <c r="C2265" s="22" t="s">
        <v>7465</v>
      </c>
      <c r="D2265" s="23">
        <v>1829849</v>
      </c>
      <c r="E2265" s="22" t="s">
        <v>45</v>
      </c>
      <c r="F2265" s="24">
        <v>44438</v>
      </c>
      <c r="G2265" s="22" t="s">
        <v>2632</v>
      </c>
      <c r="H2265" s="22"/>
      <c r="I2265" s="22" t="s">
        <v>2632</v>
      </c>
      <c r="J2265" s="22" t="s">
        <v>4407</v>
      </c>
      <c r="K2265" s="22" t="s">
        <v>66</v>
      </c>
      <c r="L2265" s="22"/>
      <c r="M2265" s="22"/>
      <c r="N2265" s="22"/>
    </row>
    <row r="2266" spans="1:14" x14ac:dyDescent="0.25">
      <c r="A2266" s="22" t="s">
        <v>621</v>
      </c>
      <c r="B2266" s="22" t="s">
        <v>39</v>
      </c>
      <c r="C2266" s="22" t="s">
        <v>191</v>
      </c>
      <c r="D2266" s="23">
        <v>-1539449</v>
      </c>
      <c r="E2266" s="22" t="s">
        <v>57</v>
      </c>
      <c r="F2266" s="24">
        <v>44438</v>
      </c>
      <c r="G2266" s="22" t="s">
        <v>2632</v>
      </c>
      <c r="H2266" s="22" t="s">
        <v>740</v>
      </c>
      <c r="I2266" s="22" t="s">
        <v>2640</v>
      </c>
      <c r="J2266" s="22" t="s">
        <v>4407</v>
      </c>
      <c r="K2266" s="22" t="s">
        <v>66</v>
      </c>
      <c r="L2266" s="22"/>
      <c r="M2266" s="22"/>
      <c r="N2266" s="22"/>
    </row>
    <row r="2267" spans="1:14" x14ac:dyDescent="0.25">
      <c r="A2267" s="22" t="s">
        <v>2639</v>
      </c>
      <c r="B2267" s="22" t="s">
        <v>39</v>
      </c>
      <c r="C2267" s="22" t="s">
        <v>7466</v>
      </c>
      <c r="D2267" s="23">
        <v>-268100</v>
      </c>
      <c r="E2267" s="22" t="s">
        <v>57</v>
      </c>
      <c r="F2267" s="24">
        <v>44404</v>
      </c>
      <c r="G2267" s="22" t="s">
        <v>2632</v>
      </c>
      <c r="H2267" s="22" t="s">
        <v>740</v>
      </c>
      <c r="I2267" s="22" t="s">
        <v>2638</v>
      </c>
      <c r="J2267" s="22" t="s">
        <v>4407</v>
      </c>
      <c r="K2267" s="22" t="s">
        <v>66</v>
      </c>
      <c r="L2267" s="22"/>
      <c r="M2267" s="22"/>
      <c r="N2267" s="22"/>
    </row>
    <row r="2268" spans="1:14" x14ac:dyDescent="0.25">
      <c r="A2268" s="22" t="s">
        <v>2637</v>
      </c>
      <c r="B2268" s="22" t="s">
        <v>39</v>
      </c>
      <c r="C2268" s="22" t="s">
        <v>7466</v>
      </c>
      <c r="D2268" s="23">
        <v>-22300</v>
      </c>
      <c r="E2268" s="22" t="s">
        <v>57</v>
      </c>
      <c r="F2268" s="24">
        <v>44412</v>
      </c>
      <c r="G2268" s="22" t="s">
        <v>2632</v>
      </c>
      <c r="H2268" s="22" t="s">
        <v>740</v>
      </c>
      <c r="I2268" s="22" t="s">
        <v>2636</v>
      </c>
      <c r="J2268" s="22" t="s">
        <v>4407</v>
      </c>
      <c r="K2268" s="22" t="s">
        <v>66</v>
      </c>
      <c r="L2268" s="22"/>
      <c r="M2268" s="22"/>
      <c r="N2268" s="22"/>
    </row>
    <row r="2269" spans="1:14" x14ac:dyDescent="0.25">
      <c r="A2269" s="22" t="s">
        <v>2635</v>
      </c>
      <c r="B2269" s="22" t="s">
        <v>39</v>
      </c>
      <c r="C2269" s="22" t="s">
        <v>40</v>
      </c>
      <c r="D2269" s="23">
        <v>876232</v>
      </c>
      <c r="E2269" s="22" t="s">
        <v>42</v>
      </c>
      <c r="F2269" s="24">
        <v>44414</v>
      </c>
      <c r="G2269" s="22" t="s">
        <v>2632</v>
      </c>
      <c r="H2269" s="22" t="s">
        <v>1671</v>
      </c>
      <c r="I2269" s="22" t="s">
        <v>2634</v>
      </c>
      <c r="J2269" s="22" t="s">
        <v>4401</v>
      </c>
      <c r="K2269" s="22" t="s">
        <v>292</v>
      </c>
      <c r="L2269" s="22"/>
      <c r="M2269" s="22"/>
      <c r="N2269" s="22"/>
    </row>
    <row r="2270" spans="1:14" x14ac:dyDescent="0.25">
      <c r="A2270" s="22" t="s">
        <v>621</v>
      </c>
      <c r="B2270" s="22" t="s">
        <v>39</v>
      </c>
      <c r="C2270" s="22" t="s">
        <v>7465</v>
      </c>
      <c r="D2270" s="23">
        <v>-366277</v>
      </c>
      <c r="E2270" s="22" t="s">
        <v>45</v>
      </c>
      <c r="F2270" s="24">
        <v>44438</v>
      </c>
      <c r="G2270" s="22" t="s">
        <v>620</v>
      </c>
      <c r="H2270" s="22"/>
      <c r="I2270" s="22" t="s">
        <v>620</v>
      </c>
      <c r="J2270" s="22" t="s">
        <v>4401</v>
      </c>
      <c r="K2270" s="22" t="s">
        <v>66</v>
      </c>
      <c r="L2270" s="22"/>
      <c r="M2270" s="22"/>
      <c r="N2270" s="22"/>
    </row>
    <row r="2271" spans="1:14" x14ac:dyDescent="0.25">
      <c r="A2271" s="22" t="s">
        <v>621</v>
      </c>
      <c r="B2271" s="22" t="s">
        <v>39</v>
      </c>
      <c r="C2271" s="22" t="s">
        <v>7465</v>
      </c>
      <c r="D2271" s="23">
        <v>953617</v>
      </c>
      <c r="E2271" s="22" t="s">
        <v>45</v>
      </c>
      <c r="F2271" s="24">
        <v>44438</v>
      </c>
      <c r="G2271" s="22" t="s">
        <v>620</v>
      </c>
      <c r="H2271" s="22"/>
      <c r="I2271" s="22" t="s">
        <v>620</v>
      </c>
      <c r="J2271" s="22" t="s">
        <v>4407</v>
      </c>
      <c r="K2271" s="22" t="s">
        <v>66</v>
      </c>
      <c r="L2271" s="22"/>
      <c r="M2271" s="22"/>
      <c r="N2271" s="22"/>
    </row>
    <row r="2272" spans="1:14" x14ac:dyDescent="0.25">
      <c r="A2272" s="22" t="s">
        <v>621</v>
      </c>
      <c r="B2272" s="22" t="s">
        <v>39</v>
      </c>
      <c r="C2272" s="22" t="s">
        <v>191</v>
      </c>
      <c r="D2272" s="23">
        <v>-953617</v>
      </c>
      <c r="E2272" s="22" t="s">
        <v>45</v>
      </c>
      <c r="F2272" s="24">
        <v>44438</v>
      </c>
      <c r="G2272" s="22" t="s">
        <v>620</v>
      </c>
      <c r="H2272" s="22" t="s">
        <v>2633</v>
      </c>
      <c r="I2272" s="22" t="s">
        <v>2632</v>
      </c>
      <c r="J2272" s="22" t="s">
        <v>4407</v>
      </c>
      <c r="K2272" s="22" t="s">
        <v>66</v>
      </c>
      <c r="L2272" s="22"/>
      <c r="M2272" s="22"/>
      <c r="N2272" s="22"/>
    </row>
    <row r="2273" spans="1:14" x14ac:dyDescent="0.25">
      <c r="A2273" s="22" t="s">
        <v>2631</v>
      </c>
      <c r="B2273" s="22" t="s">
        <v>39</v>
      </c>
      <c r="C2273" s="22" t="s">
        <v>4403</v>
      </c>
      <c r="D2273" s="23">
        <v>366277</v>
      </c>
      <c r="E2273" s="22" t="s">
        <v>42</v>
      </c>
      <c r="F2273" s="24">
        <v>44414</v>
      </c>
      <c r="G2273" s="22" t="s">
        <v>620</v>
      </c>
      <c r="H2273" s="22" t="s">
        <v>1671</v>
      </c>
      <c r="I2273" s="22" t="s">
        <v>2630</v>
      </c>
      <c r="J2273" s="22" t="s">
        <v>4401</v>
      </c>
      <c r="K2273" s="22" t="s">
        <v>292</v>
      </c>
      <c r="L2273" s="22"/>
      <c r="M2273" s="22"/>
      <c r="N2273" s="22"/>
    </row>
    <row r="2274" spans="1:14" x14ac:dyDescent="0.25">
      <c r="A2274" s="22" t="s">
        <v>2621</v>
      </c>
      <c r="B2274" s="22" t="s">
        <v>39</v>
      </c>
      <c r="C2274" s="22" t="s">
        <v>7465</v>
      </c>
      <c r="D2274" s="23">
        <v>-16350</v>
      </c>
      <c r="E2274" s="22" t="s">
        <v>45</v>
      </c>
      <c r="F2274" s="24">
        <v>44412</v>
      </c>
      <c r="G2274" s="22" t="s">
        <v>2620</v>
      </c>
      <c r="H2274" s="22"/>
      <c r="I2274" s="22" t="s">
        <v>2620</v>
      </c>
      <c r="J2274" s="22" t="s">
        <v>4401</v>
      </c>
      <c r="K2274" s="22" t="s">
        <v>66</v>
      </c>
      <c r="L2274" s="22"/>
      <c r="M2274" s="22"/>
      <c r="N2274" s="22"/>
    </row>
    <row r="2275" spans="1:14" x14ac:dyDescent="0.25">
      <c r="A2275" s="22" t="s">
        <v>2621</v>
      </c>
      <c r="B2275" s="22" t="s">
        <v>39</v>
      </c>
      <c r="C2275" s="22" t="s">
        <v>7465</v>
      </c>
      <c r="D2275" s="23">
        <v>31600</v>
      </c>
      <c r="E2275" s="22" t="s">
        <v>45</v>
      </c>
      <c r="F2275" s="24">
        <v>44412</v>
      </c>
      <c r="G2275" s="22" t="s">
        <v>2620</v>
      </c>
      <c r="H2275" s="22"/>
      <c r="I2275" s="22" t="s">
        <v>2620</v>
      </c>
      <c r="J2275" s="22" t="s">
        <v>4407</v>
      </c>
      <c r="K2275" s="22" t="s">
        <v>66</v>
      </c>
      <c r="L2275" s="22"/>
      <c r="M2275" s="22"/>
      <c r="N2275" s="22"/>
    </row>
    <row r="2276" spans="1:14" x14ac:dyDescent="0.25">
      <c r="A2276" s="22" t="s">
        <v>2621</v>
      </c>
      <c r="B2276" s="22" t="s">
        <v>39</v>
      </c>
      <c r="C2276" s="22" t="s">
        <v>7466</v>
      </c>
      <c r="D2276" s="23">
        <v>-31600</v>
      </c>
      <c r="E2276" s="22" t="s">
        <v>57</v>
      </c>
      <c r="F2276" s="24">
        <v>44412</v>
      </c>
      <c r="G2276" s="22" t="s">
        <v>2620</v>
      </c>
      <c r="H2276" s="22" t="s">
        <v>723</v>
      </c>
      <c r="I2276" s="22" t="s">
        <v>2629</v>
      </c>
      <c r="J2276" s="22" t="s">
        <v>4407</v>
      </c>
      <c r="K2276" s="22" t="s">
        <v>66</v>
      </c>
      <c r="L2276" s="22"/>
      <c r="M2276" s="22"/>
      <c r="N2276" s="22"/>
    </row>
    <row r="2277" spans="1:14" x14ac:dyDescent="0.25">
      <c r="A2277" s="22" t="s">
        <v>2628</v>
      </c>
      <c r="B2277" s="22" t="s">
        <v>39</v>
      </c>
      <c r="C2277" s="22" t="s">
        <v>7455</v>
      </c>
      <c r="D2277" s="23">
        <v>16350</v>
      </c>
      <c r="E2277" s="22" t="s">
        <v>42</v>
      </c>
      <c r="F2277" s="24">
        <v>44414</v>
      </c>
      <c r="G2277" s="22" t="s">
        <v>2620</v>
      </c>
      <c r="H2277" s="22" t="s">
        <v>1671</v>
      </c>
      <c r="I2277" s="22" t="s">
        <v>2627</v>
      </c>
      <c r="J2277" s="22" t="s">
        <v>4401</v>
      </c>
      <c r="K2277" s="22" t="s">
        <v>292</v>
      </c>
      <c r="L2277" s="22"/>
      <c r="M2277" s="22"/>
      <c r="N2277" s="22"/>
    </row>
    <row r="2278" spans="1:14" x14ac:dyDescent="0.25">
      <c r="A2278" s="22" t="s">
        <v>2590</v>
      </c>
      <c r="B2278" s="22" t="s">
        <v>39</v>
      </c>
      <c r="C2278" s="22" t="s">
        <v>7465</v>
      </c>
      <c r="D2278" s="23">
        <v>-11150</v>
      </c>
      <c r="E2278" s="22" t="s">
        <v>45</v>
      </c>
      <c r="F2278" s="24">
        <v>44411</v>
      </c>
      <c r="G2278" s="22" t="s">
        <v>2589</v>
      </c>
      <c r="H2278" s="22"/>
      <c r="I2278" s="22" t="s">
        <v>2589</v>
      </c>
      <c r="J2278" s="22" t="s">
        <v>4401</v>
      </c>
      <c r="K2278" s="22" t="s">
        <v>66</v>
      </c>
      <c r="L2278" s="22"/>
      <c r="M2278" s="22"/>
      <c r="N2278" s="22"/>
    </row>
    <row r="2279" spans="1:14" x14ac:dyDescent="0.25">
      <c r="A2279" s="22" t="s">
        <v>2590</v>
      </c>
      <c r="B2279" s="22" t="s">
        <v>39</v>
      </c>
      <c r="C2279" s="22" t="s">
        <v>7465</v>
      </c>
      <c r="D2279" s="23">
        <v>37600</v>
      </c>
      <c r="E2279" s="22" t="s">
        <v>45</v>
      </c>
      <c r="F2279" s="24">
        <v>44411</v>
      </c>
      <c r="G2279" s="22" t="s">
        <v>2589</v>
      </c>
      <c r="H2279" s="22"/>
      <c r="I2279" s="22" t="s">
        <v>2589</v>
      </c>
      <c r="J2279" s="22" t="s">
        <v>4407</v>
      </c>
      <c r="K2279" s="22" t="s">
        <v>66</v>
      </c>
      <c r="L2279" s="22"/>
      <c r="M2279" s="22"/>
      <c r="N2279" s="22"/>
    </row>
    <row r="2280" spans="1:14" x14ac:dyDescent="0.25">
      <c r="A2280" s="22" t="s">
        <v>2590</v>
      </c>
      <c r="B2280" s="22" t="s">
        <v>39</v>
      </c>
      <c r="C2280" s="22" t="s">
        <v>7466</v>
      </c>
      <c r="D2280" s="23">
        <v>-37600</v>
      </c>
      <c r="E2280" s="22" t="s">
        <v>57</v>
      </c>
      <c r="F2280" s="24">
        <v>44411</v>
      </c>
      <c r="G2280" s="22" t="s">
        <v>2589</v>
      </c>
      <c r="H2280" s="22" t="s">
        <v>723</v>
      </c>
      <c r="I2280" s="22" t="s">
        <v>2626</v>
      </c>
      <c r="J2280" s="22" t="s">
        <v>4407</v>
      </c>
      <c r="K2280" s="22" t="s">
        <v>66</v>
      </c>
      <c r="L2280" s="22"/>
      <c r="M2280" s="22"/>
      <c r="N2280" s="22"/>
    </row>
    <row r="2281" spans="1:14" x14ac:dyDescent="0.25">
      <c r="A2281" s="22" t="s">
        <v>2625</v>
      </c>
      <c r="B2281" s="22" t="s">
        <v>39</v>
      </c>
      <c r="C2281" s="22" t="s">
        <v>7455</v>
      </c>
      <c r="D2281" s="23">
        <v>11150</v>
      </c>
      <c r="E2281" s="22" t="s">
        <v>42</v>
      </c>
      <c r="F2281" s="24">
        <v>44446</v>
      </c>
      <c r="G2281" s="22" t="s">
        <v>2589</v>
      </c>
      <c r="H2281" s="22" t="s">
        <v>605</v>
      </c>
      <c r="I2281" s="22" t="s">
        <v>2624</v>
      </c>
      <c r="J2281" s="22" t="s">
        <v>4401</v>
      </c>
      <c r="K2281" s="22" t="s">
        <v>292</v>
      </c>
      <c r="L2281" s="22"/>
      <c r="M2281" s="22"/>
      <c r="N2281" s="22"/>
    </row>
    <row r="2282" spans="1:14" x14ac:dyDescent="0.25">
      <c r="A2282" s="22" t="s">
        <v>878</v>
      </c>
      <c r="B2282" s="22" t="s">
        <v>39</v>
      </c>
      <c r="C2282" s="22" t="s">
        <v>7465</v>
      </c>
      <c r="D2282" s="23">
        <v>-80000</v>
      </c>
      <c r="E2282" s="22" t="s">
        <v>45</v>
      </c>
      <c r="F2282" s="24">
        <v>44410</v>
      </c>
      <c r="G2282" s="22" t="s">
        <v>877</v>
      </c>
      <c r="H2282" s="22"/>
      <c r="I2282" s="22" t="s">
        <v>877</v>
      </c>
      <c r="J2282" s="22" t="s">
        <v>4401</v>
      </c>
      <c r="K2282" s="22" t="s">
        <v>66</v>
      </c>
      <c r="L2282" s="22"/>
      <c r="M2282" s="22"/>
      <c r="N2282" s="22"/>
    </row>
    <row r="2283" spans="1:14" x14ac:dyDescent="0.25">
      <c r="A2283" s="22" t="s">
        <v>878</v>
      </c>
      <c r="B2283" s="22" t="s">
        <v>39</v>
      </c>
      <c r="C2283" s="22" t="s">
        <v>7465</v>
      </c>
      <c r="D2283" s="23">
        <v>101700</v>
      </c>
      <c r="E2283" s="22" t="s">
        <v>45</v>
      </c>
      <c r="F2283" s="24">
        <v>44410</v>
      </c>
      <c r="G2283" s="22" t="s">
        <v>877</v>
      </c>
      <c r="H2283" s="22"/>
      <c r="I2283" s="22" t="s">
        <v>877</v>
      </c>
      <c r="J2283" s="22" t="s">
        <v>4407</v>
      </c>
      <c r="K2283" s="22" t="s">
        <v>66</v>
      </c>
      <c r="L2283" s="22"/>
      <c r="M2283" s="22"/>
      <c r="N2283" s="22"/>
    </row>
    <row r="2284" spans="1:14" x14ac:dyDescent="0.25">
      <c r="A2284" s="22" t="s">
        <v>878</v>
      </c>
      <c r="B2284" s="22" t="s">
        <v>39</v>
      </c>
      <c r="C2284" s="22" t="s">
        <v>7466</v>
      </c>
      <c r="D2284" s="23">
        <v>-60000</v>
      </c>
      <c r="E2284" s="22" t="s">
        <v>57</v>
      </c>
      <c r="F2284" s="24">
        <v>44410</v>
      </c>
      <c r="G2284" s="22" t="s">
        <v>877</v>
      </c>
      <c r="H2284" s="22" t="s">
        <v>2623</v>
      </c>
      <c r="I2284" s="22" t="s">
        <v>2622</v>
      </c>
      <c r="J2284" s="22" t="s">
        <v>4407</v>
      </c>
      <c r="K2284" s="22" t="s">
        <v>66</v>
      </c>
      <c r="L2284" s="22"/>
      <c r="M2284" s="22"/>
      <c r="N2284" s="22"/>
    </row>
    <row r="2285" spans="1:14" x14ac:dyDescent="0.25">
      <c r="A2285" s="22" t="s">
        <v>2621</v>
      </c>
      <c r="B2285" s="22" t="s">
        <v>39</v>
      </c>
      <c r="C2285" s="22" t="s">
        <v>7466</v>
      </c>
      <c r="D2285" s="23">
        <v>-15250</v>
      </c>
      <c r="E2285" s="22" t="s">
        <v>45</v>
      </c>
      <c r="F2285" s="24">
        <v>44412</v>
      </c>
      <c r="G2285" s="22" t="s">
        <v>877</v>
      </c>
      <c r="H2285" s="22" t="s">
        <v>2591</v>
      </c>
      <c r="I2285" s="22" t="s">
        <v>2620</v>
      </c>
      <c r="J2285" s="22" t="s">
        <v>4407</v>
      </c>
      <c r="K2285" s="22" t="s">
        <v>66</v>
      </c>
      <c r="L2285" s="22"/>
      <c r="M2285" s="22"/>
      <c r="N2285" s="22"/>
    </row>
    <row r="2286" spans="1:14" x14ac:dyDescent="0.25">
      <c r="A2286" s="22" t="s">
        <v>2590</v>
      </c>
      <c r="B2286" s="22" t="s">
        <v>39</v>
      </c>
      <c r="C2286" s="22" t="s">
        <v>7466</v>
      </c>
      <c r="D2286" s="23">
        <v>-26450</v>
      </c>
      <c r="E2286" s="22" t="s">
        <v>45</v>
      </c>
      <c r="F2286" s="24">
        <v>44411</v>
      </c>
      <c r="G2286" s="22" t="s">
        <v>877</v>
      </c>
      <c r="H2286" s="22" t="s">
        <v>2591</v>
      </c>
      <c r="I2286" s="22" t="s">
        <v>2589</v>
      </c>
      <c r="J2286" s="22" t="s">
        <v>4407</v>
      </c>
      <c r="K2286" s="22" t="s">
        <v>66</v>
      </c>
      <c r="L2286" s="22"/>
      <c r="M2286" s="22"/>
      <c r="N2286" s="22"/>
    </row>
    <row r="2287" spans="1:14" x14ac:dyDescent="0.25">
      <c r="A2287" s="22" t="s">
        <v>2545</v>
      </c>
      <c r="B2287" s="22" t="s">
        <v>39</v>
      </c>
      <c r="C2287" s="22" t="s">
        <v>7455</v>
      </c>
      <c r="D2287" s="23">
        <v>80000</v>
      </c>
      <c r="E2287" s="22" t="s">
        <v>42</v>
      </c>
      <c r="F2287" s="24">
        <v>44476</v>
      </c>
      <c r="G2287" s="22" t="s">
        <v>877</v>
      </c>
      <c r="H2287" s="22" t="s">
        <v>577</v>
      </c>
      <c r="I2287" s="22" t="s">
        <v>2544</v>
      </c>
      <c r="J2287" s="22" t="s">
        <v>4401</v>
      </c>
      <c r="K2287" s="22" t="s">
        <v>292</v>
      </c>
      <c r="L2287" s="22"/>
      <c r="M2287" s="22"/>
      <c r="N2287" s="22"/>
    </row>
    <row r="2288" spans="1:14" x14ac:dyDescent="0.25">
      <c r="A2288" s="22" t="s">
        <v>876</v>
      </c>
      <c r="B2288" s="22" t="s">
        <v>39</v>
      </c>
      <c r="C2288" s="22" t="s">
        <v>7465</v>
      </c>
      <c r="D2288" s="23">
        <v>-186300</v>
      </c>
      <c r="E2288" s="22" t="s">
        <v>45</v>
      </c>
      <c r="F2288" s="24">
        <v>44426</v>
      </c>
      <c r="G2288" s="22" t="s">
        <v>875</v>
      </c>
      <c r="H2288" s="22"/>
      <c r="I2288" s="22" t="s">
        <v>875</v>
      </c>
      <c r="J2288" s="22" t="s">
        <v>4401</v>
      </c>
      <c r="K2288" s="22" t="s">
        <v>66</v>
      </c>
      <c r="L2288" s="22"/>
      <c r="M2288" s="22"/>
      <c r="N2288" s="22"/>
    </row>
    <row r="2289" spans="1:14" x14ac:dyDescent="0.25">
      <c r="A2289" s="22" t="s">
        <v>876</v>
      </c>
      <c r="B2289" s="22" t="s">
        <v>39</v>
      </c>
      <c r="C2289" s="22" t="s">
        <v>7465</v>
      </c>
      <c r="D2289" s="23">
        <v>201100</v>
      </c>
      <c r="E2289" s="22" t="s">
        <v>45</v>
      </c>
      <c r="F2289" s="24">
        <v>44426</v>
      </c>
      <c r="G2289" s="22" t="s">
        <v>875</v>
      </c>
      <c r="H2289" s="22"/>
      <c r="I2289" s="22" t="s">
        <v>875</v>
      </c>
      <c r="J2289" s="22" t="s">
        <v>4407</v>
      </c>
      <c r="K2289" s="22" t="s">
        <v>66</v>
      </c>
      <c r="L2289" s="22"/>
      <c r="M2289" s="22"/>
      <c r="N2289" s="22"/>
    </row>
    <row r="2290" spans="1:14" x14ac:dyDescent="0.25">
      <c r="A2290" s="22" t="s">
        <v>2543</v>
      </c>
      <c r="B2290" s="22" t="s">
        <v>39</v>
      </c>
      <c r="C2290" s="22" t="s">
        <v>7466</v>
      </c>
      <c r="D2290" s="23">
        <v>-156400</v>
      </c>
      <c r="E2290" s="22" t="s">
        <v>57</v>
      </c>
      <c r="F2290" s="24">
        <v>44399</v>
      </c>
      <c r="G2290" s="22" t="s">
        <v>875</v>
      </c>
      <c r="H2290" s="22" t="s">
        <v>1731</v>
      </c>
      <c r="I2290" s="22" t="s">
        <v>2542</v>
      </c>
      <c r="J2290" s="22" t="s">
        <v>4407</v>
      </c>
      <c r="K2290" s="22" t="s">
        <v>66</v>
      </c>
      <c r="L2290" s="22"/>
      <c r="M2290" s="22"/>
      <c r="N2290" s="22"/>
    </row>
    <row r="2291" spans="1:14" x14ac:dyDescent="0.25">
      <c r="A2291" s="22" t="s">
        <v>876</v>
      </c>
      <c r="B2291" s="22" t="s">
        <v>39</v>
      </c>
      <c r="C2291" s="22" t="s">
        <v>7466</v>
      </c>
      <c r="D2291" s="23">
        <v>-44700</v>
      </c>
      <c r="E2291" s="22" t="s">
        <v>57</v>
      </c>
      <c r="F2291" s="24">
        <v>44426</v>
      </c>
      <c r="G2291" s="22" t="s">
        <v>875</v>
      </c>
      <c r="H2291" s="22" t="s">
        <v>608</v>
      </c>
      <c r="I2291" s="22" t="s">
        <v>2541</v>
      </c>
      <c r="J2291" s="22" t="s">
        <v>4407</v>
      </c>
      <c r="K2291" s="22" t="s">
        <v>66</v>
      </c>
      <c r="L2291" s="22"/>
      <c r="M2291" s="22"/>
      <c r="N2291" s="22"/>
    </row>
    <row r="2292" spans="1:14" x14ac:dyDescent="0.25">
      <c r="A2292" s="22" t="s">
        <v>2540</v>
      </c>
      <c r="B2292" s="22" t="s">
        <v>39</v>
      </c>
      <c r="C2292" s="22" t="s">
        <v>3760</v>
      </c>
      <c r="D2292" s="23">
        <v>186300</v>
      </c>
      <c r="E2292" s="22" t="s">
        <v>42</v>
      </c>
      <c r="F2292" s="24">
        <v>44414</v>
      </c>
      <c r="G2292" s="22" t="s">
        <v>875</v>
      </c>
      <c r="H2292" s="22" t="s">
        <v>1671</v>
      </c>
      <c r="I2292" s="22" t="s">
        <v>2539</v>
      </c>
      <c r="J2292" s="22" t="s">
        <v>4401</v>
      </c>
      <c r="K2292" s="22" t="s">
        <v>292</v>
      </c>
      <c r="L2292" s="22"/>
      <c r="M2292" s="22"/>
      <c r="N2292" s="22"/>
    </row>
    <row r="2293" spans="1:14" x14ac:dyDescent="0.25">
      <c r="A2293" s="22" t="s">
        <v>873</v>
      </c>
      <c r="B2293" s="22" t="s">
        <v>39</v>
      </c>
      <c r="C2293" s="22" t="s">
        <v>7465</v>
      </c>
      <c r="D2293" s="23">
        <v>-38600</v>
      </c>
      <c r="E2293" s="22" t="s">
        <v>45</v>
      </c>
      <c r="F2293" s="24">
        <v>44427</v>
      </c>
      <c r="G2293" s="22" t="s">
        <v>872</v>
      </c>
      <c r="H2293" s="22"/>
      <c r="I2293" s="22" t="s">
        <v>872</v>
      </c>
      <c r="J2293" s="22" t="s">
        <v>4466</v>
      </c>
      <c r="K2293" s="22" t="s">
        <v>66</v>
      </c>
      <c r="L2293" s="22"/>
      <c r="M2293" s="22"/>
      <c r="N2293" s="22"/>
    </row>
    <row r="2294" spans="1:14" x14ac:dyDescent="0.25">
      <c r="A2294" s="22" t="s">
        <v>873</v>
      </c>
      <c r="B2294" s="22" t="s">
        <v>39</v>
      </c>
      <c r="C2294" s="22" t="s">
        <v>7465</v>
      </c>
      <c r="D2294" s="23">
        <v>52400</v>
      </c>
      <c r="E2294" s="22" t="s">
        <v>45</v>
      </c>
      <c r="F2294" s="24">
        <v>44427</v>
      </c>
      <c r="G2294" s="22" t="s">
        <v>872</v>
      </c>
      <c r="H2294" s="22"/>
      <c r="I2294" s="22" t="s">
        <v>872</v>
      </c>
      <c r="J2294" s="22" t="s">
        <v>4407</v>
      </c>
      <c r="K2294" s="22" t="s">
        <v>66</v>
      </c>
      <c r="L2294" s="22"/>
      <c r="M2294" s="22"/>
      <c r="N2294" s="22"/>
    </row>
    <row r="2295" spans="1:14" x14ac:dyDescent="0.25">
      <c r="A2295" s="22" t="s">
        <v>873</v>
      </c>
      <c r="B2295" s="22" t="s">
        <v>39</v>
      </c>
      <c r="C2295" s="22" t="s">
        <v>7466</v>
      </c>
      <c r="D2295" s="23">
        <v>-52400</v>
      </c>
      <c r="E2295" s="22" t="s">
        <v>57</v>
      </c>
      <c r="F2295" s="24">
        <v>44427</v>
      </c>
      <c r="G2295" s="22" t="s">
        <v>872</v>
      </c>
      <c r="H2295" s="22" t="s">
        <v>332</v>
      </c>
      <c r="I2295" s="22" t="s">
        <v>2538</v>
      </c>
      <c r="J2295" s="22" t="s">
        <v>4407</v>
      </c>
      <c r="K2295" s="22" t="s">
        <v>66</v>
      </c>
      <c r="L2295" s="22"/>
      <c r="M2295" s="22"/>
      <c r="N2295" s="22"/>
    </row>
    <row r="2296" spans="1:14" x14ac:dyDescent="0.25">
      <c r="A2296" s="22" t="s">
        <v>2537</v>
      </c>
      <c r="B2296" s="22" t="s">
        <v>39</v>
      </c>
      <c r="C2296" s="22" t="s">
        <v>3480</v>
      </c>
      <c r="D2296" s="23">
        <v>38600</v>
      </c>
      <c r="E2296" s="22" t="s">
        <v>42</v>
      </c>
      <c r="F2296" s="24">
        <v>44476</v>
      </c>
      <c r="G2296" s="22" t="s">
        <v>872</v>
      </c>
      <c r="H2296" s="22" t="s">
        <v>577</v>
      </c>
      <c r="I2296" s="22" t="s">
        <v>2536</v>
      </c>
      <c r="J2296" s="22" t="s">
        <v>4466</v>
      </c>
      <c r="K2296" s="22" t="s">
        <v>292</v>
      </c>
      <c r="L2296" s="22"/>
      <c r="M2296" s="22"/>
      <c r="N2296" s="22"/>
    </row>
    <row r="2297" spans="1:14" x14ac:dyDescent="0.25">
      <c r="A2297" s="22" t="s">
        <v>870</v>
      </c>
      <c r="B2297" s="22" t="s">
        <v>39</v>
      </c>
      <c r="C2297" s="22" t="s">
        <v>7465</v>
      </c>
      <c r="D2297" s="23">
        <v>43700</v>
      </c>
      <c r="E2297" s="22" t="s">
        <v>45</v>
      </c>
      <c r="F2297" s="24">
        <v>44446</v>
      </c>
      <c r="G2297" s="22" t="s">
        <v>869</v>
      </c>
      <c r="H2297" s="22"/>
      <c r="I2297" s="22" t="s">
        <v>869</v>
      </c>
      <c r="J2297" s="22" t="s">
        <v>4552</v>
      </c>
      <c r="K2297" s="22" t="s">
        <v>61</v>
      </c>
      <c r="L2297" s="22"/>
      <c r="M2297" s="22"/>
      <c r="N2297" s="22"/>
    </row>
    <row r="2298" spans="1:14" x14ac:dyDescent="0.25">
      <c r="A2298" s="22" t="s">
        <v>870</v>
      </c>
      <c r="B2298" s="22" t="s">
        <v>39</v>
      </c>
      <c r="C2298" s="22" t="s">
        <v>7465</v>
      </c>
      <c r="D2298" s="23">
        <v>-30950</v>
      </c>
      <c r="E2298" s="22" t="s">
        <v>45</v>
      </c>
      <c r="F2298" s="24">
        <v>44446</v>
      </c>
      <c r="G2298" s="22" t="s">
        <v>869</v>
      </c>
      <c r="H2298" s="22"/>
      <c r="I2298" s="22" t="s">
        <v>869</v>
      </c>
      <c r="J2298" s="22" t="s">
        <v>4401</v>
      </c>
      <c r="K2298" s="22" t="s">
        <v>61</v>
      </c>
      <c r="L2298" s="22"/>
      <c r="M2298" s="22"/>
      <c r="N2298" s="22"/>
    </row>
    <row r="2299" spans="1:14" x14ac:dyDescent="0.25">
      <c r="A2299" s="22" t="s">
        <v>870</v>
      </c>
      <c r="B2299" s="22" t="s">
        <v>39</v>
      </c>
      <c r="C2299" s="22" t="s">
        <v>7463</v>
      </c>
      <c r="D2299" s="23">
        <v>-43700</v>
      </c>
      <c r="E2299" s="22" t="s">
        <v>57</v>
      </c>
      <c r="F2299" s="24">
        <v>44446</v>
      </c>
      <c r="G2299" s="22" t="s">
        <v>869</v>
      </c>
      <c r="H2299" s="22" t="s">
        <v>2535</v>
      </c>
      <c r="I2299" s="22" t="s">
        <v>2534</v>
      </c>
      <c r="J2299" s="22" t="s">
        <v>4552</v>
      </c>
      <c r="K2299" s="22" t="s">
        <v>61</v>
      </c>
      <c r="L2299" s="22"/>
      <c r="M2299" s="22"/>
      <c r="N2299" s="22"/>
    </row>
    <row r="2300" spans="1:14" x14ac:dyDescent="0.25">
      <c r="A2300" s="22" t="s">
        <v>2533</v>
      </c>
      <c r="B2300" s="22" t="s">
        <v>39</v>
      </c>
      <c r="C2300" s="22" t="s">
        <v>5413</v>
      </c>
      <c r="D2300" s="23">
        <v>30950</v>
      </c>
      <c r="E2300" s="22" t="s">
        <v>42</v>
      </c>
      <c r="F2300" s="24">
        <v>44446</v>
      </c>
      <c r="G2300" s="22" t="s">
        <v>869</v>
      </c>
      <c r="H2300" s="22" t="s">
        <v>605</v>
      </c>
      <c r="I2300" s="22" t="s">
        <v>2532</v>
      </c>
      <c r="J2300" s="22" t="s">
        <v>4401</v>
      </c>
      <c r="K2300" s="22" t="s">
        <v>292</v>
      </c>
      <c r="L2300" s="22"/>
      <c r="M2300" s="22"/>
      <c r="N2300" s="22"/>
    </row>
    <row r="2301" spans="1:14" x14ac:dyDescent="0.25">
      <c r="A2301" s="22" t="s">
        <v>2530</v>
      </c>
      <c r="B2301" s="22" t="s">
        <v>39</v>
      </c>
      <c r="C2301" s="22" t="s">
        <v>62</v>
      </c>
      <c r="D2301" s="23">
        <v>-53700</v>
      </c>
      <c r="E2301" s="22" t="s">
        <v>57</v>
      </c>
      <c r="F2301" s="24">
        <v>44452</v>
      </c>
      <c r="G2301" s="22" t="s">
        <v>862</v>
      </c>
      <c r="H2301" s="22" t="s">
        <v>2531</v>
      </c>
      <c r="I2301" s="22" t="s">
        <v>2529</v>
      </c>
      <c r="J2301" s="22" t="s">
        <v>4407</v>
      </c>
      <c r="K2301" s="22" t="s">
        <v>66</v>
      </c>
      <c r="L2301" s="22"/>
      <c r="M2301" s="22"/>
      <c r="N2301" s="22"/>
    </row>
    <row r="2302" spans="1:14" x14ac:dyDescent="0.25">
      <c r="A2302" s="22" t="s">
        <v>856</v>
      </c>
      <c r="B2302" s="22" t="s">
        <v>39</v>
      </c>
      <c r="C2302" s="22" t="s">
        <v>62</v>
      </c>
      <c r="D2302" s="23">
        <v>-2184290</v>
      </c>
      <c r="E2302" s="22" t="s">
        <v>57</v>
      </c>
      <c r="F2302" s="24">
        <v>44470</v>
      </c>
      <c r="G2302" s="22" t="s">
        <v>862</v>
      </c>
      <c r="H2302" s="22" t="s">
        <v>2443</v>
      </c>
      <c r="I2302" s="22" t="s">
        <v>2528</v>
      </c>
      <c r="J2302" s="22" t="s">
        <v>4407</v>
      </c>
      <c r="K2302" s="22" t="s">
        <v>66</v>
      </c>
      <c r="L2302" s="22"/>
      <c r="M2302" s="22"/>
      <c r="N2302" s="22"/>
    </row>
    <row r="2303" spans="1:14" x14ac:dyDescent="0.25">
      <c r="A2303" s="22" t="s">
        <v>2527</v>
      </c>
      <c r="B2303" s="22" t="s">
        <v>39</v>
      </c>
      <c r="C2303" s="22" t="s">
        <v>7462</v>
      </c>
      <c r="D2303" s="23">
        <v>-454700</v>
      </c>
      <c r="E2303" s="22" t="s">
        <v>57</v>
      </c>
      <c r="F2303" s="24">
        <v>44445</v>
      </c>
      <c r="G2303" s="22" t="s">
        <v>862</v>
      </c>
      <c r="H2303" s="22" t="s">
        <v>2443</v>
      </c>
      <c r="I2303" s="22" t="s">
        <v>2526</v>
      </c>
      <c r="J2303" s="22" t="s">
        <v>4407</v>
      </c>
      <c r="K2303" s="22" t="s">
        <v>66</v>
      </c>
      <c r="L2303" s="22"/>
      <c r="M2303" s="22"/>
      <c r="N2303" s="22"/>
    </row>
    <row r="2304" spans="1:14" x14ac:dyDescent="0.25">
      <c r="A2304" s="22" t="s">
        <v>2525</v>
      </c>
      <c r="B2304" s="22" t="s">
        <v>39</v>
      </c>
      <c r="C2304" s="22" t="s">
        <v>7462</v>
      </c>
      <c r="D2304" s="23">
        <v>-31600</v>
      </c>
      <c r="E2304" s="22" t="s">
        <v>57</v>
      </c>
      <c r="F2304" s="24">
        <v>44456</v>
      </c>
      <c r="G2304" s="22" t="s">
        <v>862</v>
      </c>
      <c r="H2304" s="22" t="s">
        <v>2443</v>
      </c>
      <c r="I2304" s="22" t="s">
        <v>2524</v>
      </c>
      <c r="J2304" s="22" t="s">
        <v>4407</v>
      </c>
      <c r="K2304" s="22" t="s">
        <v>66</v>
      </c>
      <c r="L2304" s="22"/>
      <c r="M2304" s="22"/>
      <c r="N2304" s="22"/>
    </row>
    <row r="2305" spans="1:14" x14ac:dyDescent="0.25">
      <c r="A2305" s="22" t="s">
        <v>2523</v>
      </c>
      <c r="B2305" s="22" t="s">
        <v>39</v>
      </c>
      <c r="C2305" s="22" t="s">
        <v>7462</v>
      </c>
      <c r="D2305" s="23">
        <v>-29400</v>
      </c>
      <c r="E2305" s="22" t="s">
        <v>57</v>
      </c>
      <c r="F2305" s="24">
        <v>44459</v>
      </c>
      <c r="G2305" s="22" t="s">
        <v>862</v>
      </c>
      <c r="H2305" s="22" t="s">
        <v>324</v>
      </c>
      <c r="I2305" s="22" t="s">
        <v>2522</v>
      </c>
      <c r="J2305" s="22" t="s">
        <v>4407</v>
      </c>
      <c r="K2305" s="22" t="s">
        <v>66</v>
      </c>
      <c r="L2305" s="22"/>
      <c r="M2305" s="22"/>
      <c r="N2305" s="22"/>
    </row>
    <row r="2306" spans="1:14" x14ac:dyDescent="0.25">
      <c r="A2306" s="22" t="s">
        <v>856</v>
      </c>
      <c r="B2306" s="22" t="s">
        <v>39</v>
      </c>
      <c r="C2306" s="22" t="s">
        <v>7465</v>
      </c>
      <c r="D2306" s="23">
        <v>-2565975</v>
      </c>
      <c r="E2306" s="22" t="s">
        <v>45</v>
      </c>
      <c r="F2306" s="24">
        <v>44470</v>
      </c>
      <c r="G2306" s="22" t="s">
        <v>862</v>
      </c>
      <c r="H2306" s="22"/>
      <c r="I2306" s="22" t="s">
        <v>862</v>
      </c>
      <c r="J2306" s="22" t="s">
        <v>4401</v>
      </c>
      <c r="K2306" s="22" t="s">
        <v>66</v>
      </c>
      <c r="L2306" s="22"/>
      <c r="M2306" s="22"/>
      <c r="N2306" s="22"/>
    </row>
    <row r="2307" spans="1:14" x14ac:dyDescent="0.25">
      <c r="A2307" s="22" t="s">
        <v>856</v>
      </c>
      <c r="B2307" s="22" t="s">
        <v>39</v>
      </c>
      <c r="C2307" s="22" t="s">
        <v>7465</v>
      </c>
      <c r="D2307" s="23">
        <v>4028390</v>
      </c>
      <c r="E2307" s="22" t="s">
        <v>45</v>
      </c>
      <c r="F2307" s="24">
        <v>44470</v>
      </c>
      <c r="G2307" s="22" t="s">
        <v>862</v>
      </c>
      <c r="H2307" s="22"/>
      <c r="I2307" s="22" t="s">
        <v>862</v>
      </c>
      <c r="J2307" s="22" t="s">
        <v>4407</v>
      </c>
      <c r="K2307" s="22" t="s">
        <v>66</v>
      </c>
      <c r="L2307" s="22"/>
      <c r="M2307" s="22"/>
      <c r="N2307" s="22"/>
    </row>
    <row r="2308" spans="1:14" x14ac:dyDescent="0.25">
      <c r="A2308" s="22" t="s">
        <v>2521</v>
      </c>
      <c r="B2308" s="22" t="s">
        <v>39</v>
      </c>
      <c r="C2308" s="22" t="s">
        <v>7466</v>
      </c>
      <c r="D2308" s="23">
        <v>-417600</v>
      </c>
      <c r="E2308" s="22" t="s">
        <v>57</v>
      </c>
      <c r="F2308" s="24">
        <v>44390</v>
      </c>
      <c r="G2308" s="22" t="s">
        <v>862</v>
      </c>
      <c r="H2308" s="22" t="s">
        <v>2443</v>
      </c>
      <c r="I2308" s="22" t="s">
        <v>2520</v>
      </c>
      <c r="J2308" s="22" t="s">
        <v>4407</v>
      </c>
      <c r="K2308" s="22" t="s">
        <v>66</v>
      </c>
      <c r="L2308" s="22"/>
      <c r="M2308" s="22"/>
      <c r="N2308" s="22"/>
    </row>
    <row r="2309" spans="1:14" x14ac:dyDescent="0.25">
      <c r="A2309" s="22" t="s">
        <v>2519</v>
      </c>
      <c r="B2309" s="22" t="s">
        <v>39</v>
      </c>
      <c r="C2309" s="22" t="s">
        <v>7466</v>
      </c>
      <c r="D2309" s="23">
        <v>-705600</v>
      </c>
      <c r="E2309" s="22" t="s">
        <v>57</v>
      </c>
      <c r="F2309" s="24">
        <v>44403</v>
      </c>
      <c r="G2309" s="22" t="s">
        <v>862</v>
      </c>
      <c r="H2309" s="22" t="s">
        <v>2443</v>
      </c>
      <c r="I2309" s="22" t="s">
        <v>2518</v>
      </c>
      <c r="J2309" s="22" t="s">
        <v>4407</v>
      </c>
      <c r="K2309" s="22" t="s">
        <v>66</v>
      </c>
      <c r="L2309" s="22"/>
      <c r="M2309" s="22"/>
      <c r="N2309" s="22"/>
    </row>
    <row r="2310" spans="1:14" x14ac:dyDescent="0.25">
      <c r="A2310" s="22" t="s">
        <v>2517</v>
      </c>
      <c r="B2310" s="22" t="s">
        <v>39</v>
      </c>
      <c r="C2310" s="22" t="s">
        <v>7466</v>
      </c>
      <c r="D2310" s="23">
        <v>-32700</v>
      </c>
      <c r="E2310" s="22" t="s">
        <v>57</v>
      </c>
      <c r="F2310" s="24">
        <v>44427</v>
      </c>
      <c r="G2310" s="22" t="s">
        <v>862</v>
      </c>
      <c r="H2310" s="22" t="s">
        <v>2443</v>
      </c>
      <c r="I2310" s="22" t="s">
        <v>2516</v>
      </c>
      <c r="J2310" s="22" t="s">
        <v>4407</v>
      </c>
      <c r="K2310" s="22" t="s">
        <v>66</v>
      </c>
      <c r="L2310" s="22"/>
      <c r="M2310" s="22"/>
      <c r="N2310" s="22"/>
    </row>
    <row r="2311" spans="1:14" x14ac:dyDescent="0.25">
      <c r="A2311" s="22" t="s">
        <v>2588</v>
      </c>
      <c r="B2311" s="22" t="s">
        <v>39</v>
      </c>
      <c r="C2311" s="22" t="s">
        <v>7466</v>
      </c>
      <c r="D2311" s="23">
        <v>-71600</v>
      </c>
      <c r="E2311" s="22" t="s">
        <v>57</v>
      </c>
      <c r="F2311" s="24">
        <v>44433</v>
      </c>
      <c r="G2311" s="22" t="s">
        <v>862</v>
      </c>
      <c r="H2311" s="22" t="s">
        <v>2443</v>
      </c>
      <c r="I2311" s="22" t="s">
        <v>2587</v>
      </c>
      <c r="J2311" s="22" t="s">
        <v>4407</v>
      </c>
      <c r="K2311" s="22" t="s">
        <v>66</v>
      </c>
      <c r="L2311" s="22"/>
      <c r="M2311" s="22"/>
      <c r="N2311" s="22"/>
    </row>
    <row r="2312" spans="1:14" x14ac:dyDescent="0.25">
      <c r="A2312" s="22" t="s">
        <v>2586</v>
      </c>
      <c r="B2312" s="22" t="s">
        <v>39</v>
      </c>
      <c r="C2312" s="22" t="s">
        <v>7466</v>
      </c>
      <c r="D2312" s="23">
        <v>-47200</v>
      </c>
      <c r="E2312" s="22" t="s">
        <v>57</v>
      </c>
      <c r="F2312" s="24">
        <v>44438</v>
      </c>
      <c r="G2312" s="22" t="s">
        <v>862</v>
      </c>
      <c r="H2312" s="22" t="s">
        <v>2443</v>
      </c>
      <c r="I2312" s="22" t="s">
        <v>2585</v>
      </c>
      <c r="J2312" s="22" t="s">
        <v>4407</v>
      </c>
      <c r="K2312" s="22" t="s">
        <v>66</v>
      </c>
      <c r="L2312" s="22"/>
      <c r="M2312" s="22"/>
      <c r="N2312" s="22"/>
    </row>
    <row r="2313" spans="1:14" x14ac:dyDescent="0.25">
      <c r="A2313" s="22" t="s">
        <v>2584</v>
      </c>
      <c r="B2313" s="22" t="s">
        <v>39</v>
      </c>
      <c r="C2313" s="22" t="s">
        <v>3643</v>
      </c>
      <c r="D2313" s="23">
        <v>2565975</v>
      </c>
      <c r="E2313" s="22" t="s">
        <v>42</v>
      </c>
      <c r="F2313" s="24">
        <v>44476</v>
      </c>
      <c r="G2313" s="22" t="s">
        <v>862</v>
      </c>
      <c r="H2313" s="22" t="s">
        <v>577</v>
      </c>
      <c r="I2313" s="22" t="s">
        <v>2583</v>
      </c>
      <c r="J2313" s="22" t="s">
        <v>4401</v>
      </c>
      <c r="K2313" s="22" t="s">
        <v>292</v>
      </c>
      <c r="L2313" s="22"/>
      <c r="M2313" s="22"/>
      <c r="N2313" s="22"/>
    </row>
    <row r="2314" spans="1:14" x14ac:dyDescent="0.25">
      <c r="A2314" s="22" t="s">
        <v>2581</v>
      </c>
      <c r="B2314" s="22" t="s">
        <v>39</v>
      </c>
      <c r="C2314" s="22" t="s">
        <v>7472</v>
      </c>
      <c r="D2314" s="23">
        <v>-114372</v>
      </c>
      <c r="E2314" s="22" t="s">
        <v>57</v>
      </c>
      <c r="F2314" s="24">
        <v>44465</v>
      </c>
      <c r="G2314" s="22" t="s">
        <v>684</v>
      </c>
      <c r="H2314" s="22" t="s">
        <v>2582</v>
      </c>
      <c r="I2314" s="22" t="s">
        <v>2580</v>
      </c>
      <c r="J2314" s="22" t="s">
        <v>4401</v>
      </c>
      <c r="K2314" s="22" t="s">
        <v>66</v>
      </c>
      <c r="L2314" s="22"/>
      <c r="M2314" s="22"/>
      <c r="N2314" s="22"/>
    </row>
    <row r="2315" spans="1:14" x14ac:dyDescent="0.25">
      <c r="A2315" s="22" t="s">
        <v>685</v>
      </c>
      <c r="B2315" s="22" t="s">
        <v>39</v>
      </c>
      <c r="C2315" s="22" t="s">
        <v>7465</v>
      </c>
      <c r="D2315" s="23">
        <v>-5851076</v>
      </c>
      <c r="E2315" s="22" t="s">
        <v>45</v>
      </c>
      <c r="F2315" s="24">
        <v>44322</v>
      </c>
      <c r="G2315" s="22" t="s">
        <v>684</v>
      </c>
      <c r="H2315" s="22"/>
      <c r="I2315" s="22" t="s">
        <v>684</v>
      </c>
      <c r="J2315" s="22" t="s">
        <v>4401</v>
      </c>
      <c r="K2315" s="22" t="s">
        <v>4479</v>
      </c>
      <c r="L2315" s="22"/>
      <c r="M2315" s="22"/>
      <c r="N2315" s="22"/>
    </row>
    <row r="2316" spans="1:14" x14ac:dyDescent="0.25">
      <c r="A2316" s="22" t="s">
        <v>685</v>
      </c>
      <c r="B2316" s="22" t="s">
        <v>39</v>
      </c>
      <c r="C2316" s="22" t="s">
        <v>7465</v>
      </c>
      <c r="D2316" s="23">
        <v>6426934</v>
      </c>
      <c r="E2316" s="22" t="s">
        <v>45</v>
      </c>
      <c r="F2316" s="24">
        <v>44322</v>
      </c>
      <c r="G2316" s="22" t="s">
        <v>684</v>
      </c>
      <c r="H2316" s="22"/>
      <c r="I2316" s="22" t="s">
        <v>684</v>
      </c>
      <c r="J2316" s="22" t="s">
        <v>4407</v>
      </c>
      <c r="K2316" s="22" t="s">
        <v>4479</v>
      </c>
      <c r="L2316" s="22"/>
      <c r="M2316" s="22"/>
      <c r="N2316" s="22"/>
    </row>
    <row r="2317" spans="1:14" x14ac:dyDescent="0.25">
      <c r="A2317" s="22" t="s">
        <v>2578</v>
      </c>
      <c r="B2317" s="22" t="s">
        <v>39</v>
      </c>
      <c r="C2317" s="22" t="s">
        <v>40</v>
      </c>
      <c r="D2317" s="23">
        <v>5965448</v>
      </c>
      <c r="E2317" s="22" t="s">
        <v>42</v>
      </c>
      <c r="F2317" s="24">
        <v>44414</v>
      </c>
      <c r="G2317" s="22" t="s">
        <v>684</v>
      </c>
      <c r="H2317" s="22" t="s">
        <v>2579</v>
      </c>
      <c r="I2317" s="22" t="s">
        <v>2577</v>
      </c>
      <c r="J2317" s="22" t="s">
        <v>4401</v>
      </c>
      <c r="K2317" s="22" t="s">
        <v>292</v>
      </c>
      <c r="L2317" s="22"/>
      <c r="M2317" s="22"/>
      <c r="N2317" s="22"/>
    </row>
    <row r="2318" spans="1:14" x14ac:dyDescent="0.25">
      <c r="A2318" s="22" t="s">
        <v>685</v>
      </c>
      <c r="B2318" s="22" t="s">
        <v>39</v>
      </c>
      <c r="C2318" s="22" t="s">
        <v>7457</v>
      </c>
      <c r="D2318" s="23">
        <v>-6426934</v>
      </c>
      <c r="E2318" s="22" t="s">
        <v>45</v>
      </c>
      <c r="F2318" s="24">
        <v>44322</v>
      </c>
      <c r="G2318" s="22" t="s">
        <v>684</v>
      </c>
      <c r="H2318" s="22" t="s">
        <v>2576</v>
      </c>
      <c r="I2318" s="22" t="s">
        <v>2575</v>
      </c>
      <c r="J2318" s="22" t="s">
        <v>4407</v>
      </c>
      <c r="K2318" s="22" t="s">
        <v>4479</v>
      </c>
      <c r="L2318" s="22"/>
      <c r="M2318" s="22"/>
      <c r="N2318" s="22"/>
    </row>
    <row r="2319" spans="1:14" x14ac:dyDescent="0.25">
      <c r="A2319" s="22" t="s">
        <v>2574</v>
      </c>
      <c r="B2319" s="22" t="s">
        <v>39</v>
      </c>
      <c r="C2319" s="22" t="s">
        <v>7462</v>
      </c>
      <c r="D2319" s="23">
        <v>-47200</v>
      </c>
      <c r="E2319" s="22" t="s">
        <v>57</v>
      </c>
      <c r="F2319" s="24">
        <v>44441</v>
      </c>
      <c r="G2319" s="22" t="s">
        <v>703</v>
      </c>
      <c r="H2319" s="22" t="s">
        <v>319</v>
      </c>
      <c r="I2319" s="22" t="s">
        <v>2573</v>
      </c>
      <c r="J2319" s="22" t="s">
        <v>4407</v>
      </c>
      <c r="K2319" s="22" t="s">
        <v>66</v>
      </c>
      <c r="L2319" s="22"/>
      <c r="M2319" s="22"/>
      <c r="N2319" s="22"/>
    </row>
    <row r="2320" spans="1:14" x14ac:dyDescent="0.25">
      <c r="A2320" s="22" t="s">
        <v>2572</v>
      </c>
      <c r="B2320" s="22" t="s">
        <v>39</v>
      </c>
      <c r="C2320" s="22" t="s">
        <v>7462</v>
      </c>
      <c r="D2320" s="23">
        <v>-47200</v>
      </c>
      <c r="E2320" s="22" t="s">
        <v>57</v>
      </c>
      <c r="F2320" s="24">
        <v>44455</v>
      </c>
      <c r="G2320" s="22" t="s">
        <v>703</v>
      </c>
      <c r="H2320" s="22" t="s">
        <v>319</v>
      </c>
      <c r="I2320" s="22" t="s">
        <v>2571</v>
      </c>
      <c r="J2320" s="22" t="s">
        <v>4407</v>
      </c>
      <c r="K2320" s="22" t="s">
        <v>66</v>
      </c>
      <c r="L2320" s="22"/>
      <c r="M2320" s="22"/>
      <c r="N2320" s="22"/>
    </row>
    <row r="2321" spans="1:14" x14ac:dyDescent="0.25">
      <c r="A2321" s="22" t="s">
        <v>2570</v>
      </c>
      <c r="B2321" s="22" t="s">
        <v>39</v>
      </c>
      <c r="C2321" s="22" t="s">
        <v>7462</v>
      </c>
      <c r="D2321" s="23">
        <v>-85600</v>
      </c>
      <c r="E2321" s="22" t="s">
        <v>57</v>
      </c>
      <c r="F2321" s="24">
        <v>44448</v>
      </c>
      <c r="G2321" s="22" t="s">
        <v>703</v>
      </c>
      <c r="H2321" s="22" t="s">
        <v>319</v>
      </c>
      <c r="I2321" s="22" t="s">
        <v>2569</v>
      </c>
      <c r="J2321" s="22" t="s">
        <v>4407</v>
      </c>
      <c r="K2321" s="22" t="s">
        <v>66</v>
      </c>
      <c r="L2321" s="22"/>
      <c r="M2321" s="22"/>
      <c r="N2321" s="22"/>
    </row>
    <row r="2322" spans="1:14" x14ac:dyDescent="0.25">
      <c r="A2322" s="22" t="s">
        <v>2567</v>
      </c>
      <c r="B2322" s="22" t="s">
        <v>39</v>
      </c>
      <c r="C2322" s="22" t="s">
        <v>7462</v>
      </c>
      <c r="D2322" s="23">
        <v>-32700</v>
      </c>
      <c r="E2322" s="22" t="s">
        <v>57</v>
      </c>
      <c r="F2322" s="24">
        <v>44462</v>
      </c>
      <c r="G2322" s="22" t="s">
        <v>703</v>
      </c>
      <c r="H2322" s="22" t="s">
        <v>2568</v>
      </c>
      <c r="I2322" s="22" t="s">
        <v>2566</v>
      </c>
      <c r="J2322" s="22" t="s">
        <v>4407</v>
      </c>
      <c r="K2322" s="22" t="s">
        <v>66</v>
      </c>
      <c r="L2322" s="22"/>
      <c r="M2322" s="22"/>
      <c r="N2322" s="22"/>
    </row>
    <row r="2323" spans="1:14" x14ac:dyDescent="0.25">
      <c r="A2323" s="22" t="s">
        <v>2565</v>
      </c>
      <c r="B2323" s="22" t="s">
        <v>39</v>
      </c>
      <c r="C2323" s="22" t="s">
        <v>7462</v>
      </c>
      <c r="D2323" s="23">
        <v>-32700</v>
      </c>
      <c r="E2323" s="22" t="s">
        <v>57</v>
      </c>
      <c r="F2323" s="24">
        <v>44461</v>
      </c>
      <c r="G2323" s="22" t="s">
        <v>703</v>
      </c>
      <c r="H2323" s="22" t="s">
        <v>332</v>
      </c>
      <c r="I2323" s="22" t="s">
        <v>2564</v>
      </c>
      <c r="J2323" s="22" t="s">
        <v>4407</v>
      </c>
      <c r="K2323" s="22" t="s">
        <v>66</v>
      </c>
      <c r="L2323" s="22"/>
      <c r="M2323" s="22"/>
      <c r="N2323" s="22"/>
    </row>
    <row r="2324" spans="1:14" x14ac:dyDescent="0.25">
      <c r="A2324" s="22" t="s">
        <v>2563</v>
      </c>
      <c r="B2324" s="22" t="s">
        <v>39</v>
      </c>
      <c r="C2324" s="22" t="s">
        <v>7462</v>
      </c>
      <c r="D2324" s="23">
        <v>-32700</v>
      </c>
      <c r="E2324" s="22" t="s">
        <v>57</v>
      </c>
      <c r="F2324" s="24">
        <v>44468</v>
      </c>
      <c r="G2324" s="22" t="s">
        <v>703</v>
      </c>
      <c r="H2324" s="22" t="s">
        <v>439</v>
      </c>
      <c r="I2324" s="22" t="s">
        <v>2562</v>
      </c>
      <c r="J2324" s="22" t="s">
        <v>4407</v>
      </c>
      <c r="K2324" s="22" t="s">
        <v>66</v>
      </c>
      <c r="L2324" s="22"/>
      <c r="M2324" s="22"/>
      <c r="N2324" s="22"/>
    </row>
    <row r="2325" spans="1:14" x14ac:dyDescent="0.25">
      <c r="A2325" s="22" t="s">
        <v>2561</v>
      </c>
      <c r="B2325" s="22" t="s">
        <v>39</v>
      </c>
      <c r="C2325" s="22" t="s">
        <v>7462</v>
      </c>
      <c r="D2325" s="23">
        <v>-47200</v>
      </c>
      <c r="E2325" s="22" t="s">
        <v>57</v>
      </c>
      <c r="F2325" s="24">
        <v>44469</v>
      </c>
      <c r="G2325" s="22" t="s">
        <v>703</v>
      </c>
      <c r="H2325" s="22" t="s">
        <v>319</v>
      </c>
      <c r="I2325" s="22" t="s">
        <v>2560</v>
      </c>
      <c r="J2325" s="22" t="s">
        <v>4407</v>
      </c>
      <c r="K2325" s="22" t="s">
        <v>66</v>
      </c>
      <c r="L2325" s="22"/>
      <c r="M2325" s="22"/>
      <c r="N2325" s="22"/>
    </row>
    <row r="2326" spans="1:14" x14ac:dyDescent="0.25">
      <c r="A2326" s="22" t="s">
        <v>702</v>
      </c>
      <c r="B2326" s="22" t="s">
        <v>39</v>
      </c>
      <c r="C2326" s="22" t="s">
        <v>7465</v>
      </c>
      <c r="D2326" s="23">
        <v>48000</v>
      </c>
      <c r="E2326" s="22" t="s">
        <v>45</v>
      </c>
      <c r="F2326" s="24">
        <v>44322</v>
      </c>
      <c r="G2326" s="22" t="s">
        <v>703</v>
      </c>
      <c r="H2326" s="22"/>
      <c r="I2326" s="22" t="s">
        <v>703</v>
      </c>
      <c r="J2326" s="22" t="s">
        <v>4552</v>
      </c>
      <c r="K2326" s="22" t="s">
        <v>4479</v>
      </c>
      <c r="L2326" s="22"/>
      <c r="M2326" s="22"/>
      <c r="N2326" s="22"/>
    </row>
    <row r="2327" spans="1:14" x14ac:dyDescent="0.25">
      <c r="A2327" s="22" t="s">
        <v>702</v>
      </c>
      <c r="B2327" s="22" t="s">
        <v>39</v>
      </c>
      <c r="C2327" s="22" t="s">
        <v>7465</v>
      </c>
      <c r="D2327" s="23">
        <v>-1403400</v>
      </c>
      <c r="E2327" s="22" t="s">
        <v>45</v>
      </c>
      <c r="F2327" s="24">
        <v>44322</v>
      </c>
      <c r="G2327" s="22" t="s">
        <v>703</v>
      </c>
      <c r="H2327" s="22"/>
      <c r="I2327" s="22" t="s">
        <v>703</v>
      </c>
      <c r="J2327" s="22" t="s">
        <v>4401</v>
      </c>
      <c r="K2327" s="22" t="s">
        <v>4479</v>
      </c>
      <c r="L2327" s="22"/>
      <c r="M2327" s="22"/>
      <c r="N2327" s="22"/>
    </row>
    <row r="2328" spans="1:14" x14ac:dyDescent="0.25">
      <c r="A2328" s="22" t="s">
        <v>702</v>
      </c>
      <c r="B2328" s="22" t="s">
        <v>39</v>
      </c>
      <c r="C2328" s="22" t="s">
        <v>7465</v>
      </c>
      <c r="D2328" s="23">
        <v>3180861</v>
      </c>
      <c r="E2328" s="22" t="s">
        <v>45</v>
      </c>
      <c r="F2328" s="24">
        <v>44322</v>
      </c>
      <c r="G2328" s="22" t="s">
        <v>703</v>
      </c>
      <c r="H2328" s="22"/>
      <c r="I2328" s="22" t="s">
        <v>703</v>
      </c>
      <c r="J2328" s="22" t="s">
        <v>4407</v>
      </c>
      <c r="K2328" s="22" t="s">
        <v>4479</v>
      </c>
      <c r="L2328" s="22"/>
      <c r="M2328" s="22"/>
      <c r="N2328" s="22"/>
    </row>
    <row r="2329" spans="1:14" x14ac:dyDescent="0.25">
      <c r="A2329" s="22" t="s">
        <v>2558</v>
      </c>
      <c r="B2329" s="22" t="s">
        <v>39</v>
      </c>
      <c r="C2329" s="22" t="s">
        <v>191</v>
      </c>
      <c r="D2329" s="23">
        <v>-144021</v>
      </c>
      <c r="E2329" s="22" t="s">
        <v>57</v>
      </c>
      <c r="F2329" s="24">
        <v>44426</v>
      </c>
      <c r="G2329" s="22" t="s">
        <v>703</v>
      </c>
      <c r="H2329" s="22" t="s">
        <v>2559</v>
      </c>
      <c r="I2329" s="22" t="s">
        <v>2557</v>
      </c>
      <c r="J2329" s="22" t="s">
        <v>4407</v>
      </c>
      <c r="K2329" s="22" t="s">
        <v>66</v>
      </c>
      <c r="L2329" s="22"/>
      <c r="M2329" s="22"/>
      <c r="N2329" s="22"/>
    </row>
    <row r="2330" spans="1:14" x14ac:dyDescent="0.25">
      <c r="A2330" s="22" t="s">
        <v>2555</v>
      </c>
      <c r="B2330" s="22" t="s">
        <v>39</v>
      </c>
      <c r="C2330" s="22" t="s">
        <v>7466</v>
      </c>
      <c r="D2330" s="23">
        <v>-32700</v>
      </c>
      <c r="E2330" s="22" t="s">
        <v>57</v>
      </c>
      <c r="F2330" s="24">
        <v>44420</v>
      </c>
      <c r="G2330" s="22" t="s">
        <v>703</v>
      </c>
      <c r="H2330" s="22" t="s">
        <v>2556</v>
      </c>
      <c r="I2330" s="22" t="s">
        <v>2554</v>
      </c>
      <c r="J2330" s="22" t="s">
        <v>4407</v>
      </c>
      <c r="K2330" s="22" t="s">
        <v>66</v>
      </c>
      <c r="L2330" s="22"/>
      <c r="M2330" s="22"/>
      <c r="N2330" s="22"/>
    </row>
    <row r="2331" spans="1:14" x14ac:dyDescent="0.25">
      <c r="A2331" s="22" t="s">
        <v>2553</v>
      </c>
      <c r="B2331" s="22" t="s">
        <v>39</v>
      </c>
      <c r="C2331" s="22" t="s">
        <v>7466</v>
      </c>
      <c r="D2331" s="23">
        <v>-32700</v>
      </c>
      <c r="E2331" s="22" t="s">
        <v>57</v>
      </c>
      <c r="F2331" s="24">
        <v>44428</v>
      </c>
      <c r="G2331" s="22" t="s">
        <v>703</v>
      </c>
      <c r="H2331" s="22" t="s">
        <v>319</v>
      </c>
      <c r="I2331" s="22" t="s">
        <v>2552</v>
      </c>
      <c r="J2331" s="22" t="s">
        <v>4407</v>
      </c>
      <c r="K2331" s="22" t="s">
        <v>66</v>
      </c>
      <c r="L2331" s="22"/>
      <c r="M2331" s="22"/>
      <c r="N2331" s="22"/>
    </row>
    <row r="2332" spans="1:14" x14ac:dyDescent="0.25">
      <c r="A2332" s="22" t="s">
        <v>2551</v>
      </c>
      <c r="B2332" s="22" t="s">
        <v>39</v>
      </c>
      <c r="C2332" s="22" t="s">
        <v>7466</v>
      </c>
      <c r="D2332" s="23">
        <v>-37100</v>
      </c>
      <c r="E2332" s="22" t="s">
        <v>57</v>
      </c>
      <c r="F2332" s="24">
        <v>44435</v>
      </c>
      <c r="G2332" s="22" t="s">
        <v>703</v>
      </c>
      <c r="H2332" s="22" t="s">
        <v>332</v>
      </c>
      <c r="I2332" s="22" t="s">
        <v>2550</v>
      </c>
      <c r="J2332" s="22" t="s">
        <v>4407</v>
      </c>
      <c r="K2332" s="22" t="s">
        <v>66</v>
      </c>
      <c r="L2332" s="22"/>
      <c r="M2332" s="22"/>
      <c r="N2332" s="22"/>
    </row>
    <row r="2333" spans="1:14" x14ac:dyDescent="0.25">
      <c r="A2333" s="22" t="s">
        <v>2549</v>
      </c>
      <c r="B2333" s="22" t="s">
        <v>39</v>
      </c>
      <c r="C2333" s="22" t="s">
        <v>7466</v>
      </c>
      <c r="D2333" s="23">
        <v>-19350</v>
      </c>
      <c r="E2333" s="22" t="s">
        <v>45</v>
      </c>
      <c r="F2333" s="24">
        <v>44417</v>
      </c>
      <c r="G2333" s="22" t="s">
        <v>703</v>
      </c>
      <c r="H2333" s="22" t="s">
        <v>874</v>
      </c>
      <c r="I2333" s="22" t="s">
        <v>2548</v>
      </c>
      <c r="J2333" s="22" t="s">
        <v>4407</v>
      </c>
      <c r="K2333" s="22" t="s">
        <v>66</v>
      </c>
      <c r="L2333" s="22"/>
      <c r="M2333" s="22"/>
      <c r="N2333" s="22"/>
    </row>
    <row r="2334" spans="1:14" x14ac:dyDescent="0.25">
      <c r="A2334" s="22" t="s">
        <v>2547</v>
      </c>
      <c r="B2334" s="22" t="s">
        <v>39</v>
      </c>
      <c r="C2334" s="22" t="s">
        <v>7463</v>
      </c>
      <c r="D2334" s="23">
        <v>-41800</v>
      </c>
      <c r="E2334" s="22" t="s">
        <v>57</v>
      </c>
      <c r="F2334" s="24">
        <v>44411</v>
      </c>
      <c r="G2334" s="22" t="s">
        <v>703</v>
      </c>
      <c r="H2334" s="22" t="s">
        <v>711</v>
      </c>
      <c r="I2334" s="22" t="s">
        <v>2546</v>
      </c>
      <c r="J2334" s="22" t="s">
        <v>4552</v>
      </c>
      <c r="K2334" s="22" t="s">
        <v>61</v>
      </c>
      <c r="L2334" s="22"/>
      <c r="M2334" s="22"/>
      <c r="N2334" s="22"/>
    </row>
    <row r="2335" spans="1:14" x14ac:dyDescent="0.25">
      <c r="A2335" s="22" t="s">
        <v>710</v>
      </c>
      <c r="B2335" s="22" t="s">
        <v>39</v>
      </c>
      <c r="C2335" s="22" t="s">
        <v>7463</v>
      </c>
      <c r="D2335" s="23">
        <v>-6200</v>
      </c>
      <c r="E2335" s="22" t="s">
        <v>57</v>
      </c>
      <c r="F2335" s="24">
        <v>44412</v>
      </c>
      <c r="G2335" s="22" t="s">
        <v>703</v>
      </c>
      <c r="H2335" s="22" t="s">
        <v>711</v>
      </c>
      <c r="I2335" s="22" t="s">
        <v>709</v>
      </c>
      <c r="J2335" s="22" t="s">
        <v>4552</v>
      </c>
      <c r="K2335" s="22" t="s">
        <v>61</v>
      </c>
      <c r="L2335" s="22"/>
      <c r="M2335" s="22"/>
      <c r="N2335" s="22"/>
    </row>
    <row r="2336" spans="1:14" x14ac:dyDescent="0.25">
      <c r="A2336" s="22" t="s">
        <v>708</v>
      </c>
      <c r="B2336" s="22" t="s">
        <v>39</v>
      </c>
      <c r="C2336" s="22" t="s">
        <v>3480</v>
      </c>
      <c r="D2336" s="23">
        <v>1403400</v>
      </c>
      <c r="E2336" s="22" t="s">
        <v>42</v>
      </c>
      <c r="F2336" s="24">
        <v>44446</v>
      </c>
      <c r="G2336" s="22" t="s">
        <v>703</v>
      </c>
      <c r="H2336" s="22" t="s">
        <v>605</v>
      </c>
      <c r="I2336" s="22" t="s">
        <v>707</v>
      </c>
      <c r="J2336" s="22" t="s">
        <v>4401</v>
      </c>
      <c r="K2336" s="22" t="s">
        <v>292</v>
      </c>
      <c r="L2336" s="22"/>
      <c r="M2336" s="22"/>
      <c r="N2336" s="22"/>
    </row>
    <row r="2337" spans="1:14" x14ac:dyDescent="0.25">
      <c r="A2337" s="22" t="s">
        <v>3212</v>
      </c>
      <c r="B2337" s="22" t="s">
        <v>39</v>
      </c>
      <c r="C2337" s="22" t="s">
        <v>7473</v>
      </c>
      <c r="D2337" s="23">
        <v>-462000</v>
      </c>
      <c r="E2337" s="22" t="s">
        <v>588</v>
      </c>
      <c r="F2337" s="24">
        <v>43531</v>
      </c>
      <c r="G2337" s="22" t="s">
        <v>703</v>
      </c>
      <c r="H2337" s="22" t="s">
        <v>706</v>
      </c>
      <c r="I2337" s="22" t="s">
        <v>705</v>
      </c>
      <c r="J2337" s="22" t="s">
        <v>4407</v>
      </c>
      <c r="K2337" s="22" t="s">
        <v>4479</v>
      </c>
      <c r="L2337" s="22"/>
      <c r="M2337" s="22"/>
      <c r="N2337" s="22"/>
    </row>
    <row r="2338" spans="1:14" x14ac:dyDescent="0.25">
      <c r="A2338" s="22" t="s">
        <v>702</v>
      </c>
      <c r="B2338" s="22" t="s">
        <v>39</v>
      </c>
      <c r="C2338" s="22" t="s">
        <v>7474</v>
      </c>
      <c r="D2338" s="23">
        <v>-2127690</v>
      </c>
      <c r="E2338" s="22" t="s">
        <v>588</v>
      </c>
      <c r="F2338" s="24">
        <v>44322</v>
      </c>
      <c r="G2338" s="22" t="s">
        <v>703</v>
      </c>
      <c r="H2338" s="22" t="s">
        <v>704</v>
      </c>
      <c r="I2338" s="22" t="s">
        <v>701</v>
      </c>
      <c r="J2338" s="22" t="s">
        <v>4407</v>
      </c>
      <c r="K2338" s="22" t="s">
        <v>4479</v>
      </c>
      <c r="L2338" s="22"/>
      <c r="M2338" s="22"/>
      <c r="N2338" s="22"/>
    </row>
    <row r="2339" spans="1:14" x14ac:dyDescent="0.25">
      <c r="A2339" s="22" t="s">
        <v>700</v>
      </c>
      <c r="B2339" s="22" t="s">
        <v>39</v>
      </c>
      <c r="C2339" s="22" t="s">
        <v>55</v>
      </c>
      <c r="D2339" s="23">
        <v>-217561</v>
      </c>
      <c r="E2339" s="22" t="s">
        <v>57</v>
      </c>
      <c r="F2339" s="24">
        <v>44448</v>
      </c>
      <c r="G2339" s="22" t="s">
        <v>646</v>
      </c>
      <c r="H2339" s="22" t="s">
        <v>695</v>
      </c>
      <c r="I2339" s="22" t="s">
        <v>699</v>
      </c>
      <c r="J2339" s="22" t="s">
        <v>4552</v>
      </c>
      <c r="K2339" s="22" t="s">
        <v>61</v>
      </c>
      <c r="L2339" s="22"/>
      <c r="M2339" s="22"/>
      <c r="N2339" s="22"/>
    </row>
    <row r="2340" spans="1:14" x14ac:dyDescent="0.25">
      <c r="A2340" s="22" t="s">
        <v>697</v>
      </c>
      <c r="B2340" s="22" t="s">
        <v>39</v>
      </c>
      <c r="C2340" s="22" t="s">
        <v>55</v>
      </c>
      <c r="D2340" s="23">
        <v>-53700</v>
      </c>
      <c r="E2340" s="22" t="s">
        <v>57</v>
      </c>
      <c r="F2340" s="24">
        <v>44460</v>
      </c>
      <c r="G2340" s="22" t="s">
        <v>646</v>
      </c>
      <c r="H2340" s="22" t="s">
        <v>698</v>
      </c>
      <c r="I2340" s="22" t="s">
        <v>696</v>
      </c>
      <c r="J2340" s="22" t="s">
        <v>4552</v>
      </c>
      <c r="K2340" s="22" t="s">
        <v>61</v>
      </c>
      <c r="L2340" s="22"/>
      <c r="M2340" s="22"/>
      <c r="N2340" s="22"/>
    </row>
    <row r="2341" spans="1:14" x14ac:dyDescent="0.25">
      <c r="A2341" s="22" t="s">
        <v>694</v>
      </c>
      <c r="B2341" s="22" t="s">
        <v>39</v>
      </c>
      <c r="C2341" s="22" t="s">
        <v>55</v>
      </c>
      <c r="D2341" s="23">
        <v>-53700</v>
      </c>
      <c r="E2341" s="22" t="s">
        <v>57</v>
      </c>
      <c r="F2341" s="24">
        <v>44460</v>
      </c>
      <c r="G2341" s="22" t="s">
        <v>646</v>
      </c>
      <c r="H2341" s="22" t="s">
        <v>695</v>
      </c>
      <c r="I2341" s="22" t="s">
        <v>693</v>
      </c>
      <c r="J2341" s="22" t="s">
        <v>4552</v>
      </c>
      <c r="K2341" s="22" t="s">
        <v>61</v>
      </c>
      <c r="L2341" s="22"/>
      <c r="M2341" s="22"/>
      <c r="N2341" s="22"/>
    </row>
    <row r="2342" spans="1:14" x14ac:dyDescent="0.25">
      <c r="A2342" s="22" t="s">
        <v>647</v>
      </c>
      <c r="B2342" s="22" t="s">
        <v>39</v>
      </c>
      <c r="C2342" s="22" t="s">
        <v>55</v>
      </c>
      <c r="D2342" s="23">
        <v>-23769</v>
      </c>
      <c r="E2342" s="22" t="s">
        <v>45</v>
      </c>
      <c r="F2342" s="24">
        <v>44452</v>
      </c>
      <c r="G2342" s="22" t="s">
        <v>646</v>
      </c>
      <c r="H2342" s="22" t="s">
        <v>692</v>
      </c>
      <c r="I2342" s="22" t="s">
        <v>691</v>
      </c>
      <c r="J2342" s="22" t="s">
        <v>4552</v>
      </c>
      <c r="K2342" s="22" t="s">
        <v>61</v>
      </c>
      <c r="L2342" s="22"/>
      <c r="M2342" s="22"/>
      <c r="N2342" s="22"/>
    </row>
    <row r="2343" spans="1:14" x14ac:dyDescent="0.25">
      <c r="A2343" s="22" t="s">
        <v>647</v>
      </c>
      <c r="B2343" s="22" t="s">
        <v>39</v>
      </c>
      <c r="C2343" s="22" t="s">
        <v>7465</v>
      </c>
      <c r="D2343" s="23">
        <v>348730</v>
      </c>
      <c r="E2343" s="22" t="s">
        <v>45</v>
      </c>
      <c r="F2343" s="24">
        <v>44452</v>
      </c>
      <c r="G2343" s="22" t="s">
        <v>646</v>
      </c>
      <c r="H2343" s="22"/>
      <c r="I2343" s="22" t="s">
        <v>646</v>
      </c>
      <c r="J2343" s="22" t="s">
        <v>4552</v>
      </c>
      <c r="K2343" s="22" t="s">
        <v>61</v>
      </c>
      <c r="L2343" s="22"/>
      <c r="M2343" s="22"/>
      <c r="N2343" s="22"/>
    </row>
    <row r="2344" spans="1:14" x14ac:dyDescent="0.25">
      <c r="A2344" s="22" t="s">
        <v>647</v>
      </c>
      <c r="B2344" s="22" t="s">
        <v>39</v>
      </c>
      <c r="C2344" s="22" t="s">
        <v>7465</v>
      </c>
      <c r="D2344" s="23">
        <v>-955911</v>
      </c>
      <c r="E2344" s="22" t="s">
        <v>45</v>
      </c>
      <c r="F2344" s="24">
        <v>44452</v>
      </c>
      <c r="G2344" s="22" t="s">
        <v>646</v>
      </c>
      <c r="H2344" s="22"/>
      <c r="I2344" s="22" t="s">
        <v>646</v>
      </c>
      <c r="J2344" s="22" t="s">
        <v>4401</v>
      </c>
      <c r="K2344" s="22" t="s">
        <v>61</v>
      </c>
      <c r="L2344" s="22"/>
      <c r="M2344" s="22"/>
      <c r="N2344" s="22"/>
    </row>
    <row r="2345" spans="1:14" x14ac:dyDescent="0.25">
      <c r="A2345" s="22" t="s">
        <v>647</v>
      </c>
      <c r="B2345" s="22" t="s">
        <v>39</v>
      </c>
      <c r="C2345" s="22" t="s">
        <v>7465</v>
      </c>
      <c r="D2345" s="23">
        <v>607458</v>
      </c>
      <c r="E2345" s="22" t="s">
        <v>45</v>
      </c>
      <c r="F2345" s="24">
        <v>44452</v>
      </c>
      <c r="G2345" s="22" t="s">
        <v>646</v>
      </c>
      <c r="H2345" s="22"/>
      <c r="I2345" s="22" t="s">
        <v>646</v>
      </c>
      <c r="J2345" s="22" t="s">
        <v>4407</v>
      </c>
      <c r="K2345" s="22" t="s">
        <v>61</v>
      </c>
      <c r="L2345" s="22"/>
      <c r="M2345" s="22"/>
      <c r="N2345" s="22"/>
    </row>
    <row r="2346" spans="1:14" x14ac:dyDescent="0.25">
      <c r="A2346" s="22" t="s">
        <v>690</v>
      </c>
      <c r="B2346" s="22" t="s">
        <v>39</v>
      </c>
      <c r="C2346" s="22" t="s">
        <v>7466</v>
      </c>
      <c r="D2346" s="23">
        <v>-31600</v>
      </c>
      <c r="E2346" s="22" t="s">
        <v>57</v>
      </c>
      <c r="F2346" s="24">
        <v>44421</v>
      </c>
      <c r="G2346" s="22" t="s">
        <v>646</v>
      </c>
      <c r="H2346" s="22" t="s">
        <v>637</v>
      </c>
      <c r="I2346" s="22" t="s">
        <v>689</v>
      </c>
      <c r="J2346" s="22" t="s">
        <v>4407</v>
      </c>
      <c r="K2346" s="22" t="s">
        <v>66</v>
      </c>
      <c r="L2346" s="22"/>
      <c r="M2346" s="22"/>
      <c r="N2346" s="22"/>
    </row>
    <row r="2347" spans="1:14" x14ac:dyDescent="0.25">
      <c r="A2347" s="22" t="s">
        <v>688</v>
      </c>
      <c r="B2347" s="22" t="s">
        <v>39</v>
      </c>
      <c r="C2347" s="22" t="s">
        <v>3553</v>
      </c>
      <c r="D2347" s="23">
        <v>955911</v>
      </c>
      <c r="E2347" s="22" t="s">
        <v>42</v>
      </c>
      <c r="F2347" s="24">
        <v>44446</v>
      </c>
      <c r="G2347" s="22" t="s">
        <v>646</v>
      </c>
      <c r="H2347" s="22" t="s">
        <v>605</v>
      </c>
      <c r="I2347" s="22" t="s">
        <v>687</v>
      </c>
      <c r="J2347" s="22" t="s">
        <v>4401</v>
      </c>
      <c r="K2347" s="22" t="s">
        <v>292</v>
      </c>
      <c r="L2347" s="22"/>
      <c r="M2347" s="22"/>
      <c r="N2347" s="22"/>
    </row>
    <row r="2348" spans="1:14" x14ac:dyDescent="0.25">
      <c r="A2348" s="22" t="s">
        <v>685</v>
      </c>
      <c r="B2348" s="22" t="s">
        <v>39</v>
      </c>
      <c r="C2348" s="22" t="s">
        <v>7457</v>
      </c>
      <c r="D2348" s="23">
        <v>-575858</v>
      </c>
      <c r="E2348" s="22" t="s">
        <v>45</v>
      </c>
      <c r="F2348" s="24">
        <v>44322</v>
      </c>
      <c r="G2348" s="22" t="s">
        <v>646</v>
      </c>
      <c r="H2348" s="22" t="s">
        <v>686</v>
      </c>
      <c r="I2348" s="22" t="s">
        <v>684</v>
      </c>
      <c r="J2348" s="22" t="s">
        <v>4407</v>
      </c>
      <c r="K2348" s="22" t="s">
        <v>4479</v>
      </c>
      <c r="L2348" s="22"/>
      <c r="M2348" s="22"/>
      <c r="N2348" s="22"/>
    </row>
    <row r="2349" spans="1:14" x14ac:dyDescent="0.25">
      <c r="A2349" s="22" t="s">
        <v>719</v>
      </c>
      <c r="B2349" s="22" t="s">
        <v>39</v>
      </c>
      <c r="C2349" s="22" t="s">
        <v>7465</v>
      </c>
      <c r="D2349" s="23">
        <v>4033</v>
      </c>
      <c r="E2349" s="22" t="s">
        <v>45</v>
      </c>
      <c r="F2349" s="24">
        <v>44322</v>
      </c>
      <c r="G2349" s="22" t="s">
        <v>718</v>
      </c>
      <c r="H2349" s="22"/>
      <c r="I2349" s="22" t="s">
        <v>718</v>
      </c>
      <c r="J2349" s="22" t="s">
        <v>4401</v>
      </c>
      <c r="K2349" s="22" t="s">
        <v>4479</v>
      </c>
      <c r="L2349" s="22"/>
      <c r="M2349" s="22"/>
      <c r="N2349" s="22"/>
    </row>
    <row r="2350" spans="1:14" x14ac:dyDescent="0.25">
      <c r="A2350" s="22" t="s">
        <v>1969</v>
      </c>
      <c r="B2350" s="22" t="s">
        <v>39</v>
      </c>
      <c r="C2350" s="22" t="s">
        <v>3573</v>
      </c>
      <c r="D2350" s="23">
        <v>49667</v>
      </c>
      <c r="E2350" s="22" t="s">
        <v>45</v>
      </c>
      <c r="F2350" s="24">
        <v>44446</v>
      </c>
      <c r="G2350" s="22" t="s">
        <v>718</v>
      </c>
      <c r="H2350" s="22" t="s">
        <v>7475</v>
      </c>
      <c r="I2350" s="22" t="s">
        <v>1970</v>
      </c>
      <c r="J2350" s="22" t="s">
        <v>4401</v>
      </c>
      <c r="K2350" s="22" t="s">
        <v>292</v>
      </c>
      <c r="L2350" s="22"/>
      <c r="M2350" s="22"/>
      <c r="N2350" s="22"/>
    </row>
    <row r="2351" spans="1:14" x14ac:dyDescent="0.25">
      <c r="A2351" s="22" t="s">
        <v>719</v>
      </c>
      <c r="B2351" s="22" t="s">
        <v>39</v>
      </c>
      <c r="C2351" s="22" t="s">
        <v>7476</v>
      </c>
      <c r="D2351" s="23">
        <v>-53700</v>
      </c>
      <c r="E2351" s="22" t="s">
        <v>588</v>
      </c>
      <c r="F2351" s="24">
        <v>44322</v>
      </c>
      <c r="G2351" s="22" t="s">
        <v>718</v>
      </c>
      <c r="H2351" s="22" t="s">
        <v>7477</v>
      </c>
      <c r="I2351" s="22" t="s">
        <v>4876</v>
      </c>
      <c r="J2351" s="22" t="s">
        <v>4401</v>
      </c>
      <c r="K2351" s="22" t="s">
        <v>4479</v>
      </c>
      <c r="L2351" s="22"/>
      <c r="M2351" s="22"/>
      <c r="N2351" s="22"/>
    </row>
    <row r="2352" spans="1:14" x14ac:dyDescent="0.25">
      <c r="A2352" s="22" t="s">
        <v>683</v>
      </c>
      <c r="B2352" s="22" t="s">
        <v>39</v>
      </c>
      <c r="C2352" s="22" t="s">
        <v>55</v>
      </c>
      <c r="D2352" s="23">
        <v>-56554</v>
      </c>
      <c r="E2352" s="22" t="s">
        <v>57</v>
      </c>
      <c r="F2352" s="24">
        <v>44441</v>
      </c>
      <c r="G2352" s="22" t="s">
        <v>585</v>
      </c>
      <c r="H2352" s="22" t="s">
        <v>494</v>
      </c>
      <c r="I2352" s="22" t="s">
        <v>682</v>
      </c>
      <c r="J2352" s="22" t="s">
        <v>4552</v>
      </c>
      <c r="K2352" s="22" t="s">
        <v>61</v>
      </c>
      <c r="L2352" s="22"/>
      <c r="M2352" s="22"/>
      <c r="N2352" s="22"/>
    </row>
    <row r="2353" spans="1:14" x14ac:dyDescent="0.25">
      <c r="A2353" s="22" t="s">
        <v>681</v>
      </c>
      <c r="B2353" s="22" t="s">
        <v>39</v>
      </c>
      <c r="C2353" s="22" t="s">
        <v>55</v>
      </c>
      <c r="D2353" s="23">
        <v>-148024</v>
      </c>
      <c r="E2353" s="22" t="s">
        <v>57</v>
      </c>
      <c r="F2353" s="24">
        <v>44449</v>
      </c>
      <c r="G2353" s="22" t="s">
        <v>585</v>
      </c>
      <c r="H2353" s="22" t="s">
        <v>494</v>
      </c>
      <c r="I2353" s="22" t="s">
        <v>680</v>
      </c>
      <c r="J2353" s="22" t="s">
        <v>4552</v>
      </c>
      <c r="K2353" s="22" t="s">
        <v>61</v>
      </c>
      <c r="L2353" s="22"/>
      <c r="M2353" s="22"/>
      <c r="N2353" s="22"/>
    </row>
    <row r="2354" spans="1:14" x14ac:dyDescent="0.25">
      <c r="A2354" s="22" t="s">
        <v>679</v>
      </c>
      <c r="B2354" s="22" t="s">
        <v>39</v>
      </c>
      <c r="C2354" s="22" t="s">
        <v>7467</v>
      </c>
      <c r="D2354" s="23">
        <v>-32700</v>
      </c>
      <c r="E2354" s="22" t="s">
        <v>57</v>
      </c>
      <c r="F2354" s="24">
        <v>44448</v>
      </c>
      <c r="G2354" s="22" t="s">
        <v>585</v>
      </c>
      <c r="H2354" s="22" t="s">
        <v>494</v>
      </c>
      <c r="I2354" s="22" t="s">
        <v>678</v>
      </c>
      <c r="J2354" s="22" t="s">
        <v>4552</v>
      </c>
      <c r="K2354" s="22" t="s">
        <v>61</v>
      </c>
      <c r="L2354" s="22"/>
      <c r="M2354" s="22"/>
      <c r="N2354" s="22"/>
    </row>
    <row r="2355" spans="1:14" x14ac:dyDescent="0.25">
      <c r="A2355" s="22" t="s">
        <v>677</v>
      </c>
      <c r="B2355" s="22" t="s">
        <v>39</v>
      </c>
      <c r="C2355" s="22" t="s">
        <v>7467</v>
      </c>
      <c r="D2355" s="23">
        <v>-6600</v>
      </c>
      <c r="E2355" s="22" t="s">
        <v>57</v>
      </c>
      <c r="F2355" s="24">
        <v>44456</v>
      </c>
      <c r="G2355" s="22" t="s">
        <v>585</v>
      </c>
      <c r="H2355" s="22" t="s">
        <v>494</v>
      </c>
      <c r="I2355" s="22" t="s">
        <v>676</v>
      </c>
      <c r="J2355" s="22" t="s">
        <v>4552</v>
      </c>
      <c r="K2355" s="22" t="s">
        <v>61</v>
      </c>
      <c r="L2355" s="22"/>
      <c r="M2355" s="22"/>
      <c r="N2355" s="22"/>
    </row>
    <row r="2356" spans="1:14" x14ac:dyDescent="0.25">
      <c r="A2356" s="22" t="s">
        <v>675</v>
      </c>
      <c r="B2356" s="22" t="s">
        <v>39</v>
      </c>
      <c r="C2356" s="22" t="s">
        <v>7467</v>
      </c>
      <c r="D2356" s="23">
        <v>-29200</v>
      </c>
      <c r="E2356" s="22" t="s">
        <v>57</v>
      </c>
      <c r="F2356" s="24">
        <v>44459</v>
      </c>
      <c r="G2356" s="22" t="s">
        <v>585</v>
      </c>
      <c r="H2356" s="22" t="s">
        <v>667</v>
      </c>
      <c r="I2356" s="22" t="s">
        <v>674</v>
      </c>
      <c r="J2356" s="22" t="s">
        <v>4552</v>
      </c>
      <c r="K2356" s="22" t="s">
        <v>61</v>
      </c>
      <c r="L2356" s="22"/>
      <c r="M2356" s="22"/>
      <c r="N2356" s="22"/>
    </row>
    <row r="2357" spans="1:14" x14ac:dyDescent="0.25">
      <c r="A2357" s="22" t="s">
        <v>673</v>
      </c>
      <c r="B2357" s="22" t="s">
        <v>39</v>
      </c>
      <c r="C2357" s="22" t="s">
        <v>7467</v>
      </c>
      <c r="D2357" s="23">
        <v>-29200</v>
      </c>
      <c r="E2357" s="22" t="s">
        <v>57</v>
      </c>
      <c r="F2357" s="24">
        <v>44459</v>
      </c>
      <c r="G2357" s="22" t="s">
        <v>585</v>
      </c>
      <c r="H2357" s="22" t="s">
        <v>667</v>
      </c>
      <c r="I2357" s="22" t="s">
        <v>672</v>
      </c>
      <c r="J2357" s="22" t="s">
        <v>4552</v>
      </c>
      <c r="K2357" s="22" t="s">
        <v>61</v>
      </c>
      <c r="L2357" s="22"/>
      <c r="M2357" s="22"/>
      <c r="N2357" s="22"/>
    </row>
    <row r="2358" spans="1:14" x14ac:dyDescent="0.25">
      <c r="A2358" s="22" t="s">
        <v>671</v>
      </c>
      <c r="B2358" s="22" t="s">
        <v>39</v>
      </c>
      <c r="C2358" s="22" t="s">
        <v>7467</v>
      </c>
      <c r="D2358" s="23">
        <v>-29200</v>
      </c>
      <c r="E2358" s="22" t="s">
        <v>57</v>
      </c>
      <c r="F2358" s="24">
        <v>44459</v>
      </c>
      <c r="G2358" s="22" t="s">
        <v>585</v>
      </c>
      <c r="H2358" s="22" t="s">
        <v>667</v>
      </c>
      <c r="I2358" s="22" t="s">
        <v>670</v>
      </c>
      <c r="J2358" s="22" t="s">
        <v>4552</v>
      </c>
      <c r="K2358" s="22" t="s">
        <v>61</v>
      </c>
      <c r="L2358" s="22"/>
      <c r="M2358" s="22"/>
      <c r="N2358" s="22"/>
    </row>
    <row r="2359" spans="1:14" x14ac:dyDescent="0.25">
      <c r="A2359" s="22" t="s">
        <v>669</v>
      </c>
      <c r="B2359" s="22" t="s">
        <v>39</v>
      </c>
      <c r="C2359" s="22" t="s">
        <v>7467</v>
      </c>
      <c r="D2359" s="23">
        <v>-108600</v>
      </c>
      <c r="E2359" s="22" t="s">
        <v>57</v>
      </c>
      <c r="F2359" s="24">
        <v>44459</v>
      </c>
      <c r="G2359" s="22" t="s">
        <v>585</v>
      </c>
      <c r="H2359" s="22" t="s">
        <v>494</v>
      </c>
      <c r="I2359" s="22" t="s">
        <v>668</v>
      </c>
      <c r="J2359" s="22" t="s">
        <v>4552</v>
      </c>
      <c r="K2359" s="22" t="s">
        <v>61</v>
      </c>
      <c r="L2359" s="22"/>
      <c r="M2359" s="22"/>
      <c r="N2359" s="22"/>
    </row>
    <row r="2360" spans="1:14" x14ac:dyDescent="0.25">
      <c r="A2360" s="22" t="s">
        <v>584</v>
      </c>
      <c r="B2360" s="22" t="s">
        <v>39</v>
      </c>
      <c r="C2360" s="22" t="s">
        <v>7467</v>
      </c>
      <c r="D2360" s="23">
        <v>-108600</v>
      </c>
      <c r="E2360" s="22" t="s">
        <v>57</v>
      </c>
      <c r="F2360" s="24">
        <v>44461</v>
      </c>
      <c r="G2360" s="22" t="s">
        <v>585</v>
      </c>
      <c r="H2360" s="22" t="s">
        <v>667</v>
      </c>
      <c r="I2360" s="22" t="s">
        <v>666</v>
      </c>
      <c r="J2360" s="22" t="s">
        <v>4552</v>
      </c>
      <c r="K2360" s="22" t="s">
        <v>61</v>
      </c>
      <c r="L2360" s="22"/>
      <c r="M2360" s="22"/>
      <c r="N2360" s="22"/>
    </row>
    <row r="2361" spans="1:14" x14ac:dyDescent="0.25">
      <c r="A2361" s="22" t="s">
        <v>665</v>
      </c>
      <c r="B2361" s="22" t="s">
        <v>39</v>
      </c>
      <c r="C2361" s="22" t="s">
        <v>7467</v>
      </c>
      <c r="D2361" s="23">
        <v>-18800</v>
      </c>
      <c r="E2361" s="22" t="s">
        <v>57</v>
      </c>
      <c r="F2361" s="24">
        <v>44462</v>
      </c>
      <c r="G2361" s="22" t="s">
        <v>585</v>
      </c>
      <c r="H2361" s="22" t="s">
        <v>494</v>
      </c>
      <c r="I2361" s="22" t="s">
        <v>664</v>
      </c>
      <c r="J2361" s="22" t="s">
        <v>4552</v>
      </c>
      <c r="K2361" s="22" t="s">
        <v>61</v>
      </c>
      <c r="L2361" s="22"/>
      <c r="M2361" s="22"/>
      <c r="N2361" s="22"/>
    </row>
    <row r="2362" spans="1:14" x14ac:dyDescent="0.25">
      <c r="A2362" s="22" t="s">
        <v>745</v>
      </c>
      <c r="B2362" s="22" t="s">
        <v>39</v>
      </c>
      <c r="C2362" s="22" t="s">
        <v>62</v>
      </c>
      <c r="D2362" s="23">
        <v>-15522</v>
      </c>
      <c r="E2362" s="22" t="s">
        <v>45</v>
      </c>
      <c r="F2362" s="24">
        <v>44459</v>
      </c>
      <c r="G2362" s="22" t="s">
        <v>585</v>
      </c>
      <c r="H2362" s="22" t="s">
        <v>746</v>
      </c>
      <c r="I2362" s="22" t="s">
        <v>744</v>
      </c>
      <c r="J2362" s="22" t="s">
        <v>4407</v>
      </c>
      <c r="K2362" s="22" t="s">
        <v>66</v>
      </c>
      <c r="L2362" s="22"/>
      <c r="M2362" s="22"/>
      <c r="N2362" s="22"/>
    </row>
    <row r="2363" spans="1:14" x14ac:dyDescent="0.25">
      <c r="A2363" s="22" t="s">
        <v>584</v>
      </c>
      <c r="B2363" s="22" t="s">
        <v>39</v>
      </c>
      <c r="C2363" s="22" t="s">
        <v>7465</v>
      </c>
      <c r="D2363" s="23">
        <v>-2695263</v>
      </c>
      <c r="E2363" s="22" t="s">
        <v>45</v>
      </c>
      <c r="F2363" s="24">
        <v>44461</v>
      </c>
      <c r="G2363" s="22" t="s">
        <v>585</v>
      </c>
      <c r="H2363" s="22"/>
      <c r="I2363" s="22" t="s">
        <v>585</v>
      </c>
      <c r="J2363" s="22" t="s">
        <v>4466</v>
      </c>
      <c r="K2363" s="22" t="s">
        <v>61</v>
      </c>
      <c r="L2363" s="22"/>
      <c r="M2363" s="22"/>
      <c r="N2363" s="22"/>
    </row>
    <row r="2364" spans="1:14" x14ac:dyDescent="0.25">
      <c r="A2364" s="22" t="s">
        <v>584</v>
      </c>
      <c r="B2364" s="22" t="s">
        <v>39</v>
      </c>
      <c r="C2364" s="22" t="s">
        <v>7465</v>
      </c>
      <c r="D2364" s="23">
        <v>755478</v>
      </c>
      <c r="E2364" s="22" t="s">
        <v>45</v>
      </c>
      <c r="F2364" s="24">
        <v>44461</v>
      </c>
      <c r="G2364" s="22" t="s">
        <v>585</v>
      </c>
      <c r="H2364" s="22"/>
      <c r="I2364" s="22" t="s">
        <v>585</v>
      </c>
      <c r="J2364" s="22" t="s">
        <v>4552</v>
      </c>
      <c r="K2364" s="22" t="s">
        <v>61</v>
      </c>
      <c r="L2364" s="22"/>
      <c r="M2364" s="22"/>
      <c r="N2364" s="22"/>
    </row>
    <row r="2365" spans="1:14" x14ac:dyDescent="0.25">
      <c r="A2365" s="22" t="s">
        <v>584</v>
      </c>
      <c r="B2365" s="22" t="s">
        <v>39</v>
      </c>
      <c r="C2365" s="22" t="s">
        <v>7465</v>
      </c>
      <c r="D2365" s="23">
        <v>102400</v>
      </c>
      <c r="E2365" s="22" t="s">
        <v>45</v>
      </c>
      <c r="F2365" s="24">
        <v>44461</v>
      </c>
      <c r="G2365" s="22" t="s">
        <v>585</v>
      </c>
      <c r="H2365" s="22"/>
      <c r="I2365" s="22" t="s">
        <v>585</v>
      </c>
      <c r="J2365" s="22" t="s">
        <v>4401</v>
      </c>
      <c r="K2365" s="22" t="s">
        <v>61</v>
      </c>
      <c r="L2365" s="22"/>
      <c r="M2365" s="22"/>
      <c r="N2365" s="22"/>
    </row>
    <row r="2366" spans="1:14" x14ac:dyDescent="0.25">
      <c r="A2366" s="22" t="s">
        <v>584</v>
      </c>
      <c r="B2366" s="22" t="s">
        <v>39</v>
      </c>
      <c r="C2366" s="22" t="s">
        <v>7465</v>
      </c>
      <c r="D2366" s="23">
        <v>1912883</v>
      </c>
      <c r="E2366" s="22" t="s">
        <v>45</v>
      </c>
      <c r="F2366" s="24">
        <v>44461</v>
      </c>
      <c r="G2366" s="22" t="s">
        <v>585</v>
      </c>
      <c r="H2366" s="22"/>
      <c r="I2366" s="22" t="s">
        <v>585</v>
      </c>
      <c r="J2366" s="22" t="s">
        <v>4407</v>
      </c>
      <c r="K2366" s="22" t="s">
        <v>61</v>
      </c>
      <c r="L2366" s="22"/>
      <c r="M2366" s="22"/>
      <c r="N2366" s="22"/>
    </row>
    <row r="2367" spans="1:14" x14ac:dyDescent="0.25">
      <c r="A2367" s="22" t="s">
        <v>742</v>
      </c>
      <c r="B2367" s="22" t="s">
        <v>39</v>
      </c>
      <c r="C2367" s="22" t="s">
        <v>7466</v>
      </c>
      <c r="D2367" s="23">
        <v>-40300</v>
      </c>
      <c r="E2367" s="22" t="s">
        <v>57</v>
      </c>
      <c r="F2367" s="24">
        <v>44432</v>
      </c>
      <c r="G2367" s="22" t="s">
        <v>585</v>
      </c>
      <c r="H2367" s="22" t="s">
        <v>743</v>
      </c>
      <c r="I2367" s="22" t="s">
        <v>741</v>
      </c>
      <c r="J2367" s="22" t="s">
        <v>4407</v>
      </c>
      <c r="K2367" s="22" t="s">
        <v>66</v>
      </c>
      <c r="L2367" s="22"/>
      <c r="M2367" s="22"/>
      <c r="N2367" s="22"/>
    </row>
    <row r="2368" spans="1:14" x14ac:dyDescent="0.25">
      <c r="A2368" s="22" t="s">
        <v>739</v>
      </c>
      <c r="B2368" s="22" t="s">
        <v>39</v>
      </c>
      <c r="C2368" s="22" t="s">
        <v>7466</v>
      </c>
      <c r="D2368" s="23">
        <v>-31600</v>
      </c>
      <c r="E2368" s="22" t="s">
        <v>57</v>
      </c>
      <c r="F2368" s="24">
        <v>44435</v>
      </c>
      <c r="G2368" s="22" t="s">
        <v>585</v>
      </c>
      <c r="H2368" s="22" t="s">
        <v>740</v>
      </c>
      <c r="I2368" s="22" t="s">
        <v>738</v>
      </c>
      <c r="J2368" s="22" t="s">
        <v>4407</v>
      </c>
      <c r="K2368" s="22" t="s">
        <v>66</v>
      </c>
      <c r="L2368" s="22"/>
      <c r="M2368" s="22"/>
      <c r="N2368" s="22"/>
    </row>
    <row r="2369" spans="1:14" x14ac:dyDescent="0.25">
      <c r="A2369" s="22" t="s">
        <v>737</v>
      </c>
      <c r="B2369" s="22" t="s">
        <v>39</v>
      </c>
      <c r="C2369" s="22" t="s">
        <v>7463</v>
      </c>
      <c r="D2369" s="23">
        <v>-90700</v>
      </c>
      <c r="E2369" s="22" t="s">
        <v>57</v>
      </c>
      <c r="F2369" s="24">
        <v>44410</v>
      </c>
      <c r="G2369" s="22" t="s">
        <v>585</v>
      </c>
      <c r="H2369" s="22" t="s">
        <v>280</v>
      </c>
      <c r="I2369" s="22" t="s">
        <v>736</v>
      </c>
      <c r="J2369" s="22" t="s">
        <v>4552</v>
      </c>
      <c r="K2369" s="22" t="s">
        <v>61</v>
      </c>
      <c r="L2369" s="22"/>
      <c r="M2369" s="22"/>
      <c r="N2369" s="22"/>
    </row>
    <row r="2370" spans="1:14" x14ac:dyDescent="0.25">
      <c r="A2370" s="22" t="s">
        <v>735</v>
      </c>
      <c r="B2370" s="22" t="s">
        <v>39</v>
      </c>
      <c r="C2370" s="22" t="s">
        <v>7463</v>
      </c>
      <c r="D2370" s="23">
        <v>-68100</v>
      </c>
      <c r="E2370" s="22" t="s">
        <v>57</v>
      </c>
      <c r="F2370" s="24">
        <v>44426</v>
      </c>
      <c r="G2370" s="22" t="s">
        <v>585</v>
      </c>
      <c r="H2370" s="22" t="s">
        <v>280</v>
      </c>
      <c r="I2370" s="22" t="s">
        <v>734</v>
      </c>
      <c r="J2370" s="22" t="s">
        <v>4552</v>
      </c>
      <c r="K2370" s="22" t="s">
        <v>61</v>
      </c>
      <c r="L2370" s="22"/>
      <c r="M2370" s="22"/>
      <c r="N2370" s="22"/>
    </row>
    <row r="2371" spans="1:14" x14ac:dyDescent="0.25">
      <c r="A2371" s="22" t="s">
        <v>733</v>
      </c>
      <c r="B2371" s="22" t="s">
        <v>39</v>
      </c>
      <c r="C2371" s="22" t="s">
        <v>7463</v>
      </c>
      <c r="D2371" s="23">
        <v>-29200</v>
      </c>
      <c r="E2371" s="22" t="s">
        <v>57</v>
      </c>
      <c r="F2371" s="24">
        <v>44434</v>
      </c>
      <c r="G2371" s="22" t="s">
        <v>585</v>
      </c>
      <c r="H2371" s="22" t="s">
        <v>667</v>
      </c>
      <c r="I2371" s="22" t="s">
        <v>732</v>
      </c>
      <c r="J2371" s="22" t="s">
        <v>4552</v>
      </c>
      <c r="K2371" s="22" t="s">
        <v>61</v>
      </c>
      <c r="L2371" s="22"/>
      <c r="M2371" s="22"/>
      <c r="N2371" s="22"/>
    </row>
    <row r="2372" spans="1:14" x14ac:dyDescent="0.25">
      <c r="A2372" s="22" t="s">
        <v>731</v>
      </c>
      <c r="B2372" s="22" t="s">
        <v>39</v>
      </c>
      <c r="C2372" s="22" t="s">
        <v>40</v>
      </c>
      <c r="D2372" s="23">
        <v>2695263</v>
      </c>
      <c r="E2372" s="22" t="s">
        <v>42</v>
      </c>
      <c r="F2372" s="24">
        <v>44446</v>
      </c>
      <c r="G2372" s="22" t="s">
        <v>585</v>
      </c>
      <c r="H2372" s="22" t="s">
        <v>605</v>
      </c>
      <c r="I2372" s="22" t="s">
        <v>730</v>
      </c>
      <c r="J2372" s="22" t="s">
        <v>4466</v>
      </c>
      <c r="K2372" s="22" t="s">
        <v>292</v>
      </c>
      <c r="L2372" s="22"/>
      <c r="M2372" s="22"/>
      <c r="N2372" s="22"/>
    </row>
    <row r="2373" spans="1:14" x14ac:dyDescent="0.25">
      <c r="A2373" s="22" t="s">
        <v>728</v>
      </c>
      <c r="B2373" s="22" t="s">
        <v>39</v>
      </c>
      <c r="C2373" s="22" t="s">
        <v>7478</v>
      </c>
      <c r="D2373" s="23">
        <v>-102400</v>
      </c>
      <c r="E2373" s="22" t="s">
        <v>588</v>
      </c>
      <c r="F2373" s="24">
        <v>44322</v>
      </c>
      <c r="G2373" s="22" t="s">
        <v>585</v>
      </c>
      <c r="H2373" s="22" t="s">
        <v>729</v>
      </c>
      <c r="I2373" s="22" t="s">
        <v>727</v>
      </c>
      <c r="J2373" s="22" t="s">
        <v>4401</v>
      </c>
      <c r="K2373" s="22" t="s">
        <v>4479</v>
      </c>
      <c r="L2373" s="22"/>
      <c r="M2373" s="22"/>
      <c r="N2373" s="22"/>
    </row>
    <row r="2374" spans="1:14" x14ac:dyDescent="0.25">
      <c r="A2374" s="22" t="s">
        <v>702</v>
      </c>
      <c r="B2374" s="22" t="s">
        <v>39</v>
      </c>
      <c r="C2374" s="22" t="s">
        <v>7474</v>
      </c>
      <c r="D2374" s="23">
        <v>-1825461</v>
      </c>
      <c r="E2374" s="22" t="s">
        <v>45</v>
      </c>
      <c r="F2374" s="24">
        <v>44322</v>
      </c>
      <c r="G2374" s="22" t="s">
        <v>585</v>
      </c>
      <c r="H2374" s="22" t="s">
        <v>726</v>
      </c>
      <c r="I2374" s="22" t="s">
        <v>703</v>
      </c>
      <c r="J2374" s="22" t="s">
        <v>4407</v>
      </c>
      <c r="K2374" s="22" t="s">
        <v>4479</v>
      </c>
      <c r="L2374" s="22"/>
      <c r="M2374" s="22"/>
      <c r="N2374" s="22"/>
    </row>
    <row r="2375" spans="1:14" x14ac:dyDescent="0.25">
      <c r="A2375" s="22" t="s">
        <v>618</v>
      </c>
      <c r="B2375" s="22" t="s">
        <v>39</v>
      </c>
      <c r="C2375" s="22" t="s">
        <v>7465</v>
      </c>
      <c r="D2375" s="23">
        <v>-495599</v>
      </c>
      <c r="E2375" s="22" t="s">
        <v>45</v>
      </c>
      <c r="F2375" s="24">
        <v>44439</v>
      </c>
      <c r="G2375" s="22" t="s">
        <v>617</v>
      </c>
      <c r="H2375" s="22"/>
      <c r="I2375" s="22" t="s">
        <v>617</v>
      </c>
      <c r="J2375" s="22" t="s">
        <v>4401</v>
      </c>
      <c r="K2375" s="22" t="s">
        <v>66</v>
      </c>
      <c r="L2375" s="22"/>
      <c r="M2375" s="22"/>
      <c r="N2375" s="22"/>
    </row>
    <row r="2376" spans="1:14" x14ac:dyDescent="0.25">
      <c r="A2376" s="22" t="s">
        <v>618</v>
      </c>
      <c r="B2376" s="22" t="s">
        <v>39</v>
      </c>
      <c r="C2376" s="22" t="s">
        <v>7465</v>
      </c>
      <c r="D2376" s="23">
        <v>515133</v>
      </c>
      <c r="E2376" s="22" t="s">
        <v>45</v>
      </c>
      <c r="F2376" s="24">
        <v>44439</v>
      </c>
      <c r="G2376" s="22" t="s">
        <v>617</v>
      </c>
      <c r="H2376" s="22"/>
      <c r="I2376" s="22" t="s">
        <v>617</v>
      </c>
      <c r="J2376" s="22" t="s">
        <v>4407</v>
      </c>
      <c r="K2376" s="22" t="s">
        <v>66</v>
      </c>
      <c r="L2376" s="22"/>
      <c r="M2376" s="22"/>
      <c r="N2376" s="22"/>
    </row>
    <row r="2377" spans="1:14" x14ac:dyDescent="0.25">
      <c r="A2377" s="22" t="s">
        <v>618</v>
      </c>
      <c r="B2377" s="22" t="s">
        <v>39</v>
      </c>
      <c r="C2377" s="22" t="s">
        <v>191</v>
      </c>
      <c r="D2377" s="23">
        <v>-484333</v>
      </c>
      <c r="E2377" s="22" t="s">
        <v>45</v>
      </c>
      <c r="F2377" s="24">
        <v>44439</v>
      </c>
      <c r="G2377" s="22" t="s">
        <v>617</v>
      </c>
      <c r="H2377" s="22" t="s">
        <v>725</v>
      </c>
      <c r="I2377" s="22" t="s">
        <v>724</v>
      </c>
      <c r="J2377" s="22" t="s">
        <v>4407</v>
      </c>
      <c r="K2377" s="22" t="s">
        <v>66</v>
      </c>
      <c r="L2377" s="22"/>
      <c r="M2377" s="22"/>
      <c r="N2377" s="22"/>
    </row>
    <row r="2378" spans="1:14" x14ac:dyDescent="0.25">
      <c r="A2378" s="22" t="s">
        <v>722</v>
      </c>
      <c r="B2378" s="22" t="s">
        <v>39</v>
      </c>
      <c r="C2378" s="22" t="s">
        <v>7466</v>
      </c>
      <c r="D2378" s="23">
        <v>-30800</v>
      </c>
      <c r="E2378" s="22" t="s">
        <v>57</v>
      </c>
      <c r="F2378" s="24">
        <v>44410</v>
      </c>
      <c r="G2378" s="22" t="s">
        <v>617</v>
      </c>
      <c r="H2378" s="22" t="s">
        <v>723</v>
      </c>
      <c r="I2378" s="22" t="s">
        <v>721</v>
      </c>
      <c r="J2378" s="22" t="s">
        <v>4407</v>
      </c>
      <c r="K2378" s="22" t="s">
        <v>66</v>
      </c>
      <c r="L2378" s="22"/>
      <c r="M2378" s="22"/>
      <c r="N2378" s="22"/>
    </row>
    <row r="2379" spans="1:14" x14ac:dyDescent="0.25">
      <c r="A2379" s="22" t="s">
        <v>719</v>
      </c>
      <c r="B2379" s="22" t="s">
        <v>39</v>
      </c>
      <c r="C2379" s="22" t="s">
        <v>7476</v>
      </c>
      <c r="D2379" s="23">
        <v>-4033</v>
      </c>
      <c r="E2379" s="22" t="s">
        <v>45</v>
      </c>
      <c r="F2379" s="24">
        <v>44322</v>
      </c>
      <c r="G2379" s="22" t="s">
        <v>617</v>
      </c>
      <c r="H2379" s="22" t="s">
        <v>720</v>
      </c>
      <c r="I2379" s="22" t="s">
        <v>718</v>
      </c>
      <c r="J2379" s="22" t="s">
        <v>4401</v>
      </c>
      <c r="K2379" s="22" t="s">
        <v>4479</v>
      </c>
      <c r="L2379" s="22"/>
      <c r="M2379" s="22"/>
      <c r="N2379" s="22"/>
    </row>
    <row r="2380" spans="1:14" x14ac:dyDescent="0.25">
      <c r="A2380" s="22" t="s">
        <v>717</v>
      </c>
      <c r="B2380" s="22" t="s">
        <v>39</v>
      </c>
      <c r="C2380" s="22" t="s">
        <v>5285</v>
      </c>
      <c r="D2380" s="23">
        <v>499632</v>
      </c>
      <c r="E2380" s="22" t="s">
        <v>42</v>
      </c>
      <c r="F2380" s="24">
        <v>44446</v>
      </c>
      <c r="G2380" s="22" t="s">
        <v>617</v>
      </c>
      <c r="H2380" s="22" t="s">
        <v>605</v>
      </c>
      <c r="I2380" s="22" t="s">
        <v>716</v>
      </c>
      <c r="J2380" s="22" t="s">
        <v>4401</v>
      </c>
      <c r="K2380" s="22" t="s">
        <v>292</v>
      </c>
      <c r="L2380" s="22"/>
      <c r="M2380" s="22"/>
      <c r="N2380" s="22"/>
    </row>
    <row r="2381" spans="1:14" x14ac:dyDescent="0.25">
      <c r="A2381" s="22" t="s">
        <v>63</v>
      </c>
      <c r="B2381" s="22" t="s">
        <v>39</v>
      </c>
      <c r="C2381" s="22" t="s">
        <v>62</v>
      </c>
      <c r="D2381" s="23">
        <v>-14048453</v>
      </c>
      <c r="E2381" s="22" t="s">
        <v>57</v>
      </c>
      <c r="F2381" s="24">
        <v>44474</v>
      </c>
      <c r="G2381" s="22" t="s">
        <v>714</v>
      </c>
      <c r="H2381" s="22" t="s">
        <v>715</v>
      </c>
      <c r="I2381" s="22" t="s">
        <v>65</v>
      </c>
      <c r="J2381" s="22" t="s">
        <v>4407</v>
      </c>
      <c r="K2381" s="22" t="s">
        <v>66</v>
      </c>
      <c r="L2381" s="22"/>
      <c r="M2381" s="22"/>
      <c r="N2381" s="22"/>
    </row>
    <row r="2382" spans="1:14" x14ac:dyDescent="0.25">
      <c r="A2382" s="22" t="s">
        <v>63</v>
      </c>
      <c r="B2382" s="22" t="s">
        <v>39</v>
      </c>
      <c r="C2382" s="22" t="s">
        <v>7465</v>
      </c>
      <c r="D2382" s="23">
        <v>-9761877</v>
      </c>
      <c r="E2382" s="22" t="s">
        <v>45</v>
      </c>
      <c r="F2382" s="24">
        <v>44474</v>
      </c>
      <c r="G2382" s="22" t="s">
        <v>714</v>
      </c>
      <c r="H2382" s="22"/>
      <c r="I2382" s="22" t="s">
        <v>714</v>
      </c>
      <c r="J2382" s="22" t="s">
        <v>4401</v>
      </c>
      <c r="K2382" s="22" t="s">
        <v>66</v>
      </c>
      <c r="L2382" s="22"/>
      <c r="M2382" s="22"/>
      <c r="N2382" s="22"/>
    </row>
    <row r="2383" spans="1:14" x14ac:dyDescent="0.25">
      <c r="A2383" s="22" t="s">
        <v>63</v>
      </c>
      <c r="B2383" s="22" t="s">
        <v>39</v>
      </c>
      <c r="C2383" s="22" t="s">
        <v>7465</v>
      </c>
      <c r="D2383" s="23">
        <v>14048453</v>
      </c>
      <c r="E2383" s="22" t="s">
        <v>45</v>
      </c>
      <c r="F2383" s="24">
        <v>44474</v>
      </c>
      <c r="G2383" s="22" t="s">
        <v>714</v>
      </c>
      <c r="H2383" s="22"/>
      <c r="I2383" s="22" t="s">
        <v>714</v>
      </c>
      <c r="J2383" s="22" t="s">
        <v>4407</v>
      </c>
      <c r="K2383" s="22" t="s">
        <v>66</v>
      </c>
      <c r="L2383" s="22"/>
      <c r="M2383" s="22"/>
      <c r="N2383" s="22"/>
    </row>
    <row r="2384" spans="1:14" x14ac:dyDescent="0.25">
      <c r="A2384" s="22" t="s">
        <v>713</v>
      </c>
      <c r="B2384" s="22" t="s">
        <v>39</v>
      </c>
      <c r="C2384" s="22" t="s">
        <v>3643</v>
      </c>
      <c r="D2384" s="23">
        <v>9761877</v>
      </c>
      <c r="E2384" s="22" t="s">
        <v>42</v>
      </c>
      <c r="F2384" s="24">
        <v>44446</v>
      </c>
      <c r="G2384" s="22" t="s">
        <v>714</v>
      </c>
      <c r="H2384" s="22" t="s">
        <v>605</v>
      </c>
      <c r="I2384" s="22" t="s">
        <v>712</v>
      </c>
      <c r="J2384" s="22" t="s">
        <v>4401</v>
      </c>
      <c r="K2384" s="22" t="s">
        <v>292</v>
      </c>
      <c r="L2384" s="22"/>
      <c r="M2384" s="22"/>
      <c r="N2384" s="22"/>
    </row>
    <row r="2385" spans="1:14" x14ac:dyDescent="0.25">
      <c r="A2385" s="22" t="s">
        <v>613</v>
      </c>
      <c r="B2385" s="22" t="s">
        <v>39</v>
      </c>
      <c r="C2385" s="22" t="s">
        <v>7465</v>
      </c>
      <c r="D2385" s="23">
        <v>-507550</v>
      </c>
      <c r="E2385" s="22" t="s">
        <v>45</v>
      </c>
      <c r="F2385" s="24">
        <v>44433</v>
      </c>
      <c r="G2385" s="22" t="s">
        <v>604</v>
      </c>
      <c r="H2385" s="22"/>
      <c r="I2385" s="22" t="s">
        <v>604</v>
      </c>
      <c r="J2385" s="22" t="s">
        <v>4401</v>
      </c>
      <c r="K2385" s="22" t="s">
        <v>66</v>
      </c>
      <c r="L2385" s="22"/>
      <c r="M2385" s="22"/>
      <c r="N2385" s="22"/>
    </row>
    <row r="2386" spans="1:14" x14ac:dyDescent="0.25">
      <c r="A2386" s="22" t="s">
        <v>613</v>
      </c>
      <c r="B2386" s="22" t="s">
        <v>39</v>
      </c>
      <c r="C2386" s="22" t="s">
        <v>7465</v>
      </c>
      <c r="D2386" s="23">
        <v>597876</v>
      </c>
      <c r="E2386" s="22" t="s">
        <v>45</v>
      </c>
      <c r="F2386" s="24">
        <v>44433</v>
      </c>
      <c r="G2386" s="22" t="s">
        <v>604</v>
      </c>
      <c r="H2386" s="22"/>
      <c r="I2386" s="22" t="s">
        <v>604</v>
      </c>
      <c r="J2386" s="22" t="s">
        <v>4407</v>
      </c>
      <c r="K2386" s="22" t="s">
        <v>66</v>
      </c>
      <c r="L2386" s="22"/>
      <c r="M2386" s="22"/>
      <c r="N2386" s="22"/>
    </row>
    <row r="2387" spans="1:14" x14ac:dyDescent="0.25">
      <c r="A2387" s="22" t="s">
        <v>613</v>
      </c>
      <c r="B2387" s="22" t="s">
        <v>39</v>
      </c>
      <c r="C2387" s="22" t="s">
        <v>191</v>
      </c>
      <c r="D2387" s="23">
        <v>-510376</v>
      </c>
      <c r="E2387" s="22" t="s">
        <v>45</v>
      </c>
      <c r="F2387" s="24">
        <v>44433</v>
      </c>
      <c r="G2387" s="22" t="s">
        <v>604</v>
      </c>
      <c r="H2387" s="22" t="s">
        <v>614</v>
      </c>
      <c r="I2387" s="22" t="s">
        <v>612</v>
      </c>
      <c r="J2387" s="22" t="s">
        <v>4407</v>
      </c>
      <c r="K2387" s="22" t="s">
        <v>66</v>
      </c>
      <c r="L2387" s="22"/>
      <c r="M2387" s="22"/>
      <c r="N2387" s="22"/>
    </row>
    <row r="2388" spans="1:14" x14ac:dyDescent="0.25">
      <c r="A2388" s="22" t="s">
        <v>610</v>
      </c>
      <c r="B2388" s="22" t="s">
        <v>39</v>
      </c>
      <c r="C2388" s="22" t="s">
        <v>7466</v>
      </c>
      <c r="D2388" s="23">
        <v>-47200</v>
      </c>
      <c r="E2388" s="22" t="s">
        <v>57</v>
      </c>
      <c r="F2388" s="24">
        <v>44432</v>
      </c>
      <c r="G2388" s="22" t="s">
        <v>604</v>
      </c>
      <c r="H2388" s="22" t="s">
        <v>611</v>
      </c>
      <c r="I2388" s="22" t="s">
        <v>609</v>
      </c>
      <c r="J2388" s="22" t="s">
        <v>4407</v>
      </c>
      <c r="K2388" s="22" t="s">
        <v>66</v>
      </c>
      <c r="L2388" s="22"/>
      <c r="M2388" s="22"/>
      <c r="N2388" s="22"/>
    </row>
    <row r="2389" spans="1:14" x14ac:dyDescent="0.25">
      <c r="A2389" s="22" t="s">
        <v>607</v>
      </c>
      <c r="B2389" s="22" t="s">
        <v>39</v>
      </c>
      <c r="C2389" s="22" t="s">
        <v>7466</v>
      </c>
      <c r="D2389" s="23">
        <v>-40300</v>
      </c>
      <c r="E2389" s="22" t="s">
        <v>57</v>
      </c>
      <c r="F2389" s="24">
        <v>44432</v>
      </c>
      <c r="G2389" s="22" t="s">
        <v>604</v>
      </c>
      <c r="H2389" s="22" t="s">
        <v>608</v>
      </c>
      <c r="I2389" s="22" t="s">
        <v>606</v>
      </c>
      <c r="J2389" s="22" t="s">
        <v>4407</v>
      </c>
      <c r="K2389" s="22" t="s">
        <v>66</v>
      </c>
      <c r="L2389" s="22"/>
      <c r="M2389" s="22"/>
      <c r="N2389" s="22"/>
    </row>
    <row r="2390" spans="1:14" x14ac:dyDescent="0.25">
      <c r="A2390" s="22" t="s">
        <v>603</v>
      </c>
      <c r="B2390" s="22" t="s">
        <v>39</v>
      </c>
      <c r="C2390" s="22" t="s">
        <v>3760</v>
      </c>
      <c r="D2390" s="23">
        <v>507550</v>
      </c>
      <c r="E2390" s="22" t="s">
        <v>42</v>
      </c>
      <c r="F2390" s="24">
        <v>44446</v>
      </c>
      <c r="G2390" s="22" t="s">
        <v>604</v>
      </c>
      <c r="H2390" s="22" t="s">
        <v>605</v>
      </c>
      <c r="I2390" s="22" t="s">
        <v>602</v>
      </c>
      <c r="J2390" s="22" t="s">
        <v>4401</v>
      </c>
      <c r="K2390" s="22" t="s">
        <v>292</v>
      </c>
      <c r="L2390" s="22"/>
      <c r="M2390" s="22"/>
      <c r="N2390" s="22"/>
    </row>
    <row r="2391" spans="1:14" x14ac:dyDescent="0.25">
      <c r="A2391" s="22" t="s">
        <v>600</v>
      </c>
      <c r="B2391" s="22" t="s">
        <v>39</v>
      </c>
      <c r="C2391" s="22" t="s">
        <v>62</v>
      </c>
      <c r="D2391" s="23">
        <v>-6274997</v>
      </c>
      <c r="E2391" s="22" t="s">
        <v>57</v>
      </c>
      <c r="F2391" s="24">
        <v>44449</v>
      </c>
      <c r="G2391" s="22" t="s">
        <v>599</v>
      </c>
      <c r="H2391" s="22" t="s">
        <v>365</v>
      </c>
      <c r="I2391" s="22" t="s">
        <v>601</v>
      </c>
      <c r="J2391" s="22" t="s">
        <v>4407</v>
      </c>
      <c r="K2391" s="22" t="s">
        <v>66</v>
      </c>
      <c r="L2391" s="22"/>
      <c r="M2391" s="22"/>
      <c r="N2391" s="22"/>
    </row>
    <row r="2392" spans="1:14" x14ac:dyDescent="0.25">
      <c r="A2392" s="22" t="s">
        <v>600</v>
      </c>
      <c r="B2392" s="22" t="s">
        <v>39</v>
      </c>
      <c r="C2392" s="22" t="s">
        <v>7465</v>
      </c>
      <c r="D2392" s="23">
        <v>-2005007</v>
      </c>
      <c r="E2392" s="22" t="s">
        <v>45</v>
      </c>
      <c r="F2392" s="24">
        <v>44449</v>
      </c>
      <c r="G2392" s="22" t="s">
        <v>599</v>
      </c>
      <c r="H2392" s="22"/>
      <c r="I2392" s="22" t="s">
        <v>599</v>
      </c>
      <c r="J2392" s="22" t="s">
        <v>4401</v>
      </c>
      <c r="K2392" s="22" t="s">
        <v>66</v>
      </c>
      <c r="L2392" s="22"/>
      <c r="M2392" s="22"/>
      <c r="N2392" s="22"/>
    </row>
    <row r="2393" spans="1:14" x14ac:dyDescent="0.25">
      <c r="A2393" s="22" t="s">
        <v>600</v>
      </c>
      <c r="B2393" s="22" t="s">
        <v>39</v>
      </c>
      <c r="C2393" s="22" t="s">
        <v>7465</v>
      </c>
      <c r="D2393" s="23">
        <v>6274997</v>
      </c>
      <c r="E2393" s="22" t="s">
        <v>45</v>
      </c>
      <c r="F2393" s="24">
        <v>44449</v>
      </c>
      <c r="G2393" s="22" t="s">
        <v>599</v>
      </c>
      <c r="H2393" s="22"/>
      <c r="I2393" s="22" t="s">
        <v>599</v>
      </c>
      <c r="J2393" s="22" t="s">
        <v>4407</v>
      </c>
      <c r="K2393" s="22" t="s">
        <v>66</v>
      </c>
      <c r="L2393" s="22"/>
      <c r="M2393" s="22"/>
      <c r="N2393" s="22"/>
    </row>
    <row r="2394" spans="1:14" x14ac:dyDescent="0.25">
      <c r="A2394" s="22" t="s">
        <v>598</v>
      </c>
      <c r="B2394" s="22" t="s">
        <v>39</v>
      </c>
      <c r="C2394" s="22" t="s">
        <v>3480</v>
      </c>
      <c r="D2394" s="23">
        <v>2005007</v>
      </c>
      <c r="E2394" s="22" t="s">
        <v>42</v>
      </c>
      <c r="F2394" s="24">
        <v>44476</v>
      </c>
      <c r="G2394" s="22" t="s">
        <v>599</v>
      </c>
      <c r="H2394" s="22" t="s">
        <v>577</v>
      </c>
      <c r="I2394" s="22" t="s">
        <v>597</v>
      </c>
      <c r="J2394" s="22" t="s">
        <v>4401</v>
      </c>
      <c r="K2394" s="22" t="s">
        <v>292</v>
      </c>
      <c r="L2394" s="22"/>
      <c r="M2394" s="22"/>
      <c r="N2394" s="22"/>
    </row>
    <row r="2395" spans="1:14" x14ac:dyDescent="0.25">
      <c r="A2395" s="22" t="s">
        <v>595</v>
      </c>
      <c r="B2395" s="22" t="s">
        <v>39</v>
      </c>
      <c r="C2395" s="22" t="s">
        <v>7462</v>
      </c>
      <c r="D2395" s="23">
        <v>-11157</v>
      </c>
      <c r="E2395" s="22" t="s">
        <v>45</v>
      </c>
      <c r="F2395" s="24">
        <v>44467</v>
      </c>
      <c r="G2395" s="22" t="s">
        <v>590</v>
      </c>
      <c r="H2395" s="22" t="s">
        <v>596</v>
      </c>
      <c r="I2395" s="22" t="s">
        <v>594</v>
      </c>
      <c r="J2395" s="22" t="s">
        <v>4407</v>
      </c>
      <c r="K2395" s="22" t="s">
        <v>66</v>
      </c>
      <c r="L2395" s="22"/>
      <c r="M2395" s="22"/>
      <c r="N2395" s="22"/>
    </row>
    <row r="2396" spans="1:14" x14ac:dyDescent="0.25">
      <c r="A2396" s="22" t="s">
        <v>589</v>
      </c>
      <c r="B2396" s="22" t="s">
        <v>39</v>
      </c>
      <c r="C2396" s="22" t="s">
        <v>7465</v>
      </c>
      <c r="D2396" s="23">
        <v>-21850</v>
      </c>
      <c r="E2396" s="22" t="s">
        <v>45</v>
      </c>
      <c r="F2396" s="24">
        <v>44322</v>
      </c>
      <c r="G2396" s="22" t="s">
        <v>590</v>
      </c>
      <c r="H2396" s="22"/>
      <c r="I2396" s="22" t="s">
        <v>590</v>
      </c>
      <c r="J2396" s="22" t="s">
        <v>4401</v>
      </c>
      <c r="K2396" s="22" t="s">
        <v>4479</v>
      </c>
      <c r="L2396" s="22"/>
      <c r="M2396" s="22"/>
      <c r="N2396" s="22"/>
    </row>
    <row r="2397" spans="1:14" x14ac:dyDescent="0.25">
      <c r="A2397" s="22" t="s">
        <v>589</v>
      </c>
      <c r="B2397" s="22" t="s">
        <v>39</v>
      </c>
      <c r="C2397" s="22" t="s">
        <v>7465</v>
      </c>
      <c r="D2397" s="23">
        <v>50320</v>
      </c>
      <c r="E2397" s="22" t="s">
        <v>45</v>
      </c>
      <c r="F2397" s="24">
        <v>44322</v>
      </c>
      <c r="G2397" s="22" t="s">
        <v>590</v>
      </c>
      <c r="H2397" s="22"/>
      <c r="I2397" s="22" t="s">
        <v>590</v>
      </c>
      <c r="J2397" s="22" t="s">
        <v>4407</v>
      </c>
      <c r="K2397" s="22" t="s">
        <v>4479</v>
      </c>
      <c r="L2397" s="22"/>
      <c r="M2397" s="22"/>
      <c r="N2397" s="22"/>
    </row>
    <row r="2398" spans="1:14" x14ac:dyDescent="0.25">
      <c r="A2398" s="22" t="s">
        <v>593</v>
      </c>
      <c r="B2398" s="22" t="s">
        <v>39</v>
      </c>
      <c r="C2398" s="22" t="s">
        <v>5413</v>
      </c>
      <c r="D2398" s="23">
        <v>21850</v>
      </c>
      <c r="E2398" s="22" t="s">
        <v>42</v>
      </c>
      <c r="F2398" s="24">
        <v>44476</v>
      </c>
      <c r="G2398" s="22" t="s">
        <v>590</v>
      </c>
      <c r="H2398" s="22" t="s">
        <v>577</v>
      </c>
      <c r="I2398" s="22" t="s">
        <v>592</v>
      </c>
      <c r="J2398" s="22" t="s">
        <v>4401</v>
      </c>
      <c r="K2398" s="22" t="s">
        <v>292</v>
      </c>
      <c r="L2398" s="22"/>
      <c r="M2398" s="22"/>
      <c r="N2398" s="22"/>
    </row>
    <row r="2399" spans="1:14" x14ac:dyDescent="0.25">
      <c r="A2399" s="22" t="s">
        <v>589</v>
      </c>
      <c r="B2399" s="22" t="s">
        <v>39</v>
      </c>
      <c r="C2399" s="22" t="s">
        <v>7479</v>
      </c>
      <c r="D2399" s="23">
        <v>-39163</v>
      </c>
      <c r="E2399" s="22" t="s">
        <v>588</v>
      </c>
      <c r="F2399" s="24">
        <v>44322</v>
      </c>
      <c r="G2399" s="22" t="s">
        <v>590</v>
      </c>
      <c r="H2399" s="22" t="s">
        <v>591</v>
      </c>
      <c r="I2399" s="22" t="s">
        <v>587</v>
      </c>
      <c r="J2399" s="22" t="s">
        <v>4407</v>
      </c>
      <c r="K2399" s="22" t="s">
        <v>4479</v>
      </c>
      <c r="L2399" s="22"/>
      <c r="M2399" s="22"/>
      <c r="N2399" s="22"/>
    </row>
    <row r="2400" spans="1:14" x14ac:dyDescent="0.25">
      <c r="A2400" s="22" t="s">
        <v>584</v>
      </c>
      <c r="B2400" s="22" t="s">
        <v>39</v>
      </c>
      <c r="C2400" s="22" t="s">
        <v>7467</v>
      </c>
      <c r="D2400" s="23">
        <v>-75498</v>
      </c>
      <c r="E2400" s="22" t="s">
        <v>45</v>
      </c>
      <c r="F2400" s="24">
        <v>44461</v>
      </c>
      <c r="G2400" s="22" t="s">
        <v>583</v>
      </c>
      <c r="H2400" s="22" t="s">
        <v>586</v>
      </c>
      <c r="I2400" s="22" t="s">
        <v>585</v>
      </c>
      <c r="J2400" s="22" t="s">
        <v>4552</v>
      </c>
      <c r="K2400" s="22" t="s">
        <v>61</v>
      </c>
      <c r="L2400" s="22"/>
      <c r="M2400" s="22"/>
      <c r="N2400" s="22"/>
    </row>
    <row r="2401" spans="1:14" x14ac:dyDescent="0.25">
      <c r="A2401" s="22" t="s">
        <v>584</v>
      </c>
      <c r="B2401" s="22" t="s">
        <v>39</v>
      </c>
      <c r="C2401" s="22" t="s">
        <v>7465</v>
      </c>
      <c r="D2401" s="23">
        <v>75498</v>
      </c>
      <c r="E2401" s="22" t="s">
        <v>45</v>
      </c>
      <c r="F2401" s="24">
        <v>44461</v>
      </c>
      <c r="G2401" s="22" t="s">
        <v>583</v>
      </c>
      <c r="H2401" s="22"/>
      <c r="I2401" s="22" t="s">
        <v>583</v>
      </c>
      <c r="J2401" s="22" t="s">
        <v>4552</v>
      </c>
      <c r="K2401" s="22" t="s">
        <v>61</v>
      </c>
      <c r="L2401" s="22"/>
      <c r="M2401" s="22"/>
      <c r="N2401" s="22"/>
    </row>
    <row r="2402" spans="1:14" x14ac:dyDescent="0.25">
      <c r="A2402" s="22" t="s">
        <v>584</v>
      </c>
      <c r="B2402" s="22" t="s">
        <v>39</v>
      </c>
      <c r="C2402" s="22" t="s">
        <v>7465</v>
      </c>
      <c r="D2402" s="23">
        <v>-57800</v>
      </c>
      <c r="E2402" s="22" t="s">
        <v>45</v>
      </c>
      <c r="F2402" s="24">
        <v>44461</v>
      </c>
      <c r="G2402" s="22" t="s">
        <v>583</v>
      </c>
      <c r="H2402" s="22"/>
      <c r="I2402" s="22" t="s">
        <v>583</v>
      </c>
      <c r="J2402" s="22" t="s">
        <v>4401</v>
      </c>
      <c r="K2402" s="22" t="s">
        <v>61</v>
      </c>
      <c r="L2402" s="22"/>
      <c r="M2402" s="22"/>
      <c r="N2402" s="22"/>
    </row>
    <row r="2403" spans="1:14" x14ac:dyDescent="0.25">
      <c r="A2403" s="22" t="s">
        <v>582</v>
      </c>
      <c r="B2403" s="22" t="s">
        <v>39</v>
      </c>
      <c r="C2403" s="22" t="s">
        <v>40</v>
      </c>
      <c r="D2403" s="23">
        <v>57800</v>
      </c>
      <c r="E2403" s="22" t="s">
        <v>42</v>
      </c>
      <c r="F2403" s="24">
        <v>44476</v>
      </c>
      <c r="G2403" s="22" t="s">
        <v>583</v>
      </c>
      <c r="H2403" s="22" t="s">
        <v>577</v>
      </c>
      <c r="I2403" s="22" t="s">
        <v>581</v>
      </c>
      <c r="J2403" s="22" t="s">
        <v>4401</v>
      </c>
      <c r="K2403" s="22" t="s">
        <v>292</v>
      </c>
      <c r="L2403" s="22"/>
      <c r="M2403" s="22"/>
      <c r="N2403" s="22"/>
    </row>
    <row r="2404" spans="1:14" x14ac:dyDescent="0.25">
      <c r="A2404" s="22" t="s">
        <v>579</v>
      </c>
      <c r="B2404" s="22" t="s">
        <v>39</v>
      </c>
      <c r="C2404" s="22" t="s">
        <v>7465</v>
      </c>
      <c r="D2404" s="23">
        <v>55097</v>
      </c>
      <c r="E2404" s="22" t="s">
        <v>45</v>
      </c>
      <c r="F2404" s="24">
        <v>44417</v>
      </c>
      <c r="G2404" s="22" t="s">
        <v>576</v>
      </c>
      <c r="H2404" s="22"/>
      <c r="I2404" s="22" t="s">
        <v>576</v>
      </c>
      <c r="J2404" s="22" t="s">
        <v>4552</v>
      </c>
      <c r="K2404" s="22" t="s">
        <v>61</v>
      </c>
      <c r="L2404" s="22"/>
      <c r="M2404" s="22"/>
      <c r="N2404" s="22"/>
    </row>
    <row r="2405" spans="1:14" x14ac:dyDescent="0.25">
      <c r="A2405" s="22" t="s">
        <v>579</v>
      </c>
      <c r="B2405" s="22" t="s">
        <v>39</v>
      </c>
      <c r="C2405" s="22" t="s">
        <v>7465</v>
      </c>
      <c r="D2405" s="23">
        <v>-27549</v>
      </c>
      <c r="E2405" s="22" t="s">
        <v>45</v>
      </c>
      <c r="F2405" s="24">
        <v>44417</v>
      </c>
      <c r="G2405" s="22" t="s">
        <v>576</v>
      </c>
      <c r="H2405" s="22"/>
      <c r="I2405" s="22" t="s">
        <v>576</v>
      </c>
      <c r="J2405" s="22" t="s">
        <v>4401</v>
      </c>
      <c r="K2405" s="22" t="s">
        <v>61</v>
      </c>
      <c r="L2405" s="22"/>
      <c r="M2405" s="22"/>
      <c r="N2405" s="22"/>
    </row>
    <row r="2406" spans="1:14" x14ac:dyDescent="0.25">
      <c r="A2406" s="22" t="s">
        <v>579</v>
      </c>
      <c r="B2406" s="22" t="s">
        <v>39</v>
      </c>
      <c r="C2406" s="22" t="s">
        <v>187</v>
      </c>
      <c r="D2406" s="23">
        <v>-55097</v>
      </c>
      <c r="E2406" s="22" t="s">
        <v>57</v>
      </c>
      <c r="F2406" s="24">
        <v>44417</v>
      </c>
      <c r="G2406" s="22" t="s">
        <v>576</v>
      </c>
      <c r="H2406" s="22" t="s">
        <v>580</v>
      </c>
      <c r="I2406" s="22" t="s">
        <v>578</v>
      </c>
      <c r="J2406" s="22" t="s">
        <v>4552</v>
      </c>
      <c r="K2406" s="22" t="s">
        <v>61</v>
      </c>
      <c r="L2406" s="22"/>
      <c r="M2406" s="22"/>
      <c r="N2406" s="22"/>
    </row>
    <row r="2407" spans="1:14" x14ac:dyDescent="0.25">
      <c r="A2407" s="22" t="s">
        <v>575</v>
      </c>
      <c r="B2407" s="22" t="s">
        <v>39</v>
      </c>
      <c r="C2407" s="22" t="s">
        <v>3671</v>
      </c>
      <c r="D2407" s="23">
        <v>27549</v>
      </c>
      <c r="E2407" s="22" t="s">
        <v>42</v>
      </c>
      <c r="F2407" s="24">
        <v>44476</v>
      </c>
      <c r="G2407" s="22" t="s">
        <v>576</v>
      </c>
      <c r="H2407" s="22" t="s">
        <v>577</v>
      </c>
      <c r="I2407" s="22" t="s">
        <v>574</v>
      </c>
      <c r="J2407" s="22" t="s">
        <v>4401</v>
      </c>
      <c r="K2407" s="22" t="s">
        <v>292</v>
      </c>
      <c r="L2407" s="22"/>
      <c r="M2407" s="22"/>
      <c r="N2407" s="22"/>
    </row>
    <row r="2408" spans="1:14" x14ac:dyDescent="0.25">
      <c r="A2408" s="22" t="s">
        <v>571</v>
      </c>
      <c r="B2408" s="22" t="s">
        <v>39</v>
      </c>
      <c r="C2408" s="22" t="s">
        <v>7465</v>
      </c>
      <c r="D2408" s="23">
        <v>-164450</v>
      </c>
      <c r="E2408" s="22" t="s">
        <v>45</v>
      </c>
      <c r="F2408" s="24">
        <v>44420</v>
      </c>
      <c r="G2408" s="22" t="s">
        <v>572</v>
      </c>
      <c r="H2408" s="22"/>
      <c r="I2408" s="22" t="s">
        <v>572</v>
      </c>
      <c r="J2408" s="22" t="s">
        <v>4401</v>
      </c>
      <c r="K2408" s="22" t="s">
        <v>66</v>
      </c>
      <c r="L2408" s="22"/>
      <c r="M2408" s="22"/>
      <c r="N2408" s="22"/>
    </row>
    <row r="2409" spans="1:14" x14ac:dyDescent="0.25">
      <c r="A2409" s="22" t="s">
        <v>571</v>
      </c>
      <c r="B2409" s="22" t="s">
        <v>39</v>
      </c>
      <c r="C2409" s="22" t="s">
        <v>7465</v>
      </c>
      <c r="D2409" s="23">
        <v>226650</v>
      </c>
      <c r="E2409" s="22" t="s">
        <v>45</v>
      </c>
      <c r="F2409" s="24">
        <v>44420</v>
      </c>
      <c r="G2409" s="22" t="s">
        <v>572</v>
      </c>
      <c r="H2409" s="22"/>
      <c r="I2409" s="22" t="s">
        <v>572</v>
      </c>
      <c r="J2409" s="22" t="s">
        <v>4407</v>
      </c>
      <c r="K2409" s="22" t="s">
        <v>66</v>
      </c>
      <c r="L2409" s="22"/>
      <c r="M2409" s="22"/>
      <c r="N2409" s="22"/>
    </row>
    <row r="2410" spans="1:14" x14ac:dyDescent="0.25">
      <c r="A2410" s="22" t="s">
        <v>571</v>
      </c>
      <c r="B2410" s="22" t="s">
        <v>39</v>
      </c>
      <c r="C2410" s="22" t="s">
        <v>191</v>
      </c>
      <c r="D2410" s="23">
        <v>-90988</v>
      </c>
      <c r="E2410" s="22" t="s">
        <v>57</v>
      </c>
      <c r="F2410" s="24">
        <v>44420</v>
      </c>
      <c r="G2410" s="22" t="s">
        <v>572</v>
      </c>
      <c r="H2410" s="22" t="s">
        <v>573</v>
      </c>
      <c r="I2410" s="22" t="s">
        <v>570</v>
      </c>
      <c r="J2410" s="22" t="s">
        <v>4407</v>
      </c>
      <c r="K2410" s="22" t="s">
        <v>66</v>
      </c>
      <c r="L2410" s="22"/>
      <c r="M2410" s="22"/>
      <c r="N2410" s="22"/>
    </row>
    <row r="2411" spans="1:14" x14ac:dyDescent="0.25">
      <c r="A2411" s="22" t="s">
        <v>662</v>
      </c>
      <c r="B2411" s="22" t="s">
        <v>39</v>
      </c>
      <c r="C2411" s="22" t="s">
        <v>7480</v>
      </c>
      <c r="D2411" s="23">
        <v>-39163</v>
      </c>
      <c r="E2411" s="22" t="s">
        <v>588</v>
      </c>
      <c r="F2411" s="24">
        <v>44322</v>
      </c>
      <c r="G2411" s="22" t="s">
        <v>572</v>
      </c>
      <c r="H2411" s="22" t="s">
        <v>663</v>
      </c>
      <c r="I2411" s="22" t="s">
        <v>661</v>
      </c>
      <c r="J2411" s="22" t="s">
        <v>4407</v>
      </c>
      <c r="K2411" s="22" t="s">
        <v>4479</v>
      </c>
      <c r="L2411" s="22"/>
      <c r="M2411" s="22"/>
      <c r="N2411" s="22"/>
    </row>
    <row r="2412" spans="1:14" x14ac:dyDescent="0.25">
      <c r="A2412" s="22" t="s">
        <v>659</v>
      </c>
      <c r="B2412" s="22" t="s">
        <v>39</v>
      </c>
      <c r="C2412" s="22" t="s">
        <v>7481</v>
      </c>
      <c r="D2412" s="23">
        <v>-68029</v>
      </c>
      <c r="E2412" s="22" t="s">
        <v>588</v>
      </c>
      <c r="F2412" s="24">
        <v>44322</v>
      </c>
      <c r="G2412" s="22" t="s">
        <v>572</v>
      </c>
      <c r="H2412" s="22" t="s">
        <v>660</v>
      </c>
      <c r="I2412" s="22" t="s">
        <v>658</v>
      </c>
      <c r="J2412" s="22" t="s">
        <v>4407</v>
      </c>
      <c r="K2412" s="22" t="s">
        <v>4479</v>
      </c>
      <c r="L2412" s="22"/>
      <c r="M2412" s="22"/>
      <c r="N2412" s="22"/>
    </row>
    <row r="2413" spans="1:14" x14ac:dyDescent="0.25">
      <c r="A2413" s="22" t="s">
        <v>589</v>
      </c>
      <c r="B2413" s="22" t="s">
        <v>39</v>
      </c>
      <c r="C2413" s="22" t="s">
        <v>7479</v>
      </c>
      <c r="D2413" s="23">
        <v>-28470</v>
      </c>
      <c r="E2413" s="22" t="s">
        <v>45</v>
      </c>
      <c r="F2413" s="24">
        <v>44322</v>
      </c>
      <c r="G2413" s="22" t="s">
        <v>572</v>
      </c>
      <c r="H2413" s="22" t="s">
        <v>657</v>
      </c>
      <c r="I2413" s="22" t="s">
        <v>590</v>
      </c>
      <c r="J2413" s="22" t="s">
        <v>4407</v>
      </c>
      <c r="K2413" s="22" t="s">
        <v>4479</v>
      </c>
      <c r="L2413" s="22"/>
      <c r="M2413" s="22"/>
      <c r="N2413" s="22"/>
    </row>
    <row r="2414" spans="1:14" x14ac:dyDescent="0.25">
      <c r="A2414" s="22" t="s">
        <v>656</v>
      </c>
      <c r="B2414" s="22" t="s">
        <v>39</v>
      </c>
      <c r="C2414" s="22" t="s">
        <v>3760</v>
      </c>
      <c r="D2414" s="23">
        <v>164450</v>
      </c>
      <c r="E2414" s="22" t="s">
        <v>42</v>
      </c>
      <c r="F2414" s="24">
        <v>44476</v>
      </c>
      <c r="G2414" s="22" t="s">
        <v>572</v>
      </c>
      <c r="H2414" s="22" t="s">
        <v>577</v>
      </c>
      <c r="I2414" s="22" t="s">
        <v>655</v>
      </c>
      <c r="J2414" s="22" t="s">
        <v>4401</v>
      </c>
      <c r="K2414" s="22" t="s">
        <v>292</v>
      </c>
      <c r="L2414" s="22"/>
      <c r="M2414" s="22"/>
      <c r="N2414" s="22"/>
    </row>
    <row r="2415" spans="1:14" x14ac:dyDescent="0.25">
      <c r="A2415" s="22" t="s">
        <v>653</v>
      </c>
      <c r="B2415" s="22" t="s">
        <v>39</v>
      </c>
      <c r="C2415" s="22" t="s">
        <v>55</v>
      </c>
      <c r="D2415" s="23">
        <v>-99800</v>
      </c>
      <c r="E2415" s="22" t="s">
        <v>57</v>
      </c>
      <c r="F2415" s="24">
        <v>44443</v>
      </c>
      <c r="G2415" s="22" t="s">
        <v>615</v>
      </c>
      <c r="H2415" s="22" t="s">
        <v>654</v>
      </c>
      <c r="I2415" s="22" t="s">
        <v>652</v>
      </c>
      <c r="J2415" s="22" t="s">
        <v>4552</v>
      </c>
      <c r="K2415" s="22" t="s">
        <v>61</v>
      </c>
      <c r="L2415" s="22"/>
      <c r="M2415" s="22"/>
      <c r="N2415" s="22"/>
    </row>
    <row r="2416" spans="1:14" x14ac:dyDescent="0.25">
      <c r="A2416" s="22" t="s">
        <v>650</v>
      </c>
      <c r="B2416" s="22" t="s">
        <v>39</v>
      </c>
      <c r="C2416" s="22" t="s">
        <v>55</v>
      </c>
      <c r="D2416" s="23">
        <v>-56289</v>
      </c>
      <c r="E2416" s="22" t="s">
        <v>57</v>
      </c>
      <c r="F2416" s="24">
        <v>44450</v>
      </c>
      <c r="G2416" s="22" t="s">
        <v>615</v>
      </c>
      <c r="H2416" s="22" t="s">
        <v>651</v>
      </c>
      <c r="I2416" s="22" t="s">
        <v>649</v>
      </c>
      <c r="J2416" s="22" t="s">
        <v>4552</v>
      </c>
      <c r="K2416" s="22" t="s">
        <v>61</v>
      </c>
      <c r="L2416" s="22"/>
      <c r="M2416" s="22"/>
      <c r="N2416" s="22"/>
    </row>
    <row r="2417" spans="1:14" x14ac:dyDescent="0.25">
      <c r="A2417" s="22" t="s">
        <v>647</v>
      </c>
      <c r="B2417" s="22" t="s">
        <v>39</v>
      </c>
      <c r="C2417" s="22" t="s">
        <v>55</v>
      </c>
      <c r="D2417" s="23">
        <v>-277</v>
      </c>
      <c r="E2417" s="22" t="s">
        <v>45</v>
      </c>
      <c r="F2417" s="24">
        <v>44452</v>
      </c>
      <c r="G2417" s="22" t="s">
        <v>615</v>
      </c>
      <c r="H2417" s="22" t="s">
        <v>648</v>
      </c>
      <c r="I2417" s="22" t="s">
        <v>646</v>
      </c>
      <c r="J2417" s="22" t="s">
        <v>4552</v>
      </c>
      <c r="K2417" s="22" t="s">
        <v>61</v>
      </c>
      <c r="L2417" s="22"/>
      <c r="M2417" s="22"/>
      <c r="N2417" s="22"/>
    </row>
    <row r="2418" spans="1:14" x14ac:dyDescent="0.25">
      <c r="A2418" s="22" t="s">
        <v>584</v>
      </c>
      <c r="B2418" s="22" t="s">
        <v>39</v>
      </c>
      <c r="C2418" s="22" t="s">
        <v>7467</v>
      </c>
      <c r="D2418" s="23">
        <v>-17698</v>
      </c>
      <c r="E2418" s="22" t="s">
        <v>45</v>
      </c>
      <c r="F2418" s="24">
        <v>44461</v>
      </c>
      <c r="G2418" s="22" t="s">
        <v>615</v>
      </c>
      <c r="H2418" s="22" t="s">
        <v>645</v>
      </c>
      <c r="I2418" s="22" t="s">
        <v>583</v>
      </c>
      <c r="J2418" s="22" t="s">
        <v>4552</v>
      </c>
      <c r="K2418" s="22" t="s">
        <v>61</v>
      </c>
      <c r="L2418" s="22"/>
      <c r="M2418" s="22"/>
      <c r="N2418" s="22"/>
    </row>
    <row r="2419" spans="1:14" x14ac:dyDescent="0.25">
      <c r="A2419" s="22" t="s">
        <v>644</v>
      </c>
      <c r="B2419" s="22" t="s">
        <v>39</v>
      </c>
      <c r="C2419" s="22" t="s">
        <v>62</v>
      </c>
      <c r="D2419" s="23">
        <v>-54780</v>
      </c>
      <c r="E2419" s="22" t="s">
        <v>57</v>
      </c>
      <c r="F2419" s="24">
        <v>44440</v>
      </c>
      <c r="G2419" s="22" t="s">
        <v>615</v>
      </c>
      <c r="H2419" s="22" t="s">
        <v>249</v>
      </c>
      <c r="I2419" s="22" t="s">
        <v>643</v>
      </c>
      <c r="J2419" s="22" t="s">
        <v>4407</v>
      </c>
      <c r="K2419" s="22" t="s">
        <v>66</v>
      </c>
      <c r="L2419" s="22"/>
      <c r="M2419" s="22"/>
      <c r="N2419" s="22"/>
    </row>
    <row r="2420" spans="1:14" x14ac:dyDescent="0.25">
      <c r="A2420" s="22" t="s">
        <v>641</v>
      </c>
      <c r="B2420" s="22" t="s">
        <v>39</v>
      </c>
      <c r="C2420" s="22" t="s">
        <v>62</v>
      </c>
      <c r="D2420" s="23">
        <v>-110524</v>
      </c>
      <c r="E2420" s="22" t="s">
        <v>57</v>
      </c>
      <c r="F2420" s="24">
        <v>44464</v>
      </c>
      <c r="G2420" s="22" t="s">
        <v>615</v>
      </c>
      <c r="H2420" s="22" t="s">
        <v>642</v>
      </c>
      <c r="I2420" s="22" t="s">
        <v>640</v>
      </c>
      <c r="J2420" s="22" t="s">
        <v>4407</v>
      </c>
      <c r="K2420" s="22" t="s">
        <v>66</v>
      </c>
      <c r="L2420" s="22"/>
      <c r="M2420" s="22"/>
      <c r="N2420" s="22"/>
    </row>
    <row r="2421" spans="1:14" x14ac:dyDescent="0.25">
      <c r="A2421" s="22" t="s">
        <v>639</v>
      </c>
      <c r="B2421" s="22" t="s">
        <v>39</v>
      </c>
      <c r="C2421" s="22" t="s">
        <v>62</v>
      </c>
      <c r="D2421" s="23">
        <v>-152400</v>
      </c>
      <c r="E2421" s="22" t="s">
        <v>57</v>
      </c>
      <c r="F2421" s="24">
        <v>44467</v>
      </c>
      <c r="G2421" s="22" t="s">
        <v>615</v>
      </c>
      <c r="H2421" s="22" t="s">
        <v>375</v>
      </c>
      <c r="I2421" s="22" t="s">
        <v>638</v>
      </c>
      <c r="J2421" s="22" t="s">
        <v>4407</v>
      </c>
      <c r="K2421" s="22" t="s">
        <v>66</v>
      </c>
      <c r="L2421" s="22"/>
      <c r="M2421" s="22"/>
      <c r="N2421" s="22"/>
    </row>
    <row r="2422" spans="1:14" x14ac:dyDescent="0.25">
      <c r="A2422" s="22" t="s">
        <v>636</v>
      </c>
      <c r="B2422" s="22" t="s">
        <v>39</v>
      </c>
      <c r="C2422" s="22" t="s">
        <v>62</v>
      </c>
      <c r="D2422" s="23">
        <v>-175543</v>
      </c>
      <c r="E2422" s="22" t="s">
        <v>57</v>
      </c>
      <c r="F2422" s="24">
        <v>44468</v>
      </c>
      <c r="G2422" s="22" t="s">
        <v>615</v>
      </c>
      <c r="H2422" s="22" t="s">
        <v>637</v>
      </c>
      <c r="I2422" s="22" t="s">
        <v>635</v>
      </c>
      <c r="J2422" s="22" t="s">
        <v>4407</v>
      </c>
      <c r="K2422" s="22" t="s">
        <v>66</v>
      </c>
      <c r="L2422" s="22"/>
      <c r="M2422" s="22"/>
      <c r="N2422" s="22"/>
    </row>
    <row r="2423" spans="1:14" x14ac:dyDescent="0.25">
      <c r="A2423" s="22" t="s">
        <v>630</v>
      </c>
      <c r="B2423" s="22" t="s">
        <v>39</v>
      </c>
      <c r="C2423" s="22" t="s">
        <v>62</v>
      </c>
      <c r="D2423" s="23">
        <v>-2009198</v>
      </c>
      <c r="E2423" s="22" t="s">
        <v>57</v>
      </c>
      <c r="F2423" s="24">
        <v>44451</v>
      </c>
      <c r="G2423" s="22" t="s">
        <v>615</v>
      </c>
      <c r="H2423" s="22" t="s">
        <v>628</v>
      </c>
      <c r="I2423" s="22" t="s">
        <v>634</v>
      </c>
      <c r="J2423" s="22" t="s">
        <v>4407</v>
      </c>
      <c r="K2423" s="22" t="s">
        <v>66</v>
      </c>
      <c r="L2423" s="22"/>
      <c r="M2423" s="22"/>
      <c r="N2423" s="22"/>
    </row>
    <row r="2424" spans="1:14" x14ac:dyDescent="0.25">
      <c r="A2424" s="22" t="s">
        <v>7912</v>
      </c>
      <c r="B2424" s="22" t="s">
        <v>39</v>
      </c>
      <c r="C2424" s="22" t="s">
        <v>7462</v>
      </c>
      <c r="D2424" s="23">
        <v>-32700</v>
      </c>
      <c r="E2424" s="22" t="s">
        <v>57</v>
      </c>
      <c r="F2424" s="24">
        <v>44469</v>
      </c>
      <c r="G2424" s="22" t="s">
        <v>615</v>
      </c>
      <c r="H2424" s="22" t="s">
        <v>633</v>
      </c>
      <c r="I2424" s="22" t="s">
        <v>631</v>
      </c>
      <c r="J2424" s="22" t="s">
        <v>4407</v>
      </c>
      <c r="K2424" s="22" t="s">
        <v>66</v>
      </c>
      <c r="L2424" s="22"/>
      <c r="M2424" s="22"/>
      <c r="N2424" s="22"/>
    </row>
    <row r="2425" spans="1:14" x14ac:dyDescent="0.25">
      <c r="A2425" s="22" t="s">
        <v>630</v>
      </c>
      <c r="B2425" s="22" t="s">
        <v>39</v>
      </c>
      <c r="C2425" s="22" t="s">
        <v>7465</v>
      </c>
      <c r="D2425" s="23">
        <v>214362</v>
      </c>
      <c r="E2425" s="22" t="s">
        <v>45</v>
      </c>
      <c r="F2425" s="24">
        <v>44451</v>
      </c>
      <c r="G2425" s="22" t="s">
        <v>615</v>
      </c>
      <c r="H2425" s="22"/>
      <c r="I2425" s="22" t="s">
        <v>615</v>
      </c>
      <c r="J2425" s="22" t="s">
        <v>4552</v>
      </c>
      <c r="K2425" s="22" t="s">
        <v>66</v>
      </c>
      <c r="L2425" s="22"/>
      <c r="M2425" s="22"/>
      <c r="N2425" s="22"/>
    </row>
    <row r="2426" spans="1:14" x14ac:dyDescent="0.25">
      <c r="A2426" s="22" t="s">
        <v>630</v>
      </c>
      <c r="B2426" s="22" t="s">
        <v>39</v>
      </c>
      <c r="C2426" s="22" t="s">
        <v>7465</v>
      </c>
      <c r="D2426" s="23">
        <v>-3805296</v>
      </c>
      <c r="E2426" s="22" t="s">
        <v>45</v>
      </c>
      <c r="F2426" s="24">
        <v>44451</v>
      </c>
      <c r="G2426" s="22" t="s">
        <v>615</v>
      </c>
      <c r="H2426" s="22"/>
      <c r="I2426" s="22" t="s">
        <v>615</v>
      </c>
      <c r="J2426" s="22" t="s">
        <v>4401</v>
      </c>
      <c r="K2426" s="22" t="s">
        <v>66</v>
      </c>
      <c r="L2426" s="22"/>
      <c r="M2426" s="22"/>
      <c r="N2426" s="22"/>
    </row>
    <row r="2427" spans="1:14" x14ac:dyDescent="0.25">
      <c r="A2427" s="22" t="s">
        <v>630</v>
      </c>
      <c r="B2427" s="22" t="s">
        <v>39</v>
      </c>
      <c r="C2427" s="22" t="s">
        <v>7465</v>
      </c>
      <c r="D2427" s="23">
        <v>3881345</v>
      </c>
      <c r="E2427" s="22" t="s">
        <v>45</v>
      </c>
      <c r="F2427" s="24">
        <v>44451</v>
      </c>
      <c r="G2427" s="22" t="s">
        <v>615</v>
      </c>
      <c r="H2427" s="22"/>
      <c r="I2427" s="22" t="s">
        <v>615</v>
      </c>
      <c r="J2427" s="22" t="s">
        <v>4407</v>
      </c>
      <c r="K2427" s="22" t="s">
        <v>66</v>
      </c>
      <c r="L2427" s="22"/>
      <c r="M2427" s="22"/>
      <c r="N2427" s="22"/>
    </row>
    <row r="2428" spans="1:14" x14ac:dyDescent="0.25">
      <c r="A2428" s="22" t="s">
        <v>579</v>
      </c>
      <c r="B2428" s="22" t="s">
        <v>39</v>
      </c>
      <c r="C2428" s="22" t="s">
        <v>187</v>
      </c>
      <c r="D2428" s="23">
        <v>-27548</v>
      </c>
      <c r="E2428" s="22" t="s">
        <v>45</v>
      </c>
      <c r="F2428" s="24">
        <v>44417</v>
      </c>
      <c r="G2428" s="22" t="s">
        <v>615</v>
      </c>
      <c r="H2428" s="22" t="s">
        <v>629</v>
      </c>
      <c r="I2428" s="22" t="s">
        <v>576</v>
      </c>
      <c r="J2428" s="22" t="s">
        <v>4552</v>
      </c>
      <c r="K2428" s="22" t="s">
        <v>61</v>
      </c>
      <c r="L2428" s="22"/>
      <c r="M2428" s="22"/>
      <c r="N2428" s="22"/>
    </row>
    <row r="2429" spans="1:14" x14ac:dyDescent="0.25">
      <c r="A2429" s="22" t="s">
        <v>627</v>
      </c>
      <c r="B2429" s="22" t="s">
        <v>39</v>
      </c>
      <c r="C2429" s="22" t="s">
        <v>191</v>
      </c>
      <c r="D2429" s="23">
        <v>-64900</v>
      </c>
      <c r="E2429" s="22" t="s">
        <v>57</v>
      </c>
      <c r="F2429" s="24">
        <v>44436</v>
      </c>
      <c r="G2429" s="22" t="s">
        <v>615</v>
      </c>
      <c r="H2429" s="22" t="s">
        <v>628</v>
      </c>
      <c r="I2429" s="22" t="s">
        <v>626</v>
      </c>
      <c r="J2429" s="22" t="s">
        <v>4407</v>
      </c>
      <c r="K2429" s="22" t="s">
        <v>66</v>
      </c>
      <c r="L2429" s="22"/>
      <c r="M2429" s="22"/>
      <c r="N2429" s="22"/>
    </row>
    <row r="2430" spans="1:14" x14ac:dyDescent="0.25">
      <c r="A2430" s="22" t="s">
        <v>624</v>
      </c>
      <c r="B2430" s="22" t="s">
        <v>39</v>
      </c>
      <c r="C2430" s="22" t="s">
        <v>191</v>
      </c>
      <c r="D2430" s="23">
        <v>-53700</v>
      </c>
      <c r="E2430" s="22" t="s">
        <v>57</v>
      </c>
      <c r="F2430" s="24">
        <v>44419</v>
      </c>
      <c r="G2430" s="22" t="s">
        <v>615</v>
      </c>
      <c r="H2430" s="22" t="s">
        <v>625</v>
      </c>
      <c r="I2430" s="22" t="s">
        <v>623</v>
      </c>
      <c r="J2430" s="22" t="s">
        <v>4407</v>
      </c>
      <c r="K2430" s="22" t="s">
        <v>66</v>
      </c>
      <c r="L2430" s="22"/>
      <c r="M2430" s="22"/>
      <c r="N2430" s="22"/>
    </row>
    <row r="2431" spans="1:14" x14ac:dyDescent="0.25">
      <c r="A2431" s="22" t="s">
        <v>621</v>
      </c>
      <c r="B2431" s="22" t="s">
        <v>39</v>
      </c>
      <c r="C2431" s="22" t="s">
        <v>191</v>
      </c>
      <c r="D2431" s="23">
        <v>-587340</v>
      </c>
      <c r="E2431" s="22" t="s">
        <v>45</v>
      </c>
      <c r="F2431" s="24">
        <v>44438</v>
      </c>
      <c r="G2431" s="22" t="s">
        <v>615</v>
      </c>
      <c r="H2431" s="22" t="s">
        <v>622</v>
      </c>
      <c r="I2431" s="22" t="s">
        <v>620</v>
      </c>
      <c r="J2431" s="22" t="s">
        <v>4407</v>
      </c>
      <c r="K2431" s="22" t="s">
        <v>66</v>
      </c>
      <c r="L2431" s="22"/>
      <c r="M2431" s="22"/>
      <c r="N2431" s="22"/>
    </row>
    <row r="2432" spans="1:14" x14ac:dyDescent="0.25">
      <c r="A2432" s="22" t="s">
        <v>618</v>
      </c>
      <c r="B2432" s="22" t="s">
        <v>39</v>
      </c>
      <c r="C2432" s="22" t="s">
        <v>191</v>
      </c>
      <c r="D2432" s="23">
        <v>-19534</v>
      </c>
      <c r="E2432" s="22" t="s">
        <v>45</v>
      </c>
      <c r="F2432" s="24">
        <v>44439</v>
      </c>
      <c r="G2432" s="22" t="s">
        <v>615</v>
      </c>
      <c r="H2432" s="22" t="s">
        <v>619</v>
      </c>
      <c r="I2432" s="22" t="s">
        <v>617</v>
      </c>
      <c r="J2432" s="22" t="s">
        <v>4407</v>
      </c>
      <c r="K2432" s="22" t="s">
        <v>66</v>
      </c>
      <c r="L2432" s="22"/>
      <c r="M2432" s="22"/>
      <c r="N2432" s="22"/>
    </row>
    <row r="2433" spans="1:14" x14ac:dyDescent="0.25">
      <c r="A2433" s="22" t="s">
        <v>613</v>
      </c>
      <c r="B2433" s="22" t="s">
        <v>39</v>
      </c>
      <c r="C2433" s="22" t="s">
        <v>191</v>
      </c>
      <c r="D2433" s="23">
        <v>-90326</v>
      </c>
      <c r="E2433" s="22" t="s">
        <v>45</v>
      </c>
      <c r="F2433" s="24">
        <v>44433</v>
      </c>
      <c r="G2433" s="22" t="s">
        <v>615</v>
      </c>
      <c r="H2433" s="22" t="s">
        <v>616</v>
      </c>
      <c r="I2433" s="22" t="s">
        <v>604</v>
      </c>
      <c r="J2433" s="22" t="s">
        <v>4407</v>
      </c>
      <c r="K2433" s="22" t="s">
        <v>66</v>
      </c>
      <c r="L2433" s="22"/>
      <c r="M2433" s="22"/>
      <c r="N2433" s="22"/>
    </row>
    <row r="2434" spans="1:14" x14ac:dyDescent="0.25">
      <c r="A2434" s="22" t="s">
        <v>571</v>
      </c>
      <c r="B2434" s="22" t="s">
        <v>39</v>
      </c>
      <c r="C2434" s="22" t="s">
        <v>191</v>
      </c>
      <c r="D2434" s="23">
        <v>-62200</v>
      </c>
      <c r="E2434" s="22" t="s">
        <v>45</v>
      </c>
      <c r="F2434" s="24">
        <v>44420</v>
      </c>
      <c r="G2434" s="22" t="s">
        <v>615</v>
      </c>
      <c r="H2434" s="22" t="s">
        <v>614</v>
      </c>
      <c r="I2434" s="22" t="s">
        <v>572</v>
      </c>
      <c r="J2434" s="22" t="s">
        <v>4407</v>
      </c>
      <c r="K2434" s="22" t="s">
        <v>66</v>
      </c>
      <c r="L2434" s="22"/>
      <c r="M2434" s="22"/>
      <c r="N2434" s="22"/>
    </row>
    <row r="2435" spans="1:14" x14ac:dyDescent="0.25">
      <c r="A2435" s="22" t="s">
        <v>892</v>
      </c>
      <c r="B2435" s="22" t="s">
        <v>39</v>
      </c>
      <c r="C2435" s="22" t="s">
        <v>7466</v>
      </c>
      <c r="D2435" s="23">
        <v>-165100</v>
      </c>
      <c r="E2435" s="22" t="s">
        <v>57</v>
      </c>
      <c r="F2435" s="24">
        <v>44398</v>
      </c>
      <c r="G2435" s="22" t="s">
        <v>615</v>
      </c>
      <c r="H2435" s="22" t="s">
        <v>637</v>
      </c>
      <c r="I2435" s="22" t="s">
        <v>891</v>
      </c>
      <c r="J2435" s="22" t="s">
        <v>4407</v>
      </c>
      <c r="K2435" s="22" t="s">
        <v>66</v>
      </c>
      <c r="L2435" s="22"/>
      <c r="M2435" s="22"/>
      <c r="N2435" s="22"/>
    </row>
    <row r="2436" spans="1:14" x14ac:dyDescent="0.25">
      <c r="A2436" s="22" t="s">
        <v>889</v>
      </c>
      <c r="B2436" s="22" t="s">
        <v>39</v>
      </c>
      <c r="C2436" s="22" t="s">
        <v>7466</v>
      </c>
      <c r="D2436" s="23">
        <v>-87500</v>
      </c>
      <c r="E2436" s="22" t="s">
        <v>57</v>
      </c>
      <c r="F2436" s="24">
        <v>44412</v>
      </c>
      <c r="G2436" s="22" t="s">
        <v>615</v>
      </c>
      <c r="H2436" s="22" t="s">
        <v>890</v>
      </c>
      <c r="I2436" s="22" t="s">
        <v>888</v>
      </c>
      <c r="J2436" s="22" t="s">
        <v>4407</v>
      </c>
      <c r="K2436" s="22" t="s">
        <v>66</v>
      </c>
      <c r="L2436" s="22"/>
      <c r="M2436" s="22"/>
      <c r="N2436" s="22"/>
    </row>
    <row r="2437" spans="1:14" x14ac:dyDescent="0.25">
      <c r="A2437" s="22" t="s">
        <v>887</v>
      </c>
      <c r="B2437" s="22" t="s">
        <v>39</v>
      </c>
      <c r="C2437" s="22" t="s">
        <v>7466</v>
      </c>
      <c r="D2437" s="23">
        <v>-47200</v>
      </c>
      <c r="E2437" s="22" t="s">
        <v>57</v>
      </c>
      <c r="F2437" s="24">
        <v>44412</v>
      </c>
      <c r="G2437" s="22" t="s">
        <v>615</v>
      </c>
      <c r="H2437" s="22" t="s">
        <v>637</v>
      </c>
      <c r="I2437" s="22" t="s">
        <v>886</v>
      </c>
      <c r="J2437" s="22" t="s">
        <v>4407</v>
      </c>
      <c r="K2437" s="22" t="s">
        <v>66</v>
      </c>
      <c r="L2437" s="22"/>
      <c r="M2437" s="22"/>
      <c r="N2437" s="22"/>
    </row>
    <row r="2438" spans="1:14" x14ac:dyDescent="0.25">
      <c r="A2438" s="22" t="s">
        <v>885</v>
      </c>
      <c r="B2438" s="22" t="s">
        <v>39</v>
      </c>
      <c r="C2438" s="22" t="s">
        <v>7466</v>
      </c>
      <c r="D2438" s="23">
        <v>-47200</v>
      </c>
      <c r="E2438" s="22" t="s">
        <v>57</v>
      </c>
      <c r="F2438" s="24">
        <v>44417</v>
      </c>
      <c r="G2438" s="22" t="s">
        <v>615</v>
      </c>
      <c r="H2438" s="22" t="s">
        <v>637</v>
      </c>
      <c r="I2438" s="22" t="s">
        <v>884</v>
      </c>
      <c r="J2438" s="22" t="s">
        <v>4407</v>
      </c>
      <c r="K2438" s="22" t="s">
        <v>66</v>
      </c>
      <c r="L2438" s="22"/>
      <c r="M2438" s="22"/>
      <c r="N2438" s="22"/>
    </row>
    <row r="2439" spans="1:14" x14ac:dyDescent="0.25">
      <c r="A2439" s="22" t="s">
        <v>883</v>
      </c>
      <c r="B2439" s="22" t="s">
        <v>39</v>
      </c>
      <c r="C2439" s="22" t="s">
        <v>7466</v>
      </c>
      <c r="D2439" s="23">
        <v>-23700</v>
      </c>
      <c r="E2439" s="22" t="s">
        <v>57</v>
      </c>
      <c r="F2439" s="24">
        <v>44427</v>
      </c>
      <c r="G2439" s="22" t="s">
        <v>615</v>
      </c>
      <c r="H2439" s="22" t="s">
        <v>637</v>
      </c>
      <c r="I2439" s="22" t="s">
        <v>882</v>
      </c>
      <c r="J2439" s="22" t="s">
        <v>4407</v>
      </c>
      <c r="K2439" s="22" t="s">
        <v>66</v>
      </c>
      <c r="L2439" s="22"/>
      <c r="M2439" s="22"/>
      <c r="N2439" s="22"/>
    </row>
    <row r="2440" spans="1:14" x14ac:dyDescent="0.25">
      <c r="A2440" s="22" t="s">
        <v>881</v>
      </c>
      <c r="B2440" s="22" t="s">
        <v>39</v>
      </c>
      <c r="C2440" s="22" t="s">
        <v>7466</v>
      </c>
      <c r="D2440" s="23">
        <v>-47200</v>
      </c>
      <c r="E2440" s="22" t="s">
        <v>57</v>
      </c>
      <c r="F2440" s="24">
        <v>44433</v>
      </c>
      <c r="G2440" s="22" t="s">
        <v>615</v>
      </c>
      <c r="H2440" s="22" t="s">
        <v>637</v>
      </c>
      <c r="I2440" s="22" t="s">
        <v>880</v>
      </c>
      <c r="J2440" s="22" t="s">
        <v>4407</v>
      </c>
      <c r="K2440" s="22" t="s">
        <v>66</v>
      </c>
      <c r="L2440" s="22"/>
      <c r="M2440" s="22"/>
      <c r="N2440" s="22"/>
    </row>
    <row r="2441" spans="1:14" x14ac:dyDescent="0.25">
      <c r="A2441" s="22" t="s">
        <v>878</v>
      </c>
      <c r="B2441" s="22" t="s">
        <v>39</v>
      </c>
      <c r="C2441" s="22" t="s">
        <v>7466</v>
      </c>
      <c r="D2441" s="23">
        <v>-21700</v>
      </c>
      <c r="E2441" s="22" t="s">
        <v>45</v>
      </c>
      <c r="F2441" s="24">
        <v>44410</v>
      </c>
      <c r="G2441" s="22" t="s">
        <v>615</v>
      </c>
      <c r="H2441" s="22" t="s">
        <v>879</v>
      </c>
      <c r="I2441" s="22" t="s">
        <v>877</v>
      </c>
      <c r="J2441" s="22" t="s">
        <v>4407</v>
      </c>
      <c r="K2441" s="22" t="s">
        <v>66</v>
      </c>
      <c r="L2441" s="22"/>
      <c r="M2441" s="22"/>
      <c r="N2441" s="22"/>
    </row>
    <row r="2442" spans="1:14" x14ac:dyDescent="0.25">
      <c r="A2442" s="22" t="s">
        <v>876</v>
      </c>
      <c r="B2442" s="22" t="s">
        <v>39</v>
      </c>
      <c r="C2442" s="22" t="s">
        <v>7466</v>
      </c>
      <c r="D2442" s="23">
        <v>-14800</v>
      </c>
      <c r="E2442" s="22" t="s">
        <v>45</v>
      </c>
      <c r="F2442" s="24">
        <v>44426</v>
      </c>
      <c r="G2442" s="22" t="s">
        <v>615</v>
      </c>
      <c r="H2442" s="22" t="s">
        <v>596</v>
      </c>
      <c r="I2442" s="22" t="s">
        <v>875</v>
      </c>
      <c r="J2442" s="22" t="s">
        <v>4407</v>
      </c>
      <c r="K2442" s="22" t="s">
        <v>66</v>
      </c>
      <c r="L2442" s="22"/>
      <c r="M2442" s="22"/>
      <c r="N2442" s="22"/>
    </row>
    <row r="2443" spans="1:14" x14ac:dyDescent="0.25">
      <c r="A2443" s="22" t="s">
        <v>873</v>
      </c>
      <c r="B2443" s="22" t="s">
        <v>39</v>
      </c>
      <c r="C2443" s="22" t="s">
        <v>7466</v>
      </c>
      <c r="D2443" s="23">
        <v>-13800</v>
      </c>
      <c r="E2443" s="22" t="s">
        <v>45</v>
      </c>
      <c r="F2443" s="24">
        <v>44427</v>
      </c>
      <c r="G2443" s="22" t="s">
        <v>615</v>
      </c>
      <c r="H2443" s="22" t="s">
        <v>874</v>
      </c>
      <c r="I2443" s="22" t="s">
        <v>872</v>
      </c>
      <c r="J2443" s="22" t="s">
        <v>4407</v>
      </c>
      <c r="K2443" s="22" t="s">
        <v>66</v>
      </c>
      <c r="L2443" s="22"/>
      <c r="M2443" s="22"/>
      <c r="N2443" s="22"/>
    </row>
    <row r="2444" spans="1:14" x14ac:dyDescent="0.25">
      <c r="A2444" s="22" t="s">
        <v>870</v>
      </c>
      <c r="B2444" s="22" t="s">
        <v>39</v>
      </c>
      <c r="C2444" s="22" t="s">
        <v>7463</v>
      </c>
      <c r="D2444" s="23">
        <v>-12750</v>
      </c>
      <c r="E2444" s="22" t="s">
        <v>45</v>
      </c>
      <c r="F2444" s="24">
        <v>44446</v>
      </c>
      <c r="G2444" s="22" t="s">
        <v>615</v>
      </c>
      <c r="H2444" s="22" t="s">
        <v>871</v>
      </c>
      <c r="I2444" s="22" t="s">
        <v>869</v>
      </c>
      <c r="J2444" s="22" t="s">
        <v>4552</v>
      </c>
      <c r="K2444" s="22" t="s">
        <v>61</v>
      </c>
      <c r="L2444" s="22"/>
      <c r="M2444" s="22"/>
      <c r="N2444" s="22"/>
    </row>
    <row r="2445" spans="1:14" x14ac:dyDescent="0.25">
      <c r="A2445" s="22" t="s">
        <v>868</v>
      </c>
      <c r="B2445" s="22" t="s">
        <v>39</v>
      </c>
      <c r="C2445" s="22" t="s">
        <v>3553</v>
      </c>
      <c r="D2445" s="23">
        <v>3805296</v>
      </c>
      <c r="E2445" s="22" t="s">
        <v>42</v>
      </c>
      <c r="F2445" s="24">
        <v>44476</v>
      </c>
      <c r="G2445" s="22" t="s">
        <v>615</v>
      </c>
      <c r="H2445" s="22" t="s">
        <v>577</v>
      </c>
      <c r="I2445" s="22" t="s">
        <v>867</v>
      </c>
      <c r="J2445" s="22" t="s">
        <v>4401</v>
      </c>
      <c r="K2445" s="22" t="s">
        <v>292</v>
      </c>
      <c r="L2445" s="22"/>
      <c r="M2445" s="22"/>
      <c r="N2445" s="22"/>
    </row>
    <row r="2446" spans="1:14" x14ac:dyDescent="0.25">
      <c r="A2446" s="22" t="s">
        <v>865</v>
      </c>
      <c r="B2446" s="22" t="s">
        <v>39</v>
      </c>
      <c r="C2446" s="22" t="s">
        <v>62</v>
      </c>
      <c r="D2446" s="23">
        <v>-99596</v>
      </c>
      <c r="E2446" s="22" t="s">
        <v>45</v>
      </c>
      <c r="F2446" s="24">
        <v>44449</v>
      </c>
      <c r="G2446" s="22" t="s">
        <v>855</v>
      </c>
      <c r="H2446" s="22" t="s">
        <v>866</v>
      </c>
      <c r="I2446" s="22" t="s">
        <v>864</v>
      </c>
      <c r="J2446" s="22" t="s">
        <v>4407</v>
      </c>
      <c r="K2446" s="22" t="s">
        <v>66</v>
      </c>
      <c r="L2446" s="22"/>
      <c r="M2446" s="22"/>
      <c r="N2446" s="22"/>
    </row>
    <row r="2447" spans="1:14" x14ac:dyDescent="0.25">
      <c r="A2447" s="22" t="s">
        <v>856</v>
      </c>
      <c r="B2447" s="22" t="s">
        <v>39</v>
      </c>
      <c r="C2447" s="22" t="s">
        <v>62</v>
      </c>
      <c r="D2447" s="23">
        <v>-1462415</v>
      </c>
      <c r="E2447" s="22" t="s">
        <v>45</v>
      </c>
      <c r="F2447" s="24">
        <v>44470</v>
      </c>
      <c r="G2447" s="22" t="s">
        <v>855</v>
      </c>
      <c r="H2447" s="22" t="s">
        <v>863</v>
      </c>
      <c r="I2447" s="22" t="s">
        <v>862</v>
      </c>
      <c r="J2447" s="22" t="s">
        <v>4407</v>
      </c>
      <c r="K2447" s="22" t="s">
        <v>66</v>
      </c>
      <c r="L2447" s="22"/>
      <c r="M2447" s="22"/>
      <c r="N2447" s="22"/>
    </row>
    <row r="2448" spans="1:14" x14ac:dyDescent="0.25">
      <c r="A2448" s="22" t="s">
        <v>856</v>
      </c>
      <c r="B2448" s="22" t="s">
        <v>39</v>
      </c>
      <c r="C2448" s="22" t="s">
        <v>7465</v>
      </c>
      <c r="D2448" s="23">
        <v>-1164827</v>
      </c>
      <c r="E2448" s="22" t="s">
        <v>45</v>
      </c>
      <c r="F2448" s="24">
        <v>44470</v>
      </c>
      <c r="G2448" s="22" t="s">
        <v>855</v>
      </c>
      <c r="H2448" s="22"/>
      <c r="I2448" s="22" t="s">
        <v>855</v>
      </c>
      <c r="J2448" s="22" t="s">
        <v>4466</v>
      </c>
      <c r="K2448" s="22" t="s">
        <v>66</v>
      </c>
      <c r="L2448" s="22"/>
      <c r="M2448" s="22"/>
      <c r="N2448" s="22"/>
    </row>
    <row r="2449" spans="1:14" x14ac:dyDescent="0.25">
      <c r="A2449" s="22" t="s">
        <v>856</v>
      </c>
      <c r="B2449" s="22" t="s">
        <v>39</v>
      </c>
      <c r="C2449" s="22" t="s">
        <v>7465</v>
      </c>
      <c r="D2449" s="23">
        <v>1562011</v>
      </c>
      <c r="E2449" s="22" t="s">
        <v>45</v>
      </c>
      <c r="F2449" s="24">
        <v>44470</v>
      </c>
      <c r="G2449" s="22" t="s">
        <v>855</v>
      </c>
      <c r="H2449" s="22"/>
      <c r="I2449" s="22" t="s">
        <v>855</v>
      </c>
      <c r="J2449" s="22" t="s">
        <v>4407</v>
      </c>
      <c r="K2449" s="22" t="s">
        <v>66</v>
      </c>
      <c r="L2449" s="22"/>
      <c r="M2449" s="22"/>
      <c r="N2449" s="22"/>
    </row>
    <row r="2450" spans="1:14" x14ac:dyDescent="0.25">
      <c r="A2450" s="22" t="s">
        <v>861</v>
      </c>
      <c r="B2450" s="22" t="s">
        <v>39</v>
      </c>
      <c r="C2450" s="22" t="s">
        <v>40</v>
      </c>
      <c r="D2450" s="23">
        <v>1164827</v>
      </c>
      <c r="E2450" s="22" t="s">
        <v>42</v>
      </c>
      <c r="F2450" s="24">
        <v>44476</v>
      </c>
      <c r="G2450" s="22" t="s">
        <v>855</v>
      </c>
      <c r="H2450" s="22" t="s">
        <v>577</v>
      </c>
      <c r="I2450" s="22" t="s">
        <v>860</v>
      </c>
      <c r="J2450" s="22" t="s">
        <v>4466</v>
      </c>
      <c r="K2450" s="22" t="s">
        <v>292</v>
      </c>
      <c r="L2450" s="22"/>
      <c r="M2450" s="22"/>
      <c r="N2450" s="22"/>
    </row>
    <row r="2451" spans="1:14" x14ac:dyDescent="0.25">
      <c r="A2451" s="22" t="s">
        <v>63</v>
      </c>
      <c r="B2451" s="22" t="s">
        <v>39</v>
      </c>
      <c r="C2451" s="22" t="s">
        <v>62</v>
      </c>
      <c r="D2451" s="23">
        <v>-4286576</v>
      </c>
      <c r="E2451" s="22" t="s">
        <v>45</v>
      </c>
      <c r="F2451" s="24">
        <v>44474</v>
      </c>
      <c r="G2451" s="22" t="s">
        <v>848</v>
      </c>
      <c r="H2451" s="22" t="s">
        <v>859</v>
      </c>
      <c r="I2451" s="22" t="s">
        <v>714</v>
      </c>
      <c r="J2451" s="22" t="s">
        <v>4407</v>
      </c>
      <c r="K2451" s="22" t="s">
        <v>66</v>
      </c>
      <c r="L2451" s="22"/>
      <c r="M2451" s="22"/>
      <c r="N2451" s="22"/>
    </row>
    <row r="2452" spans="1:14" x14ac:dyDescent="0.25">
      <c r="A2452" s="22" t="s">
        <v>600</v>
      </c>
      <c r="B2452" s="22" t="s">
        <v>39</v>
      </c>
      <c r="C2452" s="22" t="s">
        <v>62</v>
      </c>
      <c r="D2452" s="23">
        <v>-4269990</v>
      </c>
      <c r="E2452" s="22" t="s">
        <v>45</v>
      </c>
      <c r="F2452" s="24">
        <v>44449</v>
      </c>
      <c r="G2452" s="22" t="s">
        <v>848</v>
      </c>
      <c r="H2452" s="22" t="s">
        <v>357</v>
      </c>
      <c r="I2452" s="22" t="s">
        <v>599</v>
      </c>
      <c r="J2452" s="22" t="s">
        <v>4407</v>
      </c>
      <c r="K2452" s="22" t="s">
        <v>66</v>
      </c>
      <c r="L2452" s="22"/>
      <c r="M2452" s="22"/>
      <c r="N2452" s="22"/>
    </row>
    <row r="2453" spans="1:14" x14ac:dyDescent="0.25">
      <c r="A2453" s="22" t="s">
        <v>630</v>
      </c>
      <c r="B2453" s="22" t="s">
        <v>39</v>
      </c>
      <c r="C2453" s="22" t="s">
        <v>62</v>
      </c>
      <c r="D2453" s="23">
        <v>-290411</v>
      </c>
      <c r="E2453" s="22" t="s">
        <v>45</v>
      </c>
      <c r="F2453" s="24">
        <v>44451</v>
      </c>
      <c r="G2453" s="22" t="s">
        <v>848</v>
      </c>
      <c r="H2453" s="22" t="s">
        <v>858</v>
      </c>
      <c r="I2453" s="22" t="s">
        <v>615</v>
      </c>
      <c r="J2453" s="22" t="s">
        <v>4407</v>
      </c>
      <c r="K2453" s="22" t="s">
        <v>66</v>
      </c>
      <c r="L2453" s="22"/>
      <c r="M2453" s="22"/>
      <c r="N2453" s="22"/>
    </row>
    <row r="2454" spans="1:14" x14ac:dyDescent="0.25">
      <c r="A2454" s="22" t="s">
        <v>856</v>
      </c>
      <c r="B2454" s="22" t="s">
        <v>39</v>
      </c>
      <c r="C2454" s="22" t="s">
        <v>62</v>
      </c>
      <c r="D2454" s="23">
        <v>-397184</v>
      </c>
      <c r="E2454" s="22" t="s">
        <v>45</v>
      </c>
      <c r="F2454" s="24">
        <v>44470</v>
      </c>
      <c r="G2454" s="22" t="s">
        <v>848</v>
      </c>
      <c r="H2454" s="22" t="s">
        <v>857</v>
      </c>
      <c r="I2454" s="22" t="s">
        <v>855</v>
      </c>
      <c r="J2454" s="22" t="s">
        <v>4407</v>
      </c>
      <c r="K2454" s="22" t="s">
        <v>66</v>
      </c>
      <c r="L2454" s="22"/>
      <c r="M2454" s="22"/>
      <c r="N2454" s="22"/>
    </row>
    <row r="2455" spans="1:14" x14ac:dyDescent="0.25">
      <c r="A2455" s="22" t="s">
        <v>854</v>
      </c>
      <c r="B2455" s="22" t="s">
        <v>39</v>
      </c>
      <c r="C2455" s="22" t="s">
        <v>7462</v>
      </c>
      <c r="D2455" s="23">
        <v>-32700</v>
      </c>
      <c r="E2455" s="22" t="s">
        <v>57</v>
      </c>
      <c r="F2455" s="24">
        <v>44455</v>
      </c>
      <c r="G2455" s="22" t="s">
        <v>848</v>
      </c>
      <c r="H2455" s="22" t="s">
        <v>249</v>
      </c>
      <c r="I2455" s="22" t="s">
        <v>853</v>
      </c>
      <c r="J2455" s="22" t="s">
        <v>4407</v>
      </c>
      <c r="K2455" s="22" t="s">
        <v>66</v>
      </c>
      <c r="L2455" s="22"/>
      <c r="M2455" s="22"/>
      <c r="N2455" s="22"/>
    </row>
    <row r="2456" spans="1:14" x14ac:dyDescent="0.25">
      <c r="A2456" s="22" t="s">
        <v>852</v>
      </c>
      <c r="B2456" s="22" t="s">
        <v>39</v>
      </c>
      <c r="C2456" s="22" t="s">
        <v>7462</v>
      </c>
      <c r="D2456" s="23">
        <v>-38400</v>
      </c>
      <c r="E2456" s="22" t="s">
        <v>57</v>
      </c>
      <c r="F2456" s="24">
        <v>44452</v>
      </c>
      <c r="G2456" s="22" t="s">
        <v>848</v>
      </c>
      <c r="H2456" s="22" t="s">
        <v>249</v>
      </c>
      <c r="I2456" s="22" t="s">
        <v>851</v>
      </c>
      <c r="J2456" s="22" t="s">
        <v>4407</v>
      </c>
      <c r="K2456" s="22" t="s">
        <v>66</v>
      </c>
      <c r="L2456" s="22"/>
      <c r="M2456" s="22"/>
      <c r="N2456" s="22"/>
    </row>
    <row r="2457" spans="1:14" x14ac:dyDescent="0.25">
      <c r="A2457" s="22" t="s">
        <v>850</v>
      </c>
      <c r="B2457" s="22" t="s">
        <v>39</v>
      </c>
      <c r="C2457" s="22" t="s">
        <v>7462</v>
      </c>
      <c r="D2457" s="23">
        <v>-71600</v>
      </c>
      <c r="E2457" s="22" t="s">
        <v>57</v>
      </c>
      <c r="F2457" s="24">
        <v>44466</v>
      </c>
      <c r="G2457" s="22" t="s">
        <v>848</v>
      </c>
      <c r="H2457" s="22" t="s">
        <v>637</v>
      </c>
      <c r="I2457" s="22" t="s">
        <v>849</v>
      </c>
      <c r="J2457" s="22" t="s">
        <v>4407</v>
      </c>
      <c r="K2457" s="22" t="s">
        <v>66</v>
      </c>
      <c r="L2457" s="22"/>
      <c r="M2457" s="22"/>
      <c r="N2457" s="22"/>
    </row>
    <row r="2458" spans="1:14" x14ac:dyDescent="0.25">
      <c r="A2458" s="22" t="s">
        <v>847</v>
      </c>
      <c r="B2458" s="22" t="s">
        <v>39</v>
      </c>
      <c r="C2458" s="22" t="s">
        <v>7462</v>
      </c>
      <c r="D2458" s="23">
        <v>-32700</v>
      </c>
      <c r="E2458" s="22" t="s">
        <v>57</v>
      </c>
      <c r="F2458" s="24">
        <v>44459</v>
      </c>
      <c r="G2458" s="22" t="s">
        <v>848</v>
      </c>
      <c r="H2458" s="22" t="s">
        <v>427</v>
      </c>
      <c r="I2458" s="22" t="s">
        <v>846</v>
      </c>
      <c r="J2458" s="22" t="s">
        <v>4407</v>
      </c>
      <c r="K2458" s="22" t="s">
        <v>66</v>
      </c>
      <c r="L2458" s="22"/>
      <c r="M2458" s="22"/>
      <c r="N2458" s="22"/>
    </row>
    <row r="2459" spans="1:14" x14ac:dyDescent="0.25">
      <c r="A2459" s="22" t="s">
        <v>940</v>
      </c>
      <c r="B2459" s="22" t="s">
        <v>39</v>
      </c>
      <c r="C2459" s="22" t="s">
        <v>7462</v>
      </c>
      <c r="D2459" s="23">
        <v>-22300</v>
      </c>
      <c r="E2459" s="22" t="s">
        <v>57</v>
      </c>
      <c r="F2459" s="24">
        <v>44466</v>
      </c>
      <c r="G2459" s="22" t="s">
        <v>848</v>
      </c>
      <c r="H2459" s="22" t="s">
        <v>941</v>
      </c>
      <c r="I2459" s="22" t="s">
        <v>939</v>
      </c>
      <c r="J2459" s="22" t="s">
        <v>4407</v>
      </c>
      <c r="K2459" s="22" t="s">
        <v>66</v>
      </c>
      <c r="L2459" s="22"/>
      <c r="M2459" s="22"/>
      <c r="N2459" s="22"/>
    </row>
    <row r="2460" spans="1:14" x14ac:dyDescent="0.25">
      <c r="A2460" s="22" t="s">
        <v>937</v>
      </c>
      <c r="B2460" s="22" t="s">
        <v>39</v>
      </c>
      <c r="C2460" s="22" t="s">
        <v>7462</v>
      </c>
      <c r="D2460" s="23">
        <v>-32700</v>
      </c>
      <c r="E2460" s="22" t="s">
        <v>57</v>
      </c>
      <c r="F2460" s="24">
        <v>44461</v>
      </c>
      <c r="G2460" s="22" t="s">
        <v>848</v>
      </c>
      <c r="H2460" s="22" t="s">
        <v>938</v>
      </c>
      <c r="I2460" s="22" t="s">
        <v>936</v>
      </c>
      <c r="J2460" s="22" t="s">
        <v>4407</v>
      </c>
      <c r="K2460" s="22" t="s">
        <v>66</v>
      </c>
      <c r="L2460" s="22"/>
      <c r="M2460" s="22"/>
      <c r="N2460" s="22"/>
    </row>
    <row r="2461" spans="1:14" x14ac:dyDescent="0.25">
      <c r="A2461" s="22" t="s">
        <v>935</v>
      </c>
      <c r="B2461" s="22" t="s">
        <v>39</v>
      </c>
      <c r="C2461" s="22" t="s">
        <v>7462</v>
      </c>
      <c r="D2461" s="23">
        <v>-31600</v>
      </c>
      <c r="E2461" s="22" t="s">
        <v>57</v>
      </c>
      <c r="F2461" s="24">
        <v>44469</v>
      </c>
      <c r="G2461" s="22" t="s">
        <v>848</v>
      </c>
      <c r="H2461" s="22" t="s">
        <v>637</v>
      </c>
      <c r="I2461" s="22" t="s">
        <v>934</v>
      </c>
      <c r="J2461" s="22" t="s">
        <v>4407</v>
      </c>
      <c r="K2461" s="22" t="s">
        <v>66</v>
      </c>
      <c r="L2461" s="22"/>
      <c r="M2461" s="22"/>
      <c r="N2461" s="22"/>
    </row>
    <row r="2462" spans="1:14" x14ac:dyDescent="0.25">
      <c r="A2462" s="22" t="s">
        <v>933</v>
      </c>
      <c r="B2462" s="22" t="s">
        <v>39</v>
      </c>
      <c r="C2462" s="22" t="s">
        <v>7462</v>
      </c>
      <c r="D2462" s="23">
        <v>-47200</v>
      </c>
      <c r="E2462" s="22" t="s">
        <v>57</v>
      </c>
      <c r="F2462" s="24">
        <v>44469</v>
      </c>
      <c r="G2462" s="22" t="s">
        <v>848</v>
      </c>
      <c r="H2462" s="22" t="s">
        <v>637</v>
      </c>
      <c r="I2462" s="22" t="s">
        <v>932</v>
      </c>
      <c r="J2462" s="22" t="s">
        <v>4407</v>
      </c>
      <c r="K2462" s="22" t="s">
        <v>66</v>
      </c>
      <c r="L2462" s="22"/>
      <c r="M2462" s="22"/>
      <c r="N2462" s="22"/>
    </row>
    <row r="2463" spans="1:14" x14ac:dyDescent="0.25">
      <c r="A2463" s="22" t="s">
        <v>931</v>
      </c>
      <c r="B2463" s="22" t="s">
        <v>39</v>
      </c>
      <c r="C2463" s="22" t="s">
        <v>7462</v>
      </c>
      <c r="D2463" s="23">
        <v>-198200</v>
      </c>
      <c r="E2463" s="22" t="s">
        <v>57</v>
      </c>
      <c r="F2463" s="24">
        <v>44468</v>
      </c>
      <c r="G2463" s="22" t="s">
        <v>848</v>
      </c>
      <c r="H2463" s="22" t="s">
        <v>427</v>
      </c>
      <c r="I2463" s="22" t="s">
        <v>930</v>
      </c>
      <c r="J2463" s="22" t="s">
        <v>4407</v>
      </c>
      <c r="K2463" s="22" t="s">
        <v>66</v>
      </c>
      <c r="L2463" s="22"/>
      <c r="M2463" s="22"/>
      <c r="N2463" s="22"/>
    </row>
    <row r="2464" spans="1:14" x14ac:dyDescent="0.25">
      <c r="A2464" s="22" t="s">
        <v>929</v>
      </c>
      <c r="B2464" s="22" t="s">
        <v>39</v>
      </c>
      <c r="C2464" s="22" t="s">
        <v>7465</v>
      </c>
      <c r="D2464" s="23">
        <v>-30151571</v>
      </c>
      <c r="E2464" s="22" t="s">
        <v>45</v>
      </c>
      <c r="F2464" s="24">
        <v>44446</v>
      </c>
      <c r="G2464" s="22" t="s">
        <v>848</v>
      </c>
      <c r="H2464" s="22"/>
      <c r="I2464" s="22" t="s">
        <v>848</v>
      </c>
      <c r="J2464" s="22" t="s">
        <v>4401</v>
      </c>
      <c r="K2464" s="22" t="s">
        <v>292</v>
      </c>
      <c r="L2464" s="22"/>
      <c r="M2464" s="22"/>
      <c r="N2464" s="22"/>
    </row>
    <row r="2465" spans="1:14" x14ac:dyDescent="0.25">
      <c r="A2465" s="22" t="s">
        <v>929</v>
      </c>
      <c r="B2465" s="22" t="s">
        <v>39</v>
      </c>
      <c r="C2465" s="22" t="s">
        <v>7465</v>
      </c>
      <c r="D2465" s="23">
        <v>9751561</v>
      </c>
      <c r="E2465" s="22" t="s">
        <v>45</v>
      </c>
      <c r="F2465" s="24">
        <v>44446</v>
      </c>
      <c r="G2465" s="22" t="s">
        <v>848</v>
      </c>
      <c r="H2465" s="22"/>
      <c r="I2465" s="22" t="s">
        <v>848</v>
      </c>
      <c r="J2465" s="22" t="s">
        <v>4407</v>
      </c>
      <c r="K2465" s="22" t="s">
        <v>292</v>
      </c>
      <c r="L2465" s="22"/>
      <c r="M2465" s="22"/>
      <c r="N2465" s="22"/>
    </row>
    <row r="2466" spans="1:14" x14ac:dyDescent="0.25">
      <c r="A2466" s="22" t="s">
        <v>929</v>
      </c>
      <c r="B2466" s="22" t="s">
        <v>39</v>
      </c>
      <c r="C2466" s="22" t="s">
        <v>40</v>
      </c>
      <c r="D2466" s="23">
        <v>30151571</v>
      </c>
      <c r="E2466" s="22" t="s">
        <v>42</v>
      </c>
      <c r="F2466" s="24">
        <v>44446</v>
      </c>
      <c r="G2466" s="22" t="s">
        <v>848</v>
      </c>
      <c r="H2466" s="22" t="s">
        <v>605</v>
      </c>
      <c r="I2466" s="22" t="s">
        <v>928</v>
      </c>
      <c r="J2466" s="22" t="s">
        <v>4401</v>
      </c>
      <c r="K2466" s="22" t="s">
        <v>292</v>
      </c>
      <c r="L2466" s="22"/>
      <c r="M2466" s="22"/>
      <c r="N2466" s="22"/>
    </row>
    <row r="2467" spans="1:14" x14ac:dyDescent="0.25">
      <c r="A2467" s="22" t="s">
        <v>927</v>
      </c>
      <c r="B2467" s="22" t="s">
        <v>39</v>
      </c>
      <c r="C2467" s="22" t="s">
        <v>7482</v>
      </c>
      <c r="D2467" s="23">
        <v>-459100</v>
      </c>
      <c r="E2467" s="22" t="s">
        <v>57</v>
      </c>
      <c r="F2467" s="24">
        <v>44473</v>
      </c>
      <c r="G2467" s="22" t="s">
        <v>360</v>
      </c>
      <c r="H2467" s="22" t="s">
        <v>280</v>
      </c>
      <c r="I2467" s="22" t="s">
        <v>926</v>
      </c>
      <c r="J2467" s="22" t="s">
        <v>4552</v>
      </c>
      <c r="K2467" s="22" t="s">
        <v>61</v>
      </c>
      <c r="L2467" s="22"/>
      <c r="M2467" s="22"/>
      <c r="N2467" s="22"/>
    </row>
    <row r="2468" spans="1:14" x14ac:dyDescent="0.25">
      <c r="A2468" s="22" t="s">
        <v>925</v>
      </c>
      <c r="B2468" s="22" t="s">
        <v>39</v>
      </c>
      <c r="C2468" s="22" t="s">
        <v>7482</v>
      </c>
      <c r="D2468" s="23">
        <v>-29200</v>
      </c>
      <c r="E2468" s="22" t="s">
        <v>57</v>
      </c>
      <c r="F2468" s="24">
        <v>44473</v>
      </c>
      <c r="G2468" s="22" t="s">
        <v>360</v>
      </c>
      <c r="H2468" s="22" t="s">
        <v>550</v>
      </c>
      <c r="I2468" s="22" t="s">
        <v>924</v>
      </c>
      <c r="J2468" s="22" t="s">
        <v>4552</v>
      </c>
      <c r="K2468" s="22" t="s">
        <v>61</v>
      </c>
      <c r="L2468" s="22"/>
      <c r="M2468" s="22"/>
      <c r="N2468" s="22"/>
    </row>
    <row r="2469" spans="1:14" x14ac:dyDescent="0.25">
      <c r="A2469" s="22" t="s">
        <v>923</v>
      </c>
      <c r="B2469" s="22" t="s">
        <v>39</v>
      </c>
      <c r="C2469" s="22" t="s">
        <v>7482</v>
      </c>
      <c r="D2469" s="23">
        <v>-33600</v>
      </c>
      <c r="E2469" s="22" t="s">
        <v>57</v>
      </c>
      <c r="F2469" s="24">
        <v>44474</v>
      </c>
      <c r="G2469" s="22" t="s">
        <v>360</v>
      </c>
      <c r="H2469" s="22" t="s">
        <v>550</v>
      </c>
      <c r="I2469" s="22" t="s">
        <v>922</v>
      </c>
      <c r="J2469" s="22" t="s">
        <v>4552</v>
      </c>
      <c r="K2469" s="22" t="s">
        <v>61</v>
      </c>
      <c r="L2469" s="22"/>
      <c r="M2469" s="22"/>
      <c r="N2469" s="22"/>
    </row>
    <row r="2470" spans="1:14" x14ac:dyDescent="0.25">
      <c r="A2470" s="22" t="s">
        <v>921</v>
      </c>
      <c r="B2470" s="22" t="s">
        <v>39</v>
      </c>
      <c r="C2470" s="22" t="s">
        <v>7482</v>
      </c>
      <c r="D2470" s="23">
        <v>-33600</v>
      </c>
      <c r="E2470" s="22" t="s">
        <v>57</v>
      </c>
      <c r="F2470" s="24">
        <v>44475</v>
      </c>
      <c r="G2470" s="22" t="s">
        <v>360</v>
      </c>
      <c r="H2470" s="22" t="s">
        <v>667</v>
      </c>
      <c r="I2470" s="22" t="s">
        <v>920</v>
      </c>
      <c r="J2470" s="22" t="s">
        <v>4552</v>
      </c>
      <c r="K2470" s="22" t="s">
        <v>61</v>
      </c>
      <c r="L2470" s="22"/>
      <c r="M2470" s="22"/>
      <c r="N2470" s="22"/>
    </row>
    <row r="2471" spans="1:14" x14ac:dyDescent="0.25">
      <c r="A2471" s="22" t="s">
        <v>918</v>
      </c>
      <c r="B2471" s="22" t="s">
        <v>39</v>
      </c>
      <c r="C2471" s="22" t="s">
        <v>7482</v>
      </c>
      <c r="D2471" s="23">
        <v>-43700</v>
      </c>
      <c r="E2471" s="22" t="s">
        <v>57</v>
      </c>
      <c r="F2471" s="24">
        <v>44475</v>
      </c>
      <c r="G2471" s="22" t="s">
        <v>360</v>
      </c>
      <c r="H2471" s="22" t="s">
        <v>919</v>
      </c>
      <c r="I2471" s="22" t="s">
        <v>917</v>
      </c>
      <c r="J2471" s="22" t="s">
        <v>4552</v>
      </c>
      <c r="K2471" s="22" t="s">
        <v>61</v>
      </c>
      <c r="L2471" s="22"/>
      <c r="M2471" s="22"/>
      <c r="N2471" s="22"/>
    </row>
    <row r="2472" spans="1:14" x14ac:dyDescent="0.25">
      <c r="A2472" s="22" t="s">
        <v>916</v>
      </c>
      <c r="B2472" s="22" t="s">
        <v>39</v>
      </c>
      <c r="C2472" s="22" t="s">
        <v>7482</v>
      </c>
      <c r="D2472" s="23">
        <v>-29200</v>
      </c>
      <c r="E2472" s="22" t="s">
        <v>57</v>
      </c>
      <c r="F2472" s="24">
        <v>44476</v>
      </c>
      <c r="G2472" s="22" t="s">
        <v>360</v>
      </c>
      <c r="H2472" s="22" t="s">
        <v>483</v>
      </c>
      <c r="I2472" s="22" t="s">
        <v>915</v>
      </c>
      <c r="J2472" s="22" t="s">
        <v>4552</v>
      </c>
      <c r="K2472" s="22" t="s">
        <v>61</v>
      </c>
      <c r="L2472" s="22"/>
      <c r="M2472" s="22"/>
      <c r="N2472" s="22"/>
    </row>
    <row r="2473" spans="1:14" x14ac:dyDescent="0.25">
      <c r="A2473" s="22" t="s">
        <v>914</v>
      </c>
      <c r="B2473" s="22" t="s">
        <v>39</v>
      </c>
      <c r="C2473" s="22" t="s">
        <v>7482</v>
      </c>
      <c r="D2473" s="23">
        <v>-29200</v>
      </c>
      <c r="E2473" s="22" t="s">
        <v>57</v>
      </c>
      <c r="F2473" s="24">
        <v>44481</v>
      </c>
      <c r="G2473" s="22" t="s">
        <v>360</v>
      </c>
      <c r="H2473" s="22" t="s">
        <v>912</v>
      </c>
      <c r="I2473" s="22" t="s">
        <v>913</v>
      </c>
      <c r="J2473" s="22" t="s">
        <v>4552</v>
      </c>
      <c r="K2473" s="22" t="s">
        <v>61</v>
      </c>
      <c r="L2473" s="22"/>
      <c r="M2473" s="22"/>
      <c r="N2473" s="22"/>
    </row>
    <row r="2474" spans="1:14" x14ac:dyDescent="0.25">
      <c r="A2474" s="22" t="s">
        <v>911</v>
      </c>
      <c r="B2474" s="22" t="s">
        <v>39</v>
      </c>
      <c r="C2474" s="22" t="s">
        <v>7482</v>
      </c>
      <c r="D2474" s="23">
        <v>-43700</v>
      </c>
      <c r="E2474" s="22" t="s">
        <v>57</v>
      </c>
      <c r="F2474" s="24">
        <v>44483</v>
      </c>
      <c r="G2474" s="22" t="s">
        <v>360</v>
      </c>
      <c r="H2474" s="22" t="s">
        <v>912</v>
      </c>
      <c r="I2474" s="22" t="s">
        <v>910</v>
      </c>
      <c r="J2474" s="22" t="s">
        <v>4552</v>
      </c>
      <c r="K2474" s="22" t="s">
        <v>61</v>
      </c>
      <c r="L2474" s="22"/>
      <c r="M2474" s="22"/>
      <c r="N2474" s="22"/>
    </row>
    <row r="2475" spans="1:14" x14ac:dyDescent="0.25">
      <c r="A2475" s="22" t="s">
        <v>909</v>
      </c>
      <c r="B2475" s="22" t="s">
        <v>39</v>
      </c>
      <c r="C2475" s="22" t="s">
        <v>7482</v>
      </c>
      <c r="D2475" s="23">
        <v>-43700</v>
      </c>
      <c r="E2475" s="22" t="s">
        <v>57</v>
      </c>
      <c r="F2475" s="24">
        <v>44483</v>
      </c>
      <c r="G2475" s="22" t="s">
        <v>360</v>
      </c>
      <c r="H2475" s="22" t="s">
        <v>280</v>
      </c>
      <c r="I2475" s="22" t="s">
        <v>908</v>
      </c>
      <c r="J2475" s="22" t="s">
        <v>4552</v>
      </c>
      <c r="K2475" s="22" t="s">
        <v>61</v>
      </c>
      <c r="L2475" s="22"/>
      <c r="M2475" s="22"/>
      <c r="N2475" s="22"/>
    </row>
    <row r="2476" spans="1:14" x14ac:dyDescent="0.25">
      <c r="A2476" s="22" t="s">
        <v>907</v>
      </c>
      <c r="B2476" s="22" t="s">
        <v>39</v>
      </c>
      <c r="C2476" s="22" t="s">
        <v>7482</v>
      </c>
      <c r="D2476" s="23">
        <v>-28100</v>
      </c>
      <c r="E2476" s="22" t="s">
        <v>57</v>
      </c>
      <c r="F2476" s="24">
        <v>44483</v>
      </c>
      <c r="G2476" s="22" t="s">
        <v>360</v>
      </c>
      <c r="H2476" s="22" t="s">
        <v>280</v>
      </c>
      <c r="I2476" s="22" t="s">
        <v>906</v>
      </c>
      <c r="J2476" s="22" t="s">
        <v>4552</v>
      </c>
      <c r="K2476" s="22" t="s">
        <v>61</v>
      </c>
      <c r="L2476" s="22"/>
      <c r="M2476" s="22"/>
      <c r="N2476" s="22"/>
    </row>
    <row r="2477" spans="1:14" x14ac:dyDescent="0.25">
      <c r="A2477" s="22" t="s">
        <v>905</v>
      </c>
      <c r="B2477" s="22" t="s">
        <v>39</v>
      </c>
      <c r="C2477" s="22" t="s">
        <v>7482</v>
      </c>
      <c r="D2477" s="23">
        <v>-24600</v>
      </c>
      <c r="E2477" s="22" t="s">
        <v>57</v>
      </c>
      <c r="F2477" s="24">
        <v>44484</v>
      </c>
      <c r="G2477" s="22" t="s">
        <v>360</v>
      </c>
      <c r="H2477" s="22" t="s">
        <v>280</v>
      </c>
      <c r="I2477" s="22" t="s">
        <v>904</v>
      </c>
      <c r="J2477" s="22" t="s">
        <v>4552</v>
      </c>
      <c r="K2477" s="22" t="s">
        <v>61</v>
      </c>
      <c r="L2477" s="22"/>
      <c r="M2477" s="22"/>
      <c r="N2477" s="22"/>
    </row>
    <row r="2478" spans="1:14" x14ac:dyDescent="0.25">
      <c r="A2478" s="22" t="s">
        <v>903</v>
      </c>
      <c r="B2478" s="22" t="s">
        <v>39</v>
      </c>
      <c r="C2478" s="22" t="s">
        <v>7482</v>
      </c>
      <c r="D2478" s="23">
        <v>-41800</v>
      </c>
      <c r="E2478" s="22" t="s">
        <v>57</v>
      </c>
      <c r="F2478" s="24">
        <v>44484</v>
      </c>
      <c r="G2478" s="22" t="s">
        <v>360</v>
      </c>
      <c r="H2478" s="22" t="s">
        <v>282</v>
      </c>
      <c r="I2478" s="22" t="s">
        <v>902</v>
      </c>
      <c r="J2478" s="22" t="s">
        <v>4552</v>
      </c>
      <c r="K2478" s="22" t="s">
        <v>61</v>
      </c>
      <c r="L2478" s="22"/>
      <c r="M2478" s="22"/>
      <c r="N2478" s="22"/>
    </row>
    <row r="2479" spans="1:14" x14ac:dyDescent="0.25">
      <c r="A2479" s="22" t="s">
        <v>901</v>
      </c>
      <c r="B2479" s="22" t="s">
        <v>39</v>
      </c>
      <c r="C2479" s="22" t="s">
        <v>7482</v>
      </c>
      <c r="D2479" s="23">
        <v>-43700</v>
      </c>
      <c r="E2479" s="22" t="s">
        <v>57</v>
      </c>
      <c r="F2479" s="24">
        <v>44488</v>
      </c>
      <c r="G2479" s="22" t="s">
        <v>360</v>
      </c>
      <c r="H2479" s="22" t="s">
        <v>550</v>
      </c>
      <c r="I2479" s="22" t="s">
        <v>900</v>
      </c>
      <c r="J2479" s="22" t="s">
        <v>4552</v>
      </c>
      <c r="K2479" s="22" t="s">
        <v>61</v>
      </c>
      <c r="L2479" s="22"/>
      <c r="M2479" s="22"/>
      <c r="N2479" s="22"/>
    </row>
    <row r="2480" spans="1:14" x14ac:dyDescent="0.25">
      <c r="A2480" s="22" t="s">
        <v>899</v>
      </c>
      <c r="B2480" s="22" t="s">
        <v>39</v>
      </c>
      <c r="C2480" s="22" t="s">
        <v>7482</v>
      </c>
      <c r="D2480" s="23">
        <v>-151600</v>
      </c>
      <c r="E2480" s="22" t="s">
        <v>57</v>
      </c>
      <c r="F2480" s="24">
        <v>44488</v>
      </c>
      <c r="G2480" s="22" t="s">
        <v>360</v>
      </c>
      <c r="H2480" s="22" t="s">
        <v>280</v>
      </c>
      <c r="I2480" s="22" t="s">
        <v>898</v>
      </c>
      <c r="J2480" s="22" t="s">
        <v>4552</v>
      </c>
      <c r="K2480" s="22" t="s">
        <v>61</v>
      </c>
      <c r="L2480" s="22"/>
      <c r="M2480" s="22"/>
      <c r="N2480" s="22"/>
    </row>
    <row r="2481" spans="1:14" x14ac:dyDescent="0.25">
      <c r="A2481" s="22" t="s">
        <v>896</v>
      </c>
      <c r="B2481" s="22" t="s">
        <v>39</v>
      </c>
      <c r="C2481" s="22" t="s">
        <v>7482</v>
      </c>
      <c r="D2481" s="23">
        <v>-36800</v>
      </c>
      <c r="E2481" s="22" t="s">
        <v>57</v>
      </c>
      <c r="F2481" s="24">
        <v>44488</v>
      </c>
      <c r="G2481" s="22" t="s">
        <v>360</v>
      </c>
      <c r="H2481" s="22" t="s">
        <v>897</v>
      </c>
      <c r="I2481" s="22" t="s">
        <v>895</v>
      </c>
      <c r="J2481" s="22" t="s">
        <v>4552</v>
      </c>
      <c r="K2481" s="22" t="s">
        <v>61</v>
      </c>
      <c r="L2481" s="22"/>
      <c r="M2481" s="22"/>
      <c r="N2481" s="22"/>
    </row>
    <row r="2482" spans="1:14" x14ac:dyDescent="0.25">
      <c r="A2482" s="22" t="s">
        <v>894</v>
      </c>
      <c r="B2482" s="22" t="s">
        <v>39</v>
      </c>
      <c r="C2482" s="22" t="s">
        <v>7482</v>
      </c>
      <c r="D2482" s="23">
        <v>-29200</v>
      </c>
      <c r="E2482" s="22" t="s">
        <v>57</v>
      </c>
      <c r="F2482" s="24">
        <v>44489</v>
      </c>
      <c r="G2482" s="22" t="s">
        <v>360</v>
      </c>
      <c r="H2482" s="22" t="s">
        <v>491</v>
      </c>
      <c r="I2482" s="22" t="s">
        <v>893</v>
      </c>
      <c r="J2482" s="22" t="s">
        <v>4552</v>
      </c>
      <c r="K2482" s="22" t="s">
        <v>61</v>
      </c>
      <c r="L2482" s="22"/>
      <c r="M2482" s="22"/>
      <c r="N2482" s="22"/>
    </row>
    <row r="2483" spans="1:14" x14ac:dyDescent="0.25">
      <c r="A2483" s="22" t="s">
        <v>845</v>
      </c>
      <c r="B2483" s="22" t="s">
        <v>39</v>
      </c>
      <c r="C2483" s="22" t="s">
        <v>7482</v>
      </c>
      <c r="D2483" s="23">
        <v>-43700</v>
      </c>
      <c r="E2483" s="22" t="s">
        <v>57</v>
      </c>
      <c r="F2483" s="24">
        <v>44490</v>
      </c>
      <c r="G2483" s="22" t="s">
        <v>360</v>
      </c>
      <c r="H2483" s="22" t="s">
        <v>282</v>
      </c>
      <c r="I2483" s="22" t="s">
        <v>844</v>
      </c>
      <c r="J2483" s="22" t="s">
        <v>4552</v>
      </c>
      <c r="K2483" s="22" t="s">
        <v>61</v>
      </c>
      <c r="L2483" s="22"/>
      <c r="M2483" s="22"/>
      <c r="N2483" s="22"/>
    </row>
    <row r="2484" spans="1:14" x14ac:dyDescent="0.25">
      <c r="A2484" s="22" t="s">
        <v>801</v>
      </c>
      <c r="B2484" s="22" t="s">
        <v>39</v>
      </c>
      <c r="C2484" s="22" t="s">
        <v>7482</v>
      </c>
      <c r="D2484" s="23">
        <v>-33200</v>
      </c>
      <c r="E2484" s="22" t="s">
        <v>57</v>
      </c>
      <c r="F2484" s="24">
        <v>44491</v>
      </c>
      <c r="G2484" s="22" t="s">
        <v>360</v>
      </c>
      <c r="H2484" s="22" t="s">
        <v>802</v>
      </c>
      <c r="I2484" s="22" t="s">
        <v>800</v>
      </c>
      <c r="J2484" s="22" t="s">
        <v>4552</v>
      </c>
      <c r="K2484" s="22" t="s">
        <v>61</v>
      </c>
      <c r="L2484" s="22"/>
      <c r="M2484" s="22"/>
      <c r="N2484" s="22"/>
    </row>
    <row r="2485" spans="1:14" x14ac:dyDescent="0.25">
      <c r="A2485" s="22" t="s">
        <v>798</v>
      </c>
      <c r="B2485" s="22" t="s">
        <v>39</v>
      </c>
      <c r="C2485" s="22" t="s">
        <v>7482</v>
      </c>
      <c r="D2485" s="23">
        <v>-43700</v>
      </c>
      <c r="E2485" s="22" t="s">
        <v>57</v>
      </c>
      <c r="F2485" s="24">
        <v>44491</v>
      </c>
      <c r="G2485" s="22" t="s">
        <v>360</v>
      </c>
      <c r="H2485" s="22" t="s">
        <v>799</v>
      </c>
      <c r="I2485" s="22" t="s">
        <v>797</v>
      </c>
      <c r="J2485" s="22" t="s">
        <v>4552</v>
      </c>
      <c r="K2485" s="22" t="s">
        <v>61</v>
      </c>
      <c r="L2485" s="22"/>
      <c r="M2485" s="22"/>
      <c r="N2485" s="22"/>
    </row>
    <row r="2486" spans="1:14" x14ac:dyDescent="0.25">
      <c r="A2486" s="22" t="s">
        <v>796</v>
      </c>
      <c r="B2486" s="22" t="s">
        <v>39</v>
      </c>
      <c r="C2486" s="22" t="s">
        <v>7482</v>
      </c>
      <c r="D2486" s="23">
        <v>-92700</v>
      </c>
      <c r="E2486" s="22" t="s">
        <v>57</v>
      </c>
      <c r="F2486" s="24">
        <v>44494</v>
      </c>
      <c r="G2486" s="22" t="s">
        <v>360</v>
      </c>
      <c r="H2486" s="22" t="s">
        <v>478</v>
      </c>
      <c r="I2486" s="22" t="s">
        <v>795</v>
      </c>
      <c r="J2486" s="22" t="s">
        <v>4552</v>
      </c>
      <c r="K2486" s="22" t="s">
        <v>61</v>
      </c>
      <c r="L2486" s="22"/>
      <c r="M2486" s="22"/>
      <c r="N2486" s="22"/>
    </row>
    <row r="2487" spans="1:14" x14ac:dyDescent="0.25">
      <c r="A2487" s="22" t="s">
        <v>794</v>
      </c>
      <c r="B2487" s="22" t="s">
        <v>39</v>
      </c>
      <c r="C2487" s="22" t="s">
        <v>7482</v>
      </c>
      <c r="D2487" s="23">
        <v>-33200</v>
      </c>
      <c r="E2487" s="22" t="s">
        <v>57</v>
      </c>
      <c r="F2487" s="24">
        <v>44494</v>
      </c>
      <c r="G2487" s="22" t="s">
        <v>360</v>
      </c>
      <c r="H2487" s="22" t="s">
        <v>478</v>
      </c>
      <c r="I2487" s="22" t="s">
        <v>793</v>
      </c>
      <c r="J2487" s="22" t="s">
        <v>4552</v>
      </c>
      <c r="K2487" s="22" t="s">
        <v>61</v>
      </c>
      <c r="L2487" s="22"/>
      <c r="M2487" s="22"/>
      <c r="N2487" s="22"/>
    </row>
    <row r="2488" spans="1:14" x14ac:dyDescent="0.25">
      <c r="A2488" s="22" t="s">
        <v>792</v>
      </c>
      <c r="B2488" s="22" t="s">
        <v>39</v>
      </c>
      <c r="C2488" s="22" t="s">
        <v>7482</v>
      </c>
      <c r="D2488" s="23">
        <v>-29200</v>
      </c>
      <c r="E2488" s="22" t="s">
        <v>57</v>
      </c>
      <c r="F2488" s="24">
        <v>44495</v>
      </c>
      <c r="G2488" s="22" t="s">
        <v>360</v>
      </c>
      <c r="H2488" s="22" t="s">
        <v>375</v>
      </c>
      <c r="I2488" s="22" t="s">
        <v>791</v>
      </c>
      <c r="J2488" s="22" t="s">
        <v>4552</v>
      </c>
      <c r="K2488" s="22" t="s">
        <v>61</v>
      </c>
      <c r="L2488" s="22"/>
      <c r="M2488" s="22"/>
      <c r="N2488" s="22"/>
    </row>
    <row r="2489" spans="1:14" x14ac:dyDescent="0.25">
      <c r="A2489" s="22" t="s">
        <v>790</v>
      </c>
      <c r="B2489" s="22" t="s">
        <v>39</v>
      </c>
      <c r="C2489" s="22" t="s">
        <v>7482</v>
      </c>
      <c r="D2489" s="23">
        <v>-311500</v>
      </c>
      <c r="E2489" s="22" t="s">
        <v>57</v>
      </c>
      <c r="F2489" s="24">
        <v>44495</v>
      </c>
      <c r="G2489" s="22" t="s">
        <v>360</v>
      </c>
      <c r="H2489" s="22" t="s">
        <v>550</v>
      </c>
      <c r="I2489" s="22" t="s">
        <v>789</v>
      </c>
      <c r="J2489" s="22" t="s">
        <v>4552</v>
      </c>
      <c r="K2489" s="22" t="s">
        <v>61</v>
      </c>
      <c r="L2489" s="22"/>
      <c r="M2489" s="22"/>
      <c r="N2489" s="22"/>
    </row>
    <row r="2490" spans="1:14" x14ac:dyDescent="0.25">
      <c r="A2490" s="22" t="s">
        <v>787</v>
      </c>
      <c r="B2490" s="22" t="s">
        <v>39</v>
      </c>
      <c r="C2490" s="22" t="s">
        <v>7482</v>
      </c>
      <c r="D2490" s="23">
        <v>-186000</v>
      </c>
      <c r="E2490" s="22" t="s">
        <v>57</v>
      </c>
      <c r="F2490" s="24">
        <v>44496</v>
      </c>
      <c r="G2490" s="22" t="s">
        <v>360</v>
      </c>
      <c r="H2490" s="22" t="s">
        <v>788</v>
      </c>
      <c r="I2490" s="22" t="s">
        <v>786</v>
      </c>
      <c r="J2490" s="22" t="s">
        <v>4552</v>
      </c>
      <c r="K2490" s="22" t="s">
        <v>61</v>
      </c>
      <c r="L2490" s="22"/>
      <c r="M2490" s="22"/>
      <c r="N2490" s="22"/>
    </row>
    <row r="2491" spans="1:14" x14ac:dyDescent="0.25">
      <c r="A2491" s="22" t="s">
        <v>784</v>
      </c>
      <c r="B2491" s="22" t="s">
        <v>39</v>
      </c>
      <c r="C2491" s="22" t="s">
        <v>7483</v>
      </c>
      <c r="D2491" s="23">
        <v>-354864</v>
      </c>
      <c r="E2491" s="22" t="s">
        <v>57</v>
      </c>
      <c r="F2491" s="24">
        <v>44350</v>
      </c>
      <c r="G2491" s="22" t="s">
        <v>360</v>
      </c>
      <c r="H2491" s="22" t="s">
        <v>785</v>
      </c>
      <c r="I2491" s="22" t="s">
        <v>783</v>
      </c>
      <c r="J2491" s="22" t="s">
        <v>4552</v>
      </c>
      <c r="K2491" s="22" t="s">
        <v>61</v>
      </c>
      <c r="L2491" s="22"/>
      <c r="M2491" s="22"/>
      <c r="N2491" s="22"/>
    </row>
    <row r="2492" spans="1:14" x14ac:dyDescent="0.25">
      <c r="A2492" s="22" t="s">
        <v>782</v>
      </c>
      <c r="B2492" s="22" t="s">
        <v>39</v>
      </c>
      <c r="C2492" s="22" t="s">
        <v>7484</v>
      </c>
      <c r="D2492" s="23">
        <v>-46100</v>
      </c>
      <c r="E2492" s="22" t="s">
        <v>57</v>
      </c>
      <c r="F2492" s="24">
        <v>44365</v>
      </c>
      <c r="G2492" s="22" t="s">
        <v>360</v>
      </c>
      <c r="H2492" s="22" t="s">
        <v>608</v>
      </c>
      <c r="I2492" s="22" t="s">
        <v>781</v>
      </c>
      <c r="J2492" s="22" t="s">
        <v>4407</v>
      </c>
      <c r="K2492" s="22" t="s">
        <v>66</v>
      </c>
      <c r="L2492" s="22"/>
      <c r="M2492" s="22"/>
      <c r="N2492" s="22"/>
    </row>
    <row r="2493" spans="1:14" x14ac:dyDescent="0.25">
      <c r="A2493" s="22" t="s">
        <v>780</v>
      </c>
      <c r="B2493" s="22" t="s">
        <v>39</v>
      </c>
      <c r="C2493" s="22" t="s">
        <v>7484</v>
      </c>
      <c r="D2493" s="23">
        <v>-47200</v>
      </c>
      <c r="E2493" s="22" t="s">
        <v>57</v>
      </c>
      <c r="F2493" s="24">
        <v>44368</v>
      </c>
      <c r="G2493" s="22" t="s">
        <v>360</v>
      </c>
      <c r="H2493" s="22" t="s">
        <v>764</v>
      </c>
      <c r="I2493" s="22" t="s">
        <v>779</v>
      </c>
      <c r="J2493" s="22" t="s">
        <v>4407</v>
      </c>
      <c r="K2493" s="22" t="s">
        <v>66</v>
      </c>
      <c r="L2493" s="22"/>
      <c r="M2493" s="22"/>
      <c r="N2493" s="22"/>
    </row>
    <row r="2494" spans="1:14" x14ac:dyDescent="0.25">
      <c r="A2494" s="22" t="s">
        <v>778</v>
      </c>
      <c r="B2494" s="22" t="s">
        <v>39</v>
      </c>
      <c r="C2494" s="22" t="s">
        <v>7484</v>
      </c>
      <c r="D2494" s="23">
        <v>-23700</v>
      </c>
      <c r="E2494" s="22" t="s">
        <v>57</v>
      </c>
      <c r="F2494" s="24">
        <v>44369</v>
      </c>
      <c r="G2494" s="22" t="s">
        <v>360</v>
      </c>
      <c r="H2494" s="22" t="s">
        <v>764</v>
      </c>
      <c r="I2494" s="22" t="s">
        <v>777</v>
      </c>
      <c r="J2494" s="22" t="s">
        <v>4407</v>
      </c>
      <c r="K2494" s="22" t="s">
        <v>66</v>
      </c>
      <c r="L2494" s="22"/>
      <c r="M2494" s="22"/>
      <c r="N2494" s="22"/>
    </row>
    <row r="2495" spans="1:14" x14ac:dyDescent="0.25">
      <c r="A2495" s="22" t="s">
        <v>776</v>
      </c>
      <c r="B2495" s="22" t="s">
        <v>39</v>
      </c>
      <c r="C2495" s="22" t="s">
        <v>7484</v>
      </c>
      <c r="D2495" s="23">
        <v>-47200</v>
      </c>
      <c r="E2495" s="22" t="s">
        <v>57</v>
      </c>
      <c r="F2495" s="24">
        <v>44370</v>
      </c>
      <c r="G2495" s="22" t="s">
        <v>360</v>
      </c>
      <c r="H2495" s="22" t="s">
        <v>740</v>
      </c>
      <c r="I2495" s="22" t="s">
        <v>775</v>
      </c>
      <c r="J2495" s="22" t="s">
        <v>4407</v>
      </c>
      <c r="K2495" s="22" t="s">
        <v>66</v>
      </c>
      <c r="L2495" s="22"/>
      <c r="M2495" s="22"/>
      <c r="N2495" s="22"/>
    </row>
    <row r="2496" spans="1:14" x14ac:dyDescent="0.25">
      <c r="A2496" s="22" t="s">
        <v>774</v>
      </c>
      <c r="B2496" s="22" t="s">
        <v>39</v>
      </c>
      <c r="C2496" s="22" t="s">
        <v>7484</v>
      </c>
      <c r="D2496" s="23">
        <v>-32700</v>
      </c>
      <c r="E2496" s="22" t="s">
        <v>57</v>
      </c>
      <c r="F2496" s="24">
        <v>44371</v>
      </c>
      <c r="G2496" s="22" t="s">
        <v>360</v>
      </c>
      <c r="H2496" s="22" t="s">
        <v>249</v>
      </c>
      <c r="I2496" s="22" t="s">
        <v>773</v>
      </c>
      <c r="J2496" s="22" t="s">
        <v>4407</v>
      </c>
      <c r="K2496" s="22" t="s">
        <v>66</v>
      </c>
      <c r="L2496" s="22"/>
      <c r="M2496" s="22"/>
      <c r="N2496" s="22"/>
    </row>
    <row r="2497" spans="1:14" x14ac:dyDescent="0.25">
      <c r="A2497" s="22" t="s">
        <v>772</v>
      </c>
      <c r="B2497" s="22" t="s">
        <v>39</v>
      </c>
      <c r="C2497" s="22" t="s">
        <v>7484</v>
      </c>
      <c r="D2497" s="23">
        <v>-457900</v>
      </c>
      <c r="E2497" s="22" t="s">
        <v>57</v>
      </c>
      <c r="F2497" s="24">
        <v>44371</v>
      </c>
      <c r="G2497" s="22" t="s">
        <v>360</v>
      </c>
      <c r="H2497" s="22" t="s">
        <v>542</v>
      </c>
      <c r="I2497" s="22" t="s">
        <v>771</v>
      </c>
      <c r="J2497" s="22" t="s">
        <v>4407</v>
      </c>
      <c r="K2497" s="22" t="s">
        <v>66</v>
      </c>
      <c r="L2497" s="22"/>
      <c r="M2497" s="22"/>
      <c r="N2497" s="22"/>
    </row>
    <row r="2498" spans="1:14" x14ac:dyDescent="0.25">
      <c r="A2498" s="22" t="s">
        <v>770</v>
      </c>
      <c r="B2498" s="22" t="s">
        <v>39</v>
      </c>
      <c r="C2498" s="22" t="s">
        <v>7484</v>
      </c>
      <c r="D2498" s="23">
        <v>-47200</v>
      </c>
      <c r="E2498" s="22" t="s">
        <v>57</v>
      </c>
      <c r="F2498" s="24">
        <v>44371</v>
      </c>
      <c r="G2498" s="22" t="s">
        <v>360</v>
      </c>
      <c r="H2498" s="22" t="s">
        <v>637</v>
      </c>
      <c r="I2498" s="22" t="s">
        <v>769</v>
      </c>
      <c r="J2498" s="22" t="s">
        <v>4407</v>
      </c>
      <c r="K2498" s="22" t="s">
        <v>66</v>
      </c>
      <c r="L2498" s="22"/>
      <c r="M2498" s="22"/>
      <c r="N2498" s="22"/>
    </row>
    <row r="2499" spans="1:14" x14ac:dyDescent="0.25">
      <c r="A2499" s="22" t="s">
        <v>768</v>
      </c>
      <c r="B2499" s="22" t="s">
        <v>39</v>
      </c>
      <c r="C2499" s="22" t="s">
        <v>7484</v>
      </c>
      <c r="D2499" s="23">
        <v>-267400</v>
      </c>
      <c r="E2499" s="22" t="s">
        <v>57</v>
      </c>
      <c r="F2499" s="24">
        <v>44372</v>
      </c>
      <c r="G2499" s="22" t="s">
        <v>360</v>
      </c>
      <c r="H2499" s="22" t="s">
        <v>542</v>
      </c>
      <c r="I2499" s="22" t="s">
        <v>767</v>
      </c>
      <c r="J2499" s="22" t="s">
        <v>4407</v>
      </c>
      <c r="K2499" s="22" t="s">
        <v>66</v>
      </c>
      <c r="L2499" s="22"/>
      <c r="M2499" s="22"/>
      <c r="N2499" s="22"/>
    </row>
    <row r="2500" spans="1:14" x14ac:dyDescent="0.25">
      <c r="A2500" s="22" t="s">
        <v>766</v>
      </c>
      <c r="B2500" s="22" t="s">
        <v>39</v>
      </c>
      <c r="C2500" s="22" t="s">
        <v>7484</v>
      </c>
      <c r="D2500" s="23">
        <v>-32700</v>
      </c>
      <c r="E2500" s="22" t="s">
        <v>57</v>
      </c>
      <c r="F2500" s="24">
        <v>44372</v>
      </c>
      <c r="G2500" s="22" t="s">
        <v>360</v>
      </c>
      <c r="H2500" s="22" t="s">
        <v>637</v>
      </c>
      <c r="I2500" s="22" t="s">
        <v>765</v>
      </c>
      <c r="J2500" s="22" t="s">
        <v>4407</v>
      </c>
      <c r="K2500" s="22" t="s">
        <v>66</v>
      </c>
      <c r="L2500" s="22"/>
      <c r="M2500" s="22"/>
      <c r="N2500" s="22"/>
    </row>
    <row r="2501" spans="1:14" x14ac:dyDescent="0.25">
      <c r="A2501" s="22" t="s">
        <v>763</v>
      </c>
      <c r="B2501" s="22" t="s">
        <v>39</v>
      </c>
      <c r="C2501" s="22" t="s">
        <v>7484</v>
      </c>
      <c r="D2501" s="23">
        <v>-32700</v>
      </c>
      <c r="E2501" s="22" t="s">
        <v>57</v>
      </c>
      <c r="F2501" s="24">
        <v>44372</v>
      </c>
      <c r="G2501" s="22" t="s">
        <v>360</v>
      </c>
      <c r="H2501" s="22" t="s">
        <v>764</v>
      </c>
      <c r="I2501" s="22" t="s">
        <v>762</v>
      </c>
      <c r="J2501" s="22" t="s">
        <v>4407</v>
      </c>
      <c r="K2501" s="22" t="s">
        <v>66</v>
      </c>
      <c r="L2501" s="22"/>
      <c r="M2501" s="22"/>
      <c r="N2501" s="22"/>
    </row>
    <row r="2502" spans="1:14" x14ac:dyDescent="0.25">
      <c r="A2502" s="22" t="s">
        <v>761</v>
      </c>
      <c r="B2502" s="22" t="s">
        <v>39</v>
      </c>
      <c r="C2502" s="22" t="s">
        <v>7484</v>
      </c>
      <c r="D2502" s="23">
        <v>-161400</v>
      </c>
      <c r="E2502" s="22" t="s">
        <v>57</v>
      </c>
      <c r="F2502" s="24">
        <v>44372</v>
      </c>
      <c r="G2502" s="22" t="s">
        <v>360</v>
      </c>
      <c r="H2502" s="22" t="s">
        <v>542</v>
      </c>
      <c r="I2502" s="22" t="s">
        <v>760</v>
      </c>
      <c r="J2502" s="22" t="s">
        <v>4407</v>
      </c>
      <c r="K2502" s="22" t="s">
        <v>66</v>
      </c>
      <c r="L2502" s="22"/>
      <c r="M2502" s="22"/>
      <c r="N2502" s="22"/>
    </row>
    <row r="2503" spans="1:14" x14ac:dyDescent="0.25">
      <c r="A2503" s="22" t="s">
        <v>759</v>
      </c>
      <c r="B2503" s="22" t="s">
        <v>39</v>
      </c>
      <c r="C2503" s="22" t="s">
        <v>7484</v>
      </c>
      <c r="D2503" s="23">
        <v>-47200</v>
      </c>
      <c r="E2503" s="22" t="s">
        <v>57</v>
      </c>
      <c r="F2503" s="24">
        <v>44376</v>
      </c>
      <c r="G2503" s="22" t="s">
        <v>360</v>
      </c>
      <c r="H2503" s="22" t="s">
        <v>311</v>
      </c>
      <c r="I2503" s="22" t="s">
        <v>758</v>
      </c>
      <c r="J2503" s="22" t="s">
        <v>4407</v>
      </c>
      <c r="K2503" s="22" t="s">
        <v>66</v>
      </c>
      <c r="L2503" s="22"/>
      <c r="M2503" s="22"/>
      <c r="N2503" s="22"/>
    </row>
    <row r="2504" spans="1:14" x14ac:dyDescent="0.25">
      <c r="A2504" s="22" t="s">
        <v>756</v>
      </c>
      <c r="B2504" s="22" t="s">
        <v>39</v>
      </c>
      <c r="C2504" s="22" t="s">
        <v>7484</v>
      </c>
      <c r="D2504" s="23">
        <v>-32700</v>
      </c>
      <c r="E2504" s="22" t="s">
        <v>57</v>
      </c>
      <c r="F2504" s="24">
        <v>44376</v>
      </c>
      <c r="G2504" s="22" t="s">
        <v>360</v>
      </c>
      <c r="H2504" s="22" t="s">
        <v>757</v>
      </c>
      <c r="I2504" s="22" t="s">
        <v>755</v>
      </c>
      <c r="J2504" s="22" t="s">
        <v>4407</v>
      </c>
      <c r="K2504" s="22" t="s">
        <v>66</v>
      </c>
      <c r="L2504" s="22"/>
      <c r="M2504" s="22"/>
      <c r="N2504" s="22"/>
    </row>
    <row r="2505" spans="1:14" x14ac:dyDescent="0.25">
      <c r="A2505" s="22" t="s">
        <v>754</v>
      </c>
      <c r="B2505" s="22" t="s">
        <v>39</v>
      </c>
      <c r="C2505" s="22" t="s">
        <v>7484</v>
      </c>
      <c r="D2505" s="23">
        <v>-32700</v>
      </c>
      <c r="E2505" s="22" t="s">
        <v>57</v>
      </c>
      <c r="F2505" s="24">
        <v>44377</v>
      </c>
      <c r="G2505" s="22" t="s">
        <v>360</v>
      </c>
      <c r="H2505" s="22" t="s">
        <v>723</v>
      </c>
      <c r="I2505" s="22" t="s">
        <v>753</v>
      </c>
      <c r="J2505" s="22" t="s">
        <v>4407</v>
      </c>
      <c r="K2505" s="22" t="s">
        <v>66</v>
      </c>
      <c r="L2505" s="22"/>
      <c r="M2505" s="22"/>
      <c r="N2505" s="22"/>
    </row>
    <row r="2506" spans="1:14" x14ac:dyDescent="0.25">
      <c r="A2506" s="22" t="s">
        <v>751</v>
      </c>
      <c r="B2506" s="22" t="s">
        <v>39</v>
      </c>
      <c r="C2506" s="22" t="s">
        <v>7485</v>
      </c>
      <c r="D2506" s="23">
        <v>-129507</v>
      </c>
      <c r="E2506" s="22" t="s">
        <v>57</v>
      </c>
      <c r="F2506" s="24">
        <v>44353</v>
      </c>
      <c r="G2506" s="22" t="s">
        <v>360</v>
      </c>
      <c r="H2506" s="22" t="s">
        <v>752</v>
      </c>
      <c r="I2506" s="22" t="s">
        <v>750</v>
      </c>
      <c r="J2506" s="22" t="s">
        <v>4407</v>
      </c>
      <c r="K2506" s="22" t="s">
        <v>66</v>
      </c>
      <c r="L2506" s="22"/>
      <c r="M2506" s="22"/>
      <c r="N2506" s="22"/>
    </row>
    <row r="2507" spans="1:14" x14ac:dyDescent="0.25">
      <c r="A2507" s="22" t="s">
        <v>748</v>
      </c>
      <c r="B2507" s="22" t="s">
        <v>39</v>
      </c>
      <c r="C2507" s="22" t="s">
        <v>7485</v>
      </c>
      <c r="D2507" s="23">
        <v>-125300</v>
      </c>
      <c r="E2507" s="22" t="s">
        <v>57</v>
      </c>
      <c r="F2507" s="24">
        <v>44358</v>
      </c>
      <c r="G2507" s="22" t="s">
        <v>360</v>
      </c>
      <c r="H2507" s="22" t="s">
        <v>749</v>
      </c>
      <c r="I2507" s="22" t="s">
        <v>747</v>
      </c>
      <c r="J2507" s="22" t="s">
        <v>4407</v>
      </c>
      <c r="K2507" s="22" t="s">
        <v>66</v>
      </c>
      <c r="L2507" s="22"/>
      <c r="M2507" s="22"/>
      <c r="N2507" s="22"/>
    </row>
    <row r="2508" spans="1:14" x14ac:dyDescent="0.25">
      <c r="A2508" s="22" t="s">
        <v>361</v>
      </c>
      <c r="B2508" s="22" t="s">
        <v>39</v>
      </c>
      <c r="C2508" s="22" t="s">
        <v>7486</v>
      </c>
      <c r="D2508" s="23">
        <v>-1587000</v>
      </c>
      <c r="E2508" s="22" t="s">
        <v>57</v>
      </c>
      <c r="F2508" s="24">
        <v>44389</v>
      </c>
      <c r="G2508" s="22" t="s">
        <v>360</v>
      </c>
      <c r="H2508" s="22" t="s">
        <v>843</v>
      </c>
      <c r="I2508" s="22" t="s">
        <v>842</v>
      </c>
      <c r="J2508" s="22" t="s">
        <v>4407</v>
      </c>
      <c r="K2508" s="22" t="s">
        <v>66</v>
      </c>
      <c r="L2508" s="22"/>
      <c r="M2508" s="22"/>
      <c r="N2508" s="22"/>
    </row>
    <row r="2509" spans="1:14" x14ac:dyDescent="0.25">
      <c r="A2509" s="22" t="s">
        <v>841</v>
      </c>
      <c r="B2509" s="22" t="s">
        <v>39</v>
      </c>
      <c r="C2509" s="22" t="s">
        <v>7487</v>
      </c>
      <c r="D2509" s="23">
        <v>-29200</v>
      </c>
      <c r="E2509" s="22" t="s">
        <v>57</v>
      </c>
      <c r="F2509" s="24">
        <v>44349</v>
      </c>
      <c r="G2509" s="22" t="s">
        <v>360</v>
      </c>
      <c r="H2509" s="22" t="s">
        <v>550</v>
      </c>
      <c r="I2509" s="22" t="s">
        <v>840</v>
      </c>
      <c r="J2509" s="22" t="s">
        <v>4552</v>
      </c>
      <c r="K2509" s="22" t="s">
        <v>61</v>
      </c>
      <c r="L2509" s="22"/>
      <c r="M2509" s="22"/>
      <c r="N2509" s="22"/>
    </row>
    <row r="2510" spans="1:14" x14ac:dyDescent="0.25">
      <c r="A2510" s="22" t="s">
        <v>838</v>
      </c>
      <c r="B2510" s="22" t="s">
        <v>39</v>
      </c>
      <c r="C2510" s="22" t="s">
        <v>7487</v>
      </c>
      <c r="D2510" s="23">
        <v>-540400</v>
      </c>
      <c r="E2510" s="22" t="s">
        <v>57</v>
      </c>
      <c r="F2510" s="24">
        <v>44357</v>
      </c>
      <c r="G2510" s="22" t="s">
        <v>360</v>
      </c>
      <c r="H2510" s="22" t="s">
        <v>839</v>
      </c>
      <c r="I2510" s="22" t="s">
        <v>837</v>
      </c>
      <c r="J2510" s="22" t="s">
        <v>4552</v>
      </c>
      <c r="K2510" s="22" t="s">
        <v>61</v>
      </c>
      <c r="L2510" s="22"/>
      <c r="M2510" s="22"/>
      <c r="N2510" s="22"/>
    </row>
    <row r="2511" spans="1:14" x14ac:dyDescent="0.25">
      <c r="A2511" s="22" t="s">
        <v>835</v>
      </c>
      <c r="B2511" s="22" t="s">
        <v>39</v>
      </c>
      <c r="C2511" s="22" t="s">
        <v>7487</v>
      </c>
      <c r="D2511" s="23">
        <v>-43700</v>
      </c>
      <c r="E2511" s="22" t="s">
        <v>57</v>
      </c>
      <c r="F2511" s="24">
        <v>44358</v>
      </c>
      <c r="G2511" s="22" t="s">
        <v>360</v>
      </c>
      <c r="H2511" s="22" t="s">
        <v>836</v>
      </c>
      <c r="I2511" s="22" t="s">
        <v>834</v>
      </c>
      <c r="J2511" s="22" t="s">
        <v>4552</v>
      </c>
      <c r="K2511" s="22" t="s">
        <v>61</v>
      </c>
      <c r="L2511" s="22"/>
      <c r="M2511" s="22"/>
      <c r="N2511" s="22"/>
    </row>
    <row r="2512" spans="1:14" x14ac:dyDescent="0.25">
      <c r="A2512" s="22" t="s">
        <v>833</v>
      </c>
      <c r="B2512" s="22" t="s">
        <v>39</v>
      </c>
      <c r="C2512" s="22" t="s">
        <v>7487</v>
      </c>
      <c r="D2512" s="23">
        <v>-43700</v>
      </c>
      <c r="E2512" s="22" t="s">
        <v>57</v>
      </c>
      <c r="F2512" s="24">
        <v>44358</v>
      </c>
      <c r="G2512" s="22" t="s">
        <v>360</v>
      </c>
      <c r="H2512" s="22" t="s">
        <v>550</v>
      </c>
      <c r="I2512" s="22" t="s">
        <v>832</v>
      </c>
      <c r="J2512" s="22" t="s">
        <v>4552</v>
      </c>
      <c r="K2512" s="22" t="s">
        <v>61</v>
      </c>
      <c r="L2512" s="22"/>
      <c r="M2512" s="22"/>
      <c r="N2512" s="22"/>
    </row>
    <row r="2513" spans="1:14" x14ac:dyDescent="0.25">
      <c r="A2513" s="22" t="s">
        <v>831</v>
      </c>
      <c r="B2513" s="22" t="s">
        <v>39</v>
      </c>
      <c r="C2513" s="22" t="s">
        <v>7487</v>
      </c>
      <c r="D2513" s="23">
        <v>-105500</v>
      </c>
      <c r="E2513" s="22" t="s">
        <v>57</v>
      </c>
      <c r="F2513" s="24">
        <v>44362</v>
      </c>
      <c r="G2513" s="22" t="s">
        <v>360</v>
      </c>
      <c r="H2513" s="22" t="s">
        <v>550</v>
      </c>
      <c r="I2513" s="22" t="s">
        <v>830</v>
      </c>
      <c r="J2513" s="22" t="s">
        <v>4552</v>
      </c>
      <c r="K2513" s="22" t="s">
        <v>61</v>
      </c>
      <c r="L2513" s="22"/>
      <c r="M2513" s="22"/>
      <c r="N2513" s="22"/>
    </row>
    <row r="2514" spans="1:14" x14ac:dyDescent="0.25">
      <c r="A2514" s="22" t="s">
        <v>829</v>
      </c>
      <c r="B2514" s="22" t="s">
        <v>39</v>
      </c>
      <c r="C2514" s="22" t="s">
        <v>7487</v>
      </c>
      <c r="D2514" s="23">
        <v>-29200</v>
      </c>
      <c r="E2514" s="22" t="s">
        <v>57</v>
      </c>
      <c r="F2514" s="24">
        <v>44364</v>
      </c>
      <c r="G2514" s="22" t="s">
        <v>360</v>
      </c>
      <c r="H2514" s="22" t="s">
        <v>280</v>
      </c>
      <c r="I2514" s="22" t="s">
        <v>828</v>
      </c>
      <c r="J2514" s="22" t="s">
        <v>4552</v>
      </c>
      <c r="K2514" s="22" t="s">
        <v>61</v>
      </c>
      <c r="L2514" s="22"/>
      <c r="M2514" s="22"/>
      <c r="N2514" s="22"/>
    </row>
    <row r="2515" spans="1:14" x14ac:dyDescent="0.25">
      <c r="A2515" s="22" t="s">
        <v>827</v>
      </c>
      <c r="B2515" s="22" t="s">
        <v>39</v>
      </c>
      <c r="C2515" s="22" t="s">
        <v>7487</v>
      </c>
      <c r="D2515" s="23">
        <v>-41800</v>
      </c>
      <c r="E2515" s="22" t="s">
        <v>57</v>
      </c>
      <c r="F2515" s="24">
        <v>44368</v>
      </c>
      <c r="G2515" s="22" t="s">
        <v>360</v>
      </c>
      <c r="H2515" s="22" t="s">
        <v>820</v>
      </c>
      <c r="I2515" s="22" t="s">
        <v>826</v>
      </c>
      <c r="J2515" s="22" t="s">
        <v>4552</v>
      </c>
      <c r="K2515" s="22" t="s">
        <v>61</v>
      </c>
      <c r="L2515" s="22"/>
      <c r="M2515" s="22"/>
      <c r="N2515" s="22"/>
    </row>
    <row r="2516" spans="1:14" x14ac:dyDescent="0.25">
      <c r="A2516" s="22" t="s">
        <v>825</v>
      </c>
      <c r="B2516" s="22" t="s">
        <v>39</v>
      </c>
      <c r="C2516" s="22" t="s">
        <v>7487</v>
      </c>
      <c r="D2516" s="23">
        <v>-43700</v>
      </c>
      <c r="E2516" s="22" t="s">
        <v>57</v>
      </c>
      <c r="F2516" s="24">
        <v>44368</v>
      </c>
      <c r="G2516" s="22" t="s">
        <v>360</v>
      </c>
      <c r="H2516" s="22" t="s">
        <v>559</v>
      </c>
      <c r="I2516" s="22" t="s">
        <v>824</v>
      </c>
      <c r="J2516" s="22" t="s">
        <v>4552</v>
      </c>
      <c r="K2516" s="22" t="s">
        <v>61</v>
      </c>
      <c r="L2516" s="22"/>
      <c r="M2516" s="22"/>
      <c r="N2516" s="22"/>
    </row>
    <row r="2517" spans="1:14" x14ac:dyDescent="0.25">
      <c r="A2517" s="22" t="s">
        <v>822</v>
      </c>
      <c r="B2517" s="22" t="s">
        <v>39</v>
      </c>
      <c r="C2517" s="22" t="s">
        <v>7487</v>
      </c>
      <c r="D2517" s="23">
        <v>-452800</v>
      </c>
      <c r="E2517" s="22" t="s">
        <v>57</v>
      </c>
      <c r="F2517" s="24">
        <v>44369</v>
      </c>
      <c r="G2517" s="22" t="s">
        <v>360</v>
      </c>
      <c r="H2517" s="22" t="s">
        <v>823</v>
      </c>
      <c r="I2517" s="22" t="s">
        <v>821</v>
      </c>
      <c r="J2517" s="22" t="s">
        <v>4552</v>
      </c>
      <c r="K2517" s="22" t="s">
        <v>61</v>
      </c>
      <c r="L2517" s="22"/>
      <c r="M2517" s="22"/>
      <c r="N2517" s="22"/>
    </row>
    <row r="2518" spans="1:14" x14ac:dyDescent="0.25">
      <c r="A2518" s="22" t="s">
        <v>819</v>
      </c>
      <c r="B2518" s="22" t="s">
        <v>39</v>
      </c>
      <c r="C2518" s="22" t="s">
        <v>7487</v>
      </c>
      <c r="D2518" s="23">
        <v>-18800</v>
      </c>
      <c r="E2518" s="22" t="s">
        <v>57</v>
      </c>
      <c r="F2518" s="24">
        <v>44369</v>
      </c>
      <c r="G2518" s="22" t="s">
        <v>360</v>
      </c>
      <c r="H2518" s="22" t="s">
        <v>820</v>
      </c>
      <c r="I2518" s="22" t="s">
        <v>818</v>
      </c>
      <c r="J2518" s="22" t="s">
        <v>4552</v>
      </c>
      <c r="K2518" s="22" t="s">
        <v>61</v>
      </c>
      <c r="L2518" s="22"/>
      <c r="M2518" s="22"/>
      <c r="N2518" s="22"/>
    </row>
    <row r="2519" spans="1:14" x14ac:dyDescent="0.25">
      <c r="A2519" s="22" t="s">
        <v>817</v>
      </c>
      <c r="B2519" s="22" t="s">
        <v>39</v>
      </c>
      <c r="C2519" s="22" t="s">
        <v>7487</v>
      </c>
      <c r="D2519" s="23">
        <v>-33600</v>
      </c>
      <c r="E2519" s="22" t="s">
        <v>57</v>
      </c>
      <c r="F2519" s="24">
        <v>44370</v>
      </c>
      <c r="G2519" s="22" t="s">
        <v>360</v>
      </c>
      <c r="H2519" s="22" t="s">
        <v>550</v>
      </c>
      <c r="I2519" s="22" t="s">
        <v>816</v>
      </c>
      <c r="J2519" s="22" t="s">
        <v>4552</v>
      </c>
      <c r="K2519" s="22" t="s">
        <v>61</v>
      </c>
      <c r="L2519" s="22"/>
      <c r="M2519" s="22"/>
      <c r="N2519" s="22"/>
    </row>
    <row r="2520" spans="1:14" x14ac:dyDescent="0.25">
      <c r="A2520" s="22" t="s">
        <v>815</v>
      </c>
      <c r="B2520" s="22" t="s">
        <v>39</v>
      </c>
      <c r="C2520" s="22" t="s">
        <v>7487</v>
      </c>
      <c r="D2520" s="23">
        <v>-122600</v>
      </c>
      <c r="E2520" s="22" t="s">
        <v>57</v>
      </c>
      <c r="F2520" s="24">
        <v>44370</v>
      </c>
      <c r="G2520" s="22" t="s">
        <v>360</v>
      </c>
      <c r="H2520" s="22" t="s">
        <v>550</v>
      </c>
      <c r="I2520" s="22" t="s">
        <v>814</v>
      </c>
      <c r="J2520" s="22" t="s">
        <v>4552</v>
      </c>
      <c r="K2520" s="22" t="s">
        <v>61</v>
      </c>
      <c r="L2520" s="22"/>
      <c r="M2520" s="22"/>
      <c r="N2520" s="22"/>
    </row>
    <row r="2521" spans="1:14" x14ac:dyDescent="0.25">
      <c r="A2521" s="22" t="s">
        <v>813</v>
      </c>
      <c r="B2521" s="22" t="s">
        <v>39</v>
      </c>
      <c r="C2521" s="22" t="s">
        <v>7487</v>
      </c>
      <c r="D2521" s="23">
        <v>-105500</v>
      </c>
      <c r="E2521" s="22" t="s">
        <v>57</v>
      </c>
      <c r="F2521" s="24">
        <v>44372</v>
      </c>
      <c r="G2521" s="22" t="s">
        <v>360</v>
      </c>
      <c r="H2521" s="22" t="s">
        <v>550</v>
      </c>
      <c r="I2521" s="22" t="s">
        <v>812</v>
      </c>
      <c r="J2521" s="22" t="s">
        <v>4552</v>
      </c>
      <c r="K2521" s="22" t="s">
        <v>61</v>
      </c>
      <c r="L2521" s="22"/>
      <c r="M2521" s="22"/>
      <c r="N2521" s="22"/>
    </row>
    <row r="2522" spans="1:14" x14ac:dyDescent="0.25">
      <c r="A2522" s="22" t="s">
        <v>811</v>
      </c>
      <c r="B2522" s="22" t="s">
        <v>39</v>
      </c>
      <c r="C2522" s="22" t="s">
        <v>7487</v>
      </c>
      <c r="D2522" s="23">
        <v>-143100</v>
      </c>
      <c r="E2522" s="22" t="s">
        <v>57</v>
      </c>
      <c r="F2522" s="24">
        <v>44376</v>
      </c>
      <c r="G2522" s="22" t="s">
        <v>360</v>
      </c>
      <c r="H2522" s="22" t="s">
        <v>280</v>
      </c>
      <c r="I2522" s="22" t="s">
        <v>810</v>
      </c>
      <c r="J2522" s="22" t="s">
        <v>4552</v>
      </c>
      <c r="K2522" s="22" t="s">
        <v>61</v>
      </c>
      <c r="L2522" s="22"/>
      <c r="M2522" s="22"/>
      <c r="N2522" s="22"/>
    </row>
    <row r="2523" spans="1:14" x14ac:dyDescent="0.25">
      <c r="A2523" s="22" t="s">
        <v>361</v>
      </c>
      <c r="B2523" s="22" t="s">
        <v>39</v>
      </c>
      <c r="C2523" s="22" t="s">
        <v>7488</v>
      </c>
      <c r="D2523" s="23">
        <v>3982464</v>
      </c>
      <c r="E2523" s="22" t="s">
        <v>45</v>
      </c>
      <c r="F2523" s="24">
        <v>44389</v>
      </c>
      <c r="G2523" s="22" t="s">
        <v>360</v>
      </c>
      <c r="H2523" s="22"/>
      <c r="I2523" s="22" t="s">
        <v>360</v>
      </c>
      <c r="J2523" s="22" t="s">
        <v>4552</v>
      </c>
      <c r="K2523" s="22" t="s">
        <v>66</v>
      </c>
      <c r="L2523" s="22"/>
      <c r="M2523" s="22"/>
      <c r="N2523" s="22"/>
    </row>
    <row r="2524" spans="1:14" x14ac:dyDescent="0.25">
      <c r="A2524" s="22" t="s">
        <v>361</v>
      </c>
      <c r="B2524" s="22" t="s">
        <v>39</v>
      </c>
      <c r="C2524" s="22" t="s">
        <v>7488</v>
      </c>
      <c r="D2524" s="23">
        <v>-5830185</v>
      </c>
      <c r="E2524" s="22" t="s">
        <v>45</v>
      </c>
      <c r="F2524" s="24">
        <v>44389</v>
      </c>
      <c r="G2524" s="22" t="s">
        <v>360</v>
      </c>
      <c r="H2524" s="22"/>
      <c r="I2524" s="22" t="s">
        <v>360</v>
      </c>
      <c r="J2524" s="22" t="s">
        <v>4401</v>
      </c>
      <c r="K2524" s="22" t="s">
        <v>66</v>
      </c>
      <c r="L2524" s="22"/>
      <c r="M2524" s="22"/>
      <c r="N2524" s="22"/>
    </row>
    <row r="2525" spans="1:14" x14ac:dyDescent="0.25">
      <c r="A2525" s="22" t="s">
        <v>361</v>
      </c>
      <c r="B2525" s="22" t="s">
        <v>39</v>
      </c>
      <c r="C2525" s="22" t="s">
        <v>7488</v>
      </c>
      <c r="D2525" s="23">
        <v>3150607</v>
      </c>
      <c r="E2525" s="22" t="s">
        <v>45</v>
      </c>
      <c r="F2525" s="24">
        <v>44389</v>
      </c>
      <c r="G2525" s="22" t="s">
        <v>360</v>
      </c>
      <c r="H2525" s="22"/>
      <c r="I2525" s="22" t="s">
        <v>360</v>
      </c>
      <c r="J2525" s="22" t="s">
        <v>4407</v>
      </c>
      <c r="K2525" s="22" t="s">
        <v>66</v>
      </c>
      <c r="L2525" s="22"/>
      <c r="M2525" s="22"/>
      <c r="N2525" s="22"/>
    </row>
    <row r="2526" spans="1:14" x14ac:dyDescent="0.25">
      <c r="A2526" s="22" t="s">
        <v>809</v>
      </c>
      <c r="B2526" s="22" t="s">
        <v>39</v>
      </c>
      <c r="C2526" s="22" t="s">
        <v>4267</v>
      </c>
      <c r="D2526" s="23">
        <v>5830185</v>
      </c>
      <c r="E2526" s="22" t="s">
        <v>42</v>
      </c>
      <c r="F2526" s="24">
        <v>44537</v>
      </c>
      <c r="G2526" s="22" t="s">
        <v>360</v>
      </c>
      <c r="H2526" s="22" t="s">
        <v>227</v>
      </c>
      <c r="I2526" s="22" t="s">
        <v>808</v>
      </c>
      <c r="J2526" s="22" t="s">
        <v>4401</v>
      </c>
      <c r="K2526" s="22" t="s">
        <v>292</v>
      </c>
      <c r="L2526" s="22"/>
      <c r="M2526" s="22"/>
      <c r="N2526" s="22"/>
    </row>
    <row r="2527" spans="1:14" x14ac:dyDescent="0.25">
      <c r="A2527" s="22" t="s">
        <v>7489</v>
      </c>
      <c r="B2527" s="22" t="s">
        <v>39</v>
      </c>
      <c r="C2527" s="22" t="s">
        <v>88</v>
      </c>
      <c r="D2527" s="23">
        <v>-53700</v>
      </c>
      <c r="E2527" s="22" t="s">
        <v>57</v>
      </c>
      <c r="F2527" s="24">
        <v>44471</v>
      </c>
      <c r="G2527" s="22" t="s">
        <v>7490</v>
      </c>
      <c r="H2527" s="22" t="s">
        <v>491</v>
      </c>
      <c r="I2527" s="22" t="s">
        <v>7491</v>
      </c>
      <c r="J2527" s="22" t="s">
        <v>4552</v>
      </c>
      <c r="K2527" s="22" t="s">
        <v>61</v>
      </c>
      <c r="L2527" s="22"/>
      <c r="M2527" s="22"/>
      <c r="N2527" s="22"/>
    </row>
    <row r="2528" spans="1:14" x14ac:dyDescent="0.25">
      <c r="A2528" s="22" t="s">
        <v>7492</v>
      </c>
      <c r="B2528" s="22" t="s">
        <v>39</v>
      </c>
      <c r="C2528" s="22" t="s">
        <v>88</v>
      </c>
      <c r="D2528" s="23">
        <v>-55737</v>
      </c>
      <c r="E2528" s="22" t="s">
        <v>57</v>
      </c>
      <c r="F2528" s="24">
        <v>44473</v>
      </c>
      <c r="G2528" s="22" t="s">
        <v>7490</v>
      </c>
      <c r="H2528" s="22" t="s">
        <v>494</v>
      </c>
      <c r="I2528" s="22" t="s">
        <v>7493</v>
      </c>
      <c r="J2528" s="22" t="s">
        <v>4552</v>
      </c>
      <c r="K2528" s="22" t="s">
        <v>61</v>
      </c>
      <c r="L2528" s="22"/>
      <c r="M2528" s="22"/>
      <c r="N2528" s="22"/>
    </row>
    <row r="2529" spans="1:14" x14ac:dyDescent="0.25">
      <c r="A2529" s="22" t="s">
        <v>7494</v>
      </c>
      <c r="B2529" s="22" t="s">
        <v>39</v>
      </c>
      <c r="C2529" s="22" t="s">
        <v>88</v>
      </c>
      <c r="D2529" s="23">
        <v>-54578</v>
      </c>
      <c r="E2529" s="22" t="s">
        <v>57</v>
      </c>
      <c r="F2529" s="24">
        <v>44475</v>
      </c>
      <c r="G2529" s="22" t="s">
        <v>7490</v>
      </c>
      <c r="H2529" s="22" t="s">
        <v>494</v>
      </c>
      <c r="I2529" s="22" t="s">
        <v>7495</v>
      </c>
      <c r="J2529" s="22" t="s">
        <v>4552</v>
      </c>
      <c r="K2529" s="22" t="s">
        <v>61</v>
      </c>
      <c r="L2529" s="22"/>
      <c r="M2529" s="22"/>
      <c r="N2529" s="22"/>
    </row>
    <row r="2530" spans="1:14" x14ac:dyDescent="0.25">
      <c r="A2530" s="22" t="s">
        <v>7496</v>
      </c>
      <c r="B2530" s="22" t="s">
        <v>39</v>
      </c>
      <c r="C2530" s="22" t="s">
        <v>88</v>
      </c>
      <c r="D2530" s="23">
        <v>-78300</v>
      </c>
      <c r="E2530" s="22" t="s">
        <v>57</v>
      </c>
      <c r="F2530" s="24">
        <v>44477</v>
      </c>
      <c r="G2530" s="22" t="s">
        <v>7490</v>
      </c>
      <c r="H2530" s="22" t="s">
        <v>280</v>
      </c>
      <c r="I2530" s="22" t="s">
        <v>7497</v>
      </c>
      <c r="J2530" s="22" t="s">
        <v>4552</v>
      </c>
      <c r="K2530" s="22" t="s">
        <v>61</v>
      </c>
      <c r="L2530" s="22"/>
      <c r="M2530" s="22"/>
      <c r="N2530" s="22"/>
    </row>
    <row r="2531" spans="1:14" x14ac:dyDescent="0.25">
      <c r="A2531" s="22" t="s">
        <v>7498</v>
      </c>
      <c r="B2531" s="22" t="s">
        <v>39</v>
      </c>
      <c r="C2531" s="22" t="s">
        <v>88</v>
      </c>
      <c r="D2531" s="23">
        <v>-235019</v>
      </c>
      <c r="E2531" s="22" t="s">
        <v>57</v>
      </c>
      <c r="F2531" s="24">
        <v>44479</v>
      </c>
      <c r="G2531" s="22" t="s">
        <v>7490</v>
      </c>
      <c r="H2531" s="22" t="s">
        <v>7499</v>
      </c>
      <c r="I2531" s="22" t="s">
        <v>7500</v>
      </c>
      <c r="J2531" s="22" t="s">
        <v>4552</v>
      </c>
      <c r="K2531" s="22" t="s">
        <v>61</v>
      </c>
      <c r="L2531" s="22"/>
      <c r="M2531" s="22"/>
      <c r="N2531" s="22"/>
    </row>
    <row r="2532" spans="1:14" x14ac:dyDescent="0.25">
      <c r="A2532" s="22" t="s">
        <v>7501</v>
      </c>
      <c r="B2532" s="22" t="s">
        <v>39</v>
      </c>
      <c r="C2532" s="22" t="s">
        <v>88</v>
      </c>
      <c r="D2532" s="23">
        <v>-400700</v>
      </c>
      <c r="E2532" s="22" t="s">
        <v>57</v>
      </c>
      <c r="F2532" s="24">
        <v>44482</v>
      </c>
      <c r="G2532" s="22" t="s">
        <v>7490</v>
      </c>
      <c r="H2532" s="22" t="s">
        <v>272</v>
      </c>
      <c r="I2532" s="22" t="s">
        <v>7502</v>
      </c>
      <c r="J2532" s="22" t="s">
        <v>4552</v>
      </c>
      <c r="K2532" s="22" t="s">
        <v>61</v>
      </c>
      <c r="L2532" s="22"/>
      <c r="M2532" s="22"/>
      <c r="N2532" s="22"/>
    </row>
    <row r="2533" spans="1:14" x14ac:dyDescent="0.25">
      <c r="A2533" s="22" t="s">
        <v>7503</v>
      </c>
      <c r="B2533" s="22" t="s">
        <v>39</v>
      </c>
      <c r="C2533" s="22" t="s">
        <v>88</v>
      </c>
      <c r="D2533" s="23">
        <v>-85997</v>
      </c>
      <c r="E2533" s="22" t="s">
        <v>57</v>
      </c>
      <c r="F2533" s="24">
        <v>44483</v>
      </c>
      <c r="G2533" s="22" t="s">
        <v>7490</v>
      </c>
      <c r="H2533" s="22" t="s">
        <v>7504</v>
      </c>
      <c r="I2533" s="22" t="s">
        <v>7505</v>
      </c>
      <c r="J2533" s="22" t="s">
        <v>4552</v>
      </c>
      <c r="K2533" s="22" t="s">
        <v>61</v>
      </c>
      <c r="L2533" s="22"/>
      <c r="M2533" s="22"/>
      <c r="N2533" s="22"/>
    </row>
    <row r="2534" spans="1:14" x14ac:dyDescent="0.25">
      <c r="A2534" s="22" t="s">
        <v>7506</v>
      </c>
      <c r="B2534" s="22" t="s">
        <v>39</v>
      </c>
      <c r="C2534" s="22" t="s">
        <v>88</v>
      </c>
      <c r="D2534" s="23">
        <v>-54780</v>
      </c>
      <c r="E2534" s="22" t="s">
        <v>57</v>
      </c>
      <c r="F2534" s="24">
        <v>44485</v>
      </c>
      <c r="G2534" s="22" t="s">
        <v>7490</v>
      </c>
      <c r="H2534" s="22" t="s">
        <v>375</v>
      </c>
      <c r="I2534" s="22" t="s">
        <v>7507</v>
      </c>
      <c r="J2534" s="22" t="s">
        <v>4552</v>
      </c>
      <c r="K2534" s="22" t="s">
        <v>61</v>
      </c>
      <c r="L2534" s="22"/>
      <c r="M2534" s="22"/>
      <c r="N2534" s="22"/>
    </row>
    <row r="2535" spans="1:14" x14ac:dyDescent="0.25">
      <c r="A2535" s="22" t="s">
        <v>89</v>
      </c>
      <c r="B2535" s="22" t="s">
        <v>39</v>
      </c>
      <c r="C2535" s="22" t="s">
        <v>88</v>
      </c>
      <c r="D2535" s="23">
        <v>-5926972</v>
      </c>
      <c r="E2535" s="22" t="s">
        <v>57</v>
      </c>
      <c r="F2535" s="24">
        <v>44488</v>
      </c>
      <c r="G2535" s="22" t="s">
        <v>7490</v>
      </c>
      <c r="H2535" s="22" t="s">
        <v>7508</v>
      </c>
      <c r="I2535" s="22" t="s">
        <v>91</v>
      </c>
      <c r="J2535" s="22" t="s">
        <v>4552</v>
      </c>
      <c r="K2535" s="22" t="s">
        <v>61</v>
      </c>
      <c r="L2535" s="22"/>
      <c r="M2535" s="22"/>
      <c r="N2535" s="22"/>
    </row>
    <row r="2536" spans="1:14" x14ac:dyDescent="0.25">
      <c r="A2536" s="22" t="s">
        <v>7509</v>
      </c>
      <c r="B2536" s="22" t="s">
        <v>39</v>
      </c>
      <c r="C2536" s="22" t="s">
        <v>88</v>
      </c>
      <c r="D2536" s="23">
        <v>-91100</v>
      </c>
      <c r="E2536" s="22" t="s">
        <v>57</v>
      </c>
      <c r="F2536" s="24">
        <v>44491</v>
      </c>
      <c r="G2536" s="22" t="s">
        <v>7490</v>
      </c>
      <c r="H2536" s="22" t="s">
        <v>280</v>
      </c>
      <c r="I2536" s="22" t="s">
        <v>7510</v>
      </c>
      <c r="J2536" s="22" t="s">
        <v>4552</v>
      </c>
      <c r="K2536" s="22" t="s">
        <v>61</v>
      </c>
      <c r="L2536" s="22"/>
      <c r="M2536" s="22"/>
      <c r="N2536" s="22"/>
    </row>
    <row r="2537" spans="1:14" x14ac:dyDescent="0.25">
      <c r="A2537" s="22" t="s">
        <v>7511</v>
      </c>
      <c r="B2537" s="22" t="s">
        <v>39</v>
      </c>
      <c r="C2537" s="22" t="s">
        <v>88</v>
      </c>
      <c r="D2537" s="23">
        <v>-94000</v>
      </c>
      <c r="E2537" s="22" t="s">
        <v>57</v>
      </c>
      <c r="F2537" s="24">
        <v>44495</v>
      </c>
      <c r="G2537" s="22" t="s">
        <v>7490</v>
      </c>
      <c r="H2537" s="22" t="s">
        <v>919</v>
      </c>
      <c r="I2537" s="22" t="s">
        <v>7512</v>
      </c>
      <c r="J2537" s="22" t="s">
        <v>4552</v>
      </c>
      <c r="K2537" s="22" t="s">
        <v>61</v>
      </c>
      <c r="L2537" s="22"/>
      <c r="M2537" s="22"/>
      <c r="N2537" s="22"/>
    </row>
    <row r="2538" spans="1:14" x14ac:dyDescent="0.25">
      <c r="A2538" s="22" t="s">
        <v>7513</v>
      </c>
      <c r="B2538" s="22" t="s">
        <v>39</v>
      </c>
      <c r="C2538" s="22" t="s">
        <v>88</v>
      </c>
      <c r="D2538" s="23">
        <v>-291664</v>
      </c>
      <c r="E2538" s="22" t="s">
        <v>57</v>
      </c>
      <c r="F2538" s="24">
        <v>44496</v>
      </c>
      <c r="G2538" s="22" t="s">
        <v>7490</v>
      </c>
      <c r="H2538" s="22" t="s">
        <v>375</v>
      </c>
      <c r="I2538" s="22" t="s">
        <v>7514</v>
      </c>
      <c r="J2538" s="22" t="s">
        <v>4552</v>
      </c>
      <c r="K2538" s="22" t="s">
        <v>61</v>
      </c>
      <c r="L2538" s="22"/>
      <c r="M2538" s="22"/>
      <c r="N2538" s="22"/>
    </row>
    <row r="2539" spans="1:14" x14ac:dyDescent="0.25">
      <c r="A2539" s="22" t="s">
        <v>7515</v>
      </c>
      <c r="B2539" s="22" t="s">
        <v>39</v>
      </c>
      <c r="C2539" s="22" t="s">
        <v>88</v>
      </c>
      <c r="D2539" s="23">
        <v>-106989</v>
      </c>
      <c r="E2539" s="22" t="s">
        <v>57</v>
      </c>
      <c r="F2539" s="24">
        <v>44497</v>
      </c>
      <c r="G2539" s="22" t="s">
        <v>7490</v>
      </c>
      <c r="H2539" s="22" t="s">
        <v>431</v>
      </c>
      <c r="I2539" s="22" t="s">
        <v>7516</v>
      </c>
      <c r="J2539" s="22" t="s">
        <v>4466</v>
      </c>
      <c r="K2539" s="22" t="s">
        <v>61</v>
      </c>
      <c r="L2539" s="22"/>
      <c r="M2539" s="22"/>
      <c r="N2539" s="22"/>
    </row>
    <row r="2540" spans="1:14" x14ac:dyDescent="0.25">
      <c r="A2540" s="22" t="s">
        <v>7517</v>
      </c>
      <c r="B2540" s="22" t="s">
        <v>39</v>
      </c>
      <c r="C2540" s="22" t="s">
        <v>88</v>
      </c>
      <c r="D2540" s="23">
        <v>-151811</v>
      </c>
      <c r="E2540" s="22" t="s">
        <v>57</v>
      </c>
      <c r="F2540" s="24">
        <v>44501</v>
      </c>
      <c r="G2540" s="22" t="s">
        <v>7490</v>
      </c>
      <c r="H2540" s="22" t="s">
        <v>698</v>
      </c>
      <c r="I2540" s="22" t="s">
        <v>7518</v>
      </c>
      <c r="J2540" s="22" t="s">
        <v>4552</v>
      </c>
      <c r="K2540" s="22" t="s">
        <v>61</v>
      </c>
      <c r="L2540" s="22"/>
      <c r="M2540" s="22"/>
      <c r="N2540" s="22"/>
    </row>
    <row r="2541" spans="1:14" x14ac:dyDescent="0.25">
      <c r="A2541" s="22" t="s">
        <v>7519</v>
      </c>
      <c r="B2541" s="22" t="s">
        <v>39</v>
      </c>
      <c r="C2541" s="22" t="s">
        <v>88</v>
      </c>
      <c r="D2541" s="23">
        <v>-100824</v>
      </c>
      <c r="E2541" s="22" t="s">
        <v>57</v>
      </c>
      <c r="F2541" s="24">
        <v>44502</v>
      </c>
      <c r="G2541" s="22" t="s">
        <v>7490</v>
      </c>
      <c r="H2541" s="22" t="s">
        <v>7520</v>
      </c>
      <c r="I2541" s="22" t="s">
        <v>7521</v>
      </c>
      <c r="J2541" s="22" t="s">
        <v>4552</v>
      </c>
      <c r="K2541" s="22" t="s">
        <v>61</v>
      </c>
      <c r="L2541" s="22"/>
      <c r="M2541" s="22"/>
      <c r="N2541" s="22"/>
    </row>
    <row r="2542" spans="1:14" x14ac:dyDescent="0.25">
      <c r="A2542" s="22" t="s">
        <v>7523</v>
      </c>
      <c r="B2542" s="22" t="s">
        <v>39</v>
      </c>
      <c r="C2542" s="22" t="s">
        <v>7522</v>
      </c>
      <c r="D2542" s="23">
        <v>-32700</v>
      </c>
      <c r="E2542" s="22" t="s">
        <v>57</v>
      </c>
      <c r="F2542" s="24">
        <v>44470</v>
      </c>
      <c r="G2542" s="22" t="s">
        <v>7490</v>
      </c>
      <c r="H2542" s="22" t="s">
        <v>212</v>
      </c>
      <c r="I2542" s="22" t="s">
        <v>7524</v>
      </c>
      <c r="J2542" s="22" t="s">
        <v>4407</v>
      </c>
      <c r="K2542" s="22" t="s">
        <v>66</v>
      </c>
      <c r="L2542" s="22"/>
      <c r="M2542" s="22"/>
      <c r="N2542" s="22"/>
    </row>
    <row r="2543" spans="1:14" x14ac:dyDescent="0.25">
      <c r="A2543" s="22" t="s">
        <v>7525</v>
      </c>
      <c r="B2543" s="22" t="s">
        <v>39</v>
      </c>
      <c r="C2543" s="22" t="s">
        <v>7522</v>
      </c>
      <c r="D2543" s="23">
        <v>-22600</v>
      </c>
      <c r="E2543" s="22" t="s">
        <v>57</v>
      </c>
      <c r="F2543" s="24">
        <v>44470</v>
      </c>
      <c r="G2543" s="22" t="s">
        <v>7490</v>
      </c>
      <c r="H2543" s="22" t="s">
        <v>2375</v>
      </c>
      <c r="I2543" s="22" t="s">
        <v>7526</v>
      </c>
      <c r="J2543" s="22" t="s">
        <v>4407</v>
      </c>
      <c r="K2543" s="22" t="s">
        <v>66</v>
      </c>
      <c r="L2543" s="22"/>
      <c r="M2543" s="22"/>
      <c r="N2543" s="22"/>
    </row>
    <row r="2544" spans="1:14" x14ac:dyDescent="0.25">
      <c r="A2544" s="22" t="s">
        <v>7527</v>
      </c>
      <c r="B2544" s="22" t="s">
        <v>39</v>
      </c>
      <c r="C2544" s="22" t="s">
        <v>7522</v>
      </c>
      <c r="D2544" s="23">
        <v>-45800</v>
      </c>
      <c r="E2544" s="22" t="s">
        <v>57</v>
      </c>
      <c r="F2544" s="24">
        <v>44473</v>
      </c>
      <c r="G2544" s="22" t="s">
        <v>7490</v>
      </c>
      <c r="H2544" s="22" t="s">
        <v>941</v>
      </c>
      <c r="I2544" s="22" t="s">
        <v>7528</v>
      </c>
      <c r="J2544" s="22" t="s">
        <v>4407</v>
      </c>
      <c r="K2544" s="22" t="s">
        <v>66</v>
      </c>
      <c r="L2544" s="22"/>
      <c r="M2544" s="22"/>
      <c r="N2544" s="22"/>
    </row>
    <row r="2545" spans="1:14" x14ac:dyDescent="0.25">
      <c r="A2545" s="22" t="s">
        <v>7529</v>
      </c>
      <c r="B2545" s="22" t="s">
        <v>39</v>
      </c>
      <c r="C2545" s="22" t="s">
        <v>7522</v>
      </c>
      <c r="D2545" s="23">
        <v>-32700</v>
      </c>
      <c r="E2545" s="22" t="s">
        <v>57</v>
      </c>
      <c r="F2545" s="24">
        <v>44473</v>
      </c>
      <c r="G2545" s="22" t="s">
        <v>7490</v>
      </c>
      <c r="H2545" s="22" t="s">
        <v>820</v>
      </c>
      <c r="I2545" s="22" t="s">
        <v>7530</v>
      </c>
      <c r="J2545" s="22" t="s">
        <v>4407</v>
      </c>
      <c r="K2545" s="22" t="s">
        <v>66</v>
      </c>
      <c r="L2545" s="22"/>
      <c r="M2545" s="22"/>
      <c r="N2545" s="22"/>
    </row>
    <row r="2546" spans="1:14" x14ac:dyDescent="0.25">
      <c r="A2546" s="22" t="s">
        <v>7531</v>
      </c>
      <c r="B2546" s="22" t="s">
        <v>39</v>
      </c>
      <c r="C2546" s="22" t="s">
        <v>7522</v>
      </c>
      <c r="D2546" s="23">
        <v>-425700</v>
      </c>
      <c r="E2546" s="22" t="s">
        <v>57</v>
      </c>
      <c r="F2546" s="24">
        <v>44474</v>
      </c>
      <c r="G2546" s="22" t="s">
        <v>7490</v>
      </c>
      <c r="H2546" s="22" t="s">
        <v>249</v>
      </c>
      <c r="I2546" s="22" t="s">
        <v>7532</v>
      </c>
      <c r="J2546" s="22" t="s">
        <v>4407</v>
      </c>
      <c r="K2546" s="22" t="s">
        <v>66</v>
      </c>
      <c r="L2546" s="22"/>
      <c r="M2546" s="22"/>
      <c r="N2546" s="22"/>
    </row>
    <row r="2547" spans="1:14" x14ac:dyDescent="0.25">
      <c r="A2547" s="22" t="s">
        <v>7533</v>
      </c>
      <c r="B2547" s="22" t="s">
        <v>39</v>
      </c>
      <c r="C2547" s="22" t="s">
        <v>7522</v>
      </c>
      <c r="D2547" s="23">
        <v>-47200</v>
      </c>
      <c r="E2547" s="22" t="s">
        <v>57</v>
      </c>
      <c r="F2547" s="24">
        <v>44476</v>
      </c>
      <c r="G2547" s="22" t="s">
        <v>7490</v>
      </c>
      <c r="H2547" s="22" t="s">
        <v>2375</v>
      </c>
      <c r="I2547" s="22" t="s">
        <v>7534</v>
      </c>
      <c r="J2547" s="22" t="s">
        <v>4407</v>
      </c>
      <c r="K2547" s="22" t="s">
        <v>66</v>
      </c>
      <c r="L2547" s="22"/>
      <c r="M2547" s="22"/>
      <c r="N2547" s="22"/>
    </row>
    <row r="2548" spans="1:14" x14ac:dyDescent="0.25">
      <c r="A2548" s="22" t="s">
        <v>7535</v>
      </c>
      <c r="B2548" s="22" t="s">
        <v>39</v>
      </c>
      <c r="C2548" s="22" t="s">
        <v>7522</v>
      </c>
      <c r="D2548" s="23">
        <v>-31600</v>
      </c>
      <c r="E2548" s="22" t="s">
        <v>57</v>
      </c>
      <c r="F2548" s="24">
        <v>44480</v>
      </c>
      <c r="G2548" s="22" t="s">
        <v>7490</v>
      </c>
      <c r="H2548" s="22" t="s">
        <v>820</v>
      </c>
      <c r="I2548" s="22" t="s">
        <v>7536</v>
      </c>
      <c r="J2548" s="22" t="s">
        <v>4407</v>
      </c>
      <c r="K2548" s="22" t="s">
        <v>66</v>
      </c>
      <c r="L2548" s="22"/>
      <c r="M2548" s="22"/>
      <c r="N2548" s="22"/>
    </row>
    <row r="2549" spans="1:14" x14ac:dyDescent="0.25">
      <c r="A2549" s="22" t="s">
        <v>7537</v>
      </c>
      <c r="B2549" s="22" t="s">
        <v>39</v>
      </c>
      <c r="C2549" s="22" t="s">
        <v>7522</v>
      </c>
      <c r="D2549" s="23">
        <v>-47200</v>
      </c>
      <c r="E2549" s="22" t="s">
        <v>57</v>
      </c>
      <c r="F2549" s="24">
        <v>44480</v>
      </c>
      <c r="G2549" s="22" t="s">
        <v>7490</v>
      </c>
      <c r="H2549" s="22" t="s">
        <v>439</v>
      </c>
      <c r="I2549" s="22" t="s">
        <v>7538</v>
      </c>
      <c r="J2549" s="22" t="s">
        <v>4407</v>
      </c>
      <c r="K2549" s="22" t="s">
        <v>66</v>
      </c>
      <c r="L2549" s="22"/>
      <c r="M2549" s="22"/>
      <c r="N2549" s="22"/>
    </row>
    <row r="2550" spans="1:14" x14ac:dyDescent="0.25">
      <c r="A2550" s="22" t="s">
        <v>7539</v>
      </c>
      <c r="B2550" s="22" t="s">
        <v>39</v>
      </c>
      <c r="C2550" s="22" t="s">
        <v>7522</v>
      </c>
      <c r="D2550" s="23">
        <v>-161400</v>
      </c>
      <c r="E2550" s="22" t="s">
        <v>57</v>
      </c>
      <c r="F2550" s="24">
        <v>44481</v>
      </c>
      <c r="G2550" s="22" t="s">
        <v>7490</v>
      </c>
      <c r="H2550" s="22" t="s">
        <v>319</v>
      </c>
      <c r="I2550" s="22" t="s">
        <v>7540</v>
      </c>
      <c r="J2550" s="22" t="s">
        <v>4407</v>
      </c>
      <c r="K2550" s="22" t="s">
        <v>66</v>
      </c>
      <c r="L2550" s="22"/>
      <c r="M2550" s="22"/>
      <c r="N2550" s="22"/>
    </row>
    <row r="2551" spans="1:14" x14ac:dyDescent="0.25">
      <c r="A2551" s="22" t="s">
        <v>7541</v>
      </c>
      <c r="B2551" s="22" t="s">
        <v>39</v>
      </c>
      <c r="C2551" s="22" t="s">
        <v>7522</v>
      </c>
      <c r="D2551" s="23">
        <v>-32700</v>
      </c>
      <c r="E2551" s="22" t="s">
        <v>57</v>
      </c>
      <c r="F2551" s="24">
        <v>44483</v>
      </c>
      <c r="G2551" s="22" t="s">
        <v>7490</v>
      </c>
      <c r="H2551" s="22" t="s">
        <v>979</v>
      </c>
      <c r="I2551" s="22" t="s">
        <v>7542</v>
      </c>
      <c r="J2551" s="22" t="s">
        <v>4407</v>
      </c>
      <c r="K2551" s="22" t="s">
        <v>66</v>
      </c>
      <c r="L2551" s="22"/>
      <c r="M2551" s="22"/>
      <c r="N2551" s="22"/>
    </row>
    <row r="2552" spans="1:14" x14ac:dyDescent="0.25">
      <c r="A2552" s="22" t="s">
        <v>7543</v>
      </c>
      <c r="B2552" s="22" t="s">
        <v>39</v>
      </c>
      <c r="C2552" s="22" t="s">
        <v>7522</v>
      </c>
      <c r="D2552" s="23">
        <v>-32700</v>
      </c>
      <c r="E2552" s="22" t="s">
        <v>57</v>
      </c>
      <c r="F2552" s="24">
        <v>44484</v>
      </c>
      <c r="G2552" s="22" t="s">
        <v>7490</v>
      </c>
      <c r="H2552" s="22" t="s">
        <v>7544</v>
      </c>
      <c r="I2552" s="22" t="s">
        <v>7545</v>
      </c>
      <c r="J2552" s="22" t="s">
        <v>4407</v>
      </c>
      <c r="K2552" s="22" t="s">
        <v>66</v>
      </c>
      <c r="L2552" s="22"/>
      <c r="M2552" s="22"/>
      <c r="N2552" s="22"/>
    </row>
    <row r="2553" spans="1:14" x14ac:dyDescent="0.25">
      <c r="A2553" s="22" t="s">
        <v>7546</v>
      </c>
      <c r="B2553" s="22" t="s">
        <v>39</v>
      </c>
      <c r="C2553" s="22" t="s">
        <v>7522</v>
      </c>
      <c r="D2553" s="23">
        <v>-10100</v>
      </c>
      <c r="E2553" s="22" t="s">
        <v>57</v>
      </c>
      <c r="F2553" s="24">
        <v>44489</v>
      </c>
      <c r="G2553" s="22" t="s">
        <v>7490</v>
      </c>
      <c r="H2553" s="22" t="s">
        <v>979</v>
      </c>
      <c r="I2553" s="22" t="s">
        <v>7547</v>
      </c>
      <c r="J2553" s="22" t="s">
        <v>4407</v>
      </c>
      <c r="K2553" s="22" t="s">
        <v>66</v>
      </c>
      <c r="L2553" s="22"/>
      <c r="M2553" s="22"/>
      <c r="N2553" s="22"/>
    </row>
    <row r="2554" spans="1:14" x14ac:dyDescent="0.25">
      <c r="A2554" s="22" t="s">
        <v>7548</v>
      </c>
      <c r="B2554" s="22" t="s">
        <v>39</v>
      </c>
      <c r="C2554" s="22" t="s">
        <v>7522</v>
      </c>
      <c r="D2554" s="23">
        <v>-894500</v>
      </c>
      <c r="E2554" s="22" t="s">
        <v>57</v>
      </c>
      <c r="F2554" s="24">
        <v>44489</v>
      </c>
      <c r="G2554" s="22" t="s">
        <v>7490</v>
      </c>
      <c r="H2554" s="22" t="s">
        <v>979</v>
      </c>
      <c r="I2554" s="22" t="s">
        <v>7549</v>
      </c>
      <c r="J2554" s="22" t="s">
        <v>4407</v>
      </c>
      <c r="K2554" s="22" t="s">
        <v>66</v>
      </c>
      <c r="L2554" s="22"/>
      <c r="M2554" s="22"/>
      <c r="N2554" s="22"/>
    </row>
    <row r="2555" spans="1:14" x14ac:dyDescent="0.25">
      <c r="A2555" s="22" t="s">
        <v>7550</v>
      </c>
      <c r="B2555" s="22" t="s">
        <v>39</v>
      </c>
      <c r="C2555" s="22" t="s">
        <v>7522</v>
      </c>
      <c r="D2555" s="23">
        <v>-32700</v>
      </c>
      <c r="E2555" s="22" t="s">
        <v>57</v>
      </c>
      <c r="F2555" s="24">
        <v>44490</v>
      </c>
      <c r="G2555" s="22" t="s">
        <v>7490</v>
      </c>
      <c r="H2555" s="22" t="s">
        <v>7551</v>
      </c>
      <c r="I2555" s="22" t="s">
        <v>7552</v>
      </c>
      <c r="J2555" s="22" t="s">
        <v>4407</v>
      </c>
      <c r="K2555" s="22" t="s">
        <v>66</v>
      </c>
      <c r="L2555" s="22"/>
      <c r="M2555" s="22"/>
      <c r="N2555" s="22"/>
    </row>
    <row r="2556" spans="1:14" x14ac:dyDescent="0.25">
      <c r="A2556" s="22" t="s">
        <v>7553</v>
      </c>
      <c r="B2556" s="22" t="s">
        <v>39</v>
      </c>
      <c r="C2556" s="22" t="s">
        <v>7522</v>
      </c>
      <c r="D2556" s="23">
        <v>-23700</v>
      </c>
      <c r="E2556" s="22" t="s">
        <v>57</v>
      </c>
      <c r="F2556" s="24">
        <v>44490</v>
      </c>
      <c r="G2556" s="22" t="s">
        <v>7490</v>
      </c>
      <c r="H2556" s="22" t="s">
        <v>249</v>
      </c>
      <c r="I2556" s="22" t="s">
        <v>7554</v>
      </c>
      <c r="J2556" s="22" t="s">
        <v>4407</v>
      </c>
      <c r="K2556" s="22" t="s">
        <v>66</v>
      </c>
      <c r="L2556" s="22"/>
      <c r="M2556" s="22"/>
      <c r="N2556" s="22"/>
    </row>
    <row r="2557" spans="1:14" x14ac:dyDescent="0.25">
      <c r="A2557" s="22" t="s">
        <v>7555</v>
      </c>
      <c r="B2557" s="22" t="s">
        <v>39</v>
      </c>
      <c r="C2557" s="22" t="s">
        <v>7522</v>
      </c>
      <c r="D2557" s="23">
        <v>-32700</v>
      </c>
      <c r="E2557" s="22" t="s">
        <v>57</v>
      </c>
      <c r="F2557" s="24">
        <v>44491</v>
      </c>
      <c r="G2557" s="22" t="s">
        <v>7490</v>
      </c>
      <c r="H2557" s="22" t="s">
        <v>332</v>
      </c>
      <c r="I2557" s="22" t="s">
        <v>7556</v>
      </c>
      <c r="J2557" s="22" t="s">
        <v>4407</v>
      </c>
      <c r="K2557" s="22" t="s">
        <v>66</v>
      </c>
      <c r="L2557" s="22"/>
      <c r="M2557" s="22"/>
      <c r="N2557" s="22"/>
    </row>
    <row r="2558" spans="1:14" x14ac:dyDescent="0.25">
      <c r="A2558" s="22" t="s">
        <v>7557</v>
      </c>
      <c r="B2558" s="22" t="s">
        <v>39</v>
      </c>
      <c r="C2558" s="22" t="s">
        <v>7522</v>
      </c>
      <c r="D2558" s="23">
        <v>-32700</v>
      </c>
      <c r="E2558" s="22" t="s">
        <v>57</v>
      </c>
      <c r="F2558" s="24">
        <v>44491</v>
      </c>
      <c r="G2558" s="22" t="s">
        <v>7490</v>
      </c>
      <c r="H2558" s="22" t="s">
        <v>304</v>
      </c>
      <c r="I2558" s="22" t="s">
        <v>7558</v>
      </c>
      <c r="J2558" s="22" t="s">
        <v>4407</v>
      </c>
      <c r="K2558" s="22" t="s">
        <v>66</v>
      </c>
      <c r="L2558" s="22"/>
      <c r="M2558" s="22"/>
      <c r="N2558" s="22"/>
    </row>
    <row r="2559" spans="1:14" x14ac:dyDescent="0.25">
      <c r="A2559" s="22" t="s">
        <v>7559</v>
      </c>
      <c r="B2559" s="22" t="s">
        <v>39</v>
      </c>
      <c r="C2559" s="22" t="s">
        <v>7522</v>
      </c>
      <c r="D2559" s="23">
        <v>-23700</v>
      </c>
      <c r="E2559" s="22" t="s">
        <v>57</v>
      </c>
      <c r="F2559" s="24">
        <v>44494</v>
      </c>
      <c r="G2559" s="22" t="s">
        <v>7490</v>
      </c>
      <c r="H2559" s="22" t="s">
        <v>2375</v>
      </c>
      <c r="I2559" s="22" t="s">
        <v>7560</v>
      </c>
      <c r="J2559" s="22" t="s">
        <v>4407</v>
      </c>
      <c r="K2559" s="22" t="s">
        <v>66</v>
      </c>
      <c r="L2559" s="22"/>
      <c r="M2559" s="22"/>
      <c r="N2559" s="22"/>
    </row>
    <row r="2560" spans="1:14" x14ac:dyDescent="0.25">
      <c r="A2560" s="22" t="s">
        <v>7561</v>
      </c>
      <c r="B2560" s="22" t="s">
        <v>39</v>
      </c>
      <c r="C2560" s="22" t="s">
        <v>7522</v>
      </c>
      <c r="D2560" s="23">
        <v>-71600</v>
      </c>
      <c r="E2560" s="22" t="s">
        <v>57</v>
      </c>
      <c r="F2560" s="24">
        <v>44494</v>
      </c>
      <c r="G2560" s="22" t="s">
        <v>7490</v>
      </c>
      <c r="H2560" s="22" t="s">
        <v>249</v>
      </c>
      <c r="I2560" s="22" t="s">
        <v>7562</v>
      </c>
      <c r="J2560" s="22" t="s">
        <v>4407</v>
      </c>
      <c r="K2560" s="22" t="s">
        <v>66</v>
      </c>
      <c r="L2560" s="22"/>
      <c r="M2560" s="22"/>
      <c r="N2560" s="22"/>
    </row>
    <row r="2561" spans="1:14" x14ac:dyDescent="0.25">
      <c r="A2561" s="22" t="s">
        <v>7563</v>
      </c>
      <c r="B2561" s="22" t="s">
        <v>39</v>
      </c>
      <c r="C2561" s="22" t="s">
        <v>7522</v>
      </c>
      <c r="D2561" s="23">
        <v>-47200</v>
      </c>
      <c r="E2561" s="22" t="s">
        <v>57</v>
      </c>
      <c r="F2561" s="24">
        <v>44494</v>
      </c>
      <c r="G2561" s="22" t="s">
        <v>7490</v>
      </c>
      <c r="H2561" s="22" t="s">
        <v>249</v>
      </c>
      <c r="I2561" s="22" t="s">
        <v>7564</v>
      </c>
      <c r="J2561" s="22" t="s">
        <v>4407</v>
      </c>
      <c r="K2561" s="22" t="s">
        <v>66</v>
      </c>
      <c r="L2561" s="22"/>
      <c r="M2561" s="22"/>
      <c r="N2561" s="22"/>
    </row>
    <row r="2562" spans="1:14" x14ac:dyDescent="0.25">
      <c r="A2562" s="22" t="s">
        <v>7565</v>
      </c>
      <c r="B2562" s="22" t="s">
        <v>39</v>
      </c>
      <c r="C2562" s="22" t="s">
        <v>7522</v>
      </c>
      <c r="D2562" s="23">
        <v>-25400</v>
      </c>
      <c r="E2562" s="22" t="s">
        <v>57</v>
      </c>
      <c r="F2562" s="24">
        <v>44496</v>
      </c>
      <c r="G2562" s="22" t="s">
        <v>7490</v>
      </c>
      <c r="H2562" s="22" t="s">
        <v>941</v>
      </c>
      <c r="I2562" s="22" t="s">
        <v>7566</v>
      </c>
      <c r="J2562" s="22" t="s">
        <v>4407</v>
      </c>
      <c r="K2562" s="22" t="s">
        <v>66</v>
      </c>
      <c r="L2562" s="22"/>
      <c r="M2562" s="22"/>
      <c r="N2562" s="22"/>
    </row>
    <row r="2563" spans="1:14" x14ac:dyDescent="0.25">
      <c r="A2563" s="22" t="s">
        <v>7567</v>
      </c>
      <c r="B2563" s="22" t="s">
        <v>39</v>
      </c>
      <c r="C2563" s="22" t="s">
        <v>7522</v>
      </c>
      <c r="D2563" s="23">
        <v>-10100</v>
      </c>
      <c r="E2563" s="22" t="s">
        <v>57</v>
      </c>
      <c r="F2563" s="24">
        <v>44497</v>
      </c>
      <c r="G2563" s="22" t="s">
        <v>7490</v>
      </c>
      <c r="H2563" s="22" t="s">
        <v>212</v>
      </c>
      <c r="I2563" s="22" t="s">
        <v>7568</v>
      </c>
      <c r="J2563" s="22" t="s">
        <v>4407</v>
      </c>
      <c r="K2563" s="22" t="s">
        <v>66</v>
      </c>
      <c r="L2563" s="22"/>
      <c r="M2563" s="22"/>
      <c r="N2563" s="22"/>
    </row>
    <row r="2564" spans="1:14" x14ac:dyDescent="0.25">
      <c r="A2564" s="22" t="s">
        <v>7569</v>
      </c>
      <c r="B2564" s="22" t="s">
        <v>39</v>
      </c>
      <c r="C2564" s="22" t="s">
        <v>7522</v>
      </c>
      <c r="D2564" s="23">
        <v>-865600</v>
      </c>
      <c r="E2564" s="22" t="s">
        <v>57</v>
      </c>
      <c r="F2564" s="24">
        <v>44497</v>
      </c>
      <c r="G2564" s="22" t="s">
        <v>7490</v>
      </c>
      <c r="H2564" s="22" t="s">
        <v>212</v>
      </c>
      <c r="I2564" s="22" t="s">
        <v>7570</v>
      </c>
      <c r="J2564" s="22" t="s">
        <v>4407</v>
      </c>
      <c r="K2564" s="22" t="s">
        <v>66</v>
      </c>
      <c r="L2564" s="22"/>
      <c r="M2564" s="22"/>
      <c r="N2564" s="22"/>
    </row>
    <row r="2565" spans="1:14" x14ac:dyDescent="0.25">
      <c r="A2565" s="22" t="s">
        <v>7571</v>
      </c>
      <c r="B2565" s="22" t="s">
        <v>39</v>
      </c>
      <c r="C2565" s="22" t="s">
        <v>7522</v>
      </c>
      <c r="D2565" s="23">
        <v>-109000</v>
      </c>
      <c r="E2565" s="22" t="s">
        <v>57</v>
      </c>
      <c r="F2565" s="24">
        <v>44498</v>
      </c>
      <c r="G2565" s="22" t="s">
        <v>7490</v>
      </c>
      <c r="H2565" s="22" t="s">
        <v>608</v>
      </c>
      <c r="I2565" s="22" t="s">
        <v>7572</v>
      </c>
      <c r="J2565" s="22" t="s">
        <v>4407</v>
      </c>
      <c r="K2565" s="22" t="s">
        <v>66</v>
      </c>
      <c r="L2565" s="22"/>
      <c r="M2565" s="22"/>
      <c r="N2565" s="22"/>
    </row>
    <row r="2566" spans="1:14" x14ac:dyDescent="0.25">
      <c r="A2566" s="22" t="s">
        <v>7573</v>
      </c>
      <c r="B2566" s="22" t="s">
        <v>39</v>
      </c>
      <c r="C2566" s="22" t="s">
        <v>7522</v>
      </c>
      <c r="D2566" s="23">
        <v>-47200</v>
      </c>
      <c r="E2566" s="22" t="s">
        <v>57</v>
      </c>
      <c r="F2566" s="24">
        <v>44498</v>
      </c>
      <c r="G2566" s="22" t="s">
        <v>7490</v>
      </c>
      <c r="H2566" s="22" t="s">
        <v>608</v>
      </c>
      <c r="I2566" s="22" t="s">
        <v>7574</v>
      </c>
      <c r="J2566" s="22" t="s">
        <v>4407</v>
      </c>
      <c r="K2566" s="22" t="s">
        <v>66</v>
      </c>
      <c r="L2566" s="22"/>
      <c r="M2566" s="22"/>
      <c r="N2566" s="22"/>
    </row>
    <row r="2567" spans="1:14" x14ac:dyDescent="0.25">
      <c r="A2567" s="22" t="s">
        <v>7576</v>
      </c>
      <c r="B2567" s="22" t="s">
        <v>39</v>
      </c>
      <c r="C2567" s="22" t="s">
        <v>7575</v>
      </c>
      <c r="D2567" s="23">
        <v>-104361</v>
      </c>
      <c r="E2567" s="22" t="s">
        <v>57</v>
      </c>
      <c r="F2567" s="24">
        <v>44475</v>
      </c>
      <c r="G2567" s="22" t="s">
        <v>7490</v>
      </c>
      <c r="H2567" s="22" t="s">
        <v>375</v>
      </c>
      <c r="I2567" s="22" t="s">
        <v>7577</v>
      </c>
      <c r="J2567" s="22" t="s">
        <v>4407</v>
      </c>
      <c r="K2567" s="22" t="s">
        <v>66</v>
      </c>
      <c r="L2567" s="22"/>
      <c r="M2567" s="22"/>
      <c r="N2567" s="22"/>
    </row>
    <row r="2568" spans="1:14" x14ac:dyDescent="0.25">
      <c r="A2568" s="22" t="s">
        <v>7578</v>
      </c>
      <c r="B2568" s="22" t="s">
        <v>39</v>
      </c>
      <c r="C2568" s="22" t="s">
        <v>7575</v>
      </c>
      <c r="D2568" s="23">
        <v>-70600</v>
      </c>
      <c r="E2568" s="22" t="s">
        <v>57</v>
      </c>
      <c r="F2568" s="24">
        <v>44480</v>
      </c>
      <c r="G2568" s="22" t="s">
        <v>7490</v>
      </c>
      <c r="H2568" s="22" t="s">
        <v>7579</v>
      </c>
      <c r="I2568" s="22" t="s">
        <v>7580</v>
      </c>
      <c r="J2568" s="22" t="s">
        <v>4407</v>
      </c>
      <c r="K2568" s="22" t="s">
        <v>66</v>
      </c>
      <c r="L2568" s="22"/>
      <c r="M2568" s="22"/>
      <c r="N2568" s="22"/>
    </row>
    <row r="2569" spans="1:14" x14ac:dyDescent="0.25">
      <c r="A2569" s="22" t="s">
        <v>7581</v>
      </c>
      <c r="B2569" s="22" t="s">
        <v>39</v>
      </c>
      <c r="C2569" s="22" t="s">
        <v>7575</v>
      </c>
      <c r="D2569" s="23">
        <v>-1634015</v>
      </c>
      <c r="E2569" s="22" t="s">
        <v>57</v>
      </c>
      <c r="F2569" s="24">
        <v>44480</v>
      </c>
      <c r="G2569" s="22" t="s">
        <v>7490</v>
      </c>
      <c r="H2569" s="22" t="s">
        <v>7582</v>
      </c>
      <c r="I2569" s="22" t="s">
        <v>7583</v>
      </c>
      <c r="J2569" s="22" t="s">
        <v>4407</v>
      </c>
      <c r="K2569" s="22" t="s">
        <v>66</v>
      </c>
      <c r="L2569" s="22"/>
      <c r="M2569" s="22"/>
      <c r="N2569" s="22"/>
    </row>
    <row r="2570" spans="1:14" x14ac:dyDescent="0.25">
      <c r="A2570" s="22" t="s">
        <v>7584</v>
      </c>
      <c r="B2570" s="22" t="s">
        <v>39</v>
      </c>
      <c r="C2570" s="22" t="s">
        <v>7575</v>
      </c>
      <c r="D2570" s="23">
        <v>-111500</v>
      </c>
      <c r="E2570" s="22" t="s">
        <v>57</v>
      </c>
      <c r="F2570" s="24">
        <v>44480</v>
      </c>
      <c r="G2570" s="22" t="s">
        <v>7490</v>
      </c>
      <c r="H2570" s="22" t="s">
        <v>365</v>
      </c>
      <c r="I2570" s="22" t="s">
        <v>7585</v>
      </c>
      <c r="J2570" s="22" t="s">
        <v>4407</v>
      </c>
      <c r="K2570" s="22" t="s">
        <v>66</v>
      </c>
      <c r="L2570" s="22"/>
      <c r="M2570" s="22"/>
      <c r="N2570" s="22"/>
    </row>
    <row r="2571" spans="1:14" x14ac:dyDescent="0.25">
      <c r="A2571" s="22" t="s">
        <v>7586</v>
      </c>
      <c r="B2571" s="22" t="s">
        <v>39</v>
      </c>
      <c r="C2571" s="22" t="s">
        <v>7575</v>
      </c>
      <c r="D2571" s="23">
        <v>-223449</v>
      </c>
      <c r="E2571" s="22" t="s">
        <v>57</v>
      </c>
      <c r="F2571" s="24">
        <v>44480</v>
      </c>
      <c r="G2571" s="22" t="s">
        <v>7490</v>
      </c>
      <c r="H2571" s="22" t="s">
        <v>7587</v>
      </c>
      <c r="I2571" s="22" t="s">
        <v>7588</v>
      </c>
      <c r="J2571" s="22" t="s">
        <v>4407</v>
      </c>
      <c r="K2571" s="22" t="s">
        <v>66</v>
      </c>
      <c r="L2571" s="22"/>
      <c r="M2571" s="22"/>
      <c r="N2571" s="22"/>
    </row>
    <row r="2572" spans="1:14" x14ac:dyDescent="0.25">
      <c r="A2572" s="22" t="s">
        <v>7589</v>
      </c>
      <c r="B2572" s="22" t="s">
        <v>39</v>
      </c>
      <c r="C2572" s="22" t="s">
        <v>7575</v>
      </c>
      <c r="D2572" s="23">
        <v>-870309</v>
      </c>
      <c r="E2572" s="22" t="s">
        <v>57</v>
      </c>
      <c r="F2572" s="24">
        <v>44504</v>
      </c>
      <c r="G2572" s="22" t="s">
        <v>7490</v>
      </c>
      <c r="H2572" s="22" t="s">
        <v>7590</v>
      </c>
      <c r="I2572" s="22" t="s">
        <v>7591</v>
      </c>
      <c r="J2572" s="22" t="s">
        <v>4407</v>
      </c>
      <c r="K2572" s="22" t="s">
        <v>66</v>
      </c>
      <c r="L2572" s="22"/>
      <c r="M2572" s="22"/>
      <c r="N2572" s="22"/>
    </row>
    <row r="2573" spans="1:14" x14ac:dyDescent="0.25">
      <c r="A2573" s="22" t="s">
        <v>7592</v>
      </c>
      <c r="B2573" s="22" t="s">
        <v>39</v>
      </c>
      <c r="C2573" s="22" t="s">
        <v>7575</v>
      </c>
      <c r="D2573" s="23">
        <v>-2048035</v>
      </c>
      <c r="E2573" s="22" t="s">
        <v>57</v>
      </c>
      <c r="F2573" s="24">
        <v>44503</v>
      </c>
      <c r="G2573" s="22" t="s">
        <v>7490</v>
      </c>
      <c r="H2573" s="22" t="s">
        <v>7593</v>
      </c>
      <c r="I2573" s="22" t="s">
        <v>7594</v>
      </c>
      <c r="J2573" s="22" t="s">
        <v>4407</v>
      </c>
      <c r="K2573" s="22" t="s">
        <v>66</v>
      </c>
      <c r="L2573" s="22"/>
      <c r="M2573" s="22"/>
      <c r="N2573" s="22"/>
    </row>
    <row r="2574" spans="1:14" x14ac:dyDescent="0.25">
      <c r="A2574" s="22" t="s">
        <v>7595</v>
      </c>
      <c r="B2574" s="22" t="s">
        <v>39</v>
      </c>
      <c r="C2574" s="22" t="s">
        <v>7575</v>
      </c>
      <c r="D2574" s="23">
        <v>-291539</v>
      </c>
      <c r="E2574" s="22" t="s">
        <v>57</v>
      </c>
      <c r="F2574" s="24">
        <v>44496</v>
      </c>
      <c r="G2574" s="22" t="s">
        <v>7490</v>
      </c>
      <c r="H2574" s="22" t="s">
        <v>7596</v>
      </c>
      <c r="I2574" s="22" t="s">
        <v>7597</v>
      </c>
      <c r="J2574" s="22" t="s">
        <v>4401</v>
      </c>
      <c r="K2574" s="22" t="s">
        <v>66</v>
      </c>
      <c r="L2574" s="22"/>
      <c r="M2574" s="22"/>
      <c r="N2574" s="22"/>
    </row>
    <row r="2575" spans="1:14" x14ac:dyDescent="0.25">
      <c r="A2575" s="22" t="s">
        <v>7598</v>
      </c>
      <c r="B2575" s="22" t="s">
        <v>39</v>
      </c>
      <c r="C2575" s="22" t="s">
        <v>7575</v>
      </c>
      <c r="D2575" s="23">
        <v>-53700</v>
      </c>
      <c r="E2575" s="22" t="s">
        <v>57</v>
      </c>
      <c r="F2575" s="24">
        <v>44493</v>
      </c>
      <c r="G2575" s="22" t="s">
        <v>7490</v>
      </c>
      <c r="H2575" s="22" t="s">
        <v>7599</v>
      </c>
      <c r="I2575" s="22" t="s">
        <v>7600</v>
      </c>
      <c r="J2575" s="22" t="s">
        <v>4407</v>
      </c>
      <c r="K2575" s="22" t="s">
        <v>66</v>
      </c>
      <c r="L2575" s="22"/>
      <c r="M2575" s="22"/>
      <c r="N2575" s="22"/>
    </row>
    <row r="2576" spans="1:14" x14ac:dyDescent="0.25">
      <c r="A2576" s="22" t="s">
        <v>7601</v>
      </c>
      <c r="B2576" s="22" t="s">
        <v>39</v>
      </c>
      <c r="C2576" s="22" t="s">
        <v>7575</v>
      </c>
      <c r="D2576" s="23">
        <v>-2941505</v>
      </c>
      <c r="E2576" s="22" t="s">
        <v>57</v>
      </c>
      <c r="F2576" s="24">
        <v>44491</v>
      </c>
      <c r="G2576" s="22" t="s">
        <v>7490</v>
      </c>
      <c r="H2576" s="22" t="s">
        <v>7599</v>
      </c>
      <c r="I2576" s="22" t="s">
        <v>7602</v>
      </c>
      <c r="J2576" s="22" t="s">
        <v>4407</v>
      </c>
      <c r="K2576" s="22" t="s">
        <v>66</v>
      </c>
      <c r="L2576" s="22"/>
      <c r="M2576" s="22"/>
      <c r="N2576" s="22"/>
    </row>
    <row r="2577" spans="1:14" x14ac:dyDescent="0.25">
      <c r="A2577" s="22" t="s">
        <v>7603</v>
      </c>
      <c r="B2577" s="22" t="s">
        <v>39</v>
      </c>
      <c r="C2577" s="22" t="s">
        <v>7575</v>
      </c>
      <c r="D2577" s="23">
        <v>-516555</v>
      </c>
      <c r="E2577" s="22" t="s">
        <v>57</v>
      </c>
      <c r="F2577" s="24">
        <v>44489</v>
      </c>
      <c r="G2577" s="22" t="s">
        <v>7490</v>
      </c>
      <c r="H2577" s="22" t="s">
        <v>715</v>
      </c>
      <c r="I2577" s="22" t="s">
        <v>7604</v>
      </c>
      <c r="J2577" s="22" t="s">
        <v>4407</v>
      </c>
      <c r="K2577" s="22" t="s">
        <v>66</v>
      </c>
      <c r="L2577" s="22"/>
      <c r="M2577" s="22"/>
      <c r="N2577" s="22"/>
    </row>
    <row r="2578" spans="1:14" x14ac:dyDescent="0.25">
      <c r="A2578" s="22" t="s">
        <v>7605</v>
      </c>
      <c r="B2578" s="22" t="s">
        <v>39</v>
      </c>
      <c r="C2578" s="22" t="s">
        <v>7575</v>
      </c>
      <c r="D2578" s="23">
        <v>-203300</v>
      </c>
      <c r="E2578" s="22" t="s">
        <v>57</v>
      </c>
      <c r="F2578" s="24">
        <v>44485</v>
      </c>
      <c r="G2578" s="22" t="s">
        <v>7490</v>
      </c>
      <c r="H2578" s="22" t="s">
        <v>7606</v>
      </c>
      <c r="I2578" s="22" t="s">
        <v>7607</v>
      </c>
      <c r="J2578" s="22" t="s">
        <v>4407</v>
      </c>
      <c r="K2578" s="22" t="s">
        <v>66</v>
      </c>
      <c r="L2578" s="22"/>
      <c r="M2578" s="22"/>
      <c r="N2578" s="22"/>
    </row>
    <row r="2579" spans="1:14" x14ac:dyDescent="0.25">
      <c r="A2579" s="22" t="s">
        <v>7608</v>
      </c>
      <c r="B2579" s="22" t="s">
        <v>39</v>
      </c>
      <c r="C2579" s="22" t="s">
        <v>7575</v>
      </c>
      <c r="D2579" s="23">
        <v>-103600</v>
      </c>
      <c r="E2579" s="22" t="s">
        <v>57</v>
      </c>
      <c r="F2579" s="24">
        <v>44485</v>
      </c>
      <c r="G2579" s="22" t="s">
        <v>7490</v>
      </c>
      <c r="H2579" s="22" t="s">
        <v>7593</v>
      </c>
      <c r="I2579" s="22" t="s">
        <v>7609</v>
      </c>
      <c r="J2579" s="22" t="s">
        <v>4407</v>
      </c>
      <c r="K2579" s="22" t="s">
        <v>66</v>
      </c>
      <c r="L2579" s="22"/>
      <c r="M2579" s="22"/>
      <c r="N2579" s="22"/>
    </row>
    <row r="2580" spans="1:14" x14ac:dyDescent="0.25">
      <c r="A2580" s="22" t="s">
        <v>7610</v>
      </c>
      <c r="B2580" s="22" t="s">
        <v>39</v>
      </c>
      <c r="C2580" s="22" t="s">
        <v>7575</v>
      </c>
      <c r="D2580" s="23">
        <v>-65016</v>
      </c>
      <c r="E2580" s="22" t="s">
        <v>57</v>
      </c>
      <c r="F2580" s="24">
        <v>44483</v>
      </c>
      <c r="G2580" s="22" t="s">
        <v>7490</v>
      </c>
      <c r="H2580" s="22" t="s">
        <v>1306</v>
      </c>
      <c r="I2580" s="22" t="s">
        <v>7611</v>
      </c>
      <c r="J2580" s="22" t="s">
        <v>4407</v>
      </c>
      <c r="K2580" s="22" t="s">
        <v>66</v>
      </c>
      <c r="L2580" s="22"/>
      <c r="M2580" s="22"/>
      <c r="N2580" s="22"/>
    </row>
    <row r="2581" spans="1:14" x14ac:dyDescent="0.25">
      <c r="A2581" s="22" t="s">
        <v>7612</v>
      </c>
      <c r="B2581" s="22" t="s">
        <v>39</v>
      </c>
      <c r="C2581" s="22" t="s">
        <v>7575</v>
      </c>
      <c r="D2581" s="23">
        <v>-191978</v>
      </c>
      <c r="E2581" s="22" t="s">
        <v>57</v>
      </c>
      <c r="F2581" s="24">
        <v>44482</v>
      </c>
      <c r="G2581" s="22" t="s">
        <v>7490</v>
      </c>
      <c r="H2581" s="22" t="s">
        <v>7613</v>
      </c>
      <c r="I2581" s="22" t="s">
        <v>7614</v>
      </c>
      <c r="J2581" s="22" t="s">
        <v>4401</v>
      </c>
      <c r="K2581" s="22" t="s">
        <v>66</v>
      </c>
      <c r="L2581" s="22"/>
      <c r="M2581" s="22"/>
      <c r="N2581" s="22"/>
    </row>
    <row r="2582" spans="1:14" x14ac:dyDescent="0.25">
      <c r="A2582" s="22" t="s">
        <v>7615</v>
      </c>
      <c r="B2582" s="22" t="s">
        <v>39</v>
      </c>
      <c r="C2582" s="22" t="s">
        <v>7575</v>
      </c>
      <c r="D2582" s="23">
        <v>-281765</v>
      </c>
      <c r="E2582" s="22" t="s">
        <v>57</v>
      </c>
      <c r="F2582" s="24">
        <v>44482</v>
      </c>
      <c r="G2582" s="22" t="s">
        <v>7490</v>
      </c>
      <c r="H2582" s="22" t="s">
        <v>7599</v>
      </c>
      <c r="I2582" s="22" t="s">
        <v>7616</v>
      </c>
      <c r="J2582" s="22" t="s">
        <v>4407</v>
      </c>
      <c r="K2582" s="22" t="s">
        <v>66</v>
      </c>
      <c r="L2582" s="22"/>
      <c r="M2582" s="22"/>
      <c r="N2582" s="22"/>
    </row>
    <row r="2583" spans="1:14" x14ac:dyDescent="0.25">
      <c r="A2583" s="22" t="s">
        <v>7617</v>
      </c>
      <c r="B2583" s="22" t="s">
        <v>39</v>
      </c>
      <c r="C2583" s="22" t="s">
        <v>7482</v>
      </c>
      <c r="D2583" s="23">
        <v>-29200</v>
      </c>
      <c r="E2583" s="22" t="s">
        <v>57</v>
      </c>
      <c r="F2583" s="24">
        <v>44497</v>
      </c>
      <c r="G2583" s="22" t="s">
        <v>7490</v>
      </c>
      <c r="H2583" s="22" t="s">
        <v>483</v>
      </c>
      <c r="I2583" s="22" t="s">
        <v>7618</v>
      </c>
      <c r="J2583" s="22" t="s">
        <v>4552</v>
      </c>
      <c r="K2583" s="22" t="s">
        <v>61</v>
      </c>
      <c r="L2583" s="22"/>
      <c r="M2583" s="22"/>
      <c r="N2583" s="22"/>
    </row>
    <row r="2584" spans="1:14" x14ac:dyDescent="0.25">
      <c r="A2584" s="22" t="s">
        <v>7619</v>
      </c>
      <c r="B2584" s="22" t="s">
        <v>39</v>
      </c>
      <c r="C2584" s="22" t="s">
        <v>7482</v>
      </c>
      <c r="D2584" s="23">
        <v>-43700</v>
      </c>
      <c r="E2584" s="22" t="s">
        <v>57</v>
      </c>
      <c r="F2584" s="24">
        <v>44498</v>
      </c>
      <c r="G2584" s="22" t="s">
        <v>7490</v>
      </c>
      <c r="H2584" s="22" t="s">
        <v>280</v>
      </c>
      <c r="I2584" s="22" t="s">
        <v>7620</v>
      </c>
      <c r="J2584" s="22" t="s">
        <v>4552</v>
      </c>
      <c r="K2584" s="22" t="s">
        <v>61</v>
      </c>
      <c r="L2584" s="22"/>
      <c r="M2584" s="22"/>
      <c r="N2584" s="22"/>
    </row>
    <row r="2585" spans="1:14" x14ac:dyDescent="0.25">
      <c r="A2585" s="22" t="s">
        <v>7621</v>
      </c>
      <c r="B2585" s="22" t="s">
        <v>39</v>
      </c>
      <c r="C2585" s="22" t="s">
        <v>7482</v>
      </c>
      <c r="D2585" s="23">
        <v>-28100</v>
      </c>
      <c r="E2585" s="22" t="s">
        <v>57</v>
      </c>
      <c r="F2585" s="24">
        <v>44498</v>
      </c>
      <c r="G2585" s="22" t="s">
        <v>7490</v>
      </c>
      <c r="H2585" s="22" t="s">
        <v>280</v>
      </c>
      <c r="I2585" s="22" t="s">
        <v>7622</v>
      </c>
      <c r="J2585" s="22" t="s">
        <v>4552</v>
      </c>
      <c r="K2585" s="22" t="s">
        <v>61</v>
      </c>
      <c r="L2585" s="22"/>
      <c r="M2585" s="22"/>
      <c r="N2585" s="22"/>
    </row>
    <row r="2586" spans="1:14" x14ac:dyDescent="0.25">
      <c r="A2586" s="22" t="s">
        <v>7623</v>
      </c>
      <c r="B2586" s="22" t="s">
        <v>39</v>
      </c>
      <c r="C2586" s="22" t="s">
        <v>7482</v>
      </c>
      <c r="D2586" s="23">
        <v>-29200</v>
      </c>
      <c r="E2586" s="22" t="s">
        <v>57</v>
      </c>
      <c r="F2586" s="24">
        <v>44498</v>
      </c>
      <c r="G2586" s="22" t="s">
        <v>7490</v>
      </c>
      <c r="H2586" s="22" t="s">
        <v>667</v>
      </c>
      <c r="I2586" s="22" t="s">
        <v>7624</v>
      </c>
      <c r="J2586" s="22" t="s">
        <v>4552</v>
      </c>
      <c r="K2586" s="22" t="s">
        <v>61</v>
      </c>
      <c r="L2586" s="22"/>
      <c r="M2586" s="22"/>
      <c r="N2586" s="22"/>
    </row>
    <row r="2587" spans="1:14" x14ac:dyDescent="0.25">
      <c r="A2587" s="22" t="s">
        <v>7501</v>
      </c>
      <c r="B2587" s="22" t="s">
        <v>39</v>
      </c>
      <c r="C2587" s="22" t="s">
        <v>7488</v>
      </c>
      <c r="D2587" s="23">
        <v>106989</v>
      </c>
      <c r="E2587" s="22" t="s">
        <v>45</v>
      </c>
      <c r="F2587" s="24">
        <v>44482</v>
      </c>
      <c r="G2587" s="22" t="s">
        <v>7490</v>
      </c>
      <c r="H2587" s="22"/>
      <c r="I2587" s="22" t="s">
        <v>7490</v>
      </c>
      <c r="J2587" s="22" t="s">
        <v>4466</v>
      </c>
      <c r="K2587" s="22" t="s">
        <v>61</v>
      </c>
      <c r="L2587" s="22"/>
      <c r="M2587" s="22"/>
      <c r="N2587" s="22"/>
    </row>
    <row r="2588" spans="1:14" x14ac:dyDescent="0.25">
      <c r="A2588" s="22" t="s">
        <v>7501</v>
      </c>
      <c r="B2588" s="22" t="s">
        <v>39</v>
      </c>
      <c r="C2588" s="22" t="s">
        <v>7488</v>
      </c>
      <c r="D2588" s="23">
        <v>7805382</v>
      </c>
      <c r="E2588" s="22" t="s">
        <v>45</v>
      </c>
      <c r="F2588" s="24">
        <v>44482</v>
      </c>
      <c r="G2588" s="22" t="s">
        <v>7490</v>
      </c>
      <c r="H2588" s="22"/>
      <c r="I2588" s="22" t="s">
        <v>7490</v>
      </c>
      <c r="J2588" s="22" t="s">
        <v>4552</v>
      </c>
      <c r="K2588" s="22" t="s">
        <v>61</v>
      </c>
      <c r="L2588" s="22"/>
      <c r="M2588" s="22"/>
      <c r="N2588" s="22"/>
    </row>
    <row r="2589" spans="1:14" x14ac:dyDescent="0.25">
      <c r="A2589" s="22" t="s">
        <v>7501</v>
      </c>
      <c r="B2589" s="22" t="s">
        <v>39</v>
      </c>
      <c r="C2589" s="22" t="s">
        <v>7488</v>
      </c>
      <c r="D2589" s="23">
        <v>-19916493</v>
      </c>
      <c r="E2589" s="22" t="s">
        <v>45</v>
      </c>
      <c r="F2589" s="24">
        <v>44482</v>
      </c>
      <c r="G2589" s="22" t="s">
        <v>7490</v>
      </c>
      <c r="H2589" s="22"/>
      <c r="I2589" s="22" t="s">
        <v>7490</v>
      </c>
      <c r="J2589" s="22" t="s">
        <v>4401</v>
      </c>
      <c r="K2589" s="22" t="s">
        <v>61</v>
      </c>
      <c r="L2589" s="22"/>
      <c r="M2589" s="22"/>
      <c r="N2589" s="22"/>
    </row>
    <row r="2590" spans="1:14" x14ac:dyDescent="0.25">
      <c r="A2590" s="22" t="s">
        <v>7501</v>
      </c>
      <c r="B2590" s="22" t="s">
        <v>39</v>
      </c>
      <c r="C2590" s="22" t="s">
        <v>7488</v>
      </c>
      <c r="D2590" s="23">
        <v>12366210</v>
      </c>
      <c r="E2590" s="22" t="s">
        <v>45</v>
      </c>
      <c r="F2590" s="24">
        <v>44482</v>
      </c>
      <c r="G2590" s="22" t="s">
        <v>7490</v>
      </c>
      <c r="H2590" s="22"/>
      <c r="I2590" s="22" t="s">
        <v>7490</v>
      </c>
      <c r="J2590" s="22" t="s">
        <v>4407</v>
      </c>
      <c r="K2590" s="22" t="s">
        <v>61</v>
      </c>
      <c r="L2590" s="22"/>
      <c r="M2590" s="22"/>
      <c r="N2590" s="22"/>
    </row>
    <row r="2591" spans="1:14" x14ac:dyDescent="0.25">
      <c r="A2591" s="22" t="s">
        <v>929</v>
      </c>
      <c r="B2591" s="22" t="s">
        <v>39</v>
      </c>
      <c r="C2591" s="22" t="s">
        <v>40</v>
      </c>
      <c r="D2591" s="23">
        <v>20400010</v>
      </c>
      <c r="E2591" s="22" t="s">
        <v>45</v>
      </c>
      <c r="F2591" s="24">
        <v>44446</v>
      </c>
      <c r="G2591" s="22" t="s">
        <v>7490</v>
      </c>
      <c r="H2591" s="22" t="s">
        <v>7475</v>
      </c>
      <c r="I2591" s="22" t="s">
        <v>848</v>
      </c>
      <c r="J2591" s="22" t="s">
        <v>4401</v>
      </c>
      <c r="K2591" s="22" t="s">
        <v>292</v>
      </c>
      <c r="L2591" s="22"/>
      <c r="M2591" s="22"/>
      <c r="N2591" s="22"/>
    </row>
    <row r="2592" spans="1:14" x14ac:dyDescent="0.25">
      <c r="A2592" s="22" t="s">
        <v>315</v>
      </c>
      <c r="B2592" s="22" t="s">
        <v>39</v>
      </c>
      <c r="C2592" s="22" t="s">
        <v>7522</v>
      </c>
      <c r="D2592" s="23">
        <v>-457900</v>
      </c>
      <c r="E2592" s="22" t="s">
        <v>57</v>
      </c>
      <c r="F2592" s="24">
        <v>44477</v>
      </c>
      <c r="G2592" s="22" t="s">
        <v>316</v>
      </c>
      <c r="H2592" s="22" t="s">
        <v>319</v>
      </c>
      <c r="I2592" s="22" t="s">
        <v>807</v>
      </c>
      <c r="J2592" s="22" t="s">
        <v>4407</v>
      </c>
      <c r="K2592" s="22" t="s">
        <v>66</v>
      </c>
      <c r="L2592" s="22"/>
      <c r="M2592" s="22"/>
      <c r="N2592" s="22"/>
    </row>
    <row r="2593" spans="1:14" x14ac:dyDescent="0.25">
      <c r="A2593" s="22" t="s">
        <v>315</v>
      </c>
      <c r="B2593" s="22" t="s">
        <v>39</v>
      </c>
      <c r="C2593" s="22" t="s">
        <v>7488</v>
      </c>
      <c r="D2593" s="23">
        <v>-196200</v>
      </c>
      <c r="E2593" s="22" t="s">
        <v>45</v>
      </c>
      <c r="F2593" s="24">
        <v>44477</v>
      </c>
      <c r="G2593" s="22" t="s">
        <v>316</v>
      </c>
      <c r="H2593" s="22"/>
      <c r="I2593" s="22" t="s">
        <v>316</v>
      </c>
      <c r="J2593" s="22" t="s">
        <v>4466</v>
      </c>
      <c r="K2593" s="22" t="s">
        <v>66</v>
      </c>
      <c r="L2593" s="22"/>
      <c r="M2593" s="22"/>
      <c r="N2593" s="22"/>
    </row>
    <row r="2594" spans="1:14" x14ac:dyDescent="0.25">
      <c r="A2594" s="22" t="s">
        <v>315</v>
      </c>
      <c r="B2594" s="22" t="s">
        <v>39</v>
      </c>
      <c r="C2594" s="22" t="s">
        <v>7488</v>
      </c>
      <c r="D2594" s="23">
        <v>457900</v>
      </c>
      <c r="E2594" s="22" t="s">
        <v>45</v>
      </c>
      <c r="F2594" s="24">
        <v>44477</v>
      </c>
      <c r="G2594" s="22" t="s">
        <v>316</v>
      </c>
      <c r="H2594" s="22"/>
      <c r="I2594" s="22" t="s">
        <v>316</v>
      </c>
      <c r="J2594" s="22" t="s">
        <v>4407</v>
      </c>
      <c r="K2594" s="22" t="s">
        <v>66</v>
      </c>
      <c r="L2594" s="22"/>
      <c r="M2594" s="22"/>
      <c r="N2594" s="22"/>
    </row>
    <row r="2595" spans="1:14" x14ac:dyDescent="0.25">
      <c r="A2595" s="22" t="s">
        <v>806</v>
      </c>
      <c r="B2595" s="22" t="s">
        <v>39</v>
      </c>
      <c r="C2595" s="22" t="s">
        <v>3480</v>
      </c>
      <c r="D2595" s="23">
        <v>196200</v>
      </c>
      <c r="E2595" s="22" t="s">
        <v>42</v>
      </c>
      <c r="F2595" s="24">
        <v>44508</v>
      </c>
      <c r="G2595" s="22" t="s">
        <v>316</v>
      </c>
      <c r="H2595" s="22" t="s">
        <v>292</v>
      </c>
      <c r="I2595" s="22" t="s">
        <v>805</v>
      </c>
      <c r="J2595" s="22" t="s">
        <v>4466</v>
      </c>
      <c r="K2595" s="22" t="s">
        <v>292</v>
      </c>
      <c r="L2595" s="22"/>
      <c r="M2595" s="22"/>
      <c r="N2595" s="22"/>
    </row>
    <row r="2596" spans="1:14" x14ac:dyDescent="0.25">
      <c r="A2596" s="22" t="s">
        <v>804</v>
      </c>
      <c r="B2596" s="22" t="s">
        <v>39</v>
      </c>
      <c r="C2596" s="22" t="s">
        <v>7522</v>
      </c>
      <c r="D2596" s="23">
        <v>-10100</v>
      </c>
      <c r="E2596" s="22" t="s">
        <v>57</v>
      </c>
      <c r="F2596" s="24">
        <v>44474</v>
      </c>
      <c r="G2596" s="22" t="s">
        <v>314</v>
      </c>
      <c r="H2596" s="22" t="s">
        <v>249</v>
      </c>
      <c r="I2596" s="22" t="s">
        <v>803</v>
      </c>
      <c r="J2596" s="22" t="s">
        <v>4407</v>
      </c>
      <c r="K2596" s="22" t="s">
        <v>66</v>
      </c>
      <c r="L2596" s="22"/>
      <c r="M2596" s="22"/>
      <c r="N2596" s="22"/>
    </row>
    <row r="2597" spans="1:14" x14ac:dyDescent="0.25">
      <c r="A2597" s="22" t="s">
        <v>328</v>
      </c>
      <c r="B2597" s="22" t="s">
        <v>39</v>
      </c>
      <c r="C2597" s="22" t="s">
        <v>7522</v>
      </c>
      <c r="D2597" s="23">
        <v>-32700</v>
      </c>
      <c r="E2597" s="22" t="s">
        <v>57</v>
      </c>
      <c r="F2597" s="24">
        <v>44474</v>
      </c>
      <c r="G2597" s="22" t="s">
        <v>314</v>
      </c>
      <c r="H2597" s="22" t="s">
        <v>329</v>
      </c>
      <c r="I2597" s="22" t="s">
        <v>327</v>
      </c>
      <c r="J2597" s="22" t="s">
        <v>4407</v>
      </c>
      <c r="K2597" s="22" t="s">
        <v>66</v>
      </c>
      <c r="L2597" s="22"/>
      <c r="M2597" s="22"/>
      <c r="N2597" s="22"/>
    </row>
    <row r="2598" spans="1:14" x14ac:dyDescent="0.25">
      <c r="A2598" s="22" t="s">
        <v>326</v>
      </c>
      <c r="B2598" s="22" t="s">
        <v>39</v>
      </c>
      <c r="C2598" s="22" t="s">
        <v>7522</v>
      </c>
      <c r="D2598" s="23">
        <v>-44200</v>
      </c>
      <c r="E2598" s="22" t="s">
        <v>57</v>
      </c>
      <c r="F2598" s="24">
        <v>44475</v>
      </c>
      <c r="G2598" s="22" t="s">
        <v>314</v>
      </c>
      <c r="H2598" s="22" t="s">
        <v>212</v>
      </c>
      <c r="I2598" s="22" t="s">
        <v>325</v>
      </c>
      <c r="J2598" s="22" t="s">
        <v>4407</v>
      </c>
      <c r="K2598" s="22" t="s">
        <v>66</v>
      </c>
      <c r="L2598" s="22"/>
      <c r="M2598" s="22"/>
      <c r="N2598" s="22"/>
    </row>
    <row r="2599" spans="1:14" x14ac:dyDescent="0.25">
      <c r="A2599" s="22" t="s">
        <v>323</v>
      </c>
      <c r="B2599" s="22" t="s">
        <v>39</v>
      </c>
      <c r="C2599" s="22" t="s">
        <v>7522</v>
      </c>
      <c r="D2599" s="23">
        <v>-42500</v>
      </c>
      <c r="E2599" s="22" t="s">
        <v>57</v>
      </c>
      <c r="F2599" s="24">
        <v>44476</v>
      </c>
      <c r="G2599" s="22" t="s">
        <v>314</v>
      </c>
      <c r="H2599" s="22" t="s">
        <v>324</v>
      </c>
      <c r="I2599" s="22" t="s">
        <v>322</v>
      </c>
      <c r="J2599" s="22" t="s">
        <v>4407</v>
      </c>
      <c r="K2599" s="22" t="s">
        <v>66</v>
      </c>
      <c r="L2599" s="22"/>
      <c r="M2599" s="22"/>
      <c r="N2599" s="22"/>
    </row>
    <row r="2600" spans="1:14" x14ac:dyDescent="0.25">
      <c r="A2600" s="22" t="s">
        <v>321</v>
      </c>
      <c r="B2600" s="22" t="s">
        <v>39</v>
      </c>
      <c r="C2600" s="22" t="s">
        <v>7522</v>
      </c>
      <c r="D2600" s="23">
        <v>-32700</v>
      </c>
      <c r="E2600" s="22" t="s">
        <v>57</v>
      </c>
      <c r="F2600" s="24">
        <v>44477</v>
      </c>
      <c r="G2600" s="22" t="s">
        <v>314</v>
      </c>
      <c r="H2600" s="22" t="s">
        <v>212</v>
      </c>
      <c r="I2600" s="22" t="s">
        <v>320</v>
      </c>
      <c r="J2600" s="22" t="s">
        <v>4407</v>
      </c>
      <c r="K2600" s="22" t="s">
        <v>66</v>
      </c>
      <c r="L2600" s="22"/>
      <c r="M2600" s="22"/>
      <c r="N2600" s="22"/>
    </row>
    <row r="2601" spans="1:14" x14ac:dyDescent="0.25">
      <c r="A2601" s="22" t="s">
        <v>318</v>
      </c>
      <c r="B2601" s="22" t="s">
        <v>39</v>
      </c>
      <c r="C2601" s="22" t="s">
        <v>7522</v>
      </c>
      <c r="D2601" s="23">
        <v>-106300</v>
      </c>
      <c r="E2601" s="22" t="s">
        <v>57</v>
      </c>
      <c r="F2601" s="24">
        <v>44480</v>
      </c>
      <c r="G2601" s="22" t="s">
        <v>314</v>
      </c>
      <c r="H2601" s="22" t="s">
        <v>319</v>
      </c>
      <c r="I2601" s="22" t="s">
        <v>317</v>
      </c>
      <c r="J2601" s="22" t="s">
        <v>4407</v>
      </c>
      <c r="K2601" s="22" t="s">
        <v>66</v>
      </c>
      <c r="L2601" s="22"/>
      <c r="M2601" s="22"/>
      <c r="N2601" s="22"/>
    </row>
    <row r="2602" spans="1:14" x14ac:dyDescent="0.25">
      <c r="A2602" s="22" t="s">
        <v>315</v>
      </c>
      <c r="B2602" s="22" t="s">
        <v>39</v>
      </c>
      <c r="C2602" s="22" t="s">
        <v>7522</v>
      </c>
      <c r="D2602" s="23">
        <v>-261700</v>
      </c>
      <c r="E2602" s="22" t="s">
        <v>45</v>
      </c>
      <c r="F2602" s="24">
        <v>44477</v>
      </c>
      <c r="G2602" s="22" t="s">
        <v>314</v>
      </c>
      <c r="H2602" s="22" t="s">
        <v>241</v>
      </c>
      <c r="I2602" s="22" t="s">
        <v>316</v>
      </c>
      <c r="J2602" s="22" t="s">
        <v>4407</v>
      </c>
      <c r="K2602" s="22" t="s">
        <v>66</v>
      </c>
      <c r="L2602" s="22"/>
      <c r="M2602" s="22"/>
      <c r="N2602" s="22"/>
    </row>
    <row r="2603" spans="1:14" x14ac:dyDescent="0.25">
      <c r="A2603" s="22" t="s">
        <v>315</v>
      </c>
      <c r="B2603" s="22" t="s">
        <v>39</v>
      </c>
      <c r="C2603" s="22" t="s">
        <v>7488</v>
      </c>
      <c r="D2603" s="23">
        <v>-325300</v>
      </c>
      <c r="E2603" s="22" t="s">
        <v>45</v>
      </c>
      <c r="F2603" s="24">
        <v>44477</v>
      </c>
      <c r="G2603" s="22" t="s">
        <v>314</v>
      </c>
      <c r="H2603" s="22"/>
      <c r="I2603" s="22" t="s">
        <v>314</v>
      </c>
      <c r="J2603" s="22" t="s">
        <v>4401</v>
      </c>
      <c r="K2603" s="22" t="s">
        <v>66</v>
      </c>
      <c r="L2603" s="22"/>
      <c r="M2603" s="22"/>
      <c r="N2603" s="22"/>
    </row>
    <row r="2604" spans="1:14" x14ac:dyDescent="0.25">
      <c r="A2604" s="22" t="s">
        <v>315</v>
      </c>
      <c r="B2604" s="22" t="s">
        <v>39</v>
      </c>
      <c r="C2604" s="22" t="s">
        <v>7488</v>
      </c>
      <c r="D2604" s="23">
        <v>530200</v>
      </c>
      <c r="E2604" s="22" t="s">
        <v>45</v>
      </c>
      <c r="F2604" s="24">
        <v>44477</v>
      </c>
      <c r="G2604" s="22" t="s">
        <v>314</v>
      </c>
      <c r="H2604" s="22"/>
      <c r="I2604" s="22" t="s">
        <v>314</v>
      </c>
      <c r="J2604" s="22" t="s">
        <v>4407</v>
      </c>
      <c r="K2604" s="22" t="s">
        <v>66</v>
      </c>
      <c r="L2604" s="22"/>
      <c r="M2604" s="22"/>
      <c r="N2604" s="22"/>
    </row>
    <row r="2605" spans="1:14" x14ac:dyDescent="0.25">
      <c r="A2605" s="22" t="s">
        <v>313</v>
      </c>
      <c r="B2605" s="22" t="s">
        <v>39</v>
      </c>
      <c r="C2605" s="22" t="s">
        <v>3480</v>
      </c>
      <c r="D2605" s="23">
        <v>325300</v>
      </c>
      <c r="E2605" s="22" t="s">
        <v>42</v>
      </c>
      <c r="F2605" s="24">
        <v>44508</v>
      </c>
      <c r="G2605" s="22" t="s">
        <v>314</v>
      </c>
      <c r="H2605" s="22" t="s">
        <v>292</v>
      </c>
      <c r="I2605" s="22" t="s">
        <v>312</v>
      </c>
      <c r="J2605" s="22" t="s">
        <v>4401</v>
      </c>
      <c r="K2605" s="22" t="s">
        <v>292</v>
      </c>
      <c r="L2605" s="22"/>
      <c r="M2605" s="22"/>
      <c r="N2605" s="22"/>
    </row>
    <row r="2606" spans="1:14" x14ac:dyDescent="0.25">
      <c r="A2606" s="22" t="s">
        <v>295</v>
      </c>
      <c r="B2606" s="22" t="s">
        <v>39</v>
      </c>
      <c r="C2606" s="22" t="s">
        <v>7625</v>
      </c>
      <c r="D2606" s="23">
        <v>-49300</v>
      </c>
      <c r="E2606" s="22" t="s">
        <v>57</v>
      </c>
      <c r="F2606" s="24">
        <v>44377</v>
      </c>
      <c r="G2606" s="22" t="s">
        <v>294</v>
      </c>
      <c r="H2606" s="22" t="s">
        <v>311</v>
      </c>
      <c r="I2606" s="22" t="s">
        <v>310</v>
      </c>
      <c r="J2606" s="22" t="s">
        <v>4407</v>
      </c>
      <c r="K2606" s="22" t="s">
        <v>66</v>
      </c>
      <c r="L2606" s="22"/>
      <c r="M2606" s="22"/>
      <c r="N2606" s="22"/>
    </row>
    <row r="2607" spans="1:14" x14ac:dyDescent="0.25">
      <c r="A2607" s="22" t="s">
        <v>308</v>
      </c>
      <c r="B2607" s="22" t="s">
        <v>39</v>
      </c>
      <c r="C2607" s="22" t="s">
        <v>7626</v>
      </c>
      <c r="D2607" s="23">
        <v>-43700</v>
      </c>
      <c r="E2607" s="22" t="s">
        <v>57</v>
      </c>
      <c r="F2607" s="24">
        <v>44376</v>
      </c>
      <c r="G2607" s="22" t="s">
        <v>294</v>
      </c>
      <c r="H2607" s="22" t="s">
        <v>309</v>
      </c>
      <c r="I2607" s="22" t="s">
        <v>307</v>
      </c>
      <c r="J2607" s="22" t="s">
        <v>4552</v>
      </c>
      <c r="K2607" s="22" t="s">
        <v>61</v>
      </c>
      <c r="L2607" s="22"/>
      <c r="M2607" s="22"/>
      <c r="N2607" s="22"/>
    </row>
    <row r="2608" spans="1:14" x14ac:dyDescent="0.25">
      <c r="A2608" s="22" t="s">
        <v>295</v>
      </c>
      <c r="B2608" s="22" t="s">
        <v>39</v>
      </c>
      <c r="C2608" s="22" t="s">
        <v>7488</v>
      </c>
      <c r="D2608" s="23">
        <v>-53700</v>
      </c>
      <c r="E2608" s="22" t="s">
        <v>45</v>
      </c>
      <c r="F2608" s="24">
        <v>44377</v>
      </c>
      <c r="G2608" s="22" t="s">
        <v>294</v>
      </c>
      <c r="H2608" s="22"/>
      <c r="I2608" s="22" t="s">
        <v>294</v>
      </c>
      <c r="J2608" s="22" t="s">
        <v>4466</v>
      </c>
      <c r="K2608" s="22" t="s">
        <v>66</v>
      </c>
      <c r="L2608" s="22"/>
      <c r="M2608" s="22"/>
      <c r="N2608" s="22"/>
    </row>
    <row r="2609" spans="1:14" x14ac:dyDescent="0.25">
      <c r="A2609" s="22" t="s">
        <v>295</v>
      </c>
      <c r="B2609" s="22" t="s">
        <v>39</v>
      </c>
      <c r="C2609" s="22" t="s">
        <v>7488</v>
      </c>
      <c r="D2609" s="23">
        <v>43700</v>
      </c>
      <c r="E2609" s="22" t="s">
        <v>45</v>
      </c>
      <c r="F2609" s="24">
        <v>44377</v>
      </c>
      <c r="G2609" s="22" t="s">
        <v>294</v>
      </c>
      <c r="H2609" s="22"/>
      <c r="I2609" s="22" t="s">
        <v>294</v>
      </c>
      <c r="J2609" s="22" t="s">
        <v>4552</v>
      </c>
      <c r="K2609" s="22" t="s">
        <v>66</v>
      </c>
      <c r="L2609" s="22"/>
      <c r="M2609" s="22"/>
      <c r="N2609" s="22"/>
    </row>
    <row r="2610" spans="1:14" x14ac:dyDescent="0.25">
      <c r="A2610" s="22" t="s">
        <v>295</v>
      </c>
      <c r="B2610" s="22" t="s">
        <v>39</v>
      </c>
      <c r="C2610" s="22" t="s">
        <v>7488</v>
      </c>
      <c r="D2610" s="23">
        <v>49300</v>
      </c>
      <c r="E2610" s="22" t="s">
        <v>45</v>
      </c>
      <c r="F2610" s="24">
        <v>44377</v>
      </c>
      <c r="G2610" s="22" t="s">
        <v>294</v>
      </c>
      <c r="H2610" s="22"/>
      <c r="I2610" s="22" t="s">
        <v>294</v>
      </c>
      <c r="J2610" s="22" t="s">
        <v>4407</v>
      </c>
      <c r="K2610" s="22" t="s">
        <v>66</v>
      </c>
      <c r="L2610" s="22"/>
      <c r="M2610" s="22"/>
      <c r="N2610" s="22"/>
    </row>
    <row r="2611" spans="1:14" x14ac:dyDescent="0.25">
      <c r="A2611" s="22" t="s">
        <v>306</v>
      </c>
      <c r="B2611" s="22" t="s">
        <v>39</v>
      </c>
      <c r="C2611" s="22" t="s">
        <v>3553</v>
      </c>
      <c r="D2611" s="23">
        <v>53700</v>
      </c>
      <c r="E2611" s="22" t="s">
        <v>42</v>
      </c>
      <c r="F2611" s="24">
        <v>44508</v>
      </c>
      <c r="G2611" s="22" t="s">
        <v>294</v>
      </c>
      <c r="H2611" s="22" t="s">
        <v>292</v>
      </c>
      <c r="I2611" s="22" t="s">
        <v>305</v>
      </c>
      <c r="J2611" s="22" t="s">
        <v>4466</v>
      </c>
      <c r="K2611" s="22" t="s">
        <v>292</v>
      </c>
      <c r="L2611" s="22"/>
      <c r="M2611" s="22"/>
      <c r="N2611" s="22"/>
    </row>
    <row r="2612" spans="1:14" x14ac:dyDescent="0.25">
      <c r="A2612" s="22" t="s">
        <v>302</v>
      </c>
      <c r="B2612" s="22" t="s">
        <v>39</v>
      </c>
      <c r="C2612" s="22" t="s">
        <v>7485</v>
      </c>
      <c r="D2612" s="23">
        <v>-582972</v>
      </c>
      <c r="E2612" s="22" t="s">
        <v>57</v>
      </c>
      <c r="F2612" s="24">
        <v>44383</v>
      </c>
      <c r="G2612" s="22" t="s">
        <v>301</v>
      </c>
      <c r="H2612" s="22" t="s">
        <v>304</v>
      </c>
      <c r="I2612" s="22" t="s">
        <v>303</v>
      </c>
      <c r="J2612" s="22" t="s">
        <v>4407</v>
      </c>
      <c r="K2612" s="22" t="s">
        <v>66</v>
      </c>
      <c r="L2612" s="22"/>
      <c r="M2612" s="22"/>
      <c r="N2612" s="22"/>
    </row>
    <row r="2613" spans="1:14" x14ac:dyDescent="0.25">
      <c r="A2613" s="22" t="s">
        <v>302</v>
      </c>
      <c r="B2613" s="22" t="s">
        <v>39</v>
      </c>
      <c r="C2613" s="22" t="s">
        <v>7488</v>
      </c>
      <c r="D2613" s="23">
        <v>-345272</v>
      </c>
      <c r="E2613" s="22" t="s">
        <v>45</v>
      </c>
      <c r="F2613" s="24">
        <v>44383</v>
      </c>
      <c r="G2613" s="22" t="s">
        <v>301</v>
      </c>
      <c r="H2613" s="22"/>
      <c r="I2613" s="22" t="s">
        <v>301</v>
      </c>
      <c r="J2613" s="22" t="s">
        <v>4401</v>
      </c>
      <c r="K2613" s="22" t="s">
        <v>66</v>
      </c>
      <c r="L2613" s="22"/>
      <c r="M2613" s="22"/>
      <c r="N2613" s="22"/>
    </row>
    <row r="2614" spans="1:14" x14ac:dyDescent="0.25">
      <c r="A2614" s="22" t="s">
        <v>302</v>
      </c>
      <c r="B2614" s="22" t="s">
        <v>39</v>
      </c>
      <c r="C2614" s="22" t="s">
        <v>7488</v>
      </c>
      <c r="D2614" s="23">
        <v>582972</v>
      </c>
      <c r="E2614" s="22" t="s">
        <v>45</v>
      </c>
      <c r="F2614" s="24">
        <v>44383</v>
      </c>
      <c r="G2614" s="22" t="s">
        <v>301</v>
      </c>
      <c r="H2614" s="22"/>
      <c r="I2614" s="22" t="s">
        <v>301</v>
      </c>
      <c r="J2614" s="22" t="s">
        <v>4407</v>
      </c>
      <c r="K2614" s="22" t="s">
        <v>66</v>
      </c>
      <c r="L2614" s="22"/>
      <c r="M2614" s="22"/>
      <c r="N2614" s="22"/>
    </row>
    <row r="2615" spans="1:14" x14ac:dyDescent="0.25">
      <c r="A2615" s="22" t="s">
        <v>300</v>
      </c>
      <c r="B2615" s="22" t="s">
        <v>39</v>
      </c>
      <c r="C2615" s="22" t="s">
        <v>3566</v>
      </c>
      <c r="D2615" s="23">
        <v>345272</v>
      </c>
      <c r="E2615" s="22" t="s">
        <v>42</v>
      </c>
      <c r="F2615" s="24">
        <v>44508</v>
      </c>
      <c r="G2615" s="22" t="s">
        <v>301</v>
      </c>
      <c r="H2615" s="22" t="s">
        <v>292</v>
      </c>
      <c r="I2615" s="22" t="s">
        <v>299</v>
      </c>
      <c r="J2615" s="22" t="s">
        <v>4401</v>
      </c>
      <c r="K2615" s="22" t="s">
        <v>292</v>
      </c>
      <c r="L2615" s="22"/>
      <c r="M2615" s="22"/>
      <c r="N2615" s="22"/>
    </row>
    <row r="2616" spans="1:14" x14ac:dyDescent="0.25">
      <c r="A2616" s="22" t="s">
        <v>293</v>
      </c>
      <c r="B2616" s="22" t="s">
        <v>39</v>
      </c>
      <c r="C2616" s="22" t="s">
        <v>7484</v>
      </c>
      <c r="D2616" s="23">
        <v>-32700</v>
      </c>
      <c r="E2616" s="22" t="s">
        <v>57</v>
      </c>
      <c r="F2616" s="24">
        <v>44364</v>
      </c>
      <c r="G2616" s="22" t="s">
        <v>291</v>
      </c>
      <c r="H2616" s="22" t="s">
        <v>298</v>
      </c>
      <c r="I2616" s="22" t="s">
        <v>297</v>
      </c>
      <c r="J2616" s="22" t="s">
        <v>4407</v>
      </c>
      <c r="K2616" s="22" t="s">
        <v>66</v>
      </c>
      <c r="L2616" s="22"/>
      <c r="M2616" s="22"/>
      <c r="N2616" s="22"/>
    </row>
    <row r="2617" spans="1:14" x14ac:dyDescent="0.25">
      <c r="A2617" s="22" t="s">
        <v>295</v>
      </c>
      <c r="B2617" s="22" t="s">
        <v>39</v>
      </c>
      <c r="C2617" s="22" t="s">
        <v>7625</v>
      </c>
      <c r="D2617" s="23">
        <v>-39300</v>
      </c>
      <c r="E2617" s="22" t="s">
        <v>45</v>
      </c>
      <c r="F2617" s="24">
        <v>44377</v>
      </c>
      <c r="G2617" s="22" t="s">
        <v>291</v>
      </c>
      <c r="H2617" s="22" t="s">
        <v>296</v>
      </c>
      <c r="I2617" s="22" t="s">
        <v>294</v>
      </c>
      <c r="J2617" s="22" t="s">
        <v>4407</v>
      </c>
      <c r="K2617" s="22" t="s">
        <v>66</v>
      </c>
      <c r="L2617" s="22"/>
      <c r="M2617" s="22"/>
      <c r="N2617" s="22"/>
    </row>
    <row r="2618" spans="1:14" x14ac:dyDescent="0.25">
      <c r="A2618" s="22" t="s">
        <v>293</v>
      </c>
      <c r="B2618" s="22" t="s">
        <v>39</v>
      </c>
      <c r="C2618" s="22" t="s">
        <v>7488</v>
      </c>
      <c r="D2618" s="23">
        <v>-56289</v>
      </c>
      <c r="E2618" s="22" t="s">
        <v>45</v>
      </c>
      <c r="F2618" s="24">
        <v>44364</v>
      </c>
      <c r="G2618" s="22" t="s">
        <v>291</v>
      </c>
      <c r="H2618" s="22"/>
      <c r="I2618" s="22" t="s">
        <v>291</v>
      </c>
      <c r="J2618" s="22" t="s">
        <v>4401</v>
      </c>
      <c r="K2618" s="22" t="s">
        <v>66</v>
      </c>
      <c r="L2618" s="22"/>
      <c r="M2618" s="22"/>
      <c r="N2618" s="22"/>
    </row>
    <row r="2619" spans="1:14" x14ac:dyDescent="0.25">
      <c r="A2619" s="22" t="s">
        <v>293</v>
      </c>
      <c r="B2619" s="22" t="s">
        <v>39</v>
      </c>
      <c r="C2619" s="22" t="s">
        <v>7488</v>
      </c>
      <c r="D2619" s="23">
        <v>72000</v>
      </c>
      <c r="E2619" s="22" t="s">
        <v>45</v>
      </c>
      <c r="F2619" s="24">
        <v>44364</v>
      </c>
      <c r="G2619" s="22" t="s">
        <v>291</v>
      </c>
      <c r="H2619" s="22"/>
      <c r="I2619" s="22" t="s">
        <v>291</v>
      </c>
      <c r="J2619" s="22" t="s">
        <v>4407</v>
      </c>
      <c r="K2619" s="22" t="s">
        <v>66</v>
      </c>
      <c r="L2619" s="22"/>
      <c r="M2619" s="22"/>
      <c r="N2619" s="22"/>
    </row>
    <row r="2620" spans="1:14" x14ac:dyDescent="0.25">
      <c r="A2620" s="22" t="s">
        <v>290</v>
      </c>
      <c r="B2620" s="22" t="s">
        <v>39</v>
      </c>
      <c r="C2620" s="22" t="s">
        <v>3767</v>
      </c>
      <c r="D2620" s="23">
        <v>56289</v>
      </c>
      <c r="E2620" s="22" t="s">
        <v>42</v>
      </c>
      <c r="F2620" s="24">
        <v>44508</v>
      </c>
      <c r="G2620" s="22" t="s">
        <v>291</v>
      </c>
      <c r="H2620" s="22" t="s">
        <v>292</v>
      </c>
      <c r="I2620" s="22" t="s">
        <v>289</v>
      </c>
      <c r="J2620" s="22" t="s">
        <v>4401</v>
      </c>
      <c r="K2620" s="22" t="s">
        <v>292</v>
      </c>
      <c r="L2620" s="22"/>
      <c r="M2620" s="22"/>
      <c r="N2620" s="22"/>
    </row>
    <row r="2621" spans="1:14" x14ac:dyDescent="0.25">
      <c r="A2621" s="22" t="s">
        <v>355</v>
      </c>
      <c r="B2621" s="22" t="s">
        <v>39</v>
      </c>
      <c r="C2621" s="22" t="s">
        <v>7485</v>
      </c>
      <c r="D2621" s="23">
        <v>-4846102</v>
      </c>
      <c r="E2621" s="22" t="s">
        <v>57</v>
      </c>
      <c r="F2621" s="24">
        <v>44375</v>
      </c>
      <c r="G2621" s="22" t="s">
        <v>356</v>
      </c>
      <c r="H2621" s="22" t="s">
        <v>365</v>
      </c>
      <c r="I2621" s="22" t="s">
        <v>364</v>
      </c>
      <c r="J2621" s="22" t="s">
        <v>4407</v>
      </c>
      <c r="K2621" s="22" t="s">
        <v>66</v>
      </c>
      <c r="L2621" s="22"/>
      <c r="M2621" s="22"/>
      <c r="N2621" s="22"/>
    </row>
    <row r="2622" spans="1:14" x14ac:dyDescent="0.25">
      <c r="A2622" s="22" t="s">
        <v>302</v>
      </c>
      <c r="B2622" s="22" t="s">
        <v>39</v>
      </c>
      <c r="C2622" s="22" t="s">
        <v>7485</v>
      </c>
      <c r="D2622" s="23">
        <v>-237700</v>
      </c>
      <c r="E2622" s="22" t="s">
        <v>45</v>
      </c>
      <c r="F2622" s="24">
        <v>44383</v>
      </c>
      <c r="G2622" s="22" t="s">
        <v>356</v>
      </c>
      <c r="H2622" s="22" t="s">
        <v>363</v>
      </c>
      <c r="I2622" s="22" t="s">
        <v>301</v>
      </c>
      <c r="J2622" s="22" t="s">
        <v>4407</v>
      </c>
      <c r="K2622" s="22" t="s">
        <v>66</v>
      </c>
      <c r="L2622" s="22"/>
      <c r="M2622" s="22"/>
      <c r="N2622" s="22"/>
    </row>
    <row r="2623" spans="1:14" x14ac:dyDescent="0.25">
      <c r="A2623" s="22" t="s">
        <v>361</v>
      </c>
      <c r="B2623" s="22" t="s">
        <v>39</v>
      </c>
      <c r="C2623" s="22" t="s">
        <v>7486</v>
      </c>
      <c r="D2623" s="23">
        <v>-1302886</v>
      </c>
      <c r="E2623" s="22" t="s">
        <v>45</v>
      </c>
      <c r="F2623" s="24">
        <v>44389</v>
      </c>
      <c r="G2623" s="22" t="s">
        <v>356</v>
      </c>
      <c r="H2623" s="22" t="s">
        <v>362</v>
      </c>
      <c r="I2623" s="22" t="s">
        <v>360</v>
      </c>
      <c r="J2623" s="22" t="s">
        <v>4407</v>
      </c>
      <c r="K2623" s="22" t="s">
        <v>66</v>
      </c>
      <c r="L2623" s="22"/>
      <c r="M2623" s="22"/>
      <c r="N2623" s="22"/>
    </row>
    <row r="2624" spans="1:14" x14ac:dyDescent="0.25">
      <c r="A2624" s="22" t="s">
        <v>355</v>
      </c>
      <c r="B2624" s="22" t="s">
        <v>39</v>
      </c>
      <c r="C2624" s="22" t="s">
        <v>7488</v>
      </c>
      <c r="D2624" s="23">
        <v>-2753690</v>
      </c>
      <c r="E2624" s="22" t="s">
        <v>45</v>
      </c>
      <c r="F2624" s="24">
        <v>44375</v>
      </c>
      <c r="G2624" s="22" t="s">
        <v>356</v>
      </c>
      <c r="H2624" s="22"/>
      <c r="I2624" s="22" t="s">
        <v>356</v>
      </c>
      <c r="J2624" s="22" t="s">
        <v>4401</v>
      </c>
      <c r="K2624" s="22" t="s">
        <v>66</v>
      </c>
      <c r="L2624" s="22"/>
      <c r="M2624" s="22"/>
      <c r="N2624" s="22"/>
    </row>
    <row r="2625" spans="1:14" x14ac:dyDescent="0.25">
      <c r="A2625" s="22" t="s">
        <v>355</v>
      </c>
      <c r="B2625" s="22" t="s">
        <v>39</v>
      </c>
      <c r="C2625" s="22" t="s">
        <v>7488</v>
      </c>
      <c r="D2625" s="23">
        <v>6386688</v>
      </c>
      <c r="E2625" s="22" t="s">
        <v>45</v>
      </c>
      <c r="F2625" s="24">
        <v>44375</v>
      </c>
      <c r="G2625" s="22" t="s">
        <v>356</v>
      </c>
      <c r="H2625" s="22"/>
      <c r="I2625" s="22" t="s">
        <v>356</v>
      </c>
      <c r="J2625" s="22" t="s">
        <v>4407</v>
      </c>
      <c r="K2625" s="22" t="s">
        <v>66</v>
      </c>
      <c r="L2625" s="22"/>
      <c r="M2625" s="22"/>
      <c r="N2625" s="22"/>
    </row>
    <row r="2626" spans="1:14" x14ac:dyDescent="0.25">
      <c r="A2626" s="22" t="s">
        <v>359</v>
      </c>
      <c r="B2626" s="22" t="s">
        <v>39</v>
      </c>
      <c r="C2626" s="22" t="s">
        <v>3643</v>
      </c>
      <c r="D2626" s="23">
        <v>2753690</v>
      </c>
      <c r="E2626" s="22" t="s">
        <v>42</v>
      </c>
      <c r="F2626" s="24">
        <v>44508</v>
      </c>
      <c r="G2626" s="22" t="s">
        <v>356</v>
      </c>
      <c r="H2626" s="22" t="s">
        <v>292</v>
      </c>
      <c r="I2626" s="22" t="s">
        <v>358</v>
      </c>
      <c r="J2626" s="22" t="s">
        <v>4401</v>
      </c>
      <c r="K2626" s="22" t="s">
        <v>292</v>
      </c>
      <c r="L2626" s="22"/>
      <c r="M2626" s="22"/>
      <c r="N2626" s="22"/>
    </row>
    <row r="2627" spans="1:14" x14ac:dyDescent="0.25">
      <c r="A2627" s="22" t="s">
        <v>355</v>
      </c>
      <c r="B2627" s="22" t="s">
        <v>39</v>
      </c>
      <c r="C2627" s="22" t="s">
        <v>7485</v>
      </c>
      <c r="D2627" s="23">
        <v>-3632998</v>
      </c>
      <c r="E2627" s="22" t="s">
        <v>45</v>
      </c>
      <c r="F2627" s="24">
        <v>44375</v>
      </c>
      <c r="G2627" s="22" t="s">
        <v>354</v>
      </c>
      <c r="H2627" s="22" t="s">
        <v>357</v>
      </c>
      <c r="I2627" s="22" t="s">
        <v>356</v>
      </c>
      <c r="J2627" s="22" t="s">
        <v>4407</v>
      </c>
      <c r="K2627" s="22" t="s">
        <v>66</v>
      </c>
      <c r="L2627" s="22"/>
      <c r="M2627" s="22"/>
      <c r="N2627" s="22"/>
    </row>
    <row r="2628" spans="1:14" x14ac:dyDescent="0.25">
      <c r="A2628" s="22" t="s">
        <v>355</v>
      </c>
      <c r="B2628" s="22" t="s">
        <v>39</v>
      </c>
      <c r="C2628" s="22" t="s">
        <v>7488</v>
      </c>
      <c r="D2628" s="23">
        <v>-2460849</v>
      </c>
      <c r="E2628" s="22" t="s">
        <v>45</v>
      </c>
      <c r="F2628" s="24">
        <v>44375</v>
      </c>
      <c r="G2628" s="22" t="s">
        <v>354</v>
      </c>
      <c r="H2628" s="22"/>
      <c r="I2628" s="22" t="s">
        <v>354</v>
      </c>
      <c r="J2628" s="22" t="s">
        <v>4401</v>
      </c>
      <c r="K2628" s="22" t="s">
        <v>66</v>
      </c>
      <c r="L2628" s="22"/>
      <c r="M2628" s="22"/>
      <c r="N2628" s="22"/>
    </row>
    <row r="2629" spans="1:14" x14ac:dyDescent="0.25">
      <c r="A2629" s="22" t="s">
        <v>355</v>
      </c>
      <c r="B2629" s="22" t="s">
        <v>39</v>
      </c>
      <c r="C2629" s="22" t="s">
        <v>7488</v>
      </c>
      <c r="D2629" s="23">
        <v>3632998</v>
      </c>
      <c r="E2629" s="22" t="s">
        <v>45</v>
      </c>
      <c r="F2629" s="24">
        <v>44375</v>
      </c>
      <c r="G2629" s="22" t="s">
        <v>354</v>
      </c>
      <c r="H2629" s="22"/>
      <c r="I2629" s="22" t="s">
        <v>354</v>
      </c>
      <c r="J2629" s="22" t="s">
        <v>4407</v>
      </c>
      <c r="K2629" s="22" t="s">
        <v>66</v>
      </c>
      <c r="L2629" s="22"/>
      <c r="M2629" s="22"/>
      <c r="N2629" s="22"/>
    </row>
    <row r="2630" spans="1:14" x14ac:dyDescent="0.25">
      <c r="A2630" s="22" t="s">
        <v>353</v>
      </c>
      <c r="B2630" s="22" t="s">
        <v>39</v>
      </c>
      <c r="C2630" s="22" t="s">
        <v>3553</v>
      </c>
      <c r="D2630" s="23">
        <v>2460849</v>
      </c>
      <c r="E2630" s="22" t="s">
        <v>42</v>
      </c>
      <c r="F2630" s="24">
        <v>44508</v>
      </c>
      <c r="G2630" s="22" t="s">
        <v>354</v>
      </c>
      <c r="H2630" s="22" t="s">
        <v>292</v>
      </c>
      <c r="I2630" s="22" t="s">
        <v>352</v>
      </c>
      <c r="J2630" s="22" t="s">
        <v>4401</v>
      </c>
      <c r="K2630" s="22" t="s">
        <v>292</v>
      </c>
      <c r="L2630" s="22"/>
      <c r="M2630" s="22"/>
      <c r="N2630" s="22"/>
    </row>
    <row r="2631" spans="1:14" x14ac:dyDescent="0.25">
      <c r="A2631" s="22" t="s">
        <v>7501</v>
      </c>
      <c r="B2631" s="22" t="s">
        <v>39</v>
      </c>
      <c r="C2631" s="22" t="s">
        <v>88</v>
      </c>
      <c r="D2631" s="23">
        <v>-362088</v>
      </c>
      <c r="E2631" s="22" t="s">
        <v>45</v>
      </c>
      <c r="F2631" s="24">
        <v>44482</v>
      </c>
      <c r="G2631" s="22" t="s">
        <v>7627</v>
      </c>
      <c r="H2631" s="22" t="s">
        <v>1411</v>
      </c>
      <c r="I2631" s="22" t="s">
        <v>7490</v>
      </c>
      <c r="J2631" s="22" t="s">
        <v>4552</v>
      </c>
      <c r="K2631" s="22" t="s">
        <v>61</v>
      </c>
      <c r="L2631" s="22"/>
      <c r="M2631" s="22"/>
      <c r="N2631" s="22"/>
    </row>
    <row r="2632" spans="1:14" x14ac:dyDescent="0.25">
      <c r="A2632" s="22" t="s">
        <v>315</v>
      </c>
      <c r="B2632" s="22" t="s">
        <v>39</v>
      </c>
      <c r="C2632" s="22" t="s">
        <v>7522</v>
      </c>
      <c r="D2632" s="23">
        <v>-204900</v>
      </c>
      <c r="E2632" s="22" t="s">
        <v>45</v>
      </c>
      <c r="F2632" s="24">
        <v>44477</v>
      </c>
      <c r="G2632" s="22" t="s">
        <v>7627</v>
      </c>
      <c r="H2632" s="22" t="s">
        <v>7628</v>
      </c>
      <c r="I2632" s="22" t="s">
        <v>314</v>
      </c>
      <c r="J2632" s="22" t="s">
        <v>4407</v>
      </c>
      <c r="K2632" s="22" t="s">
        <v>66</v>
      </c>
      <c r="L2632" s="22"/>
      <c r="M2632" s="22"/>
      <c r="N2632" s="22"/>
    </row>
    <row r="2633" spans="1:14" x14ac:dyDescent="0.25">
      <c r="A2633" s="22" t="s">
        <v>7629</v>
      </c>
      <c r="B2633" s="22" t="s">
        <v>39</v>
      </c>
      <c r="C2633" s="22" t="s">
        <v>7484</v>
      </c>
      <c r="D2633" s="23">
        <v>-32700</v>
      </c>
      <c r="E2633" s="22" t="s">
        <v>57</v>
      </c>
      <c r="F2633" s="24">
        <v>44349</v>
      </c>
      <c r="G2633" s="22" t="s">
        <v>7627</v>
      </c>
      <c r="H2633" s="22" t="s">
        <v>304</v>
      </c>
      <c r="I2633" s="22" t="s">
        <v>7630</v>
      </c>
      <c r="J2633" s="22" t="s">
        <v>4407</v>
      </c>
      <c r="K2633" s="22" t="s">
        <v>66</v>
      </c>
      <c r="L2633" s="22"/>
      <c r="M2633" s="22"/>
      <c r="N2633" s="22"/>
    </row>
    <row r="2634" spans="1:14" x14ac:dyDescent="0.25">
      <c r="A2634" s="22" t="s">
        <v>7631</v>
      </c>
      <c r="B2634" s="22" t="s">
        <v>39</v>
      </c>
      <c r="C2634" s="22" t="s">
        <v>7484</v>
      </c>
      <c r="D2634" s="23">
        <v>-32700</v>
      </c>
      <c r="E2634" s="22" t="s">
        <v>57</v>
      </c>
      <c r="F2634" s="24">
        <v>44350</v>
      </c>
      <c r="G2634" s="22" t="s">
        <v>7627</v>
      </c>
      <c r="H2634" s="22" t="s">
        <v>764</v>
      </c>
      <c r="I2634" s="22" t="s">
        <v>7632</v>
      </c>
      <c r="J2634" s="22" t="s">
        <v>4407</v>
      </c>
      <c r="K2634" s="22" t="s">
        <v>66</v>
      </c>
      <c r="L2634" s="22"/>
      <c r="M2634" s="22"/>
      <c r="N2634" s="22"/>
    </row>
    <row r="2635" spans="1:14" x14ac:dyDescent="0.25">
      <c r="A2635" s="22" t="s">
        <v>7633</v>
      </c>
      <c r="B2635" s="22" t="s">
        <v>39</v>
      </c>
      <c r="C2635" s="22" t="s">
        <v>7484</v>
      </c>
      <c r="D2635" s="23">
        <v>-22300</v>
      </c>
      <c r="E2635" s="22" t="s">
        <v>57</v>
      </c>
      <c r="F2635" s="24">
        <v>44351</v>
      </c>
      <c r="G2635" s="22" t="s">
        <v>7627</v>
      </c>
      <c r="H2635" s="22" t="s">
        <v>740</v>
      </c>
      <c r="I2635" s="22" t="s">
        <v>7634</v>
      </c>
      <c r="J2635" s="22" t="s">
        <v>4407</v>
      </c>
      <c r="K2635" s="22" t="s">
        <v>66</v>
      </c>
      <c r="L2635" s="22"/>
      <c r="M2635" s="22"/>
      <c r="N2635" s="22"/>
    </row>
    <row r="2636" spans="1:14" x14ac:dyDescent="0.25">
      <c r="A2636" s="22" t="s">
        <v>7635</v>
      </c>
      <c r="B2636" s="22" t="s">
        <v>39</v>
      </c>
      <c r="C2636" s="22" t="s">
        <v>7484</v>
      </c>
      <c r="D2636" s="23">
        <v>-32700</v>
      </c>
      <c r="E2636" s="22" t="s">
        <v>57</v>
      </c>
      <c r="F2636" s="24">
        <v>44355</v>
      </c>
      <c r="G2636" s="22" t="s">
        <v>7627</v>
      </c>
      <c r="H2636" s="22" t="s">
        <v>311</v>
      </c>
      <c r="I2636" s="22" t="s">
        <v>7636</v>
      </c>
      <c r="J2636" s="22" t="s">
        <v>4407</v>
      </c>
      <c r="K2636" s="22" t="s">
        <v>66</v>
      </c>
      <c r="L2636" s="22"/>
      <c r="M2636" s="22"/>
      <c r="N2636" s="22"/>
    </row>
    <row r="2637" spans="1:14" x14ac:dyDescent="0.25">
      <c r="A2637" s="22" t="s">
        <v>7637</v>
      </c>
      <c r="B2637" s="22" t="s">
        <v>39</v>
      </c>
      <c r="C2637" s="22" t="s">
        <v>7484</v>
      </c>
      <c r="D2637" s="23">
        <v>-35200</v>
      </c>
      <c r="E2637" s="22" t="s">
        <v>57</v>
      </c>
      <c r="F2637" s="24">
        <v>44356</v>
      </c>
      <c r="G2637" s="22" t="s">
        <v>7627</v>
      </c>
      <c r="H2637" s="22" t="s">
        <v>304</v>
      </c>
      <c r="I2637" s="22" t="s">
        <v>7638</v>
      </c>
      <c r="J2637" s="22" t="s">
        <v>4407</v>
      </c>
      <c r="K2637" s="22" t="s">
        <v>66</v>
      </c>
      <c r="L2637" s="22"/>
      <c r="M2637" s="22"/>
      <c r="N2637" s="22"/>
    </row>
    <row r="2638" spans="1:14" x14ac:dyDescent="0.25">
      <c r="A2638" s="22" t="s">
        <v>7639</v>
      </c>
      <c r="B2638" s="22" t="s">
        <v>39</v>
      </c>
      <c r="C2638" s="22" t="s">
        <v>7484</v>
      </c>
      <c r="D2638" s="23">
        <v>-32700</v>
      </c>
      <c r="E2638" s="22" t="s">
        <v>57</v>
      </c>
      <c r="F2638" s="24">
        <v>44356</v>
      </c>
      <c r="G2638" s="22" t="s">
        <v>7627</v>
      </c>
      <c r="H2638" s="22" t="s">
        <v>298</v>
      </c>
      <c r="I2638" s="22" t="s">
        <v>7640</v>
      </c>
      <c r="J2638" s="22" t="s">
        <v>4407</v>
      </c>
      <c r="K2638" s="22" t="s">
        <v>66</v>
      </c>
      <c r="L2638" s="22"/>
      <c r="M2638" s="22"/>
      <c r="N2638" s="22"/>
    </row>
    <row r="2639" spans="1:14" x14ac:dyDescent="0.25">
      <c r="A2639" s="22" t="s">
        <v>7641</v>
      </c>
      <c r="B2639" s="22" t="s">
        <v>39</v>
      </c>
      <c r="C2639" s="22" t="s">
        <v>7484</v>
      </c>
      <c r="D2639" s="23">
        <v>-10100</v>
      </c>
      <c r="E2639" s="22" t="s">
        <v>57</v>
      </c>
      <c r="F2639" s="24">
        <v>44358</v>
      </c>
      <c r="G2639" s="22" t="s">
        <v>7627</v>
      </c>
      <c r="H2639" s="22" t="s">
        <v>764</v>
      </c>
      <c r="I2639" s="22" t="s">
        <v>7642</v>
      </c>
      <c r="J2639" s="22" t="s">
        <v>4407</v>
      </c>
      <c r="K2639" s="22" t="s">
        <v>66</v>
      </c>
      <c r="L2639" s="22"/>
      <c r="M2639" s="22"/>
      <c r="N2639" s="22"/>
    </row>
    <row r="2640" spans="1:14" x14ac:dyDescent="0.25">
      <c r="A2640" s="22" t="s">
        <v>7643</v>
      </c>
      <c r="B2640" s="22" t="s">
        <v>39</v>
      </c>
      <c r="C2640" s="22" t="s">
        <v>7484</v>
      </c>
      <c r="D2640" s="23">
        <v>-445600</v>
      </c>
      <c r="E2640" s="22" t="s">
        <v>57</v>
      </c>
      <c r="F2640" s="24">
        <v>44358</v>
      </c>
      <c r="G2640" s="22" t="s">
        <v>7627</v>
      </c>
      <c r="H2640" s="22" t="s">
        <v>764</v>
      </c>
      <c r="I2640" s="22" t="s">
        <v>7644</v>
      </c>
      <c r="J2640" s="22" t="s">
        <v>4407</v>
      </c>
      <c r="K2640" s="22" t="s">
        <v>66</v>
      </c>
      <c r="L2640" s="22"/>
      <c r="M2640" s="22"/>
      <c r="N2640" s="22"/>
    </row>
    <row r="2641" spans="1:14" x14ac:dyDescent="0.25">
      <c r="A2641" s="22" t="s">
        <v>7645</v>
      </c>
      <c r="B2641" s="22" t="s">
        <v>39</v>
      </c>
      <c r="C2641" s="22" t="s">
        <v>7484</v>
      </c>
      <c r="D2641" s="23">
        <v>-47200</v>
      </c>
      <c r="E2641" s="22" t="s">
        <v>57</v>
      </c>
      <c r="F2641" s="24">
        <v>44359</v>
      </c>
      <c r="G2641" s="22" t="s">
        <v>7627</v>
      </c>
      <c r="H2641" s="22" t="s">
        <v>743</v>
      </c>
      <c r="I2641" s="22" t="s">
        <v>7646</v>
      </c>
      <c r="J2641" s="22" t="s">
        <v>4407</v>
      </c>
      <c r="K2641" s="22" t="s">
        <v>66</v>
      </c>
      <c r="L2641" s="22"/>
      <c r="M2641" s="22"/>
      <c r="N2641" s="22"/>
    </row>
    <row r="2642" spans="1:14" x14ac:dyDescent="0.25">
      <c r="A2642" s="22" t="s">
        <v>7647</v>
      </c>
      <c r="B2642" s="22" t="s">
        <v>39</v>
      </c>
      <c r="C2642" s="22" t="s">
        <v>7484</v>
      </c>
      <c r="D2642" s="23">
        <v>-71600</v>
      </c>
      <c r="E2642" s="22" t="s">
        <v>57</v>
      </c>
      <c r="F2642" s="24">
        <v>44363</v>
      </c>
      <c r="G2642" s="22" t="s">
        <v>7627</v>
      </c>
      <c r="H2642" s="22" t="s">
        <v>764</v>
      </c>
      <c r="I2642" s="22" t="s">
        <v>7648</v>
      </c>
      <c r="J2642" s="22" t="s">
        <v>4407</v>
      </c>
      <c r="K2642" s="22" t="s">
        <v>66</v>
      </c>
      <c r="L2642" s="22"/>
      <c r="M2642" s="22"/>
      <c r="N2642" s="22"/>
    </row>
    <row r="2643" spans="1:14" x14ac:dyDescent="0.25">
      <c r="A2643" s="22" t="s">
        <v>7649</v>
      </c>
      <c r="B2643" s="22" t="s">
        <v>39</v>
      </c>
      <c r="C2643" s="22" t="s">
        <v>7484</v>
      </c>
      <c r="D2643" s="23">
        <v>-22300</v>
      </c>
      <c r="E2643" s="22" t="s">
        <v>57</v>
      </c>
      <c r="F2643" s="24">
        <v>44364</v>
      </c>
      <c r="G2643" s="22" t="s">
        <v>7627</v>
      </c>
      <c r="H2643" s="22" t="s">
        <v>637</v>
      </c>
      <c r="I2643" s="22" t="s">
        <v>7650</v>
      </c>
      <c r="J2643" s="22" t="s">
        <v>4407</v>
      </c>
      <c r="K2643" s="22" t="s">
        <v>66</v>
      </c>
      <c r="L2643" s="22"/>
      <c r="M2643" s="22"/>
      <c r="N2643" s="22"/>
    </row>
    <row r="2644" spans="1:14" x14ac:dyDescent="0.25">
      <c r="A2644" s="22" t="s">
        <v>7651</v>
      </c>
      <c r="B2644" s="22" t="s">
        <v>39</v>
      </c>
      <c r="C2644" s="22" t="s">
        <v>7484</v>
      </c>
      <c r="D2644" s="23">
        <v>-29400</v>
      </c>
      <c r="E2644" s="22" t="s">
        <v>57</v>
      </c>
      <c r="F2644" s="24">
        <v>44364</v>
      </c>
      <c r="G2644" s="22" t="s">
        <v>7627</v>
      </c>
      <c r="H2644" s="22" t="s">
        <v>7652</v>
      </c>
      <c r="I2644" s="22" t="s">
        <v>7653</v>
      </c>
      <c r="J2644" s="22" t="s">
        <v>4407</v>
      </c>
      <c r="K2644" s="22" t="s">
        <v>66</v>
      </c>
      <c r="L2644" s="22"/>
      <c r="M2644" s="22"/>
      <c r="N2644" s="22"/>
    </row>
    <row r="2645" spans="1:14" x14ac:dyDescent="0.25">
      <c r="A2645" s="22" t="s">
        <v>7654</v>
      </c>
      <c r="B2645" s="22" t="s">
        <v>39</v>
      </c>
      <c r="C2645" s="22" t="s">
        <v>7484</v>
      </c>
      <c r="D2645" s="23">
        <v>-23700</v>
      </c>
      <c r="E2645" s="22" t="s">
        <v>57</v>
      </c>
      <c r="F2645" s="24">
        <v>44364</v>
      </c>
      <c r="G2645" s="22" t="s">
        <v>7627</v>
      </c>
      <c r="H2645" s="22" t="s">
        <v>637</v>
      </c>
      <c r="I2645" s="22" t="s">
        <v>7655</v>
      </c>
      <c r="J2645" s="22" t="s">
        <v>4407</v>
      </c>
      <c r="K2645" s="22" t="s">
        <v>66</v>
      </c>
      <c r="L2645" s="22"/>
      <c r="M2645" s="22"/>
      <c r="N2645" s="22"/>
    </row>
    <row r="2646" spans="1:14" x14ac:dyDescent="0.25">
      <c r="A2646" s="22" t="s">
        <v>7656</v>
      </c>
      <c r="B2646" s="22" t="s">
        <v>39</v>
      </c>
      <c r="C2646" s="22" t="s">
        <v>7484</v>
      </c>
      <c r="D2646" s="23">
        <v>-23700</v>
      </c>
      <c r="E2646" s="22" t="s">
        <v>57</v>
      </c>
      <c r="F2646" s="24">
        <v>44364</v>
      </c>
      <c r="G2646" s="22" t="s">
        <v>7627</v>
      </c>
      <c r="H2646" s="22" t="s">
        <v>740</v>
      </c>
      <c r="I2646" s="22" t="s">
        <v>7657</v>
      </c>
      <c r="J2646" s="22" t="s">
        <v>4407</v>
      </c>
      <c r="K2646" s="22" t="s">
        <v>66</v>
      </c>
      <c r="L2646" s="22"/>
      <c r="M2646" s="22"/>
      <c r="N2646" s="22"/>
    </row>
    <row r="2647" spans="1:14" x14ac:dyDescent="0.25">
      <c r="A2647" s="22" t="s">
        <v>7658</v>
      </c>
      <c r="B2647" s="22" t="s">
        <v>39</v>
      </c>
      <c r="C2647" s="22" t="s">
        <v>7484</v>
      </c>
      <c r="D2647" s="23">
        <v>-279300</v>
      </c>
      <c r="E2647" s="22" t="s">
        <v>57</v>
      </c>
      <c r="F2647" s="24">
        <v>44365</v>
      </c>
      <c r="G2647" s="22" t="s">
        <v>7627</v>
      </c>
      <c r="H2647" s="22" t="s">
        <v>608</v>
      </c>
      <c r="I2647" s="22" t="s">
        <v>7659</v>
      </c>
      <c r="J2647" s="22" t="s">
        <v>4407</v>
      </c>
      <c r="K2647" s="22" t="s">
        <v>66</v>
      </c>
      <c r="L2647" s="22"/>
      <c r="M2647" s="22"/>
      <c r="N2647" s="22"/>
    </row>
    <row r="2648" spans="1:14" x14ac:dyDescent="0.25">
      <c r="A2648" s="22" t="s">
        <v>293</v>
      </c>
      <c r="B2648" s="22" t="s">
        <v>39</v>
      </c>
      <c r="C2648" s="22" t="s">
        <v>7484</v>
      </c>
      <c r="D2648" s="23">
        <v>-15711</v>
      </c>
      <c r="E2648" s="22" t="s">
        <v>45</v>
      </c>
      <c r="F2648" s="24">
        <v>44364</v>
      </c>
      <c r="G2648" s="22" t="s">
        <v>7627</v>
      </c>
      <c r="H2648" s="22" t="s">
        <v>7660</v>
      </c>
      <c r="I2648" s="22" t="s">
        <v>291</v>
      </c>
      <c r="J2648" s="22" t="s">
        <v>4407</v>
      </c>
      <c r="K2648" s="22" t="s">
        <v>66</v>
      </c>
      <c r="L2648" s="22"/>
      <c r="M2648" s="22"/>
      <c r="N2648" s="22"/>
    </row>
    <row r="2649" spans="1:14" x14ac:dyDescent="0.25">
      <c r="A2649" s="22" t="s">
        <v>7662</v>
      </c>
      <c r="B2649" s="22" t="s">
        <v>39</v>
      </c>
      <c r="C2649" s="22" t="s">
        <v>7661</v>
      </c>
      <c r="D2649" s="23">
        <v>-2368244</v>
      </c>
      <c r="E2649" s="22" t="s">
        <v>57</v>
      </c>
      <c r="F2649" s="24">
        <v>44384</v>
      </c>
      <c r="G2649" s="22" t="s">
        <v>7627</v>
      </c>
      <c r="H2649" s="22" t="s">
        <v>764</v>
      </c>
      <c r="I2649" s="22" t="s">
        <v>7663</v>
      </c>
      <c r="J2649" s="22" t="s">
        <v>4407</v>
      </c>
      <c r="K2649" s="22" t="s">
        <v>66</v>
      </c>
      <c r="L2649" s="22"/>
      <c r="M2649" s="22"/>
      <c r="N2649" s="22"/>
    </row>
    <row r="2650" spans="1:14" x14ac:dyDescent="0.25">
      <c r="A2650" s="22" t="s">
        <v>7664</v>
      </c>
      <c r="B2650" s="22" t="s">
        <v>39</v>
      </c>
      <c r="C2650" s="22" t="s">
        <v>7661</v>
      </c>
      <c r="D2650" s="23">
        <v>-1463338</v>
      </c>
      <c r="E2650" s="22" t="s">
        <v>57</v>
      </c>
      <c r="F2650" s="24">
        <v>44394</v>
      </c>
      <c r="G2650" s="22" t="s">
        <v>7627</v>
      </c>
      <c r="H2650" s="22" t="s">
        <v>7665</v>
      </c>
      <c r="I2650" s="22" t="s">
        <v>7666</v>
      </c>
      <c r="J2650" s="22" t="s">
        <v>4407</v>
      </c>
      <c r="K2650" s="22" t="s">
        <v>66</v>
      </c>
      <c r="L2650" s="22"/>
      <c r="M2650" s="22"/>
      <c r="N2650" s="22"/>
    </row>
    <row r="2651" spans="1:14" x14ac:dyDescent="0.25">
      <c r="A2651" s="22" t="s">
        <v>355</v>
      </c>
      <c r="B2651" s="22" t="s">
        <v>39</v>
      </c>
      <c r="C2651" s="22" t="s">
        <v>7485</v>
      </c>
      <c r="D2651" s="23">
        <v>-1172149</v>
      </c>
      <c r="E2651" s="22" t="s">
        <v>45</v>
      </c>
      <c r="F2651" s="24">
        <v>44375</v>
      </c>
      <c r="G2651" s="22" t="s">
        <v>7627</v>
      </c>
      <c r="H2651" s="22" t="s">
        <v>7667</v>
      </c>
      <c r="I2651" s="22" t="s">
        <v>354</v>
      </c>
      <c r="J2651" s="22" t="s">
        <v>4407</v>
      </c>
      <c r="K2651" s="22" t="s">
        <v>66</v>
      </c>
      <c r="L2651" s="22"/>
      <c r="M2651" s="22"/>
      <c r="N2651" s="22"/>
    </row>
    <row r="2652" spans="1:14" x14ac:dyDescent="0.25">
      <c r="A2652" s="22" t="s">
        <v>2377</v>
      </c>
      <c r="B2652" s="22" t="s">
        <v>39</v>
      </c>
      <c r="C2652" s="22" t="s">
        <v>7488</v>
      </c>
      <c r="D2652" s="23">
        <v>362088</v>
      </c>
      <c r="E2652" s="22" t="s">
        <v>45</v>
      </c>
      <c r="F2652" s="24">
        <v>44508</v>
      </c>
      <c r="G2652" s="22" t="s">
        <v>7627</v>
      </c>
      <c r="H2652" s="22"/>
      <c r="I2652" s="22" t="s">
        <v>7627</v>
      </c>
      <c r="J2652" s="22" t="s">
        <v>4552</v>
      </c>
      <c r="K2652" s="22" t="s">
        <v>292</v>
      </c>
      <c r="L2652" s="22"/>
      <c r="M2652" s="22"/>
      <c r="N2652" s="22"/>
    </row>
    <row r="2653" spans="1:14" x14ac:dyDescent="0.25">
      <c r="A2653" s="22" t="s">
        <v>2377</v>
      </c>
      <c r="B2653" s="22" t="s">
        <v>39</v>
      </c>
      <c r="C2653" s="22" t="s">
        <v>7488</v>
      </c>
      <c r="D2653" s="23">
        <v>-6769184</v>
      </c>
      <c r="E2653" s="22" t="s">
        <v>45</v>
      </c>
      <c r="F2653" s="24">
        <v>44508</v>
      </c>
      <c r="G2653" s="22" t="s">
        <v>7627</v>
      </c>
      <c r="H2653" s="22"/>
      <c r="I2653" s="22" t="s">
        <v>7627</v>
      </c>
      <c r="J2653" s="22" t="s">
        <v>4401</v>
      </c>
      <c r="K2653" s="22" t="s">
        <v>292</v>
      </c>
      <c r="L2653" s="22"/>
      <c r="M2653" s="22"/>
      <c r="N2653" s="22"/>
    </row>
    <row r="2654" spans="1:14" x14ac:dyDescent="0.25">
      <c r="A2654" s="22" t="s">
        <v>2377</v>
      </c>
      <c r="B2654" s="22" t="s">
        <v>39</v>
      </c>
      <c r="C2654" s="22" t="s">
        <v>7488</v>
      </c>
      <c r="D2654" s="23">
        <v>6365542</v>
      </c>
      <c r="E2654" s="22" t="s">
        <v>45</v>
      </c>
      <c r="F2654" s="24">
        <v>44508</v>
      </c>
      <c r="G2654" s="22" t="s">
        <v>7627</v>
      </c>
      <c r="H2654" s="22"/>
      <c r="I2654" s="22" t="s">
        <v>7627</v>
      </c>
      <c r="J2654" s="22" t="s">
        <v>4407</v>
      </c>
      <c r="K2654" s="22" t="s">
        <v>292</v>
      </c>
      <c r="L2654" s="22"/>
      <c r="M2654" s="22"/>
      <c r="N2654" s="22"/>
    </row>
    <row r="2655" spans="1:14" x14ac:dyDescent="0.25">
      <c r="A2655" s="22" t="s">
        <v>2377</v>
      </c>
      <c r="B2655" s="22" t="s">
        <v>39</v>
      </c>
      <c r="C2655" s="22" t="s">
        <v>3504</v>
      </c>
      <c r="D2655" s="23">
        <v>6769184</v>
      </c>
      <c r="E2655" s="22" t="s">
        <v>45</v>
      </c>
      <c r="F2655" s="24">
        <v>44508</v>
      </c>
      <c r="G2655" s="22" t="s">
        <v>7627</v>
      </c>
      <c r="H2655" s="22" t="s">
        <v>6029</v>
      </c>
      <c r="I2655" s="22" t="s">
        <v>2376</v>
      </c>
      <c r="J2655" s="22" t="s">
        <v>4401</v>
      </c>
      <c r="K2655" s="22" t="s">
        <v>292</v>
      </c>
      <c r="L2655" s="22"/>
      <c r="M2655" s="22"/>
      <c r="N2655" s="22"/>
    </row>
    <row r="2656" spans="1:14" x14ac:dyDescent="0.25">
      <c r="A2656" s="22" t="s">
        <v>344</v>
      </c>
      <c r="B2656" s="22" t="s">
        <v>39</v>
      </c>
      <c r="C2656" s="22" t="s">
        <v>88</v>
      </c>
      <c r="D2656" s="23">
        <v>-299016</v>
      </c>
      <c r="E2656" s="22" t="s">
        <v>45</v>
      </c>
      <c r="F2656" s="24">
        <v>44491</v>
      </c>
      <c r="G2656" s="22" t="s">
        <v>7668</v>
      </c>
      <c r="H2656" s="22" t="s">
        <v>7669</v>
      </c>
      <c r="I2656" s="22" t="s">
        <v>7670</v>
      </c>
      <c r="J2656" s="22" t="s">
        <v>4552</v>
      </c>
      <c r="K2656" s="22" t="s">
        <v>61</v>
      </c>
      <c r="L2656" s="22"/>
      <c r="M2656" s="22"/>
      <c r="N2656" s="22"/>
    </row>
    <row r="2657" spans="1:14" x14ac:dyDescent="0.25">
      <c r="A2657" s="22" t="s">
        <v>344</v>
      </c>
      <c r="B2657" s="22" t="s">
        <v>39</v>
      </c>
      <c r="C2657" s="22" t="s">
        <v>88</v>
      </c>
      <c r="D2657" s="23">
        <v>299016</v>
      </c>
      <c r="E2657" s="22" t="s">
        <v>45</v>
      </c>
      <c r="F2657" s="24">
        <v>44491</v>
      </c>
      <c r="G2657" s="22" t="s">
        <v>7668</v>
      </c>
      <c r="H2657" s="22" t="s">
        <v>7669</v>
      </c>
      <c r="I2657" s="22" t="s">
        <v>7668</v>
      </c>
      <c r="J2657" s="22" t="s">
        <v>4552</v>
      </c>
      <c r="K2657" s="22" t="s">
        <v>61</v>
      </c>
      <c r="L2657" s="22"/>
      <c r="M2657" s="22"/>
      <c r="N2657" s="22"/>
    </row>
    <row r="2658" spans="1:14" x14ac:dyDescent="0.25">
      <c r="A2658" s="22" t="s">
        <v>344</v>
      </c>
      <c r="B2658" s="22" t="s">
        <v>39</v>
      </c>
      <c r="C2658" s="22" t="s">
        <v>7671</v>
      </c>
      <c r="D2658" s="23">
        <v>340570</v>
      </c>
      <c r="E2658" s="22" t="s">
        <v>45</v>
      </c>
      <c r="F2658" s="24">
        <v>44491</v>
      </c>
      <c r="G2658" s="22" t="s">
        <v>7668</v>
      </c>
      <c r="H2658" s="22"/>
      <c r="I2658" s="22" t="s">
        <v>7670</v>
      </c>
      <c r="J2658" s="22" t="s">
        <v>4552</v>
      </c>
      <c r="K2658" s="22" t="s">
        <v>61</v>
      </c>
      <c r="L2658" s="22"/>
      <c r="M2658" s="22"/>
      <c r="N2658" s="22"/>
    </row>
    <row r="2659" spans="1:14" x14ac:dyDescent="0.25">
      <c r="A2659" s="22" t="s">
        <v>344</v>
      </c>
      <c r="B2659" s="22" t="s">
        <v>39</v>
      </c>
      <c r="C2659" s="22" t="s">
        <v>7671</v>
      </c>
      <c r="D2659" s="23">
        <v>-41554</v>
      </c>
      <c r="E2659" s="22" t="s">
        <v>45</v>
      </c>
      <c r="F2659" s="24">
        <v>44491</v>
      </c>
      <c r="G2659" s="22" t="s">
        <v>7668</v>
      </c>
      <c r="H2659" s="22"/>
      <c r="I2659" s="22" t="s">
        <v>7670</v>
      </c>
      <c r="J2659" s="22" t="s">
        <v>4401</v>
      </c>
      <c r="K2659" s="22" t="s">
        <v>61</v>
      </c>
      <c r="L2659" s="22"/>
      <c r="M2659" s="22"/>
      <c r="N2659" s="22"/>
    </row>
    <row r="2660" spans="1:14" x14ac:dyDescent="0.25">
      <c r="A2660" s="22" t="s">
        <v>344</v>
      </c>
      <c r="B2660" s="22" t="s">
        <v>39</v>
      </c>
      <c r="C2660" s="22" t="s">
        <v>7671</v>
      </c>
      <c r="D2660" s="23">
        <v>-340570</v>
      </c>
      <c r="E2660" s="22" t="s">
        <v>45</v>
      </c>
      <c r="F2660" s="24">
        <v>44491</v>
      </c>
      <c r="G2660" s="22" t="s">
        <v>7668</v>
      </c>
      <c r="H2660" s="22"/>
      <c r="I2660" s="22" t="s">
        <v>7668</v>
      </c>
      <c r="J2660" s="22" t="s">
        <v>4552</v>
      </c>
      <c r="K2660" s="22" t="s">
        <v>61</v>
      </c>
      <c r="L2660" s="22"/>
      <c r="M2660" s="22"/>
      <c r="N2660" s="22"/>
    </row>
    <row r="2661" spans="1:14" x14ac:dyDescent="0.25">
      <c r="A2661" s="22" t="s">
        <v>344</v>
      </c>
      <c r="B2661" s="22" t="s">
        <v>39</v>
      </c>
      <c r="C2661" s="22" t="s">
        <v>7671</v>
      </c>
      <c r="D2661" s="23">
        <v>41554</v>
      </c>
      <c r="E2661" s="22" t="s">
        <v>45</v>
      </c>
      <c r="F2661" s="24">
        <v>44491</v>
      </c>
      <c r="G2661" s="22" t="s">
        <v>7668</v>
      </c>
      <c r="H2661" s="22"/>
      <c r="I2661" s="22" t="s">
        <v>7668</v>
      </c>
      <c r="J2661" s="22" t="s">
        <v>4401</v>
      </c>
      <c r="K2661" s="22" t="s">
        <v>61</v>
      </c>
      <c r="L2661" s="22"/>
      <c r="M2661" s="22"/>
      <c r="N2661" s="22"/>
    </row>
    <row r="2662" spans="1:14" x14ac:dyDescent="0.25">
      <c r="A2662" s="22" t="s">
        <v>344</v>
      </c>
      <c r="B2662" s="22" t="s">
        <v>39</v>
      </c>
      <c r="C2662" s="22" t="s">
        <v>88</v>
      </c>
      <c r="D2662" s="23">
        <v>-340570</v>
      </c>
      <c r="E2662" s="22" t="s">
        <v>57</v>
      </c>
      <c r="F2662" s="24">
        <v>44491</v>
      </c>
      <c r="G2662" s="22" t="s">
        <v>342</v>
      </c>
      <c r="H2662" s="22" t="s">
        <v>345</v>
      </c>
      <c r="I2662" s="22" t="s">
        <v>343</v>
      </c>
      <c r="J2662" s="22" t="s">
        <v>4552</v>
      </c>
      <c r="K2662" s="22" t="s">
        <v>61</v>
      </c>
      <c r="L2662" s="22"/>
      <c r="M2662" s="22"/>
      <c r="N2662" s="22"/>
    </row>
    <row r="2663" spans="1:14" x14ac:dyDescent="0.25">
      <c r="A2663" s="22" t="s">
        <v>341</v>
      </c>
      <c r="B2663" s="22" t="s">
        <v>39</v>
      </c>
      <c r="C2663" s="22" t="s">
        <v>7488</v>
      </c>
      <c r="D2663" s="23">
        <v>340570</v>
      </c>
      <c r="E2663" s="22" t="s">
        <v>45</v>
      </c>
      <c r="F2663" s="24">
        <v>44537</v>
      </c>
      <c r="G2663" s="22" t="s">
        <v>342</v>
      </c>
      <c r="H2663" s="22"/>
      <c r="I2663" s="22" t="s">
        <v>342</v>
      </c>
      <c r="J2663" s="22" t="s">
        <v>4552</v>
      </c>
      <c r="K2663" s="22" t="s">
        <v>292</v>
      </c>
      <c r="L2663" s="22"/>
      <c r="M2663" s="22"/>
      <c r="N2663" s="22"/>
    </row>
    <row r="2664" spans="1:14" x14ac:dyDescent="0.25">
      <c r="A2664" s="22" t="s">
        <v>341</v>
      </c>
      <c r="B2664" s="22" t="s">
        <v>39</v>
      </c>
      <c r="C2664" s="22" t="s">
        <v>7488</v>
      </c>
      <c r="D2664" s="23">
        <v>-1974983</v>
      </c>
      <c r="E2664" s="22" t="s">
        <v>45</v>
      </c>
      <c r="F2664" s="24">
        <v>44537</v>
      </c>
      <c r="G2664" s="22" t="s">
        <v>342</v>
      </c>
      <c r="H2664" s="22"/>
      <c r="I2664" s="22" t="s">
        <v>342</v>
      </c>
      <c r="J2664" s="22" t="s">
        <v>4401</v>
      </c>
      <c r="K2664" s="22" t="s">
        <v>292</v>
      </c>
      <c r="L2664" s="22"/>
      <c r="M2664" s="22"/>
      <c r="N2664" s="22"/>
    </row>
    <row r="2665" spans="1:14" x14ac:dyDescent="0.25">
      <c r="A2665" s="22" t="s">
        <v>341</v>
      </c>
      <c r="B2665" s="22" t="s">
        <v>39</v>
      </c>
      <c r="C2665" s="22" t="s">
        <v>3573</v>
      </c>
      <c r="D2665" s="23">
        <v>1974983</v>
      </c>
      <c r="E2665" s="22" t="s">
        <v>42</v>
      </c>
      <c r="F2665" s="24">
        <v>44537</v>
      </c>
      <c r="G2665" s="22" t="s">
        <v>342</v>
      </c>
      <c r="H2665" s="22" t="s">
        <v>227</v>
      </c>
      <c r="I2665" s="22" t="s">
        <v>340</v>
      </c>
      <c r="J2665" s="22" t="s">
        <v>4401</v>
      </c>
      <c r="K2665" s="22" t="s">
        <v>292</v>
      </c>
      <c r="L2665" s="22"/>
      <c r="M2665" s="22"/>
      <c r="N2665" s="22"/>
    </row>
    <row r="2666" spans="1:14" x14ac:dyDescent="0.25">
      <c r="A2666" s="22" t="s">
        <v>349</v>
      </c>
      <c r="B2666" s="22" t="s">
        <v>39</v>
      </c>
      <c r="C2666" s="22" t="s">
        <v>7575</v>
      </c>
      <c r="D2666" s="23">
        <v>-113700</v>
      </c>
      <c r="E2666" s="22" t="s">
        <v>57</v>
      </c>
      <c r="F2666" s="24">
        <v>44479</v>
      </c>
      <c r="G2666" s="22" t="s">
        <v>350</v>
      </c>
      <c r="H2666" s="22" t="s">
        <v>7672</v>
      </c>
      <c r="I2666" s="22" t="s">
        <v>7673</v>
      </c>
      <c r="J2666" s="22" t="s">
        <v>4407</v>
      </c>
      <c r="K2666" s="22" t="s">
        <v>66</v>
      </c>
      <c r="L2666" s="22"/>
      <c r="M2666" s="22"/>
      <c r="N2666" s="22"/>
    </row>
    <row r="2667" spans="1:14" x14ac:dyDescent="0.25">
      <c r="A2667" s="22" t="s">
        <v>349</v>
      </c>
      <c r="B2667" s="22" t="s">
        <v>39</v>
      </c>
      <c r="C2667" s="22" t="s">
        <v>7674</v>
      </c>
      <c r="D2667" s="23">
        <v>-41554</v>
      </c>
      <c r="E2667" s="22" t="s">
        <v>45</v>
      </c>
      <c r="F2667" s="24">
        <v>44479</v>
      </c>
      <c r="G2667" s="22" t="s">
        <v>350</v>
      </c>
      <c r="H2667" s="22"/>
      <c r="I2667" s="22" t="s">
        <v>350</v>
      </c>
      <c r="J2667" s="22" t="s">
        <v>4401</v>
      </c>
      <c r="K2667" s="22" t="s">
        <v>66</v>
      </c>
      <c r="L2667" s="22"/>
      <c r="M2667" s="22"/>
      <c r="N2667" s="22"/>
    </row>
    <row r="2668" spans="1:14" x14ac:dyDescent="0.25">
      <c r="A2668" s="22" t="s">
        <v>349</v>
      </c>
      <c r="B2668" s="22" t="s">
        <v>39</v>
      </c>
      <c r="C2668" s="22" t="s">
        <v>7674</v>
      </c>
      <c r="D2668" s="23">
        <v>113700</v>
      </c>
      <c r="E2668" s="22" t="s">
        <v>45</v>
      </c>
      <c r="F2668" s="24">
        <v>44479</v>
      </c>
      <c r="G2668" s="22" t="s">
        <v>350</v>
      </c>
      <c r="H2668" s="22"/>
      <c r="I2668" s="22" t="s">
        <v>350</v>
      </c>
      <c r="J2668" s="22" t="s">
        <v>4407</v>
      </c>
      <c r="K2668" s="22" t="s">
        <v>66</v>
      </c>
      <c r="L2668" s="22"/>
      <c r="M2668" s="22"/>
      <c r="N2668" s="22"/>
    </row>
    <row r="2669" spans="1:14" x14ac:dyDescent="0.25">
      <c r="A2669" s="22" t="s">
        <v>2377</v>
      </c>
      <c r="B2669" s="22" t="s">
        <v>39</v>
      </c>
      <c r="C2669" s="22" t="s">
        <v>3504</v>
      </c>
      <c r="D2669" s="23">
        <v>41554</v>
      </c>
      <c r="E2669" s="22" t="s">
        <v>45</v>
      </c>
      <c r="F2669" s="24">
        <v>44508</v>
      </c>
      <c r="G2669" s="22" t="s">
        <v>350</v>
      </c>
      <c r="H2669" s="22" t="s">
        <v>7675</v>
      </c>
      <c r="I2669" s="22" t="s">
        <v>7627</v>
      </c>
      <c r="J2669" s="22" t="s">
        <v>4401</v>
      </c>
      <c r="K2669" s="22" t="s">
        <v>292</v>
      </c>
      <c r="L2669" s="22"/>
      <c r="M2669" s="22"/>
      <c r="N2669" s="22"/>
    </row>
    <row r="2670" spans="1:14" x14ac:dyDescent="0.25">
      <c r="A2670" s="22" t="s">
        <v>349</v>
      </c>
      <c r="B2670" s="22" t="s">
        <v>39</v>
      </c>
      <c r="C2670" s="22" t="s">
        <v>7575</v>
      </c>
      <c r="D2670" s="23">
        <v>-72146</v>
      </c>
      <c r="E2670" s="22" t="s">
        <v>45</v>
      </c>
      <c r="F2670" s="24">
        <v>44479</v>
      </c>
      <c r="G2670" s="22" t="s">
        <v>348</v>
      </c>
      <c r="H2670" s="22" t="s">
        <v>351</v>
      </c>
      <c r="I2670" s="22" t="s">
        <v>350</v>
      </c>
      <c r="J2670" s="22" t="s">
        <v>4407</v>
      </c>
      <c r="K2670" s="22" t="s">
        <v>66</v>
      </c>
      <c r="L2670" s="22"/>
      <c r="M2670" s="22"/>
      <c r="N2670" s="22"/>
    </row>
    <row r="2671" spans="1:14" x14ac:dyDescent="0.25">
      <c r="A2671" s="22" t="s">
        <v>349</v>
      </c>
      <c r="B2671" s="22" t="s">
        <v>39</v>
      </c>
      <c r="C2671" s="22" t="s">
        <v>7676</v>
      </c>
      <c r="D2671" s="23">
        <v>-56289</v>
      </c>
      <c r="E2671" s="22" t="s">
        <v>45</v>
      </c>
      <c r="F2671" s="24">
        <v>44479</v>
      </c>
      <c r="G2671" s="22" t="s">
        <v>348</v>
      </c>
      <c r="H2671" s="22"/>
      <c r="I2671" s="22" t="s">
        <v>348</v>
      </c>
      <c r="J2671" s="22" t="s">
        <v>4401</v>
      </c>
      <c r="K2671" s="22" t="s">
        <v>66</v>
      </c>
      <c r="L2671" s="22"/>
      <c r="M2671" s="22"/>
      <c r="N2671" s="22"/>
    </row>
    <row r="2672" spans="1:14" x14ac:dyDescent="0.25">
      <c r="A2672" s="22" t="s">
        <v>349</v>
      </c>
      <c r="B2672" s="22" t="s">
        <v>39</v>
      </c>
      <c r="C2672" s="22" t="s">
        <v>7676</v>
      </c>
      <c r="D2672" s="23">
        <v>72146</v>
      </c>
      <c r="E2672" s="22" t="s">
        <v>45</v>
      </c>
      <c r="F2672" s="24">
        <v>44479</v>
      </c>
      <c r="G2672" s="22" t="s">
        <v>348</v>
      </c>
      <c r="H2672" s="22"/>
      <c r="I2672" s="22" t="s">
        <v>348</v>
      </c>
      <c r="J2672" s="22" t="s">
        <v>4407</v>
      </c>
      <c r="K2672" s="22" t="s">
        <v>66</v>
      </c>
      <c r="L2672" s="22"/>
      <c r="M2672" s="22"/>
      <c r="N2672" s="22"/>
    </row>
    <row r="2673" spans="1:14" x14ac:dyDescent="0.25">
      <c r="A2673" s="22" t="s">
        <v>347</v>
      </c>
      <c r="B2673" s="22" t="s">
        <v>39</v>
      </c>
      <c r="C2673" s="22" t="s">
        <v>3767</v>
      </c>
      <c r="D2673" s="23">
        <v>56289</v>
      </c>
      <c r="E2673" s="22" t="s">
        <v>42</v>
      </c>
      <c r="F2673" s="24">
        <v>44537</v>
      </c>
      <c r="G2673" s="22" t="s">
        <v>348</v>
      </c>
      <c r="H2673" s="22" t="s">
        <v>227</v>
      </c>
      <c r="I2673" s="22" t="s">
        <v>346</v>
      </c>
      <c r="J2673" s="22" t="s">
        <v>4401</v>
      </c>
      <c r="K2673" s="22" t="s">
        <v>292</v>
      </c>
      <c r="L2673" s="22"/>
      <c r="M2673" s="22"/>
      <c r="N2673" s="22"/>
    </row>
    <row r="2674" spans="1:14" x14ac:dyDescent="0.25">
      <c r="A2674" s="22" t="s">
        <v>338</v>
      </c>
      <c r="B2674" s="22" t="s">
        <v>39</v>
      </c>
      <c r="C2674" s="22" t="s">
        <v>7677</v>
      </c>
      <c r="D2674" s="23">
        <v>-32700</v>
      </c>
      <c r="E2674" s="22" t="s">
        <v>57</v>
      </c>
      <c r="F2674" s="24">
        <v>44547</v>
      </c>
      <c r="G2674" s="22" t="s">
        <v>334</v>
      </c>
      <c r="H2674" s="22" t="s">
        <v>339</v>
      </c>
      <c r="I2674" s="22" t="s">
        <v>337</v>
      </c>
      <c r="J2674" s="22" t="s">
        <v>4407</v>
      </c>
      <c r="K2674" s="22" t="s">
        <v>66</v>
      </c>
      <c r="L2674" s="22"/>
      <c r="M2674" s="22"/>
      <c r="N2674" s="22"/>
    </row>
    <row r="2675" spans="1:14" x14ac:dyDescent="0.25">
      <c r="A2675" s="22" t="s">
        <v>335</v>
      </c>
      <c r="B2675" s="22" t="s">
        <v>39</v>
      </c>
      <c r="C2675" s="22" t="s">
        <v>3760</v>
      </c>
      <c r="D2675" s="23">
        <v>32700</v>
      </c>
      <c r="E2675" s="22" t="s">
        <v>42</v>
      </c>
      <c r="F2675" s="24">
        <v>44508</v>
      </c>
      <c r="G2675" s="22" t="s">
        <v>334</v>
      </c>
      <c r="H2675" s="22" t="s">
        <v>292</v>
      </c>
      <c r="I2675" s="22" t="s">
        <v>336</v>
      </c>
      <c r="J2675" s="22" t="s">
        <v>4401</v>
      </c>
      <c r="K2675" s="22" t="s">
        <v>292</v>
      </c>
      <c r="L2675" s="22"/>
      <c r="M2675" s="22"/>
      <c r="N2675" s="22"/>
    </row>
    <row r="2676" spans="1:14" x14ac:dyDescent="0.25">
      <c r="A2676" s="22" t="s">
        <v>335</v>
      </c>
      <c r="B2676" s="22" t="s">
        <v>39</v>
      </c>
      <c r="C2676" s="22" t="s">
        <v>3760</v>
      </c>
      <c r="D2676" s="23">
        <v>-32700</v>
      </c>
      <c r="E2676" s="22" t="s">
        <v>45</v>
      </c>
      <c r="F2676" s="24">
        <v>44508</v>
      </c>
      <c r="G2676" s="22" t="s">
        <v>334</v>
      </c>
      <c r="H2676" s="22" t="s">
        <v>230</v>
      </c>
      <c r="I2676" s="22" t="s">
        <v>334</v>
      </c>
      <c r="J2676" s="22" t="s">
        <v>4401</v>
      </c>
      <c r="K2676" s="22" t="s">
        <v>292</v>
      </c>
      <c r="L2676" s="22"/>
      <c r="M2676" s="22"/>
      <c r="N2676" s="22"/>
    </row>
    <row r="2677" spans="1:14" x14ac:dyDescent="0.25">
      <c r="A2677" s="22" t="s">
        <v>335</v>
      </c>
      <c r="B2677" s="22" t="s">
        <v>39</v>
      </c>
      <c r="C2677" s="22" t="s">
        <v>3760</v>
      </c>
      <c r="D2677" s="23">
        <v>32700</v>
      </c>
      <c r="E2677" s="22" t="s">
        <v>45</v>
      </c>
      <c r="F2677" s="24">
        <v>44508</v>
      </c>
      <c r="G2677" s="22" t="s">
        <v>334</v>
      </c>
      <c r="H2677" s="22" t="s">
        <v>230</v>
      </c>
      <c r="I2677" s="22" t="s">
        <v>334</v>
      </c>
      <c r="J2677" s="22" t="s">
        <v>4407</v>
      </c>
      <c r="K2677" s="22" t="s">
        <v>292</v>
      </c>
      <c r="L2677" s="22"/>
      <c r="M2677" s="22"/>
      <c r="N2677" s="22"/>
    </row>
    <row r="2678" spans="1:14" x14ac:dyDescent="0.25">
      <c r="A2678" s="22" t="s">
        <v>240</v>
      </c>
      <c r="B2678" s="22" t="s">
        <v>39</v>
      </c>
      <c r="C2678" s="22" t="s">
        <v>7678</v>
      </c>
      <c r="D2678" s="23">
        <v>-47200</v>
      </c>
      <c r="E2678" s="22" t="s">
        <v>57</v>
      </c>
      <c r="F2678" s="24">
        <v>44505</v>
      </c>
      <c r="G2678" s="22" t="s">
        <v>239</v>
      </c>
      <c r="H2678" s="22" t="s">
        <v>319</v>
      </c>
      <c r="I2678" s="22" t="s">
        <v>333</v>
      </c>
      <c r="J2678" s="22" t="s">
        <v>4407</v>
      </c>
      <c r="K2678" s="22" t="s">
        <v>66</v>
      </c>
      <c r="L2678" s="22"/>
      <c r="M2678" s="22"/>
      <c r="N2678" s="22"/>
    </row>
    <row r="2679" spans="1:14" x14ac:dyDescent="0.25">
      <c r="A2679" s="22" t="s">
        <v>331</v>
      </c>
      <c r="B2679" s="22" t="s">
        <v>39</v>
      </c>
      <c r="C2679" s="22" t="s">
        <v>7678</v>
      </c>
      <c r="D2679" s="23">
        <v>-192100</v>
      </c>
      <c r="E2679" s="22" t="s">
        <v>57</v>
      </c>
      <c r="F2679" s="24">
        <v>44516</v>
      </c>
      <c r="G2679" s="22" t="s">
        <v>239</v>
      </c>
      <c r="H2679" s="22" t="s">
        <v>332</v>
      </c>
      <c r="I2679" s="22" t="s">
        <v>330</v>
      </c>
      <c r="J2679" s="22" t="s">
        <v>4407</v>
      </c>
      <c r="K2679" s="22" t="s">
        <v>66</v>
      </c>
      <c r="L2679" s="22"/>
      <c r="M2679" s="22"/>
      <c r="N2679" s="22"/>
    </row>
    <row r="2680" spans="1:14" x14ac:dyDescent="0.25">
      <c r="A2680" s="22" t="s">
        <v>240</v>
      </c>
      <c r="B2680" s="22" t="s">
        <v>39</v>
      </c>
      <c r="C2680" s="22" t="s">
        <v>7679</v>
      </c>
      <c r="D2680" s="23">
        <v>-196200</v>
      </c>
      <c r="E2680" s="22" t="s">
        <v>45</v>
      </c>
      <c r="F2680" s="24">
        <v>44505</v>
      </c>
      <c r="G2680" s="22" t="s">
        <v>239</v>
      </c>
      <c r="H2680" s="22"/>
      <c r="I2680" s="22" t="s">
        <v>239</v>
      </c>
      <c r="J2680" s="22" t="s">
        <v>4466</v>
      </c>
      <c r="K2680" s="22" t="s">
        <v>66</v>
      </c>
      <c r="L2680" s="22"/>
      <c r="M2680" s="22"/>
      <c r="N2680" s="22"/>
    </row>
    <row r="2681" spans="1:14" x14ac:dyDescent="0.25">
      <c r="A2681" s="22" t="s">
        <v>240</v>
      </c>
      <c r="B2681" s="22" t="s">
        <v>39</v>
      </c>
      <c r="C2681" s="22" t="s">
        <v>7679</v>
      </c>
      <c r="D2681" s="23">
        <v>239300</v>
      </c>
      <c r="E2681" s="22" t="s">
        <v>45</v>
      </c>
      <c r="F2681" s="24">
        <v>44505</v>
      </c>
      <c r="G2681" s="22" t="s">
        <v>239</v>
      </c>
      <c r="H2681" s="22"/>
      <c r="I2681" s="22" t="s">
        <v>239</v>
      </c>
      <c r="J2681" s="22" t="s">
        <v>4407</v>
      </c>
      <c r="K2681" s="22" t="s">
        <v>66</v>
      </c>
      <c r="L2681" s="22"/>
      <c r="M2681" s="22"/>
      <c r="N2681" s="22"/>
    </row>
    <row r="2682" spans="1:14" x14ac:dyDescent="0.25">
      <c r="A2682" s="22" t="s">
        <v>245</v>
      </c>
      <c r="B2682" s="22" t="s">
        <v>39</v>
      </c>
      <c r="C2682" s="22" t="s">
        <v>3480</v>
      </c>
      <c r="D2682" s="23">
        <v>196200</v>
      </c>
      <c r="E2682" s="22" t="s">
        <v>42</v>
      </c>
      <c r="F2682" s="24">
        <v>44537</v>
      </c>
      <c r="G2682" s="22" t="s">
        <v>239</v>
      </c>
      <c r="H2682" s="22" t="s">
        <v>227</v>
      </c>
      <c r="I2682" s="22" t="s">
        <v>244</v>
      </c>
      <c r="J2682" s="22" t="s">
        <v>4466</v>
      </c>
      <c r="K2682" s="22" t="s">
        <v>292</v>
      </c>
      <c r="L2682" s="22"/>
      <c r="M2682" s="22"/>
      <c r="N2682" s="22"/>
    </row>
    <row r="2683" spans="1:14" x14ac:dyDescent="0.25">
      <c r="A2683" s="22" t="s">
        <v>238</v>
      </c>
      <c r="B2683" s="22" t="s">
        <v>39</v>
      </c>
      <c r="C2683" s="22" t="s">
        <v>7680</v>
      </c>
      <c r="D2683" s="23">
        <v>-310726</v>
      </c>
      <c r="E2683" s="22" t="s">
        <v>57</v>
      </c>
      <c r="F2683" s="24">
        <v>44559</v>
      </c>
      <c r="G2683" s="22" t="s">
        <v>237</v>
      </c>
      <c r="H2683" s="22" t="s">
        <v>243</v>
      </c>
      <c r="I2683" s="22" t="s">
        <v>242</v>
      </c>
      <c r="J2683" s="22" t="s">
        <v>4552</v>
      </c>
      <c r="K2683" s="22" t="s">
        <v>61</v>
      </c>
      <c r="L2683" s="22"/>
      <c r="M2683" s="22"/>
      <c r="N2683" s="22"/>
    </row>
    <row r="2684" spans="1:14" x14ac:dyDescent="0.25">
      <c r="A2684" s="22" t="s">
        <v>240</v>
      </c>
      <c r="B2684" s="22" t="s">
        <v>39</v>
      </c>
      <c r="C2684" s="22" t="s">
        <v>7678</v>
      </c>
      <c r="D2684" s="23">
        <v>-43100</v>
      </c>
      <c r="E2684" s="22" t="s">
        <v>45</v>
      </c>
      <c r="F2684" s="24">
        <v>44505</v>
      </c>
      <c r="G2684" s="22" t="s">
        <v>237</v>
      </c>
      <c r="H2684" s="22" t="s">
        <v>241</v>
      </c>
      <c r="I2684" s="22" t="s">
        <v>239</v>
      </c>
      <c r="J2684" s="22" t="s">
        <v>4407</v>
      </c>
      <c r="K2684" s="22" t="s">
        <v>66</v>
      </c>
      <c r="L2684" s="22"/>
      <c r="M2684" s="22"/>
      <c r="N2684" s="22"/>
    </row>
    <row r="2685" spans="1:14" x14ac:dyDescent="0.25">
      <c r="A2685" s="22" t="s">
        <v>238</v>
      </c>
      <c r="B2685" s="22" t="s">
        <v>39</v>
      </c>
      <c r="C2685" s="22" t="s">
        <v>7679</v>
      </c>
      <c r="D2685" s="23">
        <v>310726</v>
      </c>
      <c r="E2685" s="22" t="s">
        <v>45</v>
      </c>
      <c r="F2685" s="24">
        <v>44559</v>
      </c>
      <c r="G2685" s="22" t="s">
        <v>237</v>
      </c>
      <c r="H2685" s="22"/>
      <c r="I2685" s="22" t="s">
        <v>237</v>
      </c>
      <c r="J2685" s="22" t="s">
        <v>4552</v>
      </c>
      <c r="K2685" s="22" t="s">
        <v>61</v>
      </c>
      <c r="L2685" s="22"/>
      <c r="M2685" s="22"/>
      <c r="N2685" s="22"/>
    </row>
    <row r="2686" spans="1:14" x14ac:dyDescent="0.25">
      <c r="A2686" s="22" t="s">
        <v>238</v>
      </c>
      <c r="B2686" s="22" t="s">
        <v>39</v>
      </c>
      <c r="C2686" s="22" t="s">
        <v>7679</v>
      </c>
      <c r="D2686" s="23">
        <v>-325300</v>
      </c>
      <c r="E2686" s="22" t="s">
        <v>45</v>
      </c>
      <c r="F2686" s="24">
        <v>44559</v>
      </c>
      <c r="G2686" s="22" t="s">
        <v>237</v>
      </c>
      <c r="H2686" s="22"/>
      <c r="I2686" s="22" t="s">
        <v>237</v>
      </c>
      <c r="J2686" s="22" t="s">
        <v>4401</v>
      </c>
      <c r="K2686" s="22" t="s">
        <v>61</v>
      </c>
      <c r="L2686" s="22"/>
      <c r="M2686" s="22"/>
      <c r="N2686" s="22"/>
    </row>
    <row r="2687" spans="1:14" x14ac:dyDescent="0.25">
      <c r="A2687" s="22" t="s">
        <v>238</v>
      </c>
      <c r="B2687" s="22" t="s">
        <v>39</v>
      </c>
      <c r="C2687" s="22" t="s">
        <v>7679</v>
      </c>
      <c r="D2687" s="23">
        <v>43100</v>
      </c>
      <c r="E2687" s="22" t="s">
        <v>45</v>
      </c>
      <c r="F2687" s="24">
        <v>44559</v>
      </c>
      <c r="G2687" s="22" t="s">
        <v>237</v>
      </c>
      <c r="H2687" s="22"/>
      <c r="I2687" s="22" t="s">
        <v>237</v>
      </c>
      <c r="J2687" s="22" t="s">
        <v>4407</v>
      </c>
      <c r="K2687" s="22" t="s">
        <v>61</v>
      </c>
      <c r="L2687" s="22"/>
      <c r="M2687" s="22"/>
      <c r="N2687" s="22"/>
    </row>
    <row r="2688" spans="1:14" x14ac:dyDescent="0.25">
      <c r="A2688" s="22" t="s">
        <v>236</v>
      </c>
      <c r="B2688" s="22" t="s">
        <v>39</v>
      </c>
      <c r="C2688" s="22" t="s">
        <v>3480</v>
      </c>
      <c r="D2688" s="23">
        <v>325300</v>
      </c>
      <c r="E2688" s="22" t="s">
        <v>42</v>
      </c>
      <c r="F2688" s="24">
        <v>44537</v>
      </c>
      <c r="G2688" s="22" t="s">
        <v>237</v>
      </c>
      <c r="H2688" s="22" t="s">
        <v>227</v>
      </c>
      <c r="I2688" s="22" t="s">
        <v>235</v>
      </c>
      <c r="J2688" s="22" t="s">
        <v>4401</v>
      </c>
      <c r="K2688" s="22" t="s">
        <v>292</v>
      </c>
      <c r="L2688" s="22"/>
      <c r="M2688" s="22"/>
      <c r="N2688" s="22"/>
    </row>
    <row r="2689" spans="1:14" x14ac:dyDescent="0.25">
      <c r="A2689" s="22" t="s">
        <v>233</v>
      </c>
      <c r="B2689" s="22" t="s">
        <v>39</v>
      </c>
      <c r="C2689" s="22" t="s">
        <v>7681</v>
      </c>
      <c r="D2689" s="23">
        <v>-53700</v>
      </c>
      <c r="E2689" s="22" t="s">
        <v>57</v>
      </c>
      <c r="F2689" s="24">
        <v>44504</v>
      </c>
      <c r="G2689" s="22" t="s">
        <v>228</v>
      </c>
      <c r="H2689" s="22" t="s">
        <v>234</v>
      </c>
      <c r="I2689" s="22" t="s">
        <v>232</v>
      </c>
      <c r="J2689" s="22" t="s">
        <v>4552</v>
      </c>
      <c r="K2689" s="22" t="s">
        <v>61</v>
      </c>
      <c r="L2689" s="22"/>
      <c r="M2689" s="22"/>
      <c r="N2689" s="22"/>
    </row>
    <row r="2690" spans="1:14" x14ac:dyDescent="0.25">
      <c r="A2690" s="22" t="s">
        <v>229</v>
      </c>
      <c r="B2690" s="22" t="s">
        <v>39</v>
      </c>
      <c r="C2690" s="22" t="s">
        <v>3553</v>
      </c>
      <c r="D2690" s="23">
        <v>53700</v>
      </c>
      <c r="E2690" s="22" t="s">
        <v>42</v>
      </c>
      <c r="F2690" s="24">
        <v>44537</v>
      </c>
      <c r="G2690" s="22" t="s">
        <v>228</v>
      </c>
      <c r="H2690" s="22" t="s">
        <v>227</v>
      </c>
      <c r="I2690" s="22" t="s">
        <v>231</v>
      </c>
      <c r="J2690" s="22" t="s">
        <v>4466</v>
      </c>
      <c r="K2690" s="22" t="s">
        <v>292</v>
      </c>
      <c r="L2690" s="22"/>
      <c r="M2690" s="22"/>
      <c r="N2690" s="22"/>
    </row>
    <row r="2691" spans="1:14" x14ac:dyDescent="0.25">
      <c r="A2691" s="22" t="s">
        <v>229</v>
      </c>
      <c r="B2691" s="22" t="s">
        <v>39</v>
      </c>
      <c r="C2691" s="22" t="s">
        <v>3553</v>
      </c>
      <c r="D2691" s="23">
        <v>-53700</v>
      </c>
      <c r="E2691" s="22" t="s">
        <v>45</v>
      </c>
      <c r="F2691" s="24">
        <v>44537</v>
      </c>
      <c r="G2691" s="22" t="s">
        <v>228</v>
      </c>
      <c r="H2691" s="22" t="s">
        <v>230</v>
      </c>
      <c r="I2691" s="22" t="s">
        <v>228</v>
      </c>
      <c r="J2691" s="22" t="s">
        <v>4466</v>
      </c>
      <c r="K2691" s="22" t="s">
        <v>292</v>
      </c>
      <c r="L2691" s="22"/>
      <c r="M2691" s="22"/>
      <c r="N2691" s="22"/>
    </row>
    <row r="2692" spans="1:14" x14ac:dyDescent="0.25">
      <c r="A2692" s="22" t="s">
        <v>229</v>
      </c>
      <c r="B2692" s="22" t="s">
        <v>39</v>
      </c>
      <c r="C2692" s="22" t="s">
        <v>3553</v>
      </c>
      <c r="D2692" s="23">
        <v>53700</v>
      </c>
      <c r="E2692" s="22" t="s">
        <v>45</v>
      </c>
      <c r="F2692" s="24">
        <v>44537</v>
      </c>
      <c r="G2692" s="22" t="s">
        <v>228</v>
      </c>
      <c r="H2692" s="22" t="s">
        <v>230</v>
      </c>
      <c r="I2692" s="22" t="s">
        <v>228</v>
      </c>
      <c r="J2692" s="22" t="s">
        <v>4552</v>
      </c>
      <c r="K2692" s="22" t="s">
        <v>292</v>
      </c>
      <c r="L2692" s="22"/>
      <c r="M2692" s="22"/>
      <c r="N2692" s="22"/>
    </row>
    <row r="2693" spans="1:14" x14ac:dyDescent="0.25">
      <c r="A2693" s="22" t="s">
        <v>219</v>
      </c>
      <c r="B2693" s="22" t="s">
        <v>39</v>
      </c>
      <c r="C2693" s="22" t="s">
        <v>96</v>
      </c>
      <c r="D2693" s="23">
        <v>-546396</v>
      </c>
      <c r="E2693" s="22" t="s">
        <v>57</v>
      </c>
      <c r="F2693" s="24">
        <v>44511</v>
      </c>
      <c r="G2693" s="22" t="s">
        <v>205</v>
      </c>
      <c r="H2693" s="22" t="s">
        <v>220</v>
      </c>
      <c r="I2693" s="22" t="s">
        <v>218</v>
      </c>
      <c r="J2693" s="22" t="s">
        <v>4407</v>
      </c>
      <c r="K2693" s="22" t="s">
        <v>66</v>
      </c>
      <c r="L2693" s="22"/>
      <c r="M2693" s="22"/>
      <c r="N2693" s="22"/>
    </row>
    <row r="2694" spans="1:14" x14ac:dyDescent="0.25">
      <c r="A2694" s="22" t="s">
        <v>216</v>
      </c>
      <c r="B2694" s="22" t="s">
        <v>39</v>
      </c>
      <c r="C2694" s="22" t="s">
        <v>96</v>
      </c>
      <c r="D2694" s="23">
        <v>-55731</v>
      </c>
      <c r="E2694" s="22" t="s">
        <v>57</v>
      </c>
      <c r="F2694" s="24">
        <v>44511</v>
      </c>
      <c r="G2694" s="22" t="s">
        <v>205</v>
      </c>
      <c r="H2694" s="22" t="s">
        <v>217</v>
      </c>
      <c r="I2694" s="22" t="s">
        <v>215</v>
      </c>
      <c r="J2694" s="22" t="s">
        <v>4407</v>
      </c>
      <c r="K2694" s="22" t="s">
        <v>66</v>
      </c>
      <c r="L2694" s="22"/>
      <c r="M2694" s="22"/>
      <c r="N2694" s="22"/>
    </row>
    <row r="2695" spans="1:14" x14ac:dyDescent="0.25">
      <c r="A2695" s="22" t="s">
        <v>214</v>
      </c>
      <c r="B2695" s="22" t="s">
        <v>39</v>
      </c>
      <c r="C2695" s="22" t="s">
        <v>96</v>
      </c>
      <c r="D2695" s="23">
        <v>-1505364</v>
      </c>
      <c r="E2695" s="22" t="s">
        <v>57</v>
      </c>
      <c r="F2695" s="24">
        <v>44526</v>
      </c>
      <c r="G2695" s="22" t="s">
        <v>205</v>
      </c>
      <c r="H2695" s="22" t="s">
        <v>212</v>
      </c>
      <c r="I2695" s="22" t="s">
        <v>213</v>
      </c>
      <c r="J2695" s="22" t="s">
        <v>4407</v>
      </c>
      <c r="K2695" s="22" t="s">
        <v>66</v>
      </c>
      <c r="L2695" s="22"/>
      <c r="M2695" s="22"/>
      <c r="N2695" s="22"/>
    </row>
    <row r="2696" spans="1:14" x14ac:dyDescent="0.25">
      <c r="A2696" s="22" t="s">
        <v>204</v>
      </c>
      <c r="B2696" s="22" t="s">
        <v>39</v>
      </c>
      <c r="C2696" s="22" t="s">
        <v>7681</v>
      </c>
      <c r="D2696" s="23">
        <v>-131807</v>
      </c>
      <c r="E2696" s="22" t="s">
        <v>57</v>
      </c>
      <c r="F2696" s="24">
        <v>44512</v>
      </c>
      <c r="G2696" s="22" t="s">
        <v>205</v>
      </c>
      <c r="H2696" s="22" t="s">
        <v>206</v>
      </c>
      <c r="I2696" s="22" t="s">
        <v>203</v>
      </c>
      <c r="J2696" s="22" t="s">
        <v>4552</v>
      </c>
      <c r="K2696" s="22" t="s">
        <v>61</v>
      </c>
      <c r="L2696" s="22"/>
      <c r="M2696" s="22"/>
      <c r="N2696" s="22"/>
    </row>
    <row r="2697" spans="1:14" x14ac:dyDescent="0.25">
      <c r="A2697" s="22" t="s">
        <v>208</v>
      </c>
      <c r="B2697" s="22" t="s">
        <v>39</v>
      </c>
      <c r="C2697" s="22" t="s">
        <v>7681</v>
      </c>
      <c r="D2697" s="23">
        <v>-100678</v>
      </c>
      <c r="E2697" s="22" t="s">
        <v>57</v>
      </c>
      <c r="F2697" s="24">
        <v>44513</v>
      </c>
      <c r="G2697" s="22" t="s">
        <v>205</v>
      </c>
      <c r="H2697" s="22" t="s">
        <v>209</v>
      </c>
      <c r="I2697" s="22" t="s">
        <v>207</v>
      </c>
      <c r="J2697" s="22" t="s">
        <v>4552</v>
      </c>
      <c r="K2697" s="22" t="s">
        <v>61</v>
      </c>
      <c r="L2697" s="22"/>
      <c r="M2697" s="22"/>
      <c r="N2697" s="22"/>
    </row>
    <row r="2698" spans="1:14" x14ac:dyDescent="0.25">
      <c r="A2698" s="22" t="s">
        <v>211</v>
      </c>
      <c r="B2698" s="22" t="s">
        <v>39</v>
      </c>
      <c r="C2698" s="22" t="s">
        <v>7678</v>
      </c>
      <c r="D2698" s="23">
        <v>-23700</v>
      </c>
      <c r="E2698" s="22" t="s">
        <v>57</v>
      </c>
      <c r="F2698" s="24">
        <v>44505</v>
      </c>
      <c r="G2698" s="22" t="s">
        <v>205</v>
      </c>
      <c r="H2698" s="22" t="s">
        <v>212</v>
      </c>
      <c r="I2698" s="22" t="s">
        <v>210</v>
      </c>
      <c r="J2698" s="22" t="s">
        <v>4407</v>
      </c>
      <c r="K2698" s="22" t="s">
        <v>66</v>
      </c>
      <c r="L2698" s="22"/>
      <c r="M2698" s="22"/>
      <c r="N2698" s="22"/>
    </row>
    <row r="2699" spans="1:14" x14ac:dyDescent="0.25">
      <c r="A2699" s="22" t="s">
        <v>222</v>
      </c>
      <c r="B2699" s="22" t="s">
        <v>39</v>
      </c>
      <c r="C2699" s="22" t="s">
        <v>7678</v>
      </c>
      <c r="D2699" s="23">
        <v>-47200</v>
      </c>
      <c r="E2699" s="22" t="s">
        <v>57</v>
      </c>
      <c r="F2699" s="24">
        <v>44505</v>
      </c>
      <c r="G2699" s="22" t="s">
        <v>205</v>
      </c>
      <c r="H2699" s="22" t="s">
        <v>212</v>
      </c>
      <c r="I2699" s="22" t="s">
        <v>221</v>
      </c>
      <c r="J2699" s="22" t="s">
        <v>4407</v>
      </c>
      <c r="K2699" s="22" t="s">
        <v>66</v>
      </c>
      <c r="L2699" s="22"/>
      <c r="M2699" s="22"/>
      <c r="N2699" s="22"/>
    </row>
    <row r="2700" spans="1:14" x14ac:dyDescent="0.25">
      <c r="A2700" s="22" t="s">
        <v>224</v>
      </c>
      <c r="B2700" s="22" t="s">
        <v>39</v>
      </c>
      <c r="C2700" s="22" t="s">
        <v>7678</v>
      </c>
      <c r="D2700" s="23">
        <v>-112100</v>
      </c>
      <c r="E2700" s="22" t="s">
        <v>57</v>
      </c>
      <c r="F2700" s="24">
        <v>44505</v>
      </c>
      <c r="G2700" s="22" t="s">
        <v>205</v>
      </c>
      <c r="H2700" s="22" t="s">
        <v>212</v>
      </c>
      <c r="I2700" s="22" t="s">
        <v>223</v>
      </c>
      <c r="J2700" s="22" t="s">
        <v>4407</v>
      </c>
      <c r="K2700" s="22" t="s">
        <v>66</v>
      </c>
      <c r="L2700" s="22"/>
      <c r="M2700" s="22"/>
      <c r="N2700" s="22"/>
    </row>
    <row r="2701" spans="1:14" x14ac:dyDescent="0.25">
      <c r="A2701" s="22" t="s">
        <v>219</v>
      </c>
      <c r="B2701" s="22" t="s">
        <v>39</v>
      </c>
      <c r="C2701" s="22" t="s">
        <v>7679</v>
      </c>
      <c r="D2701" s="23">
        <v>232485</v>
      </c>
      <c r="E2701" s="22" t="s">
        <v>45</v>
      </c>
      <c r="F2701" s="24">
        <v>44511</v>
      </c>
      <c r="G2701" s="22" t="s">
        <v>205</v>
      </c>
      <c r="H2701" s="22"/>
      <c r="I2701" s="22" t="s">
        <v>205</v>
      </c>
      <c r="J2701" s="22" t="s">
        <v>4552</v>
      </c>
      <c r="K2701" s="22" t="s">
        <v>66</v>
      </c>
      <c r="L2701" s="22"/>
      <c r="M2701" s="22"/>
      <c r="N2701" s="22"/>
    </row>
    <row r="2702" spans="1:14" x14ac:dyDescent="0.25">
      <c r="A2702" s="22" t="s">
        <v>219</v>
      </c>
      <c r="B2702" s="22" t="s">
        <v>39</v>
      </c>
      <c r="C2702" s="22" t="s">
        <v>7679</v>
      </c>
      <c r="D2702" s="23">
        <v>-2460849</v>
      </c>
      <c r="E2702" s="22" t="s">
        <v>45</v>
      </c>
      <c r="F2702" s="24">
        <v>44511</v>
      </c>
      <c r="G2702" s="22" t="s">
        <v>205</v>
      </c>
      <c r="H2702" s="22"/>
      <c r="I2702" s="22" t="s">
        <v>205</v>
      </c>
      <c r="J2702" s="22" t="s">
        <v>4401</v>
      </c>
      <c r="K2702" s="22" t="s">
        <v>66</v>
      </c>
      <c r="L2702" s="22"/>
      <c r="M2702" s="22"/>
      <c r="N2702" s="22"/>
    </row>
    <row r="2703" spans="1:14" x14ac:dyDescent="0.25">
      <c r="A2703" s="22" t="s">
        <v>219</v>
      </c>
      <c r="B2703" s="22" t="s">
        <v>39</v>
      </c>
      <c r="C2703" s="22" t="s">
        <v>7679</v>
      </c>
      <c r="D2703" s="23">
        <v>2290491</v>
      </c>
      <c r="E2703" s="22" t="s">
        <v>45</v>
      </c>
      <c r="F2703" s="24">
        <v>44511</v>
      </c>
      <c r="G2703" s="22" t="s">
        <v>205</v>
      </c>
      <c r="H2703" s="22"/>
      <c r="I2703" s="22" t="s">
        <v>205</v>
      </c>
      <c r="J2703" s="22" t="s">
        <v>4407</v>
      </c>
      <c r="K2703" s="22" t="s">
        <v>66</v>
      </c>
      <c r="L2703" s="22"/>
      <c r="M2703" s="22"/>
      <c r="N2703" s="22"/>
    </row>
    <row r="2704" spans="1:14" x14ac:dyDescent="0.25">
      <c r="A2704" s="22" t="s">
        <v>226</v>
      </c>
      <c r="B2704" s="22" t="s">
        <v>39</v>
      </c>
      <c r="C2704" s="22" t="s">
        <v>3553</v>
      </c>
      <c r="D2704" s="23">
        <v>2460849</v>
      </c>
      <c r="E2704" s="22" t="s">
        <v>42</v>
      </c>
      <c r="F2704" s="24">
        <v>44537</v>
      </c>
      <c r="G2704" s="22" t="s">
        <v>205</v>
      </c>
      <c r="H2704" s="22" t="s">
        <v>227</v>
      </c>
      <c r="I2704" s="22" t="s">
        <v>225</v>
      </c>
      <c r="J2704" s="22" t="s">
        <v>4401</v>
      </c>
      <c r="K2704" s="22" t="s">
        <v>292</v>
      </c>
      <c r="L2704" s="22"/>
      <c r="M2704" s="22"/>
      <c r="N2704" s="22"/>
    </row>
    <row r="2705" spans="1:14" x14ac:dyDescent="0.25">
      <c r="A2705" s="22" t="s">
        <v>286</v>
      </c>
      <c r="B2705" s="22" t="s">
        <v>39</v>
      </c>
      <c r="C2705" s="22" t="s">
        <v>7682</v>
      </c>
      <c r="D2705" s="23">
        <v>-666136</v>
      </c>
      <c r="E2705" s="22" t="s">
        <v>57</v>
      </c>
      <c r="F2705" s="24">
        <v>44533</v>
      </c>
      <c r="G2705" s="22" t="s">
        <v>285</v>
      </c>
      <c r="H2705" s="22" t="s">
        <v>288</v>
      </c>
      <c r="I2705" s="22" t="s">
        <v>287</v>
      </c>
      <c r="J2705" s="22" t="s">
        <v>4401</v>
      </c>
      <c r="K2705" s="22" t="s">
        <v>66</v>
      </c>
      <c r="L2705" s="22"/>
      <c r="M2705" s="22"/>
      <c r="N2705" s="22"/>
    </row>
    <row r="2706" spans="1:14" x14ac:dyDescent="0.25">
      <c r="A2706" s="22" t="s">
        <v>286</v>
      </c>
      <c r="B2706" s="22" t="s">
        <v>39</v>
      </c>
      <c r="C2706" s="22" t="s">
        <v>7679</v>
      </c>
      <c r="D2706" s="23">
        <v>320864</v>
      </c>
      <c r="E2706" s="22" t="s">
        <v>45</v>
      </c>
      <c r="F2706" s="24">
        <v>44533</v>
      </c>
      <c r="G2706" s="22" t="s">
        <v>285</v>
      </c>
      <c r="H2706" s="22"/>
      <c r="I2706" s="22" t="s">
        <v>285</v>
      </c>
      <c r="J2706" s="22" t="s">
        <v>4401</v>
      </c>
      <c r="K2706" s="22" t="s">
        <v>66</v>
      </c>
      <c r="L2706" s="22"/>
      <c r="M2706" s="22"/>
      <c r="N2706" s="22"/>
    </row>
    <row r="2707" spans="1:14" x14ac:dyDescent="0.25">
      <c r="A2707" s="22" t="s">
        <v>284</v>
      </c>
      <c r="B2707" s="22" t="s">
        <v>39</v>
      </c>
      <c r="C2707" s="22" t="s">
        <v>3566</v>
      </c>
      <c r="D2707" s="23">
        <v>345272</v>
      </c>
      <c r="E2707" s="22" t="s">
        <v>42</v>
      </c>
      <c r="F2707" s="24">
        <v>44537</v>
      </c>
      <c r="G2707" s="22" t="s">
        <v>285</v>
      </c>
      <c r="H2707" s="22" t="s">
        <v>227</v>
      </c>
      <c r="I2707" s="22" t="s">
        <v>283</v>
      </c>
      <c r="J2707" s="22" t="s">
        <v>4401</v>
      </c>
      <c r="K2707" s="22" t="s">
        <v>292</v>
      </c>
      <c r="L2707" s="22"/>
      <c r="M2707" s="22"/>
      <c r="N2707" s="22"/>
    </row>
    <row r="2708" spans="1:14" x14ac:dyDescent="0.25">
      <c r="A2708" s="22" t="s">
        <v>255</v>
      </c>
      <c r="B2708" s="22" t="s">
        <v>39</v>
      </c>
      <c r="C2708" s="22" t="s">
        <v>96</v>
      </c>
      <c r="D2708" s="23">
        <v>-2613834</v>
      </c>
      <c r="E2708" s="22" t="s">
        <v>57</v>
      </c>
      <c r="F2708" s="24">
        <v>44530</v>
      </c>
      <c r="G2708" s="22" t="s">
        <v>256</v>
      </c>
      <c r="H2708" s="22" t="s">
        <v>7683</v>
      </c>
      <c r="I2708" s="22" t="s">
        <v>7684</v>
      </c>
      <c r="J2708" s="22" t="s">
        <v>4407</v>
      </c>
      <c r="K2708" s="22" t="s">
        <v>66</v>
      </c>
      <c r="L2708" s="22"/>
      <c r="M2708" s="22"/>
      <c r="N2708" s="22"/>
    </row>
    <row r="2709" spans="1:14" x14ac:dyDescent="0.25">
      <c r="A2709" s="22" t="s">
        <v>255</v>
      </c>
      <c r="B2709" s="22" t="s">
        <v>39</v>
      </c>
      <c r="C2709" s="22" t="s">
        <v>7679</v>
      </c>
      <c r="D2709" s="23">
        <v>-1634413</v>
      </c>
      <c r="E2709" s="22" t="s">
        <v>45</v>
      </c>
      <c r="F2709" s="24">
        <v>44530</v>
      </c>
      <c r="G2709" s="22" t="s">
        <v>256</v>
      </c>
      <c r="H2709" s="22"/>
      <c r="I2709" s="22" t="s">
        <v>256</v>
      </c>
      <c r="J2709" s="22" t="s">
        <v>4401</v>
      </c>
      <c r="K2709" s="22" t="s">
        <v>66</v>
      </c>
      <c r="L2709" s="22"/>
      <c r="M2709" s="22"/>
      <c r="N2709" s="22"/>
    </row>
    <row r="2710" spans="1:14" x14ac:dyDescent="0.25">
      <c r="A2710" s="22" t="s">
        <v>255</v>
      </c>
      <c r="B2710" s="22" t="s">
        <v>39</v>
      </c>
      <c r="C2710" s="22" t="s">
        <v>7679</v>
      </c>
      <c r="D2710" s="23">
        <v>2613834</v>
      </c>
      <c r="E2710" s="22" t="s">
        <v>45</v>
      </c>
      <c r="F2710" s="24">
        <v>44530</v>
      </c>
      <c r="G2710" s="22" t="s">
        <v>256</v>
      </c>
      <c r="H2710" s="22"/>
      <c r="I2710" s="22" t="s">
        <v>256</v>
      </c>
      <c r="J2710" s="22" t="s">
        <v>4407</v>
      </c>
      <c r="K2710" s="22" t="s">
        <v>66</v>
      </c>
      <c r="L2710" s="22"/>
      <c r="M2710" s="22"/>
      <c r="N2710" s="22"/>
    </row>
    <row r="2711" spans="1:14" x14ac:dyDescent="0.25">
      <c r="A2711" s="22" t="s">
        <v>341</v>
      </c>
      <c r="B2711" s="22" t="s">
        <v>39</v>
      </c>
      <c r="C2711" s="22" t="s">
        <v>3573</v>
      </c>
      <c r="D2711" s="23">
        <v>1634413</v>
      </c>
      <c r="E2711" s="22" t="s">
        <v>45</v>
      </c>
      <c r="F2711" s="24">
        <v>44537</v>
      </c>
      <c r="G2711" s="22" t="s">
        <v>256</v>
      </c>
      <c r="H2711" s="22" t="s">
        <v>51</v>
      </c>
      <c r="I2711" s="22" t="s">
        <v>342</v>
      </c>
      <c r="J2711" s="22" t="s">
        <v>4401</v>
      </c>
      <c r="K2711" s="22" t="s">
        <v>292</v>
      </c>
      <c r="L2711" s="22"/>
      <c r="M2711" s="22"/>
      <c r="N2711" s="22"/>
    </row>
    <row r="2712" spans="1:14" x14ac:dyDescent="0.25">
      <c r="A2712" s="22" t="s">
        <v>277</v>
      </c>
      <c r="B2712" s="22" t="s">
        <v>39</v>
      </c>
      <c r="C2712" s="22" t="s">
        <v>92</v>
      </c>
      <c r="D2712" s="23">
        <v>-382600</v>
      </c>
      <c r="E2712" s="22" t="s">
        <v>57</v>
      </c>
      <c r="F2712" s="24">
        <v>44503</v>
      </c>
      <c r="G2712" s="22" t="s">
        <v>275</v>
      </c>
      <c r="H2712" s="22" t="s">
        <v>282</v>
      </c>
      <c r="I2712" s="22" t="s">
        <v>281</v>
      </c>
      <c r="J2712" s="22" t="s">
        <v>4552</v>
      </c>
      <c r="K2712" s="22" t="s">
        <v>61</v>
      </c>
      <c r="L2712" s="22"/>
      <c r="M2712" s="22"/>
      <c r="N2712" s="22"/>
    </row>
    <row r="2713" spans="1:14" x14ac:dyDescent="0.25">
      <c r="A2713" s="22" t="s">
        <v>279</v>
      </c>
      <c r="B2713" s="22" t="s">
        <v>39</v>
      </c>
      <c r="C2713" s="22" t="s">
        <v>7681</v>
      </c>
      <c r="D2713" s="23">
        <v>-2062614</v>
      </c>
      <c r="E2713" s="22" t="s">
        <v>57</v>
      </c>
      <c r="F2713" s="24">
        <v>44502</v>
      </c>
      <c r="G2713" s="22" t="s">
        <v>275</v>
      </c>
      <c r="H2713" s="22" t="s">
        <v>280</v>
      </c>
      <c r="I2713" s="22" t="s">
        <v>278</v>
      </c>
      <c r="J2713" s="22" t="s">
        <v>4552</v>
      </c>
      <c r="K2713" s="22" t="s">
        <v>61</v>
      </c>
      <c r="L2713" s="22"/>
      <c r="M2713" s="22"/>
      <c r="N2713" s="22"/>
    </row>
    <row r="2714" spans="1:14" x14ac:dyDescent="0.25">
      <c r="A2714" s="22" t="s">
        <v>277</v>
      </c>
      <c r="B2714" s="22" t="s">
        <v>39</v>
      </c>
      <c r="C2714" s="22" t="s">
        <v>7679</v>
      </c>
      <c r="D2714" s="23">
        <v>-2320387</v>
      </c>
      <c r="E2714" s="22" t="s">
        <v>45</v>
      </c>
      <c r="F2714" s="24">
        <v>44503</v>
      </c>
      <c r="G2714" s="22" t="s">
        <v>275</v>
      </c>
      <c r="H2714" s="22"/>
      <c r="I2714" s="22" t="s">
        <v>275</v>
      </c>
      <c r="J2714" s="22" t="s">
        <v>4466</v>
      </c>
      <c r="K2714" s="22" t="s">
        <v>61</v>
      </c>
      <c r="L2714" s="22"/>
      <c r="M2714" s="22"/>
      <c r="N2714" s="22"/>
    </row>
    <row r="2715" spans="1:14" x14ac:dyDescent="0.25">
      <c r="A2715" s="22" t="s">
        <v>277</v>
      </c>
      <c r="B2715" s="22" t="s">
        <v>39</v>
      </c>
      <c r="C2715" s="22" t="s">
        <v>7679</v>
      </c>
      <c r="D2715" s="23">
        <v>2445214</v>
      </c>
      <c r="E2715" s="22" t="s">
        <v>45</v>
      </c>
      <c r="F2715" s="24">
        <v>44503</v>
      </c>
      <c r="G2715" s="22" t="s">
        <v>275</v>
      </c>
      <c r="H2715" s="22"/>
      <c r="I2715" s="22" t="s">
        <v>275</v>
      </c>
      <c r="J2715" s="22" t="s">
        <v>4552</v>
      </c>
      <c r="K2715" s="22" t="s">
        <v>61</v>
      </c>
      <c r="L2715" s="22"/>
      <c r="M2715" s="22"/>
      <c r="N2715" s="22"/>
    </row>
    <row r="2716" spans="1:14" x14ac:dyDescent="0.25">
      <c r="A2716" s="22" t="s">
        <v>274</v>
      </c>
      <c r="B2716" s="22" t="s">
        <v>39</v>
      </c>
      <c r="C2716" s="22" t="s">
        <v>40</v>
      </c>
      <c r="D2716" s="23">
        <v>2320387</v>
      </c>
      <c r="E2716" s="22" t="s">
        <v>42</v>
      </c>
      <c r="F2716" s="24">
        <v>44537</v>
      </c>
      <c r="G2716" s="22" t="s">
        <v>275</v>
      </c>
      <c r="H2716" s="22" t="s">
        <v>276</v>
      </c>
      <c r="I2716" s="22" t="s">
        <v>273</v>
      </c>
      <c r="J2716" s="22" t="s">
        <v>4466</v>
      </c>
      <c r="K2716" s="22" t="s">
        <v>292</v>
      </c>
      <c r="L2716" s="22"/>
      <c r="M2716" s="22"/>
      <c r="N2716" s="22"/>
    </row>
    <row r="2717" spans="1:14" x14ac:dyDescent="0.25">
      <c r="A2717" s="22" t="s">
        <v>267</v>
      </c>
      <c r="B2717" s="22" t="s">
        <v>39</v>
      </c>
      <c r="C2717" s="22" t="s">
        <v>7680</v>
      </c>
      <c r="D2717" s="23">
        <v>-2681158</v>
      </c>
      <c r="E2717" s="22" t="s">
        <v>57</v>
      </c>
      <c r="F2717" s="24">
        <v>44541</v>
      </c>
      <c r="G2717" s="22" t="s">
        <v>266</v>
      </c>
      <c r="H2717" s="22" t="s">
        <v>272</v>
      </c>
      <c r="I2717" s="22" t="s">
        <v>271</v>
      </c>
      <c r="J2717" s="22" t="s">
        <v>4552</v>
      </c>
      <c r="K2717" s="22" t="s">
        <v>61</v>
      </c>
      <c r="L2717" s="22"/>
      <c r="M2717" s="22"/>
      <c r="N2717" s="22"/>
    </row>
    <row r="2718" spans="1:14" x14ac:dyDescent="0.25">
      <c r="A2718" s="22" t="s">
        <v>269</v>
      </c>
      <c r="B2718" s="22" t="s">
        <v>39</v>
      </c>
      <c r="C2718" s="22" t="s">
        <v>96</v>
      </c>
      <c r="D2718" s="23">
        <v>-419680</v>
      </c>
      <c r="E2718" s="22" t="s">
        <v>57</v>
      </c>
      <c r="F2718" s="24">
        <v>44503</v>
      </c>
      <c r="G2718" s="22" t="s">
        <v>266</v>
      </c>
      <c r="H2718" s="22" t="s">
        <v>270</v>
      </c>
      <c r="I2718" s="22" t="s">
        <v>268</v>
      </c>
      <c r="J2718" s="22" t="s">
        <v>4407</v>
      </c>
      <c r="K2718" s="22" t="s">
        <v>66</v>
      </c>
      <c r="L2718" s="22"/>
      <c r="M2718" s="22"/>
      <c r="N2718" s="22"/>
    </row>
    <row r="2719" spans="1:14" x14ac:dyDescent="0.25">
      <c r="A2719" s="22" t="s">
        <v>267</v>
      </c>
      <c r="B2719" s="22" t="s">
        <v>39</v>
      </c>
      <c r="C2719" s="22" t="s">
        <v>7679</v>
      </c>
      <c r="D2719" s="23">
        <v>2681158</v>
      </c>
      <c r="E2719" s="22" t="s">
        <v>45</v>
      </c>
      <c r="F2719" s="24">
        <v>44541</v>
      </c>
      <c r="G2719" s="22" t="s">
        <v>266</v>
      </c>
      <c r="H2719" s="22"/>
      <c r="I2719" s="22" t="s">
        <v>266</v>
      </c>
      <c r="J2719" s="22" t="s">
        <v>4552</v>
      </c>
      <c r="K2719" s="22" t="s">
        <v>61</v>
      </c>
      <c r="L2719" s="22"/>
      <c r="M2719" s="22"/>
      <c r="N2719" s="22"/>
    </row>
    <row r="2720" spans="1:14" x14ac:dyDescent="0.25">
      <c r="A2720" s="22" t="s">
        <v>267</v>
      </c>
      <c r="B2720" s="22" t="s">
        <v>39</v>
      </c>
      <c r="C2720" s="22" t="s">
        <v>7679</v>
      </c>
      <c r="D2720" s="23">
        <v>-2753690</v>
      </c>
      <c r="E2720" s="22" t="s">
        <v>45</v>
      </c>
      <c r="F2720" s="24">
        <v>44541</v>
      </c>
      <c r="G2720" s="22" t="s">
        <v>266</v>
      </c>
      <c r="H2720" s="22"/>
      <c r="I2720" s="22" t="s">
        <v>266</v>
      </c>
      <c r="J2720" s="22" t="s">
        <v>4401</v>
      </c>
      <c r="K2720" s="22" t="s">
        <v>61</v>
      </c>
      <c r="L2720" s="22"/>
      <c r="M2720" s="22"/>
      <c r="N2720" s="22"/>
    </row>
    <row r="2721" spans="1:14" x14ac:dyDescent="0.25">
      <c r="A2721" s="22" t="s">
        <v>267</v>
      </c>
      <c r="B2721" s="22" t="s">
        <v>39</v>
      </c>
      <c r="C2721" s="22" t="s">
        <v>7679</v>
      </c>
      <c r="D2721" s="23">
        <v>419680</v>
      </c>
      <c r="E2721" s="22" t="s">
        <v>45</v>
      </c>
      <c r="F2721" s="24">
        <v>44541</v>
      </c>
      <c r="G2721" s="22" t="s">
        <v>266</v>
      </c>
      <c r="H2721" s="22"/>
      <c r="I2721" s="22" t="s">
        <v>266</v>
      </c>
      <c r="J2721" s="22" t="s">
        <v>4407</v>
      </c>
      <c r="K2721" s="22" t="s">
        <v>61</v>
      </c>
      <c r="L2721" s="22"/>
      <c r="M2721" s="22"/>
      <c r="N2721" s="22"/>
    </row>
    <row r="2722" spans="1:14" x14ac:dyDescent="0.25">
      <c r="A2722" s="22" t="s">
        <v>265</v>
      </c>
      <c r="B2722" s="22" t="s">
        <v>39</v>
      </c>
      <c r="C2722" s="22" t="s">
        <v>3643</v>
      </c>
      <c r="D2722" s="23">
        <v>2753690</v>
      </c>
      <c r="E2722" s="22" t="s">
        <v>42</v>
      </c>
      <c r="F2722" s="24">
        <v>44537</v>
      </c>
      <c r="G2722" s="22" t="s">
        <v>266</v>
      </c>
      <c r="H2722" s="22" t="s">
        <v>227</v>
      </c>
      <c r="I2722" s="22" t="s">
        <v>264</v>
      </c>
      <c r="J2722" s="22" t="s">
        <v>4401</v>
      </c>
      <c r="K2722" s="22" t="s">
        <v>292</v>
      </c>
      <c r="L2722" s="22"/>
      <c r="M2722" s="22"/>
      <c r="N2722" s="22"/>
    </row>
    <row r="2723" spans="1:14" x14ac:dyDescent="0.25">
      <c r="A2723" s="22" t="s">
        <v>261</v>
      </c>
      <c r="B2723" s="22" t="s">
        <v>39</v>
      </c>
      <c r="C2723" s="22" t="s">
        <v>7682</v>
      </c>
      <c r="D2723" s="23">
        <v>-1542692</v>
      </c>
      <c r="E2723" s="22" t="s">
        <v>57</v>
      </c>
      <c r="F2723" s="24">
        <v>44564</v>
      </c>
      <c r="G2723" s="22" t="s">
        <v>260</v>
      </c>
      <c r="H2723" s="22" t="s">
        <v>263</v>
      </c>
      <c r="I2723" s="22" t="s">
        <v>262</v>
      </c>
      <c r="J2723" s="22" t="s">
        <v>4407</v>
      </c>
      <c r="K2723" s="22" t="s">
        <v>66</v>
      </c>
      <c r="L2723" s="22"/>
      <c r="M2723" s="22"/>
      <c r="N2723" s="22"/>
    </row>
    <row r="2724" spans="1:14" x14ac:dyDescent="0.25">
      <c r="A2724" s="22" t="s">
        <v>261</v>
      </c>
      <c r="B2724" s="22" t="s">
        <v>39</v>
      </c>
      <c r="C2724" s="22" t="s">
        <v>7679</v>
      </c>
      <c r="D2724" s="23">
        <v>-32700</v>
      </c>
      <c r="E2724" s="22" t="s">
        <v>45</v>
      </c>
      <c r="F2724" s="24">
        <v>44564</v>
      </c>
      <c r="G2724" s="22" t="s">
        <v>260</v>
      </c>
      <c r="H2724" s="22"/>
      <c r="I2724" s="22" t="s">
        <v>260</v>
      </c>
      <c r="J2724" s="22" t="s">
        <v>4401</v>
      </c>
      <c r="K2724" s="22" t="s">
        <v>66</v>
      </c>
      <c r="L2724" s="22"/>
      <c r="M2724" s="22"/>
      <c r="N2724" s="22"/>
    </row>
    <row r="2725" spans="1:14" x14ac:dyDescent="0.25">
      <c r="A2725" s="22" t="s">
        <v>261</v>
      </c>
      <c r="B2725" s="22" t="s">
        <v>39</v>
      </c>
      <c r="C2725" s="22" t="s">
        <v>7679</v>
      </c>
      <c r="D2725" s="23">
        <v>1542692</v>
      </c>
      <c r="E2725" s="22" t="s">
        <v>45</v>
      </c>
      <c r="F2725" s="24">
        <v>44564</v>
      </c>
      <c r="G2725" s="22" t="s">
        <v>260</v>
      </c>
      <c r="H2725" s="22"/>
      <c r="I2725" s="22" t="s">
        <v>260</v>
      </c>
      <c r="J2725" s="22" t="s">
        <v>4407</v>
      </c>
      <c r="K2725" s="22" t="s">
        <v>66</v>
      </c>
      <c r="L2725" s="22"/>
      <c r="M2725" s="22"/>
      <c r="N2725" s="22"/>
    </row>
    <row r="2726" spans="1:14" x14ac:dyDescent="0.25">
      <c r="A2726" s="22" t="s">
        <v>259</v>
      </c>
      <c r="B2726" s="22" t="s">
        <v>39</v>
      </c>
      <c r="C2726" s="22" t="s">
        <v>3760</v>
      </c>
      <c r="D2726" s="23">
        <v>32700</v>
      </c>
      <c r="E2726" s="22" t="s">
        <v>42</v>
      </c>
      <c r="F2726" s="24">
        <v>44537</v>
      </c>
      <c r="G2726" s="22" t="s">
        <v>260</v>
      </c>
      <c r="H2726" s="22" t="s">
        <v>227</v>
      </c>
      <c r="I2726" s="22" t="s">
        <v>258</v>
      </c>
      <c r="J2726" s="22" t="s">
        <v>4401</v>
      </c>
      <c r="K2726" s="22" t="s">
        <v>292</v>
      </c>
      <c r="L2726" s="22"/>
      <c r="M2726" s="22"/>
      <c r="N2726" s="22"/>
    </row>
    <row r="2727" spans="1:14" x14ac:dyDescent="0.25">
      <c r="A2727" s="22" t="s">
        <v>433</v>
      </c>
      <c r="B2727" s="22" t="s">
        <v>39</v>
      </c>
      <c r="C2727" s="22" t="s">
        <v>7681</v>
      </c>
      <c r="D2727" s="23">
        <v>-126200</v>
      </c>
      <c r="E2727" s="22" t="s">
        <v>57</v>
      </c>
      <c r="F2727" s="24">
        <v>44516</v>
      </c>
      <c r="G2727" s="22" t="s">
        <v>423</v>
      </c>
      <c r="H2727" s="22" t="s">
        <v>434</v>
      </c>
      <c r="I2727" s="22" t="s">
        <v>432</v>
      </c>
      <c r="J2727" s="22" t="s">
        <v>4466</v>
      </c>
      <c r="K2727" s="22" t="s">
        <v>61</v>
      </c>
      <c r="L2727" s="22"/>
      <c r="M2727" s="22"/>
      <c r="N2727" s="22"/>
    </row>
    <row r="2728" spans="1:14" x14ac:dyDescent="0.25">
      <c r="A2728" s="22" t="s">
        <v>424</v>
      </c>
      <c r="B2728" s="22" t="s">
        <v>39</v>
      </c>
      <c r="C2728" s="22" t="s">
        <v>7681</v>
      </c>
      <c r="D2728" s="23">
        <v>-1410675</v>
      </c>
      <c r="E2728" s="22" t="s">
        <v>57</v>
      </c>
      <c r="F2728" s="24">
        <v>44526</v>
      </c>
      <c r="G2728" s="22" t="s">
        <v>423</v>
      </c>
      <c r="H2728" s="22" t="s">
        <v>431</v>
      </c>
      <c r="I2728" s="22" t="s">
        <v>430</v>
      </c>
      <c r="J2728" s="22" t="s">
        <v>4466</v>
      </c>
      <c r="K2728" s="22" t="s">
        <v>61</v>
      </c>
      <c r="L2728" s="22"/>
      <c r="M2728" s="22"/>
      <c r="N2728" s="22"/>
    </row>
    <row r="2729" spans="1:14" x14ac:dyDescent="0.25">
      <c r="A2729" s="22" t="s">
        <v>429</v>
      </c>
      <c r="B2729" s="22" t="s">
        <v>39</v>
      </c>
      <c r="C2729" s="22" t="s">
        <v>7678</v>
      </c>
      <c r="D2729" s="23">
        <v>-31600</v>
      </c>
      <c r="E2729" s="22" t="s">
        <v>57</v>
      </c>
      <c r="F2729" s="24">
        <v>44523</v>
      </c>
      <c r="G2729" s="22" t="s">
        <v>423</v>
      </c>
      <c r="H2729" s="22" t="s">
        <v>427</v>
      </c>
      <c r="I2729" s="22" t="s">
        <v>428</v>
      </c>
      <c r="J2729" s="22" t="s">
        <v>4407</v>
      </c>
      <c r="K2729" s="22" t="s">
        <v>66</v>
      </c>
      <c r="L2729" s="22"/>
      <c r="M2729" s="22"/>
      <c r="N2729" s="22"/>
    </row>
    <row r="2730" spans="1:14" x14ac:dyDescent="0.25">
      <c r="A2730" s="22" t="s">
        <v>426</v>
      </c>
      <c r="B2730" s="22" t="s">
        <v>39</v>
      </c>
      <c r="C2730" s="22" t="s">
        <v>7678</v>
      </c>
      <c r="D2730" s="23">
        <v>-84600</v>
      </c>
      <c r="E2730" s="22" t="s">
        <v>57</v>
      </c>
      <c r="F2730" s="24">
        <v>44525</v>
      </c>
      <c r="G2730" s="22" t="s">
        <v>423</v>
      </c>
      <c r="H2730" s="22" t="s">
        <v>427</v>
      </c>
      <c r="I2730" s="22" t="s">
        <v>425</v>
      </c>
      <c r="J2730" s="22" t="s">
        <v>4407</v>
      </c>
      <c r="K2730" s="22" t="s">
        <v>66</v>
      </c>
      <c r="L2730" s="22"/>
      <c r="M2730" s="22"/>
      <c r="N2730" s="22"/>
    </row>
    <row r="2731" spans="1:14" x14ac:dyDescent="0.25">
      <c r="A2731" s="22" t="s">
        <v>424</v>
      </c>
      <c r="B2731" s="22" t="s">
        <v>39</v>
      </c>
      <c r="C2731" s="22" t="s">
        <v>7685</v>
      </c>
      <c r="D2731" s="23">
        <v>-102284</v>
      </c>
      <c r="E2731" s="22" t="s">
        <v>45</v>
      </c>
      <c r="F2731" s="24">
        <v>44526</v>
      </c>
      <c r="G2731" s="22" t="s">
        <v>423</v>
      </c>
      <c r="H2731" s="22"/>
      <c r="I2731" s="22" t="s">
        <v>423</v>
      </c>
      <c r="J2731" s="22" t="s">
        <v>4466</v>
      </c>
      <c r="K2731" s="22" t="s">
        <v>61</v>
      </c>
      <c r="L2731" s="22"/>
      <c r="M2731" s="22"/>
      <c r="N2731" s="22"/>
    </row>
    <row r="2732" spans="1:14" x14ac:dyDescent="0.25">
      <c r="A2732" s="22" t="s">
        <v>424</v>
      </c>
      <c r="B2732" s="22" t="s">
        <v>39</v>
      </c>
      <c r="C2732" s="22" t="s">
        <v>7685</v>
      </c>
      <c r="D2732" s="23">
        <v>116200</v>
      </c>
      <c r="E2732" s="22" t="s">
        <v>45</v>
      </c>
      <c r="F2732" s="24">
        <v>44526</v>
      </c>
      <c r="G2732" s="22" t="s">
        <v>423</v>
      </c>
      <c r="H2732" s="22"/>
      <c r="I2732" s="22" t="s">
        <v>423</v>
      </c>
      <c r="J2732" s="22" t="s">
        <v>4407</v>
      </c>
      <c r="K2732" s="22" t="s">
        <v>61</v>
      </c>
      <c r="L2732" s="22"/>
      <c r="M2732" s="22"/>
      <c r="N2732" s="22"/>
    </row>
    <row r="2733" spans="1:14" x14ac:dyDescent="0.25">
      <c r="A2733" s="22" t="s">
        <v>1415</v>
      </c>
      <c r="B2733" s="22" t="s">
        <v>39</v>
      </c>
      <c r="C2733" s="22" t="s">
        <v>3566</v>
      </c>
      <c r="D2733" s="23">
        <v>1639159</v>
      </c>
      <c r="E2733" s="22" t="s">
        <v>42</v>
      </c>
      <c r="F2733" s="24">
        <v>44608</v>
      </c>
      <c r="G2733" s="22" t="s">
        <v>423</v>
      </c>
      <c r="H2733" s="22" t="s">
        <v>520</v>
      </c>
      <c r="I2733" s="22" t="s">
        <v>1414</v>
      </c>
      <c r="J2733" s="22" t="s">
        <v>4466</v>
      </c>
      <c r="K2733" s="22" t="s">
        <v>292</v>
      </c>
      <c r="L2733" s="22"/>
      <c r="M2733" s="22"/>
      <c r="N2733" s="22"/>
    </row>
    <row r="2734" spans="1:14" x14ac:dyDescent="0.25">
      <c r="A2734" s="22" t="s">
        <v>255</v>
      </c>
      <c r="B2734" s="22" t="s">
        <v>39</v>
      </c>
      <c r="C2734" s="22" t="s">
        <v>96</v>
      </c>
      <c r="D2734" s="23">
        <v>-979421</v>
      </c>
      <c r="E2734" s="22" t="s">
        <v>45</v>
      </c>
      <c r="F2734" s="24">
        <v>44530</v>
      </c>
      <c r="G2734" s="22" t="s">
        <v>254</v>
      </c>
      <c r="H2734" s="22" t="s">
        <v>257</v>
      </c>
      <c r="I2734" s="22" t="s">
        <v>256</v>
      </c>
      <c r="J2734" s="22" t="s">
        <v>4407</v>
      </c>
      <c r="K2734" s="22" t="s">
        <v>66</v>
      </c>
      <c r="L2734" s="22"/>
      <c r="M2734" s="22"/>
      <c r="N2734" s="22"/>
    </row>
    <row r="2735" spans="1:14" x14ac:dyDescent="0.25">
      <c r="A2735" s="22" t="s">
        <v>255</v>
      </c>
      <c r="B2735" s="22" t="s">
        <v>39</v>
      </c>
      <c r="C2735" s="22" t="s">
        <v>7679</v>
      </c>
      <c r="D2735" s="23">
        <v>-393853</v>
      </c>
      <c r="E2735" s="22" t="s">
        <v>45</v>
      </c>
      <c r="F2735" s="24">
        <v>44530</v>
      </c>
      <c r="G2735" s="22" t="s">
        <v>254</v>
      </c>
      <c r="H2735" s="22"/>
      <c r="I2735" s="22" t="s">
        <v>254</v>
      </c>
      <c r="J2735" s="22" t="s">
        <v>4466</v>
      </c>
      <c r="K2735" s="22" t="s">
        <v>66</v>
      </c>
      <c r="L2735" s="22"/>
      <c r="M2735" s="22"/>
      <c r="N2735" s="22"/>
    </row>
    <row r="2736" spans="1:14" x14ac:dyDescent="0.25">
      <c r="A2736" s="22" t="s">
        <v>255</v>
      </c>
      <c r="B2736" s="22" t="s">
        <v>39</v>
      </c>
      <c r="C2736" s="22" t="s">
        <v>7679</v>
      </c>
      <c r="D2736" s="23">
        <v>979421</v>
      </c>
      <c r="E2736" s="22" t="s">
        <v>45</v>
      </c>
      <c r="F2736" s="24">
        <v>44530</v>
      </c>
      <c r="G2736" s="22" t="s">
        <v>254</v>
      </c>
      <c r="H2736" s="22"/>
      <c r="I2736" s="22" t="s">
        <v>254</v>
      </c>
      <c r="J2736" s="22" t="s">
        <v>4407</v>
      </c>
      <c r="K2736" s="22" t="s">
        <v>66</v>
      </c>
      <c r="L2736" s="22"/>
      <c r="M2736" s="22"/>
      <c r="N2736" s="22"/>
    </row>
    <row r="2737" spans="1:14" x14ac:dyDescent="0.25">
      <c r="A2737" s="22" t="s">
        <v>253</v>
      </c>
      <c r="B2737" s="22" t="s">
        <v>39</v>
      </c>
      <c r="C2737" s="22" t="s">
        <v>40</v>
      </c>
      <c r="D2737" s="23">
        <v>393853</v>
      </c>
      <c r="E2737" s="22" t="s">
        <v>42</v>
      </c>
      <c r="F2737" s="24">
        <v>44580</v>
      </c>
      <c r="G2737" s="22" t="s">
        <v>254</v>
      </c>
      <c r="H2737" s="22" t="s">
        <v>49</v>
      </c>
      <c r="I2737" s="22" t="s">
        <v>252</v>
      </c>
      <c r="J2737" s="22" t="s">
        <v>4466</v>
      </c>
      <c r="K2737" s="22" t="s">
        <v>292</v>
      </c>
      <c r="L2737" s="22"/>
      <c r="M2737" s="22"/>
      <c r="N2737" s="22"/>
    </row>
    <row r="2738" spans="1:14" x14ac:dyDescent="0.25">
      <c r="A2738" s="22" t="s">
        <v>261</v>
      </c>
      <c r="B2738" s="22" t="s">
        <v>39</v>
      </c>
      <c r="C2738" s="22" t="s">
        <v>7682</v>
      </c>
      <c r="D2738" s="23">
        <v>-1509992</v>
      </c>
      <c r="E2738" s="22" t="s">
        <v>45</v>
      </c>
      <c r="F2738" s="24">
        <v>44564</v>
      </c>
      <c r="G2738" s="22" t="s">
        <v>403</v>
      </c>
      <c r="H2738" s="22" t="s">
        <v>1413</v>
      </c>
      <c r="I2738" s="22" t="s">
        <v>260</v>
      </c>
      <c r="J2738" s="22" t="s">
        <v>4407</v>
      </c>
      <c r="K2738" s="22" t="s">
        <v>66</v>
      </c>
      <c r="L2738" s="22"/>
      <c r="M2738" s="22"/>
      <c r="N2738" s="22"/>
    </row>
    <row r="2739" spans="1:14" x14ac:dyDescent="0.25">
      <c r="A2739" s="22" t="s">
        <v>238</v>
      </c>
      <c r="B2739" s="22" t="s">
        <v>39</v>
      </c>
      <c r="C2739" s="22" t="s">
        <v>7680</v>
      </c>
      <c r="D2739" s="23">
        <v>-28526</v>
      </c>
      <c r="E2739" s="22" t="s">
        <v>45</v>
      </c>
      <c r="F2739" s="24">
        <v>44559</v>
      </c>
      <c r="G2739" s="22" t="s">
        <v>403</v>
      </c>
      <c r="H2739" s="22" t="s">
        <v>1412</v>
      </c>
      <c r="I2739" s="22" t="s">
        <v>237</v>
      </c>
      <c r="J2739" s="22" t="s">
        <v>4552</v>
      </c>
      <c r="K2739" s="22" t="s">
        <v>61</v>
      </c>
      <c r="L2739" s="22"/>
      <c r="M2739" s="22"/>
      <c r="N2739" s="22"/>
    </row>
    <row r="2740" spans="1:14" x14ac:dyDescent="0.25">
      <c r="A2740" s="22" t="s">
        <v>267</v>
      </c>
      <c r="B2740" s="22" t="s">
        <v>39</v>
      </c>
      <c r="C2740" s="22" t="s">
        <v>7680</v>
      </c>
      <c r="D2740" s="23">
        <v>-347148</v>
      </c>
      <c r="E2740" s="22" t="s">
        <v>45</v>
      </c>
      <c r="F2740" s="24">
        <v>44541</v>
      </c>
      <c r="G2740" s="22" t="s">
        <v>403</v>
      </c>
      <c r="H2740" s="22" t="s">
        <v>1411</v>
      </c>
      <c r="I2740" s="22" t="s">
        <v>266</v>
      </c>
      <c r="J2740" s="22" t="s">
        <v>4552</v>
      </c>
      <c r="K2740" s="22" t="s">
        <v>61</v>
      </c>
      <c r="L2740" s="22"/>
      <c r="M2740" s="22"/>
      <c r="N2740" s="22"/>
    </row>
    <row r="2741" spans="1:14" x14ac:dyDescent="0.25">
      <c r="A2741" s="22" t="s">
        <v>349</v>
      </c>
      <c r="B2741" s="22" t="s">
        <v>39</v>
      </c>
      <c r="C2741" s="22" t="s">
        <v>7575</v>
      </c>
      <c r="D2741" s="23">
        <v>-15857</v>
      </c>
      <c r="E2741" s="22" t="s">
        <v>45</v>
      </c>
      <c r="F2741" s="24">
        <v>44479</v>
      </c>
      <c r="G2741" s="22" t="s">
        <v>403</v>
      </c>
      <c r="H2741" s="22" t="s">
        <v>1410</v>
      </c>
      <c r="I2741" s="22" t="s">
        <v>348</v>
      </c>
      <c r="J2741" s="22" t="s">
        <v>4407</v>
      </c>
      <c r="K2741" s="22" t="s">
        <v>66</v>
      </c>
      <c r="L2741" s="22"/>
      <c r="M2741" s="22"/>
      <c r="N2741" s="22"/>
    </row>
    <row r="2742" spans="1:14" x14ac:dyDescent="0.25">
      <c r="A2742" s="22" t="s">
        <v>1409</v>
      </c>
      <c r="B2742" s="22" t="s">
        <v>39</v>
      </c>
      <c r="C2742" s="22" t="s">
        <v>92</v>
      </c>
      <c r="D2742" s="23">
        <v>-382600</v>
      </c>
      <c r="E2742" s="22" t="s">
        <v>57</v>
      </c>
      <c r="F2742" s="24">
        <v>44504</v>
      </c>
      <c r="G2742" s="22" t="s">
        <v>403</v>
      </c>
      <c r="H2742" s="22" t="s">
        <v>282</v>
      </c>
      <c r="I2742" s="22" t="s">
        <v>1408</v>
      </c>
      <c r="J2742" s="22" t="s">
        <v>4552</v>
      </c>
      <c r="K2742" s="22" t="s">
        <v>61</v>
      </c>
      <c r="L2742" s="22"/>
      <c r="M2742" s="22"/>
      <c r="N2742" s="22"/>
    </row>
    <row r="2743" spans="1:14" x14ac:dyDescent="0.25">
      <c r="A2743" s="22" t="s">
        <v>277</v>
      </c>
      <c r="B2743" s="22" t="s">
        <v>39</v>
      </c>
      <c r="C2743" s="22" t="s">
        <v>92</v>
      </c>
      <c r="D2743" s="23">
        <v>-124827</v>
      </c>
      <c r="E2743" s="22" t="s">
        <v>45</v>
      </c>
      <c r="F2743" s="24">
        <v>44503</v>
      </c>
      <c r="G2743" s="22" t="s">
        <v>403</v>
      </c>
      <c r="H2743" s="22" t="s">
        <v>1407</v>
      </c>
      <c r="I2743" s="22" t="s">
        <v>275</v>
      </c>
      <c r="J2743" s="22" t="s">
        <v>4552</v>
      </c>
      <c r="K2743" s="22" t="s">
        <v>61</v>
      </c>
      <c r="L2743" s="22"/>
      <c r="M2743" s="22"/>
      <c r="N2743" s="22"/>
    </row>
    <row r="2744" spans="1:14" x14ac:dyDescent="0.25">
      <c r="A2744" s="22" t="s">
        <v>1406</v>
      </c>
      <c r="B2744" s="22" t="s">
        <v>39</v>
      </c>
      <c r="C2744" s="22" t="s">
        <v>7686</v>
      </c>
      <c r="D2744" s="23">
        <v>-891000</v>
      </c>
      <c r="E2744" s="22" t="s">
        <v>57</v>
      </c>
      <c r="F2744" s="24">
        <v>44505</v>
      </c>
      <c r="G2744" s="22" t="s">
        <v>403</v>
      </c>
      <c r="H2744" s="22" t="s">
        <v>494</v>
      </c>
      <c r="I2744" s="22" t="s">
        <v>1405</v>
      </c>
      <c r="J2744" s="22" t="s">
        <v>4552</v>
      </c>
      <c r="K2744" s="22" t="s">
        <v>61</v>
      </c>
      <c r="L2744" s="22"/>
      <c r="M2744" s="22"/>
      <c r="N2744" s="22"/>
    </row>
    <row r="2745" spans="1:14" x14ac:dyDescent="0.25">
      <c r="A2745" s="22" t="s">
        <v>1404</v>
      </c>
      <c r="B2745" s="22" t="s">
        <v>39</v>
      </c>
      <c r="C2745" s="22" t="s">
        <v>7686</v>
      </c>
      <c r="D2745" s="23">
        <v>-208300</v>
      </c>
      <c r="E2745" s="22" t="s">
        <v>57</v>
      </c>
      <c r="F2745" s="24">
        <v>44505</v>
      </c>
      <c r="G2745" s="22" t="s">
        <v>403</v>
      </c>
      <c r="H2745" s="22" t="s">
        <v>478</v>
      </c>
      <c r="I2745" s="22" t="s">
        <v>1403</v>
      </c>
      <c r="J2745" s="22" t="s">
        <v>4552</v>
      </c>
      <c r="K2745" s="22" t="s">
        <v>61</v>
      </c>
      <c r="L2745" s="22"/>
      <c r="M2745" s="22"/>
      <c r="N2745" s="22"/>
    </row>
    <row r="2746" spans="1:14" x14ac:dyDescent="0.25">
      <c r="A2746" s="22" t="s">
        <v>219</v>
      </c>
      <c r="B2746" s="22" t="s">
        <v>39</v>
      </c>
      <c r="C2746" s="22" t="s">
        <v>96</v>
      </c>
      <c r="D2746" s="23">
        <v>-62127</v>
      </c>
      <c r="E2746" s="22" t="s">
        <v>45</v>
      </c>
      <c r="F2746" s="24">
        <v>44511</v>
      </c>
      <c r="G2746" s="22" t="s">
        <v>403</v>
      </c>
      <c r="H2746" s="22" t="s">
        <v>1402</v>
      </c>
      <c r="I2746" s="22" t="s">
        <v>205</v>
      </c>
      <c r="J2746" s="22" t="s">
        <v>4407</v>
      </c>
      <c r="K2746" s="22" t="s">
        <v>66</v>
      </c>
      <c r="L2746" s="22"/>
      <c r="M2746" s="22"/>
      <c r="N2746" s="22"/>
    </row>
    <row r="2747" spans="1:14" x14ac:dyDescent="0.25">
      <c r="A2747" s="22" t="s">
        <v>255</v>
      </c>
      <c r="B2747" s="22" t="s">
        <v>39</v>
      </c>
      <c r="C2747" s="22" t="s">
        <v>96</v>
      </c>
      <c r="D2747" s="23">
        <v>-585568</v>
      </c>
      <c r="E2747" s="22" t="s">
        <v>45</v>
      </c>
      <c r="F2747" s="24">
        <v>44530</v>
      </c>
      <c r="G2747" s="22" t="s">
        <v>403</v>
      </c>
      <c r="H2747" s="22" t="s">
        <v>1401</v>
      </c>
      <c r="I2747" s="22" t="s">
        <v>254</v>
      </c>
      <c r="J2747" s="22" t="s">
        <v>4407</v>
      </c>
      <c r="K2747" s="22" t="s">
        <v>66</v>
      </c>
      <c r="L2747" s="22"/>
      <c r="M2747" s="22"/>
      <c r="N2747" s="22"/>
    </row>
    <row r="2748" spans="1:14" x14ac:dyDescent="0.25">
      <c r="A2748" s="22" t="s">
        <v>424</v>
      </c>
      <c r="B2748" s="22" t="s">
        <v>39</v>
      </c>
      <c r="C2748" s="22" t="s">
        <v>7681</v>
      </c>
      <c r="D2748" s="23">
        <v>-13916</v>
      </c>
      <c r="E2748" s="22" t="s">
        <v>45</v>
      </c>
      <c r="F2748" s="24">
        <v>44526</v>
      </c>
      <c r="G2748" s="22" t="s">
        <v>403</v>
      </c>
      <c r="H2748" s="22" t="s">
        <v>1400</v>
      </c>
      <c r="I2748" s="22" t="s">
        <v>423</v>
      </c>
      <c r="J2748" s="22" t="s">
        <v>4466</v>
      </c>
      <c r="K2748" s="22" t="s">
        <v>61</v>
      </c>
      <c r="L2748" s="22"/>
      <c r="M2748" s="22"/>
      <c r="N2748" s="22"/>
    </row>
    <row r="2749" spans="1:14" x14ac:dyDescent="0.25">
      <c r="A2749" s="22" t="s">
        <v>267</v>
      </c>
      <c r="B2749" s="22" t="s">
        <v>39</v>
      </c>
      <c r="C2749" s="22" t="s">
        <v>7679</v>
      </c>
      <c r="D2749" s="23">
        <v>13916</v>
      </c>
      <c r="E2749" s="22" t="s">
        <v>45</v>
      </c>
      <c r="F2749" s="24">
        <v>44541</v>
      </c>
      <c r="G2749" s="22" t="s">
        <v>403</v>
      </c>
      <c r="H2749" s="22"/>
      <c r="I2749" s="22" t="s">
        <v>403</v>
      </c>
      <c r="J2749" s="22" t="s">
        <v>4466</v>
      </c>
      <c r="K2749" s="22" t="s">
        <v>61</v>
      </c>
      <c r="L2749" s="22"/>
      <c r="M2749" s="22"/>
      <c r="N2749" s="22"/>
    </row>
    <row r="2750" spans="1:14" x14ac:dyDescent="0.25">
      <c r="A2750" s="22" t="s">
        <v>267</v>
      </c>
      <c r="B2750" s="22" t="s">
        <v>39</v>
      </c>
      <c r="C2750" s="22" t="s">
        <v>7679</v>
      </c>
      <c r="D2750" s="23">
        <v>1982401</v>
      </c>
      <c r="E2750" s="22" t="s">
        <v>45</v>
      </c>
      <c r="F2750" s="24">
        <v>44541</v>
      </c>
      <c r="G2750" s="22" t="s">
        <v>403</v>
      </c>
      <c r="H2750" s="22"/>
      <c r="I2750" s="22" t="s">
        <v>403</v>
      </c>
      <c r="J2750" s="22" t="s">
        <v>4552</v>
      </c>
      <c r="K2750" s="22" t="s">
        <v>61</v>
      </c>
      <c r="L2750" s="22"/>
      <c r="M2750" s="22"/>
      <c r="N2750" s="22"/>
    </row>
    <row r="2751" spans="1:14" x14ac:dyDescent="0.25">
      <c r="A2751" s="22" t="s">
        <v>267</v>
      </c>
      <c r="B2751" s="22" t="s">
        <v>39</v>
      </c>
      <c r="C2751" s="22" t="s">
        <v>7679</v>
      </c>
      <c r="D2751" s="23">
        <v>-3876435</v>
      </c>
      <c r="E2751" s="22" t="s">
        <v>45</v>
      </c>
      <c r="F2751" s="24">
        <v>44541</v>
      </c>
      <c r="G2751" s="22" t="s">
        <v>403</v>
      </c>
      <c r="H2751" s="22"/>
      <c r="I2751" s="22" t="s">
        <v>403</v>
      </c>
      <c r="J2751" s="22" t="s">
        <v>4401</v>
      </c>
      <c r="K2751" s="22" t="s">
        <v>61</v>
      </c>
      <c r="L2751" s="22"/>
      <c r="M2751" s="22"/>
      <c r="N2751" s="22"/>
    </row>
    <row r="2752" spans="1:14" x14ac:dyDescent="0.25">
      <c r="A2752" s="22" t="s">
        <v>267</v>
      </c>
      <c r="B2752" s="22" t="s">
        <v>39</v>
      </c>
      <c r="C2752" s="22" t="s">
        <v>7679</v>
      </c>
      <c r="D2752" s="23">
        <v>2173544</v>
      </c>
      <c r="E2752" s="22" t="s">
        <v>45</v>
      </c>
      <c r="F2752" s="24">
        <v>44541</v>
      </c>
      <c r="G2752" s="22" t="s">
        <v>403</v>
      </c>
      <c r="H2752" s="22"/>
      <c r="I2752" s="22" t="s">
        <v>403</v>
      </c>
      <c r="J2752" s="22" t="s">
        <v>4407</v>
      </c>
      <c r="K2752" s="22" t="s">
        <v>61</v>
      </c>
      <c r="L2752" s="22"/>
      <c r="M2752" s="22"/>
      <c r="N2752" s="22"/>
    </row>
    <row r="2753" spans="1:14" x14ac:dyDescent="0.25">
      <c r="A2753" s="22" t="s">
        <v>1399</v>
      </c>
      <c r="B2753" s="22" t="s">
        <v>39</v>
      </c>
      <c r="C2753" s="22" t="s">
        <v>40</v>
      </c>
      <c r="D2753" s="23">
        <v>3876435</v>
      </c>
      <c r="E2753" s="22" t="s">
        <v>42</v>
      </c>
      <c r="F2753" s="24">
        <v>44599</v>
      </c>
      <c r="G2753" s="22" t="s">
        <v>403</v>
      </c>
      <c r="H2753" s="22" t="s">
        <v>43</v>
      </c>
      <c r="I2753" s="22" t="s">
        <v>1398</v>
      </c>
      <c r="J2753" s="22" t="s">
        <v>4401</v>
      </c>
      <c r="K2753" s="22" t="s">
        <v>292</v>
      </c>
      <c r="L2753" s="22"/>
      <c r="M2753" s="22"/>
      <c r="N2753" s="22"/>
    </row>
    <row r="2754" spans="1:14" x14ac:dyDescent="0.25">
      <c r="A2754" s="22" t="s">
        <v>251</v>
      </c>
      <c r="B2754" s="22" t="s">
        <v>39</v>
      </c>
      <c r="C2754" s="22" t="s">
        <v>7682</v>
      </c>
      <c r="D2754" s="23">
        <v>-3094378</v>
      </c>
      <c r="E2754" s="22" t="s">
        <v>57</v>
      </c>
      <c r="F2754" s="24">
        <v>44543</v>
      </c>
      <c r="G2754" s="22" t="s">
        <v>248</v>
      </c>
      <c r="H2754" s="22" t="s">
        <v>249</v>
      </c>
      <c r="I2754" s="22" t="s">
        <v>250</v>
      </c>
      <c r="J2754" s="22" t="s">
        <v>4407</v>
      </c>
      <c r="K2754" s="22" t="s">
        <v>66</v>
      </c>
      <c r="L2754" s="22"/>
      <c r="M2754" s="22"/>
      <c r="N2754" s="22"/>
    </row>
    <row r="2755" spans="1:14" x14ac:dyDescent="0.25">
      <c r="A2755" s="22" t="s">
        <v>247</v>
      </c>
      <c r="B2755" s="22" t="s">
        <v>39</v>
      </c>
      <c r="C2755" s="22" t="s">
        <v>96</v>
      </c>
      <c r="D2755" s="23">
        <v>-1461830</v>
      </c>
      <c r="E2755" s="22" t="s">
        <v>57</v>
      </c>
      <c r="F2755" s="24">
        <v>44518</v>
      </c>
      <c r="G2755" s="22" t="s">
        <v>248</v>
      </c>
      <c r="H2755" s="22" t="s">
        <v>249</v>
      </c>
      <c r="I2755" s="22" t="s">
        <v>246</v>
      </c>
      <c r="J2755" s="22" t="s">
        <v>4407</v>
      </c>
      <c r="K2755" s="22" t="s">
        <v>66</v>
      </c>
      <c r="L2755" s="22"/>
      <c r="M2755" s="22"/>
      <c r="N2755" s="22"/>
    </row>
    <row r="2756" spans="1:14" x14ac:dyDescent="0.25">
      <c r="A2756" s="22" t="s">
        <v>522</v>
      </c>
      <c r="B2756" s="22" t="s">
        <v>39</v>
      </c>
      <c r="C2756" s="22" t="s">
        <v>96</v>
      </c>
      <c r="D2756" s="23">
        <v>-217519</v>
      </c>
      <c r="E2756" s="22" t="s">
        <v>57</v>
      </c>
      <c r="F2756" s="24">
        <v>44531</v>
      </c>
      <c r="G2756" s="22" t="s">
        <v>248</v>
      </c>
      <c r="H2756" s="22" t="s">
        <v>249</v>
      </c>
      <c r="I2756" s="22" t="s">
        <v>521</v>
      </c>
      <c r="J2756" s="22" t="s">
        <v>4407</v>
      </c>
      <c r="K2756" s="22" t="s">
        <v>66</v>
      </c>
      <c r="L2756" s="22"/>
      <c r="M2756" s="22"/>
      <c r="N2756" s="22"/>
    </row>
    <row r="2757" spans="1:14" x14ac:dyDescent="0.25">
      <c r="A2757" s="22" t="s">
        <v>251</v>
      </c>
      <c r="B2757" s="22" t="s">
        <v>39</v>
      </c>
      <c r="C2757" s="22" t="s">
        <v>7679</v>
      </c>
      <c r="D2757" s="23">
        <v>-4641207</v>
      </c>
      <c r="E2757" s="22" t="s">
        <v>45</v>
      </c>
      <c r="F2757" s="24">
        <v>44543</v>
      </c>
      <c r="G2757" s="22" t="s">
        <v>248</v>
      </c>
      <c r="H2757" s="22"/>
      <c r="I2757" s="22" t="s">
        <v>248</v>
      </c>
      <c r="J2757" s="22" t="s">
        <v>4401</v>
      </c>
      <c r="K2757" s="22" t="s">
        <v>66</v>
      </c>
      <c r="L2757" s="22"/>
      <c r="M2757" s="22"/>
      <c r="N2757" s="22"/>
    </row>
    <row r="2758" spans="1:14" x14ac:dyDescent="0.25">
      <c r="A2758" s="22" t="s">
        <v>251</v>
      </c>
      <c r="B2758" s="22" t="s">
        <v>39</v>
      </c>
      <c r="C2758" s="22" t="s">
        <v>7679</v>
      </c>
      <c r="D2758" s="23">
        <v>4773727</v>
      </c>
      <c r="E2758" s="22" t="s">
        <v>45</v>
      </c>
      <c r="F2758" s="24">
        <v>44543</v>
      </c>
      <c r="G2758" s="22" t="s">
        <v>248</v>
      </c>
      <c r="H2758" s="22"/>
      <c r="I2758" s="22" t="s">
        <v>248</v>
      </c>
      <c r="J2758" s="22" t="s">
        <v>4407</v>
      </c>
      <c r="K2758" s="22" t="s">
        <v>66</v>
      </c>
      <c r="L2758" s="22"/>
      <c r="M2758" s="22"/>
      <c r="N2758" s="22"/>
    </row>
    <row r="2759" spans="1:14" x14ac:dyDescent="0.25">
      <c r="A2759" s="22" t="s">
        <v>519</v>
      </c>
      <c r="B2759" s="22" t="s">
        <v>39</v>
      </c>
      <c r="C2759" s="22" t="s">
        <v>40</v>
      </c>
      <c r="D2759" s="23">
        <v>4641207</v>
      </c>
      <c r="E2759" s="22" t="s">
        <v>42</v>
      </c>
      <c r="F2759" s="24">
        <v>44580</v>
      </c>
      <c r="G2759" s="22" t="s">
        <v>248</v>
      </c>
      <c r="H2759" s="22" t="s">
        <v>520</v>
      </c>
      <c r="I2759" s="22" t="s">
        <v>518</v>
      </c>
      <c r="J2759" s="22" t="s">
        <v>4401</v>
      </c>
      <c r="K2759" s="22" t="s">
        <v>292</v>
      </c>
      <c r="L2759" s="22"/>
      <c r="M2759" s="22"/>
      <c r="N2759" s="22"/>
    </row>
    <row r="2760" spans="1:14" x14ac:dyDescent="0.25">
      <c r="A2760" s="22" t="s">
        <v>468</v>
      </c>
      <c r="B2760" s="22" t="s">
        <v>39</v>
      </c>
      <c r="C2760" s="22" t="s">
        <v>96</v>
      </c>
      <c r="D2760" s="23">
        <v>-6890673</v>
      </c>
      <c r="E2760" s="22" t="s">
        <v>57</v>
      </c>
      <c r="F2760" s="24">
        <v>44526</v>
      </c>
      <c r="G2760" s="22" t="s">
        <v>467</v>
      </c>
      <c r="H2760" s="22" t="s">
        <v>399</v>
      </c>
      <c r="I2760" s="22" t="s">
        <v>517</v>
      </c>
      <c r="J2760" s="22" t="s">
        <v>4407</v>
      </c>
      <c r="K2760" s="22" t="s">
        <v>66</v>
      </c>
      <c r="L2760" s="22"/>
      <c r="M2760" s="22"/>
      <c r="N2760" s="22"/>
    </row>
    <row r="2761" spans="1:14" x14ac:dyDescent="0.25">
      <c r="A2761" s="22" t="s">
        <v>468</v>
      </c>
      <c r="B2761" s="22" t="s">
        <v>39</v>
      </c>
      <c r="C2761" s="22" t="s">
        <v>7679</v>
      </c>
      <c r="D2761" s="23">
        <v>-6032217</v>
      </c>
      <c r="E2761" s="22" t="s">
        <v>45</v>
      </c>
      <c r="F2761" s="24">
        <v>44526</v>
      </c>
      <c r="G2761" s="22" t="s">
        <v>467</v>
      </c>
      <c r="H2761" s="22"/>
      <c r="I2761" s="22" t="s">
        <v>467</v>
      </c>
      <c r="J2761" s="22" t="s">
        <v>4401</v>
      </c>
      <c r="K2761" s="22" t="s">
        <v>66</v>
      </c>
      <c r="L2761" s="22"/>
      <c r="M2761" s="22"/>
      <c r="N2761" s="22"/>
    </row>
    <row r="2762" spans="1:14" x14ac:dyDescent="0.25">
      <c r="A2762" s="22" t="s">
        <v>468</v>
      </c>
      <c r="B2762" s="22" t="s">
        <v>39</v>
      </c>
      <c r="C2762" s="22" t="s">
        <v>7679</v>
      </c>
      <c r="D2762" s="23">
        <v>6890673</v>
      </c>
      <c r="E2762" s="22" t="s">
        <v>45</v>
      </c>
      <c r="F2762" s="24">
        <v>44526</v>
      </c>
      <c r="G2762" s="22" t="s">
        <v>467</v>
      </c>
      <c r="H2762" s="22"/>
      <c r="I2762" s="22" t="s">
        <v>467</v>
      </c>
      <c r="J2762" s="22" t="s">
        <v>4407</v>
      </c>
      <c r="K2762" s="22" t="s">
        <v>66</v>
      </c>
      <c r="L2762" s="22"/>
      <c r="M2762" s="22"/>
      <c r="N2762" s="22"/>
    </row>
    <row r="2763" spans="1:14" x14ac:dyDescent="0.25">
      <c r="A2763" s="22" t="s">
        <v>515</v>
      </c>
      <c r="B2763" s="22" t="s">
        <v>39</v>
      </c>
      <c r="C2763" s="22" t="s">
        <v>40</v>
      </c>
      <c r="D2763" s="23">
        <v>6032217</v>
      </c>
      <c r="E2763" s="22" t="s">
        <v>42</v>
      </c>
      <c r="F2763" s="24">
        <v>44537</v>
      </c>
      <c r="G2763" s="22" t="s">
        <v>467</v>
      </c>
      <c r="H2763" s="22" t="s">
        <v>516</v>
      </c>
      <c r="I2763" s="22" t="s">
        <v>514</v>
      </c>
      <c r="J2763" s="22" t="s">
        <v>4401</v>
      </c>
      <c r="K2763" s="22" t="s">
        <v>292</v>
      </c>
      <c r="L2763" s="22"/>
      <c r="M2763" s="22"/>
      <c r="N2763" s="22"/>
    </row>
    <row r="2764" spans="1:14" x14ac:dyDescent="0.25">
      <c r="A2764" s="22" t="s">
        <v>513</v>
      </c>
      <c r="B2764" s="22" t="s">
        <v>39</v>
      </c>
      <c r="C2764" s="22" t="s">
        <v>7682</v>
      </c>
      <c r="D2764" s="23">
        <v>-79148</v>
      </c>
      <c r="E2764" s="22" t="s">
        <v>57</v>
      </c>
      <c r="F2764" s="24">
        <v>44542</v>
      </c>
      <c r="G2764" s="22" t="s">
        <v>400</v>
      </c>
      <c r="H2764" s="22" t="s">
        <v>505</v>
      </c>
      <c r="I2764" s="22" t="s">
        <v>512</v>
      </c>
      <c r="J2764" s="22" t="s">
        <v>4407</v>
      </c>
      <c r="K2764" s="22" t="s">
        <v>66</v>
      </c>
      <c r="L2764" s="22"/>
      <c r="M2764" s="22"/>
      <c r="N2764" s="22"/>
    </row>
    <row r="2765" spans="1:14" x14ac:dyDescent="0.25">
      <c r="A2765" s="22" t="s">
        <v>401</v>
      </c>
      <c r="B2765" s="22" t="s">
        <v>39</v>
      </c>
      <c r="C2765" s="22" t="s">
        <v>7680</v>
      </c>
      <c r="D2765" s="23">
        <v>-154724</v>
      </c>
      <c r="E2765" s="22" t="s">
        <v>57</v>
      </c>
      <c r="F2765" s="24">
        <v>44532</v>
      </c>
      <c r="G2765" s="22" t="s">
        <v>400</v>
      </c>
      <c r="H2765" s="22" t="s">
        <v>511</v>
      </c>
      <c r="I2765" s="22" t="s">
        <v>510</v>
      </c>
      <c r="J2765" s="22" t="s">
        <v>4552</v>
      </c>
      <c r="K2765" s="22" t="s">
        <v>61</v>
      </c>
      <c r="L2765" s="22"/>
      <c r="M2765" s="22"/>
      <c r="N2765" s="22"/>
    </row>
    <row r="2766" spans="1:14" x14ac:dyDescent="0.25">
      <c r="A2766" s="22" t="s">
        <v>509</v>
      </c>
      <c r="B2766" s="22" t="s">
        <v>39</v>
      </c>
      <c r="C2766" s="22" t="s">
        <v>7680</v>
      </c>
      <c r="D2766" s="23">
        <v>-176400</v>
      </c>
      <c r="E2766" s="22" t="s">
        <v>57</v>
      </c>
      <c r="F2766" s="24">
        <v>44532</v>
      </c>
      <c r="G2766" s="22" t="s">
        <v>400</v>
      </c>
      <c r="H2766" s="22" t="s">
        <v>494</v>
      </c>
      <c r="I2766" s="22" t="s">
        <v>508</v>
      </c>
      <c r="J2766" s="22" t="s">
        <v>4552</v>
      </c>
      <c r="K2766" s="22" t="s">
        <v>61</v>
      </c>
      <c r="L2766" s="22"/>
      <c r="M2766" s="22"/>
      <c r="N2766" s="22"/>
    </row>
    <row r="2767" spans="1:14" x14ac:dyDescent="0.25">
      <c r="A2767" s="22" t="s">
        <v>507</v>
      </c>
      <c r="B2767" s="22" t="s">
        <v>39</v>
      </c>
      <c r="C2767" s="22" t="s">
        <v>7680</v>
      </c>
      <c r="D2767" s="23">
        <v>-53700</v>
      </c>
      <c r="E2767" s="22" t="s">
        <v>57</v>
      </c>
      <c r="F2767" s="24">
        <v>44539</v>
      </c>
      <c r="G2767" s="22" t="s">
        <v>400</v>
      </c>
      <c r="H2767" s="22" t="s">
        <v>494</v>
      </c>
      <c r="I2767" s="22" t="s">
        <v>506</v>
      </c>
      <c r="J2767" s="22" t="s">
        <v>4552</v>
      </c>
      <c r="K2767" s="22" t="s">
        <v>61</v>
      </c>
      <c r="L2767" s="22"/>
      <c r="M2767" s="22"/>
      <c r="N2767" s="22"/>
    </row>
    <row r="2768" spans="1:14" x14ac:dyDescent="0.25">
      <c r="A2768" s="22" t="s">
        <v>504</v>
      </c>
      <c r="B2768" s="22" t="s">
        <v>39</v>
      </c>
      <c r="C2768" s="22" t="s">
        <v>7677</v>
      </c>
      <c r="D2768" s="23">
        <v>-47200</v>
      </c>
      <c r="E2768" s="22" t="s">
        <v>57</v>
      </c>
      <c r="F2768" s="24">
        <v>44536</v>
      </c>
      <c r="G2768" s="22" t="s">
        <v>400</v>
      </c>
      <c r="H2768" s="22" t="s">
        <v>505</v>
      </c>
      <c r="I2768" s="22" t="s">
        <v>503</v>
      </c>
      <c r="J2768" s="22" t="s">
        <v>4407</v>
      </c>
      <c r="K2768" s="22" t="s">
        <v>66</v>
      </c>
      <c r="L2768" s="22"/>
      <c r="M2768" s="22"/>
      <c r="N2768" s="22"/>
    </row>
    <row r="2769" spans="1:14" x14ac:dyDescent="0.25">
      <c r="A2769" s="22" t="s">
        <v>502</v>
      </c>
      <c r="B2769" s="22" t="s">
        <v>39</v>
      </c>
      <c r="C2769" s="22" t="s">
        <v>7687</v>
      </c>
      <c r="D2769" s="23">
        <v>-29200</v>
      </c>
      <c r="E2769" s="22" t="s">
        <v>57</v>
      </c>
      <c r="F2769" s="24">
        <v>44532</v>
      </c>
      <c r="G2769" s="22" t="s">
        <v>400</v>
      </c>
      <c r="H2769" s="22" t="s">
        <v>494</v>
      </c>
      <c r="I2769" s="22" t="s">
        <v>501</v>
      </c>
      <c r="J2769" s="22" t="s">
        <v>4552</v>
      </c>
      <c r="K2769" s="22" t="s">
        <v>61</v>
      </c>
      <c r="L2769" s="22"/>
      <c r="M2769" s="22"/>
      <c r="N2769" s="22"/>
    </row>
    <row r="2770" spans="1:14" x14ac:dyDescent="0.25">
      <c r="A2770" s="22" t="s">
        <v>500</v>
      </c>
      <c r="B2770" s="22" t="s">
        <v>39</v>
      </c>
      <c r="C2770" s="22" t="s">
        <v>7687</v>
      </c>
      <c r="D2770" s="23">
        <v>-19400</v>
      </c>
      <c r="E2770" s="22" t="s">
        <v>57</v>
      </c>
      <c r="F2770" s="24">
        <v>44537</v>
      </c>
      <c r="G2770" s="22" t="s">
        <v>400</v>
      </c>
      <c r="H2770" s="22" t="s">
        <v>494</v>
      </c>
      <c r="I2770" s="22" t="s">
        <v>499</v>
      </c>
      <c r="J2770" s="22" t="s">
        <v>4552</v>
      </c>
      <c r="K2770" s="22" t="s">
        <v>61</v>
      </c>
      <c r="L2770" s="22"/>
      <c r="M2770" s="22"/>
      <c r="N2770" s="22"/>
    </row>
    <row r="2771" spans="1:14" x14ac:dyDescent="0.25">
      <c r="A2771" s="22" t="s">
        <v>498</v>
      </c>
      <c r="B2771" s="22" t="s">
        <v>39</v>
      </c>
      <c r="C2771" s="22" t="s">
        <v>7687</v>
      </c>
      <c r="D2771" s="23">
        <v>-29200</v>
      </c>
      <c r="E2771" s="22" t="s">
        <v>57</v>
      </c>
      <c r="F2771" s="24">
        <v>44540</v>
      </c>
      <c r="G2771" s="22" t="s">
        <v>400</v>
      </c>
      <c r="H2771" s="22" t="s">
        <v>483</v>
      </c>
      <c r="I2771" s="22" t="s">
        <v>497</v>
      </c>
      <c r="J2771" s="22" t="s">
        <v>4552</v>
      </c>
      <c r="K2771" s="22" t="s">
        <v>61</v>
      </c>
      <c r="L2771" s="22"/>
      <c r="M2771" s="22"/>
      <c r="N2771" s="22"/>
    </row>
    <row r="2772" spans="1:14" x14ac:dyDescent="0.25">
      <c r="A2772" s="22" t="s">
        <v>496</v>
      </c>
      <c r="B2772" s="22" t="s">
        <v>39</v>
      </c>
      <c r="C2772" s="22" t="s">
        <v>7687</v>
      </c>
      <c r="D2772" s="23">
        <v>-75500</v>
      </c>
      <c r="E2772" s="22" t="s">
        <v>57</v>
      </c>
      <c r="F2772" s="24">
        <v>44543</v>
      </c>
      <c r="G2772" s="22" t="s">
        <v>400</v>
      </c>
      <c r="H2772" s="22" t="s">
        <v>494</v>
      </c>
      <c r="I2772" s="22" t="s">
        <v>495</v>
      </c>
      <c r="J2772" s="22" t="s">
        <v>4552</v>
      </c>
      <c r="K2772" s="22" t="s">
        <v>61</v>
      </c>
      <c r="L2772" s="22"/>
      <c r="M2772" s="22"/>
      <c r="N2772" s="22"/>
    </row>
    <row r="2773" spans="1:14" x14ac:dyDescent="0.25">
      <c r="A2773" s="22" t="s">
        <v>493</v>
      </c>
      <c r="B2773" s="22" t="s">
        <v>39</v>
      </c>
      <c r="C2773" s="22" t="s">
        <v>7687</v>
      </c>
      <c r="D2773" s="23">
        <v>-20200</v>
      </c>
      <c r="E2773" s="22" t="s">
        <v>57</v>
      </c>
      <c r="F2773" s="24">
        <v>44543</v>
      </c>
      <c r="G2773" s="22" t="s">
        <v>400</v>
      </c>
      <c r="H2773" s="22" t="s">
        <v>494</v>
      </c>
      <c r="I2773" s="22" t="s">
        <v>492</v>
      </c>
      <c r="J2773" s="22" t="s">
        <v>4552</v>
      </c>
      <c r="K2773" s="22" t="s">
        <v>61</v>
      </c>
      <c r="L2773" s="22"/>
      <c r="M2773" s="22"/>
      <c r="N2773" s="22"/>
    </row>
    <row r="2774" spans="1:14" x14ac:dyDescent="0.25">
      <c r="A2774" s="22" t="s">
        <v>490</v>
      </c>
      <c r="B2774" s="22" t="s">
        <v>39</v>
      </c>
      <c r="C2774" s="22" t="s">
        <v>7687</v>
      </c>
      <c r="D2774" s="23">
        <v>-18800</v>
      </c>
      <c r="E2774" s="22" t="s">
        <v>57</v>
      </c>
      <c r="F2774" s="24">
        <v>44543</v>
      </c>
      <c r="G2774" s="22" t="s">
        <v>400</v>
      </c>
      <c r="H2774" s="22" t="s">
        <v>491</v>
      </c>
      <c r="I2774" s="22" t="s">
        <v>489</v>
      </c>
      <c r="J2774" s="22" t="s">
        <v>4552</v>
      </c>
      <c r="K2774" s="22" t="s">
        <v>61</v>
      </c>
      <c r="L2774" s="22"/>
      <c r="M2774" s="22"/>
      <c r="N2774" s="22"/>
    </row>
    <row r="2775" spans="1:14" x14ac:dyDescent="0.25">
      <c r="A2775" s="22" t="s">
        <v>488</v>
      </c>
      <c r="B2775" s="22" t="s">
        <v>39</v>
      </c>
      <c r="C2775" s="22" t="s">
        <v>92</v>
      </c>
      <c r="D2775" s="23">
        <v>-33200</v>
      </c>
      <c r="E2775" s="22" t="s">
        <v>57</v>
      </c>
      <c r="F2775" s="24">
        <v>44509</v>
      </c>
      <c r="G2775" s="22" t="s">
        <v>400</v>
      </c>
      <c r="H2775" s="22" t="s">
        <v>478</v>
      </c>
      <c r="I2775" s="22" t="s">
        <v>487</v>
      </c>
      <c r="J2775" s="22" t="s">
        <v>4552</v>
      </c>
      <c r="K2775" s="22" t="s">
        <v>61</v>
      </c>
      <c r="L2775" s="22"/>
      <c r="M2775" s="22"/>
      <c r="N2775" s="22"/>
    </row>
    <row r="2776" spans="1:14" x14ac:dyDescent="0.25">
      <c r="A2776" s="22" t="s">
        <v>485</v>
      </c>
      <c r="B2776" s="22" t="s">
        <v>39</v>
      </c>
      <c r="C2776" s="22" t="s">
        <v>92</v>
      </c>
      <c r="D2776" s="23">
        <v>-43700</v>
      </c>
      <c r="E2776" s="22" t="s">
        <v>57</v>
      </c>
      <c r="F2776" s="24">
        <v>44511</v>
      </c>
      <c r="G2776" s="22" t="s">
        <v>400</v>
      </c>
      <c r="H2776" s="22" t="s">
        <v>486</v>
      </c>
      <c r="I2776" s="22" t="s">
        <v>484</v>
      </c>
      <c r="J2776" s="22" t="s">
        <v>4552</v>
      </c>
      <c r="K2776" s="22" t="s">
        <v>61</v>
      </c>
      <c r="L2776" s="22"/>
      <c r="M2776" s="22"/>
      <c r="N2776" s="22"/>
    </row>
    <row r="2777" spans="1:14" x14ac:dyDescent="0.25">
      <c r="A2777" s="22" t="s">
        <v>482</v>
      </c>
      <c r="B2777" s="22" t="s">
        <v>39</v>
      </c>
      <c r="C2777" s="22" t="s">
        <v>92</v>
      </c>
      <c r="D2777" s="23">
        <v>-29200</v>
      </c>
      <c r="E2777" s="22" t="s">
        <v>57</v>
      </c>
      <c r="F2777" s="24">
        <v>44519</v>
      </c>
      <c r="G2777" s="22" t="s">
        <v>400</v>
      </c>
      <c r="H2777" s="22" t="s">
        <v>483</v>
      </c>
      <c r="I2777" s="22" t="s">
        <v>481</v>
      </c>
      <c r="J2777" s="22" t="s">
        <v>4552</v>
      </c>
      <c r="K2777" s="22" t="s">
        <v>61</v>
      </c>
      <c r="L2777" s="22"/>
      <c r="M2777" s="22"/>
      <c r="N2777" s="22"/>
    </row>
    <row r="2778" spans="1:14" x14ac:dyDescent="0.25">
      <c r="A2778" s="22" t="s">
        <v>480</v>
      </c>
      <c r="B2778" s="22" t="s">
        <v>39</v>
      </c>
      <c r="C2778" s="22" t="s">
        <v>92</v>
      </c>
      <c r="D2778" s="23">
        <v>-43700</v>
      </c>
      <c r="E2778" s="22" t="s">
        <v>57</v>
      </c>
      <c r="F2778" s="24">
        <v>44519</v>
      </c>
      <c r="G2778" s="22" t="s">
        <v>400</v>
      </c>
      <c r="H2778" s="22" t="s">
        <v>280</v>
      </c>
      <c r="I2778" s="22" t="s">
        <v>479</v>
      </c>
      <c r="J2778" s="22" t="s">
        <v>4552</v>
      </c>
      <c r="K2778" s="22" t="s">
        <v>61</v>
      </c>
      <c r="L2778" s="22"/>
      <c r="M2778" s="22"/>
      <c r="N2778" s="22"/>
    </row>
    <row r="2779" spans="1:14" x14ac:dyDescent="0.25">
      <c r="A2779" s="22" t="s">
        <v>477</v>
      </c>
      <c r="B2779" s="22" t="s">
        <v>39</v>
      </c>
      <c r="C2779" s="22" t="s">
        <v>92</v>
      </c>
      <c r="D2779" s="23">
        <v>-10039</v>
      </c>
      <c r="E2779" s="22" t="s">
        <v>57</v>
      </c>
      <c r="F2779" s="24">
        <v>44523</v>
      </c>
      <c r="G2779" s="22" t="s">
        <v>400</v>
      </c>
      <c r="H2779" s="22" t="s">
        <v>478</v>
      </c>
      <c r="I2779" s="22" t="s">
        <v>476</v>
      </c>
      <c r="J2779" s="22" t="s">
        <v>4552</v>
      </c>
      <c r="K2779" s="22" t="s">
        <v>61</v>
      </c>
      <c r="L2779" s="22"/>
      <c r="M2779" s="22"/>
      <c r="N2779" s="22"/>
    </row>
    <row r="2780" spans="1:14" x14ac:dyDescent="0.25">
      <c r="A2780" s="22" t="s">
        <v>569</v>
      </c>
      <c r="B2780" s="22" t="s">
        <v>39</v>
      </c>
      <c r="C2780" s="22" t="s">
        <v>92</v>
      </c>
      <c r="D2780" s="23">
        <v>-43700</v>
      </c>
      <c r="E2780" s="22" t="s">
        <v>57</v>
      </c>
      <c r="F2780" s="24">
        <v>44524</v>
      </c>
      <c r="G2780" s="22" t="s">
        <v>400</v>
      </c>
      <c r="H2780" s="22" t="s">
        <v>282</v>
      </c>
      <c r="I2780" s="22" t="s">
        <v>568</v>
      </c>
      <c r="J2780" s="22" t="s">
        <v>4552</v>
      </c>
      <c r="K2780" s="22" t="s">
        <v>61</v>
      </c>
      <c r="L2780" s="22"/>
      <c r="M2780" s="22"/>
      <c r="N2780" s="22"/>
    </row>
    <row r="2781" spans="1:14" x14ac:dyDescent="0.25">
      <c r="A2781" s="22" t="s">
        <v>567</v>
      </c>
      <c r="B2781" s="22" t="s">
        <v>39</v>
      </c>
      <c r="C2781" s="22" t="s">
        <v>92</v>
      </c>
      <c r="D2781" s="23">
        <v>-43700</v>
      </c>
      <c r="E2781" s="22" t="s">
        <v>57</v>
      </c>
      <c r="F2781" s="24">
        <v>44524</v>
      </c>
      <c r="G2781" s="22" t="s">
        <v>400</v>
      </c>
      <c r="H2781" s="22" t="s">
        <v>486</v>
      </c>
      <c r="I2781" s="22" t="s">
        <v>566</v>
      </c>
      <c r="J2781" s="22" t="s">
        <v>4552</v>
      </c>
      <c r="K2781" s="22" t="s">
        <v>61</v>
      </c>
      <c r="L2781" s="22"/>
      <c r="M2781" s="22"/>
      <c r="N2781" s="22"/>
    </row>
    <row r="2782" spans="1:14" x14ac:dyDescent="0.25">
      <c r="A2782" s="22" t="s">
        <v>565</v>
      </c>
      <c r="B2782" s="22" t="s">
        <v>39</v>
      </c>
      <c r="C2782" s="22" t="s">
        <v>92</v>
      </c>
      <c r="D2782" s="23">
        <v>-68100</v>
      </c>
      <c r="E2782" s="22" t="s">
        <v>57</v>
      </c>
      <c r="F2782" s="24">
        <v>44524</v>
      </c>
      <c r="G2782" s="22" t="s">
        <v>400</v>
      </c>
      <c r="H2782" s="22" t="s">
        <v>491</v>
      </c>
      <c r="I2782" s="22" t="s">
        <v>564</v>
      </c>
      <c r="J2782" s="22" t="s">
        <v>4552</v>
      </c>
      <c r="K2782" s="22" t="s">
        <v>61</v>
      </c>
      <c r="L2782" s="22"/>
      <c r="M2782" s="22"/>
      <c r="N2782" s="22"/>
    </row>
    <row r="2783" spans="1:14" x14ac:dyDescent="0.25">
      <c r="A2783" s="22" t="s">
        <v>563</v>
      </c>
      <c r="B2783" s="22" t="s">
        <v>39</v>
      </c>
      <c r="C2783" s="22" t="s">
        <v>92</v>
      </c>
      <c r="D2783" s="23">
        <v>-20200</v>
      </c>
      <c r="E2783" s="22" t="s">
        <v>57</v>
      </c>
      <c r="F2783" s="24">
        <v>44526</v>
      </c>
      <c r="G2783" s="22" t="s">
        <v>400</v>
      </c>
      <c r="H2783" s="22" t="s">
        <v>494</v>
      </c>
      <c r="I2783" s="22" t="s">
        <v>562</v>
      </c>
      <c r="J2783" s="22" t="s">
        <v>4552</v>
      </c>
      <c r="K2783" s="22" t="s">
        <v>61</v>
      </c>
      <c r="L2783" s="22"/>
      <c r="M2783" s="22"/>
      <c r="N2783" s="22"/>
    </row>
    <row r="2784" spans="1:14" x14ac:dyDescent="0.25">
      <c r="A2784" s="22" t="s">
        <v>561</v>
      </c>
      <c r="B2784" s="22" t="s">
        <v>39</v>
      </c>
      <c r="C2784" s="22" t="s">
        <v>92</v>
      </c>
      <c r="D2784" s="23">
        <v>-18800</v>
      </c>
      <c r="E2784" s="22" t="s">
        <v>57</v>
      </c>
      <c r="F2784" s="24">
        <v>44529</v>
      </c>
      <c r="G2784" s="22" t="s">
        <v>400</v>
      </c>
      <c r="H2784" s="22" t="s">
        <v>494</v>
      </c>
      <c r="I2784" s="22" t="s">
        <v>560</v>
      </c>
      <c r="J2784" s="22" t="s">
        <v>4552</v>
      </c>
      <c r="K2784" s="22" t="s">
        <v>61</v>
      </c>
      <c r="L2784" s="22"/>
      <c r="M2784" s="22"/>
      <c r="N2784" s="22"/>
    </row>
    <row r="2785" spans="1:14" x14ac:dyDescent="0.25">
      <c r="A2785" s="22" t="s">
        <v>558</v>
      </c>
      <c r="B2785" s="22" t="s">
        <v>39</v>
      </c>
      <c r="C2785" s="22" t="s">
        <v>92</v>
      </c>
      <c r="D2785" s="23">
        <v>-29200</v>
      </c>
      <c r="E2785" s="22" t="s">
        <v>57</v>
      </c>
      <c r="F2785" s="24">
        <v>44530</v>
      </c>
      <c r="G2785" s="22" t="s">
        <v>400</v>
      </c>
      <c r="H2785" s="22" t="s">
        <v>559</v>
      </c>
      <c r="I2785" s="22" t="s">
        <v>557</v>
      </c>
      <c r="J2785" s="22" t="s">
        <v>4552</v>
      </c>
      <c r="K2785" s="22" t="s">
        <v>61</v>
      </c>
      <c r="L2785" s="22"/>
      <c r="M2785" s="22"/>
      <c r="N2785" s="22"/>
    </row>
    <row r="2786" spans="1:14" x14ac:dyDescent="0.25">
      <c r="A2786" s="22" t="s">
        <v>556</v>
      </c>
      <c r="B2786" s="22" t="s">
        <v>39</v>
      </c>
      <c r="C2786" s="22" t="s">
        <v>92</v>
      </c>
      <c r="D2786" s="23">
        <v>-19400</v>
      </c>
      <c r="E2786" s="22" t="s">
        <v>57</v>
      </c>
      <c r="F2786" s="24">
        <v>44530</v>
      </c>
      <c r="G2786" s="22" t="s">
        <v>400</v>
      </c>
      <c r="H2786" s="22" t="s">
        <v>494</v>
      </c>
      <c r="I2786" s="22" t="s">
        <v>555</v>
      </c>
      <c r="J2786" s="22" t="s">
        <v>4552</v>
      </c>
      <c r="K2786" s="22" t="s">
        <v>61</v>
      </c>
      <c r="L2786" s="22"/>
      <c r="M2786" s="22"/>
      <c r="N2786" s="22"/>
    </row>
    <row r="2787" spans="1:14" x14ac:dyDescent="0.25">
      <c r="A2787" s="22" t="s">
        <v>97</v>
      </c>
      <c r="B2787" s="22" t="s">
        <v>39</v>
      </c>
      <c r="C2787" s="22" t="s">
        <v>96</v>
      </c>
      <c r="D2787" s="23">
        <v>-7605391</v>
      </c>
      <c r="E2787" s="22" t="s">
        <v>57</v>
      </c>
      <c r="F2787" s="24">
        <v>44512</v>
      </c>
      <c r="G2787" s="22" t="s">
        <v>400</v>
      </c>
      <c r="H2787" s="22" t="s">
        <v>427</v>
      </c>
      <c r="I2787" s="22" t="s">
        <v>99</v>
      </c>
      <c r="J2787" s="22" t="s">
        <v>4407</v>
      </c>
      <c r="K2787" s="22" t="s">
        <v>66</v>
      </c>
      <c r="L2787" s="22"/>
      <c r="M2787" s="22"/>
      <c r="N2787" s="22"/>
    </row>
    <row r="2788" spans="1:14" x14ac:dyDescent="0.25">
      <c r="A2788" s="22" t="s">
        <v>554</v>
      </c>
      <c r="B2788" s="22" t="s">
        <v>39</v>
      </c>
      <c r="C2788" s="22" t="s">
        <v>96</v>
      </c>
      <c r="D2788" s="23">
        <v>-106308</v>
      </c>
      <c r="E2788" s="22" t="s">
        <v>57</v>
      </c>
      <c r="F2788" s="24">
        <v>44521</v>
      </c>
      <c r="G2788" s="22" t="s">
        <v>400</v>
      </c>
      <c r="H2788" s="22" t="s">
        <v>550</v>
      </c>
      <c r="I2788" s="22" t="s">
        <v>553</v>
      </c>
      <c r="J2788" s="22" t="s">
        <v>4407</v>
      </c>
      <c r="K2788" s="22" t="s">
        <v>66</v>
      </c>
      <c r="L2788" s="22"/>
      <c r="M2788" s="22"/>
      <c r="N2788" s="22"/>
    </row>
    <row r="2789" spans="1:14" x14ac:dyDescent="0.25">
      <c r="A2789" s="22" t="s">
        <v>552</v>
      </c>
      <c r="B2789" s="22" t="s">
        <v>39</v>
      </c>
      <c r="C2789" s="22" t="s">
        <v>96</v>
      </c>
      <c r="D2789" s="23">
        <v>-81907</v>
      </c>
      <c r="E2789" s="22" t="s">
        <v>57</v>
      </c>
      <c r="F2789" s="24">
        <v>44525</v>
      </c>
      <c r="G2789" s="22" t="s">
        <v>400</v>
      </c>
      <c r="H2789" s="22" t="s">
        <v>550</v>
      </c>
      <c r="I2789" s="22" t="s">
        <v>551</v>
      </c>
      <c r="J2789" s="22" t="s">
        <v>4407</v>
      </c>
      <c r="K2789" s="22" t="s">
        <v>66</v>
      </c>
      <c r="L2789" s="22"/>
      <c r="M2789" s="22"/>
      <c r="N2789" s="22"/>
    </row>
    <row r="2790" spans="1:14" x14ac:dyDescent="0.25">
      <c r="A2790" s="22" t="s">
        <v>549</v>
      </c>
      <c r="B2790" s="22" t="s">
        <v>39</v>
      </c>
      <c r="C2790" s="22" t="s">
        <v>96</v>
      </c>
      <c r="D2790" s="23">
        <v>-215700</v>
      </c>
      <c r="E2790" s="22" t="s">
        <v>57</v>
      </c>
      <c r="F2790" s="24">
        <v>44528</v>
      </c>
      <c r="G2790" s="22" t="s">
        <v>400</v>
      </c>
      <c r="H2790" s="22" t="s">
        <v>550</v>
      </c>
      <c r="I2790" s="22" t="s">
        <v>548</v>
      </c>
      <c r="J2790" s="22" t="s">
        <v>4407</v>
      </c>
      <c r="K2790" s="22" t="s">
        <v>66</v>
      </c>
      <c r="L2790" s="22"/>
      <c r="M2790" s="22"/>
      <c r="N2790" s="22"/>
    </row>
    <row r="2791" spans="1:14" x14ac:dyDescent="0.25">
      <c r="A2791" s="22" t="s">
        <v>546</v>
      </c>
      <c r="B2791" s="22" t="s">
        <v>39</v>
      </c>
      <c r="C2791" s="22" t="s">
        <v>7681</v>
      </c>
      <c r="D2791" s="23">
        <v>-54724</v>
      </c>
      <c r="E2791" s="22" t="s">
        <v>57</v>
      </c>
      <c r="F2791" s="24">
        <v>44527</v>
      </c>
      <c r="G2791" s="22" t="s">
        <v>400</v>
      </c>
      <c r="H2791" s="22" t="s">
        <v>547</v>
      </c>
      <c r="I2791" s="22" t="s">
        <v>545</v>
      </c>
      <c r="J2791" s="22" t="s">
        <v>4466</v>
      </c>
      <c r="K2791" s="22" t="s">
        <v>61</v>
      </c>
      <c r="L2791" s="22"/>
      <c r="M2791" s="22"/>
      <c r="N2791" s="22"/>
    </row>
    <row r="2792" spans="1:14" x14ac:dyDescent="0.25">
      <c r="A2792" s="22" t="s">
        <v>544</v>
      </c>
      <c r="B2792" s="22" t="s">
        <v>39</v>
      </c>
      <c r="C2792" s="22" t="s">
        <v>7678</v>
      </c>
      <c r="D2792" s="23">
        <v>-13600</v>
      </c>
      <c r="E2792" s="22" t="s">
        <v>57</v>
      </c>
      <c r="F2792" s="24">
        <v>44516</v>
      </c>
      <c r="G2792" s="22" t="s">
        <v>400</v>
      </c>
      <c r="H2792" s="22" t="s">
        <v>427</v>
      </c>
      <c r="I2792" s="22" t="s">
        <v>543</v>
      </c>
      <c r="J2792" s="22" t="s">
        <v>4407</v>
      </c>
      <c r="K2792" s="22" t="s">
        <v>66</v>
      </c>
      <c r="L2792" s="22"/>
      <c r="M2792" s="22"/>
      <c r="N2792" s="22"/>
    </row>
    <row r="2793" spans="1:14" x14ac:dyDescent="0.25">
      <c r="A2793" s="22" t="s">
        <v>541</v>
      </c>
      <c r="B2793" s="22" t="s">
        <v>39</v>
      </c>
      <c r="C2793" s="22" t="s">
        <v>7678</v>
      </c>
      <c r="D2793" s="23">
        <v>-76100</v>
      </c>
      <c r="E2793" s="22" t="s">
        <v>57</v>
      </c>
      <c r="F2793" s="24">
        <v>44518</v>
      </c>
      <c r="G2793" s="22" t="s">
        <v>400</v>
      </c>
      <c r="H2793" s="22" t="s">
        <v>542</v>
      </c>
      <c r="I2793" s="22" t="s">
        <v>540</v>
      </c>
      <c r="J2793" s="22" t="s">
        <v>4407</v>
      </c>
      <c r="K2793" s="22" t="s">
        <v>66</v>
      </c>
      <c r="L2793" s="22"/>
      <c r="M2793" s="22"/>
      <c r="N2793" s="22"/>
    </row>
    <row r="2794" spans="1:14" x14ac:dyDescent="0.25">
      <c r="A2794" s="22" t="s">
        <v>539</v>
      </c>
      <c r="B2794" s="22" t="s">
        <v>39</v>
      </c>
      <c r="C2794" s="22" t="s">
        <v>7678</v>
      </c>
      <c r="D2794" s="23">
        <v>-32700</v>
      </c>
      <c r="E2794" s="22" t="s">
        <v>57</v>
      </c>
      <c r="F2794" s="24">
        <v>44519</v>
      </c>
      <c r="G2794" s="22" t="s">
        <v>400</v>
      </c>
      <c r="H2794" s="22" t="s">
        <v>532</v>
      </c>
      <c r="I2794" s="22" t="s">
        <v>538</v>
      </c>
      <c r="J2794" s="22" t="s">
        <v>4407</v>
      </c>
      <c r="K2794" s="22" t="s">
        <v>66</v>
      </c>
      <c r="L2794" s="22"/>
      <c r="M2794" s="22"/>
      <c r="N2794" s="22"/>
    </row>
    <row r="2795" spans="1:14" x14ac:dyDescent="0.25">
      <c r="A2795" s="22" t="s">
        <v>536</v>
      </c>
      <c r="B2795" s="22" t="s">
        <v>39</v>
      </c>
      <c r="C2795" s="22" t="s">
        <v>7678</v>
      </c>
      <c r="D2795" s="23">
        <v>-31600</v>
      </c>
      <c r="E2795" s="22" t="s">
        <v>57</v>
      </c>
      <c r="F2795" s="24">
        <v>44522</v>
      </c>
      <c r="G2795" s="22" t="s">
        <v>400</v>
      </c>
      <c r="H2795" s="22" t="s">
        <v>537</v>
      </c>
      <c r="I2795" s="22" t="s">
        <v>535</v>
      </c>
      <c r="J2795" s="22" t="s">
        <v>4407</v>
      </c>
      <c r="K2795" s="22" t="s">
        <v>66</v>
      </c>
      <c r="L2795" s="22"/>
      <c r="M2795" s="22"/>
      <c r="N2795" s="22"/>
    </row>
    <row r="2796" spans="1:14" x14ac:dyDescent="0.25">
      <c r="A2796" s="22" t="s">
        <v>534</v>
      </c>
      <c r="B2796" s="22" t="s">
        <v>39</v>
      </c>
      <c r="C2796" s="22" t="s">
        <v>7678</v>
      </c>
      <c r="D2796" s="23">
        <v>-47200</v>
      </c>
      <c r="E2796" s="22" t="s">
        <v>57</v>
      </c>
      <c r="F2796" s="24">
        <v>44524</v>
      </c>
      <c r="G2796" s="22" t="s">
        <v>400</v>
      </c>
      <c r="H2796" s="22" t="s">
        <v>505</v>
      </c>
      <c r="I2796" s="22" t="s">
        <v>533</v>
      </c>
      <c r="J2796" s="22" t="s">
        <v>4407</v>
      </c>
      <c r="K2796" s="22" t="s">
        <v>66</v>
      </c>
      <c r="L2796" s="22"/>
      <c r="M2796" s="22"/>
      <c r="N2796" s="22"/>
    </row>
    <row r="2797" spans="1:14" x14ac:dyDescent="0.25">
      <c r="A2797" s="22" t="s">
        <v>531</v>
      </c>
      <c r="B2797" s="22" t="s">
        <v>39</v>
      </c>
      <c r="C2797" s="22" t="s">
        <v>7678</v>
      </c>
      <c r="D2797" s="23">
        <v>-14500</v>
      </c>
      <c r="E2797" s="22" t="s">
        <v>57</v>
      </c>
      <c r="F2797" s="24">
        <v>44530</v>
      </c>
      <c r="G2797" s="22" t="s">
        <v>400</v>
      </c>
      <c r="H2797" s="22" t="s">
        <v>532</v>
      </c>
      <c r="I2797" s="22" t="s">
        <v>530</v>
      </c>
      <c r="J2797" s="22" t="s">
        <v>4407</v>
      </c>
      <c r="K2797" s="22" t="s">
        <v>66</v>
      </c>
      <c r="L2797" s="22"/>
      <c r="M2797" s="22"/>
      <c r="N2797" s="22"/>
    </row>
    <row r="2798" spans="1:14" x14ac:dyDescent="0.25">
      <c r="A2798" s="22" t="s">
        <v>401</v>
      </c>
      <c r="B2798" s="22" t="s">
        <v>39</v>
      </c>
      <c r="C2798" s="22" t="s">
        <v>7679</v>
      </c>
      <c r="D2798" s="23">
        <v>-9325896</v>
      </c>
      <c r="E2798" s="22" t="s">
        <v>45</v>
      </c>
      <c r="F2798" s="24">
        <v>44532</v>
      </c>
      <c r="G2798" s="22" t="s">
        <v>400</v>
      </c>
      <c r="H2798" s="22"/>
      <c r="I2798" s="22" t="s">
        <v>400</v>
      </c>
      <c r="J2798" s="22" t="s">
        <v>4466</v>
      </c>
      <c r="K2798" s="22" t="s">
        <v>61</v>
      </c>
      <c r="L2798" s="22"/>
      <c r="M2798" s="22"/>
      <c r="N2798" s="22"/>
    </row>
    <row r="2799" spans="1:14" x14ac:dyDescent="0.25">
      <c r="A2799" s="22" t="s">
        <v>401</v>
      </c>
      <c r="B2799" s="22" t="s">
        <v>39</v>
      </c>
      <c r="C2799" s="22" t="s">
        <v>7679</v>
      </c>
      <c r="D2799" s="23">
        <v>980063</v>
      </c>
      <c r="E2799" s="22" t="s">
        <v>45</v>
      </c>
      <c r="F2799" s="24">
        <v>44532</v>
      </c>
      <c r="G2799" s="22" t="s">
        <v>400</v>
      </c>
      <c r="H2799" s="22"/>
      <c r="I2799" s="22" t="s">
        <v>400</v>
      </c>
      <c r="J2799" s="22" t="s">
        <v>4552</v>
      </c>
      <c r="K2799" s="22" t="s">
        <v>61</v>
      </c>
      <c r="L2799" s="22"/>
      <c r="M2799" s="22"/>
      <c r="N2799" s="22"/>
    </row>
    <row r="2800" spans="1:14" x14ac:dyDescent="0.25">
      <c r="A2800" s="22" t="s">
        <v>401</v>
      </c>
      <c r="B2800" s="22" t="s">
        <v>39</v>
      </c>
      <c r="C2800" s="22" t="s">
        <v>7679</v>
      </c>
      <c r="D2800" s="23">
        <v>8351354</v>
      </c>
      <c r="E2800" s="22" t="s">
        <v>45</v>
      </c>
      <c r="F2800" s="24">
        <v>44532</v>
      </c>
      <c r="G2800" s="22" t="s">
        <v>400</v>
      </c>
      <c r="H2800" s="22"/>
      <c r="I2800" s="22" t="s">
        <v>400</v>
      </c>
      <c r="J2800" s="22" t="s">
        <v>4407</v>
      </c>
      <c r="K2800" s="22" t="s">
        <v>61</v>
      </c>
      <c r="L2800" s="22"/>
      <c r="M2800" s="22"/>
      <c r="N2800" s="22"/>
    </row>
    <row r="2801" spans="1:14" x14ac:dyDescent="0.25">
      <c r="A2801" s="22" t="s">
        <v>529</v>
      </c>
      <c r="B2801" s="22" t="s">
        <v>39</v>
      </c>
      <c r="C2801" s="22" t="s">
        <v>40</v>
      </c>
      <c r="D2801" s="23">
        <v>9380620</v>
      </c>
      <c r="E2801" s="22" t="s">
        <v>42</v>
      </c>
      <c r="F2801" s="24">
        <v>44580</v>
      </c>
      <c r="G2801" s="22" t="s">
        <v>400</v>
      </c>
      <c r="H2801" s="22" t="s">
        <v>520</v>
      </c>
      <c r="I2801" s="22" t="s">
        <v>528</v>
      </c>
      <c r="J2801" s="22" t="s">
        <v>4466</v>
      </c>
      <c r="K2801" s="22" t="s">
        <v>292</v>
      </c>
      <c r="L2801" s="22"/>
      <c r="M2801" s="22"/>
      <c r="N2801" s="22"/>
    </row>
    <row r="2802" spans="1:14" x14ac:dyDescent="0.25">
      <c r="A2802" s="22" t="s">
        <v>527</v>
      </c>
      <c r="B2802" s="22" t="s">
        <v>39</v>
      </c>
      <c r="C2802" s="22" t="s">
        <v>7682</v>
      </c>
      <c r="D2802" s="23">
        <v>-54578</v>
      </c>
      <c r="E2802" s="22" t="s">
        <v>57</v>
      </c>
      <c r="F2802" s="24">
        <v>44533</v>
      </c>
      <c r="G2802" s="22" t="s">
        <v>368</v>
      </c>
      <c r="H2802" s="22" t="s">
        <v>249</v>
      </c>
      <c r="I2802" s="22" t="s">
        <v>526</v>
      </c>
      <c r="J2802" s="22" t="s">
        <v>4407</v>
      </c>
      <c r="K2802" s="22" t="s">
        <v>66</v>
      </c>
      <c r="L2802" s="22"/>
      <c r="M2802" s="22"/>
      <c r="N2802" s="22"/>
    </row>
    <row r="2803" spans="1:14" x14ac:dyDescent="0.25">
      <c r="A2803" s="22" t="s">
        <v>524</v>
      </c>
      <c r="B2803" s="22" t="s">
        <v>39</v>
      </c>
      <c r="C2803" s="22" t="s">
        <v>7682</v>
      </c>
      <c r="D2803" s="23">
        <v>-53700</v>
      </c>
      <c r="E2803" s="22" t="s">
        <v>57</v>
      </c>
      <c r="F2803" s="24">
        <v>44548</v>
      </c>
      <c r="G2803" s="22" t="s">
        <v>368</v>
      </c>
      <c r="H2803" s="22" t="s">
        <v>525</v>
      </c>
      <c r="I2803" s="22" t="s">
        <v>523</v>
      </c>
      <c r="J2803" s="22" t="s">
        <v>4552</v>
      </c>
      <c r="K2803" s="22" t="s">
        <v>66</v>
      </c>
      <c r="L2803" s="22"/>
      <c r="M2803" s="22"/>
      <c r="N2803" s="22"/>
    </row>
    <row r="2804" spans="1:14" x14ac:dyDescent="0.25">
      <c r="A2804" s="22" t="s">
        <v>474</v>
      </c>
      <c r="B2804" s="22" t="s">
        <v>39</v>
      </c>
      <c r="C2804" s="22" t="s">
        <v>7682</v>
      </c>
      <c r="D2804" s="23">
        <v>-92139</v>
      </c>
      <c r="E2804" s="22" t="s">
        <v>57</v>
      </c>
      <c r="F2804" s="24">
        <v>44559</v>
      </c>
      <c r="G2804" s="22" t="s">
        <v>368</v>
      </c>
      <c r="H2804" s="22" t="s">
        <v>475</v>
      </c>
      <c r="I2804" s="22" t="s">
        <v>473</v>
      </c>
      <c r="J2804" s="22" t="s">
        <v>4407</v>
      </c>
      <c r="K2804" s="22" t="s">
        <v>66</v>
      </c>
      <c r="L2804" s="22"/>
      <c r="M2804" s="22"/>
      <c r="N2804" s="22"/>
    </row>
    <row r="2805" spans="1:14" x14ac:dyDescent="0.25">
      <c r="A2805" s="22" t="s">
        <v>422</v>
      </c>
      <c r="B2805" s="22" t="s">
        <v>39</v>
      </c>
      <c r="C2805" s="22" t="s">
        <v>7680</v>
      </c>
      <c r="D2805" s="23">
        <v>-55561</v>
      </c>
      <c r="E2805" s="22" t="s">
        <v>57</v>
      </c>
      <c r="F2805" s="24">
        <v>44540</v>
      </c>
      <c r="G2805" s="22" t="s">
        <v>368</v>
      </c>
      <c r="H2805" s="22" t="s">
        <v>375</v>
      </c>
      <c r="I2805" s="22" t="s">
        <v>421</v>
      </c>
      <c r="J2805" s="22" t="s">
        <v>4552</v>
      </c>
      <c r="K2805" s="22" t="s">
        <v>61</v>
      </c>
      <c r="L2805" s="22"/>
      <c r="M2805" s="22"/>
      <c r="N2805" s="22"/>
    </row>
    <row r="2806" spans="1:14" x14ac:dyDescent="0.25">
      <c r="A2806" s="22" t="s">
        <v>419</v>
      </c>
      <c r="B2806" s="22" t="s">
        <v>39</v>
      </c>
      <c r="C2806" s="22" t="s">
        <v>7680</v>
      </c>
      <c r="D2806" s="23">
        <v>-217707</v>
      </c>
      <c r="E2806" s="22" t="s">
        <v>57</v>
      </c>
      <c r="F2806" s="24">
        <v>44546</v>
      </c>
      <c r="G2806" s="22" t="s">
        <v>368</v>
      </c>
      <c r="H2806" s="22" t="s">
        <v>420</v>
      </c>
      <c r="I2806" s="22" t="s">
        <v>418</v>
      </c>
      <c r="J2806" s="22" t="s">
        <v>4552</v>
      </c>
      <c r="K2806" s="22" t="s">
        <v>61</v>
      </c>
      <c r="L2806" s="22"/>
      <c r="M2806" s="22"/>
      <c r="N2806" s="22"/>
    </row>
    <row r="2807" spans="1:14" x14ac:dyDescent="0.25">
      <c r="A2807" s="22" t="s">
        <v>417</v>
      </c>
      <c r="B2807" s="22" t="s">
        <v>39</v>
      </c>
      <c r="C2807" s="22" t="s">
        <v>7680</v>
      </c>
      <c r="D2807" s="23">
        <v>-54578</v>
      </c>
      <c r="E2807" s="22" t="s">
        <v>57</v>
      </c>
      <c r="F2807" s="24">
        <v>44547</v>
      </c>
      <c r="G2807" s="22" t="s">
        <v>368</v>
      </c>
      <c r="H2807" s="22" t="s">
        <v>375</v>
      </c>
      <c r="I2807" s="22" t="s">
        <v>416</v>
      </c>
      <c r="J2807" s="22" t="s">
        <v>4552</v>
      </c>
      <c r="K2807" s="22" t="s">
        <v>61</v>
      </c>
      <c r="L2807" s="22"/>
      <c r="M2807" s="22"/>
      <c r="N2807" s="22"/>
    </row>
    <row r="2808" spans="1:14" x14ac:dyDescent="0.25">
      <c r="A2808" s="22" t="s">
        <v>415</v>
      </c>
      <c r="B2808" s="22" t="s">
        <v>39</v>
      </c>
      <c r="C2808" s="22" t="s">
        <v>7680</v>
      </c>
      <c r="D2808" s="23">
        <v>-55445</v>
      </c>
      <c r="E2808" s="22" t="s">
        <v>57</v>
      </c>
      <c r="F2808" s="24">
        <v>44550</v>
      </c>
      <c r="G2808" s="22" t="s">
        <v>368</v>
      </c>
      <c r="H2808" s="22" t="s">
        <v>375</v>
      </c>
      <c r="I2808" s="22" t="s">
        <v>414</v>
      </c>
      <c r="J2808" s="22" t="s">
        <v>4552</v>
      </c>
      <c r="K2808" s="22" t="s">
        <v>61</v>
      </c>
      <c r="L2808" s="22"/>
      <c r="M2808" s="22"/>
      <c r="N2808" s="22"/>
    </row>
    <row r="2809" spans="1:14" x14ac:dyDescent="0.25">
      <c r="A2809" s="22" t="s">
        <v>412</v>
      </c>
      <c r="B2809" s="22" t="s">
        <v>39</v>
      </c>
      <c r="C2809" s="22" t="s">
        <v>7680</v>
      </c>
      <c r="D2809" s="23">
        <v>-1861844</v>
      </c>
      <c r="E2809" s="22" t="s">
        <v>57</v>
      </c>
      <c r="F2809" s="24">
        <v>44552</v>
      </c>
      <c r="G2809" s="22" t="s">
        <v>368</v>
      </c>
      <c r="H2809" s="22" t="s">
        <v>413</v>
      </c>
      <c r="I2809" s="22" t="s">
        <v>411</v>
      </c>
      <c r="J2809" s="22" t="s">
        <v>4552</v>
      </c>
      <c r="K2809" s="22" t="s">
        <v>61</v>
      </c>
      <c r="L2809" s="22"/>
      <c r="M2809" s="22"/>
      <c r="N2809" s="22"/>
    </row>
    <row r="2810" spans="1:14" x14ac:dyDescent="0.25">
      <c r="A2810" s="22" t="s">
        <v>410</v>
      </c>
      <c r="B2810" s="22" t="s">
        <v>39</v>
      </c>
      <c r="C2810" s="22" t="s">
        <v>7680</v>
      </c>
      <c r="D2810" s="23">
        <v>-128135</v>
      </c>
      <c r="E2810" s="22" t="s">
        <v>57</v>
      </c>
      <c r="F2810" s="24">
        <v>44556</v>
      </c>
      <c r="G2810" s="22" t="s">
        <v>368</v>
      </c>
      <c r="H2810" s="22" t="s">
        <v>390</v>
      </c>
      <c r="I2810" s="22" t="s">
        <v>409</v>
      </c>
      <c r="J2810" s="22" t="s">
        <v>4552</v>
      </c>
      <c r="K2810" s="22" t="s">
        <v>61</v>
      </c>
      <c r="L2810" s="22"/>
      <c r="M2810" s="22"/>
      <c r="N2810" s="22"/>
    </row>
    <row r="2811" spans="1:14" x14ac:dyDescent="0.25">
      <c r="A2811" s="22" t="s">
        <v>408</v>
      </c>
      <c r="B2811" s="22" t="s">
        <v>39</v>
      </c>
      <c r="C2811" s="22" t="s">
        <v>7680</v>
      </c>
      <c r="D2811" s="23">
        <v>-55561</v>
      </c>
      <c r="E2811" s="22" t="s">
        <v>57</v>
      </c>
      <c r="F2811" s="24">
        <v>44559</v>
      </c>
      <c r="G2811" s="22" t="s">
        <v>368</v>
      </c>
      <c r="H2811" s="22" t="s">
        <v>375</v>
      </c>
      <c r="I2811" s="22" t="s">
        <v>407</v>
      </c>
      <c r="J2811" s="22" t="s">
        <v>4552</v>
      </c>
      <c r="K2811" s="22" t="s">
        <v>61</v>
      </c>
      <c r="L2811" s="22"/>
      <c r="M2811" s="22"/>
      <c r="N2811" s="22"/>
    </row>
    <row r="2812" spans="1:14" x14ac:dyDescent="0.25">
      <c r="A2812" s="22" t="s">
        <v>406</v>
      </c>
      <c r="B2812" s="22" t="s">
        <v>39</v>
      </c>
      <c r="C2812" s="22" t="s">
        <v>7680</v>
      </c>
      <c r="D2812" s="23">
        <v>-53700</v>
      </c>
      <c r="E2812" s="22" t="s">
        <v>57</v>
      </c>
      <c r="F2812" s="24">
        <v>44561</v>
      </c>
      <c r="G2812" s="22" t="s">
        <v>368</v>
      </c>
      <c r="H2812" s="22" t="s">
        <v>375</v>
      </c>
      <c r="I2812" s="22" t="s">
        <v>405</v>
      </c>
      <c r="J2812" s="22" t="s">
        <v>4552</v>
      </c>
      <c r="K2812" s="22" t="s">
        <v>61</v>
      </c>
      <c r="L2812" s="22"/>
      <c r="M2812" s="22"/>
      <c r="N2812" s="22"/>
    </row>
    <row r="2813" spans="1:14" x14ac:dyDescent="0.25">
      <c r="A2813" s="22" t="s">
        <v>267</v>
      </c>
      <c r="B2813" s="22" t="s">
        <v>39</v>
      </c>
      <c r="C2813" s="22" t="s">
        <v>7680</v>
      </c>
      <c r="D2813" s="23">
        <v>-293426</v>
      </c>
      <c r="E2813" s="22" t="s">
        <v>45</v>
      </c>
      <c r="F2813" s="24">
        <v>44541</v>
      </c>
      <c r="G2813" s="22" t="s">
        <v>368</v>
      </c>
      <c r="H2813" s="22" t="s">
        <v>404</v>
      </c>
      <c r="I2813" s="22" t="s">
        <v>403</v>
      </c>
      <c r="J2813" s="22" t="s">
        <v>4552</v>
      </c>
      <c r="K2813" s="22" t="s">
        <v>61</v>
      </c>
      <c r="L2813" s="22"/>
      <c r="M2813" s="22"/>
      <c r="N2813" s="22"/>
    </row>
    <row r="2814" spans="1:14" x14ac:dyDescent="0.25">
      <c r="A2814" s="22" t="s">
        <v>401</v>
      </c>
      <c r="B2814" s="22" t="s">
        <v>39</v>
      </c>
      <c r="C2814" s="22" t="s">
        <v>7680</v>
      </c>
      <c r="D2814" s="23">
        <v>-5521</v>
      </c>
      <c r="E2814" s="22" t="s">
        <v>45</v>
      </c>
      <c r="F2814" s="24">
        <v>44532</v>
      </c>
      <c r="G2814" s="22" t="s">
        <v>368</v>
      </c>
      <c r="H2814" s="22" t="s">
        <v>402</v>
      </c>
      <c r="I2814" s="22" t="s">
        <v>400</v>
      </c>
      <c r="J2814" s="22" t="s">
        <v>4552</v>
      </c>
      <c r="K2814" s="22" t="s">
        <v>61</v>
      </c>
      <c r="L2814" s="22"/>
      <c r="M2814" s="22"/>
      <c r="N2814" s="22"/>
    </row>
    <row r="2815" spans="1:14" x14ac:dyDescent="0.25">
      <c r="A2815" s="22" t="s">
        <v>398</v>
      </c>
      <c r="B2815" s="22" t="s">
        <v>39</v>
      </c>
      <c r="C2815" s="22" t="s">
        <v>7677</v>
      </c>
      <c r="D2815" s="23">
        <v>-47200</v>
      </c>
      <c r="E2815" s="22" t="s">
        <v>57</v>
      </c>
      <c r="F2815" s="24">
        <v>44554</v>
      </c>
      <c r="G2815" s="22" t="s">
        <v>368</v>
      </c>
      <c r="H2815" s="22" t="s">
        <v>399</v>
      </c>
      <c r="I2815" s="22" t="s">
        <v>397</v>
      </c>
      <c r="J2815" s="22" t="s">
        <v>4407</v>
      </c>
      <c r="K2815" s="22" t="s">
        <v>66</v>
      </c>
      <c r="L2815" s="22"/>
      <c r="M2815" s="22"/>
      <c r="N2815" s="22"/>
    </row>
    <row r="2816" spans="1:14" x14ac:dyDescent="0.25">
      <c r="A2816" s="22" t="s">
        <v>396</v>
      </c>
      <c r="B2816" s="22" t="s">
        <v>39</v>
      </c>
      <c r="C2816" s="22" t="s">
        <v>7687</v>
      </c>
      <c r="D2816" s="23">
        <v>-255200</v>
      </c>
      <c r="E2816" s="22" t="s">
        <v>57</v>
      </c>
      <c r="F2816" s="24">
        <v>44546</v>
      </c>
      <c r="G2816" s="22" t="s">
        <v>368</v>
      </c>
      <c r="H2816" s="22" t="s">
        <v>375</v>
      </c>
      <c r="I2816" s="22" t="s">
        <v>395</v>
      </c>
      <c r="J2816" s="22" t="s">
        <v>4552</v>
      </c>
      <c r="K2816" s="22" t="s">
        <v>61</v>
      </c>
      <c r="L2816" s="22"/>
      <c r="M2816" s="22"/>
      <c r="N2816" s="22"/>
    </row>
    <row r="2817" spans="1:14" x14ac:dyDescent="0.25">
      <c r="A2817" s="22" t="s">
        <v>394</v>
      </c>
      <c r="B2817" s="22" t="s">
        <v>39</v>
      </c>
      <c r="C2817" s="22" t="s">
        <v>7687</v>
      </c>
      <c r="D2817" s="23">
        <v>-43700</v>
      </c>
      <c r="E2817" s="22" t="s">
        <v>57</v>
      </c>
      <c r="F2817" s="24">
        <v>44547</v>
      </c>
      <c r="G2817" s="22" t="s">
        <v>368</v>
      </c>
      <c r="H2817" s="22" t="s">
        <v>375</v>
      </c>
      <c r="I2817" s="22" t="s">
        <v>393</v>
      </c>
      <c r="J2817" s="22" t="s">
        <v>4552</v>
      </c>
      <c r="K2817" s="22" t="s">
        <v>61</v>
      </c>
      <c r="L2817" s="22"/>
      <c r="M2817" s="22"/>
      <c r="N2817" s="22"/>
    </row>
    <row r="2818" spans="1:14" x14ac:dyDescent="0.25">
      <c r="A2818" s="22" t="s">
        <v>392</v>
      </c>
      <c r="B2818" s="22" t="s">
        <v>39</v>
      </c>
      <c r="C2818" s="22" t="s">
        <v>7687</v>
      </c>
      <c r="D2818" s="23">
        <v>-28100</v>
      </c>
      <c r="E2818" s="22" t="s">
        <v>57</v>
      </c>
      <c r="F2818" s="24">
        <v>44553</v>
      </c>
      <c r="G2818" s="22" t="s">
        <v>368</v>
      </c>
      <c r="H2818" s="22" t="s">
        <v>375</v>
      </c>
      <c r="I2818" s="22" t="s">
        <v>391</v>
      </c>
      <c r="J2818" s="22" t="s">
        <v>4552</v>
      </c>
      <c r="K2818" s="22" t="s">
        <v>61</v>
      </c>
      <c r="L2818" s="22"/>
      <c r="M2818" s="22"/>
      <c r="N2818" s="22"/>
    </row>
    <row r="2819" spans="1:14" x14ac:dyDescent="0.25">
      <c r="A2819" s="22" t="s">
        <v>389</v>
      </c>
      <c r="B2819" s="22" t="s">
        <v>39</v>
      </c>
      <c r="C2819" s="22" t="s">
        <v>7687</v>
      </c>
      <c r="D2819" s="23">
        <v>-29200</v>
      </c>
      <c r="E2819" s="22" t="s">
        <v>57</v>
      </c>
      <c r="F2819" s="24">
        <v>44560</v>
      </c>
      <c r="G2819" s="22" t="s">
        <v>368</v>
      </c>
      <c r="H2819" s="22" t="s">
        <v>390</v>
      </c>
      <c r="I2819" s="22" t="s">
        <v>388</v>
      </c>
      <c r="J2819" s="22" t="s">
        <v>4552</v>
      </c>
      <c r="K2819" s="22" t="s">
        <v>61</v>
      </c>
      <c r="L2819" s="22"/>
      <c r="M2819" s="22"/>
      <c r="N2819" s="22"/>
    </row>
    <row r="2820" spans="1:14" x14ac:dyDescent="0.25">
      <c r="A2820" s="22" t="s">
        <v>387</v>
      </c>
      <c r="B2820" s="22" t="s">
        <v>39</v>
      </c>
      <c r="C2820" s="22" t="s">
        <v>92</v>
      </c>
      <c r="D2820" s="23">
        <v>-6600</v>
      </c>
      <c r="E2820" s="22" t="s">
        <v>57</v>
      </c>
      <c r="F2820" s="24">
        <v>44502</v>
      </c>
      <c r="G2820" s="22" t="s">
        <v>368</v>
      </c>
      <c r="H2820" s="22" t="s">
        <v>375</v>
      </c>
      <c r="I2820" s="22" t="s">
        <v>386</v>
      </c>
      <c r="J2820" s="22" t="s">
        <v>4552</v>
      </c>
      <c r="K2820" s="22" t="s">
        <v>61</v>
      </c>
      <c r="L2820" s="22"/>
      <c r="M2820" s="22"/>
      <c r="N2820" s="22"/>
    </row>
    <row r="2821" spans="1:14" x14ac:dyDescent="0.25">
      <c r="A2821" s="22" t="s">
        <v>385</v>
      </c>
      <c r="B2821" s="22" t="s">
        <v>39</v>
      </c>
      <c r="C2821" s="22" t="s">
        <v>92</v>
      </c>
      <c r="D2821" s="23">
        <v>-20200</v>
      </c>
      <c r="E2821" s="22" t="s">
        <v>57</v>
      </c>
      <c r="F2821" s="24">
        <v>44511</v>
      </c>
      <c r="G2821" s="22" t="s">
        <v>368</v>
      </c>
      <c r="H2821" s="22" t="s">
        <v>375</v>
      </c>
      <c r="I2821" s="22" t="s">
        <v>384</v>
      </c>
      <c r="J2821" s="22" t="s">
        <v>4552</v>
      </c>
      <c r="K2821" s="22" t="s">
        <v>61</v>
      </c>
      <c r="L2821" s="22"/>
      <c r="M2821" s="22"/>
      <c r="N2821" s="22"/>
    </row>
    <row r="2822" spans="1:14" x14ac:dyDescent="0.25">
      <c r="A2822" s="22" t="s">
        <v>383</v>
      </c>
      <c r="B2822" s="22" t="s">
        <v>39</v>
      </c>
      <c r="C2822" s="22" t="s">
        <v>92</v>
      </c>
      <c r="D2822" s="23">
        <v>-68100</v>
      </c>
      <c r="E2822" s="22" t="s">
        <v>57</v>
      </c>
      <c r="F2822" s="24">
        <v>44522</v>
      </c>
      <c r="G2822" s="22" t="s">
        <v>368</v>
      </c>
      <c r="H2822" s="22" t="s">
        <v>375</v>
      </c>
      <c r="I2822" s="22" t="s">
        <v>382</v>
      </c>
      <c r="J2822" s="22" t="s">
        <v>4552</v>
      </c>
      <c r="K2822" s="22" t="s">
        <v>61</v>
      </c>
      <c r="L2822" s="22"/>
      <c r="M2822" s="22"/>
      <c r="N2822" s="22"/>
    </row>
    <row r="2823" spans="1:14" x14ac:dyDescent="0.25">
      <c r="A2823" s="22" t="s">
        <v>381</v>
      </c>
      <c r="B2823" s="22" t="s">
        <v>39</v>
      </c>
      <c r="C2823" s="22" t="s">
        <v>92</v>
      </c>
      <c r="D2823" s="23">
        <v>-28100</v>
      </c>
      <c r="E2823" s="22" t="s">
        <v>57</v>
      </c>
      <c r="F2823" s="24">
        <v>44523</v>
      </c>
      <c r="G2823" s="22" t="s">
        <v>368</v>
      </c>
      <c r="H2823" s="22" t="s">
        <v>375</v>
      </c>
      <c r="I2823" s="22" t="s">
        <v>380</v>
      </c>
      <c r="J2823" s="22" t="s">
        <v>4552</v>
      </c>
      <c r="K2823" s="22" t="s">
        <v>61</v>
      </c>
      <c r="L2823" s="22"/>
      <c r="M2823" s="22"/>
      <c r="N2823" s="22"/>
    </row>
    <row r="2824" spans="1:14" x14ac:dyDescent="0.25">
      <c r="A2824" s="22" t="s">
        <v>379</v>
      </c>
      <c r="B2824" s="22" t="s">
        <v>39</v>
      </c>
      <c r="C2824" s="22" t="s">
        <v>92</v>
      </c>
      <c r="D2824" s="23">
        <v>-43700</v>
      </c>
      <c r="E2824" s="22" t="s">
        <v>57</v>
      </c>
      <c r="F2824" s="24">
        <v>44524</v>
      </c>
      <c r="G2824" s="22" t="s">
        <v>368</v>
      </c>
      <c r="H2824" s="22" t="s">
        <v>375</v>
      </c>
      <c r="I2824" s="22" t="s">
        <v>378</v>
      </c>
      <c r="J2824" s="22" t="s">
        <v>4552</v>
      </c>
      <c r="K2824" s="22" t="s">
        <v>61</v>
      </c>
      <c r="L2824" s="22"/>
      <c r="M2824" s="22"/>
      <c r="N2824" s="22"/>
    </row>
    <row r="2825" spans="1:14" x14ac:dyDescent="0.25">
      <c r="A2825" s="22" t="s">
        <v>377</v>
      </c>
      <c r="B2825" s="22" t="s">
        <v>39</v>
      </c>
      <c r="C2825" s="22" t="s">
        <v>92</v>
      </c>
      <c r="D2825" s="23">
        <v>-18800</v>
      </c>
      <c r="E2825" s="22" t="s">
        <v>57</v>
      </c>
      <c r="F2825" s="24">
        <v>44525</v>
      </c>
      <c r="G2825" s="22" t="s">
        <v>368</v>
      </c>
      <c r="H2825" s="22" t="s">
        <v>375</v>
      </c>
      <c r="I2825" s="22" t="s">
        <v>376</v>
      </c>
      <c r="J2825" s="22" t="s">
        <v>4552</v>
      </c>
      <c r="K2825" s="22" t="s">
        <v>61</v>
      </c>
      <c r="L2825" s="22"/>
      <c r="M2825" s="22"/>
      <c r="N2825" s="22"/>
    </row>
    <row r="2826" spans="1:14" x14ac:dyDescent="0.25">
      <c r="A2826" s="22" t="s">
        <v>374</v>
      </c>
      <c r="B2826" s="22" t="s">
        <v>39</v>
      </c>
      <c r="C2826" s="22" t="s">
        <v>7686</v>
      </c>
      <c r="D2826" s="23">
        <v>-891000</v>
      </c>
      <c r="E2826" s="22" t="s">
        <v>57</v>
      </c>
      <c r="F2826" s="24">
        <v>44503</v>
      </c>
      <c r="G2826" s="22" t="s">
        <v>368</v>
      </c>
      <c r="H2826" s="22" t="s">
        <v>375</v>
      </c>
      <c r="I2826" s="22" t="s">
        <v>373</v>
      </c>
      <c r="J2826" s="22" t="s">
        <v>4552</v>
      </c>
      <c r="K2826" s="22" t="s">
        <v>61</v>
      </c>
      <c r="L2826" s="22"/>
      <c r="M2826" s="22"/>
      <c r="N2826" s="22"/>
    </row>
    <row r="2827" spans="1:14" x14ac:dyDescent="0.25">
      <c r="A2827" s="22" t="s">
        <v>371</v>
      </c>
      <c r="B2827" s="22" t="s">
        <v>39</v>
      </c>
      <c r="C2827" s="22" t="s">
        <v>96</v>
      </c>
      <c r="D2827" s="23">
        <v>-239234</v>
      </c>
      <c r="E2827" s="22" t="s">
        <v>57</v>
      </c>
      <c r="F2827" s="24">
        <v>44502</v>
      </c>
      <c r="G2827" s="22" t="s">
        <v>368</v>
      </c>
      <c r="H2827" s="22" t="s">
        <v>372</v>
      </c>
      <c r="I2827" s="22" t="s">
        <v>370</v>
      </c>
      <c r="J2827" s="22" t="s">
        <v>4407</v>
      </c>
      <c r="K2827" s="22" t="s">
        <v>66</v>
      </c>
      <c r="L2827" s="22"/>
      <c r="M2827" s="22"/>
      <c r="N2827" s="22"/>
    </row>
    <row r="2828" spans="1:14" x14ac:dyDescent="0.25">
      <c r="A2828" s="22" t="s">
        <v>367</v>
      </c>
      <c r="B2828" s="22" t="s">
        <v>39</v>
      </c>
      <c r="C2828" s="22" t="s">
        <v>96</v>
      </c>
      <c r="D2828" s="23">
        <v>-202124</v>
      </c>
      <c r="E2828" s="22" t="s">
        <v>57</v>
      </c>
      <c r="F2828" s="24">
        <v>44512</v>
      </c>
      <c r="G2828" s="22" t="s">
        <v>368</v>
      </c>
      <c r="H2828" s="22" t="s">
        <v>369</v>
      </c>
      <c r="I2828" s="22" t="s">
        <v>366</v>
      </c>
      <c r="J2828" s="22" t="s">
        <v>4407</v>
      </c>
      <c r="K2828" s="22" t="s">
        <v>66</v>
      </c>
      <c r="L2828" s="22"/>
      <c r="M2828" s="22"/>
      <c r="N2828" s="22"/>
    </row>
    <row r="2829" spans="1:14" x14ac:dyDescent="0.25">
      <c r="A2829" s="22" t="s">
        <v>471</v>
      </c>
      <c r="B2829" s="22" t="s">
        <v>39</v>
      </c>
      <c r="C2829" s="22" t="s">
        <v>96</v>
      </c>
      <c r="D2829" s="23">
        <v>-2279772</v>
      </c>
      <c r="E2829" s="22" t="s">
        <v>57</v>
      </c>
      <c r="F2829" s="24">
        <v>44514</v>
      </c>
      <c r="G2829" s="22" t="s">
        <v>368</v>
      </c>
      <c r="H2829" s="22" t="s">
        <v>472</v>
      </c>
      <c r="I2829" s="22" t="s">
        <v>470</v>
      </c>
      <c r="J2829" s="22" t="s">
        <v>4407</v>
      </c>
      <c r="K2829" s="22" t="s">
        <v>66</v>
      </c>
      <c r="L2829" s="22"/>
      <c r="M2829" s="22"/>
      <c r="N2829" s="22"/>
    </row>
    <row r="2830" spans="1:14" x14ac:dyDescent="0.25">
      <c r="A2830" s="22" t="s">
        <v>468</v>
      </c>
      <c r="B2830" s="22" t="s">
        <v>39</v>
      </c>
      <c r="C2830" s="22" t="s">
        <v>96</v>
      </c>
      <c r="D2830" s="23">
        <v>-858456</v>
      </c>
      <c r="E2830" s="22" t="s">
        <v>45</v>
      </c>
      <c r="F2830" s="24">
        <v>44526</v>
      </c>
      <c r="G2830" s="22" t="s">
        <v>368</v>
      </c>
      <c r="H2830" s="22" t="s">
        <v>469</v>
      </c>
      <c r="I2830" s="22" t="s">
        <v>467</v>
      </c>
      <c r="J2830" s="22" t="s">
        <v>4407</v>
      </c>
      <c r="K2830" s="22" t="s">
        <v>66</v>
      </c>
      <c r="L2830" s="22"/>
      <c r="M2830" s="22"/>
      <c r="N2830" s="22"/>
    </row>
    <row r="2831" spans="1:14" x14ac:dyDescent="0.25">
      <c r="A2831" s="22" t="s">
        <v>466</v>
      </c>
      <c r="B2831" s="22" t="s">
        <v>39</v>
      </c>
      <c r="C2831" s="22" t="s">
        <v>7681</v>
      </c>
      <c r="D2831" s="23">
        <v>-126200</v>
      </c>
      <c r="E2831" s="22" t="s">
        <v>57</v>
      </c>
      <c r="F2831" s="24">
        <v>44508</v>
      </c>
      <c r="G2831" s="22" t="s">
        <v>368</v>
      </c>
      <c r="H2831" s="22" t="s">
        <v>453</v>
      </c>
      <c r="I2831" s="22" t="s">
        <v>465</v>
      </c>
      <c r="J2831" s="22" t="s">
        <v>4552</v>
      </c>
      <c r="K2831" s="22" t="s">
        <v>61</v>
      </c>
      <c r="L2831" s="22"/>
      <c r="M2831" s="22"/>
      <c r="N2831" s="22"/>
    </row>
    <row r="2832" spans="1:14" x14ac:dyDescent="0.25">
      <c r="A2832" s="22" t="s">
        <v>464</v>
      </c>
      <c r="B2832" s="22" t="s">
        <v>39</v>
      </c>
      <c r="C2832" s="22" t="s">
        <v>7681</v>
      </c>
      <c r="D2832" s="23">
        <v>-54780</v>
      </c>
      <c r="E2832" s="22" t="s">
        <v>57</v>
      </c>
      <c r="F2832" s="24">
        <v>44510</v>
      </c>
      <c r="G2832" s="22" t="s">
        <v>368</v>
      </c>
      <c r="H2832" s="22" t="s">
        <v>375</v>
      </c>
      <c r="I2832" s="22" t="s">
        <v>463</v>
      </c>
      <c r="J2832" s="22" t="s">
        <v>4552</v>
      </c>
      <c r="K2832" s="22" t="s">
        <v>61</v>
      </c>
      <c r="L2832" s="22"/>
      <c r="M2832" s="22"/>
      <c r="N2832" s="22"/>
    </row>
    <row r="2833" spans="1:14" x14ac:dyDescent="0.25">
      <c r="A2833" s="22" t="s">
        <v>462</v>
      </c>
      <c r="B2833" s="22" t="s">
        <v>39</v>
      </c>
      <c r="C2833" s="22" t="s">
        <v>7681</v>
      </c>
      <c r="D2833" s="23">
        <v>-105461</v>
      </c>
      <c r="E2833" s="22" t="s">
        <v>57</v>
      </c>
      <c r="F2833" s="24">
        <v>44512</v>
      </c>
      <c r="G2833" s="22" t="s">
        <v>368</v>
      </c>
      <c r="H2833" s="22" t="s">
        <v>453</v>
      </c>
      <c r="I2833" s="22" t="s">
        <v>461</v>
      </c>
      <c r="J2833" s="22" t="s">
        <v>4552</v>
      </c>
      <c r="K2833" s="22" t="s">
        <v>61</v>
      </c>
      <c r="L2833" s="22"/>
      <c r="M2833" s="22"/>
      <c r="N2833" s="22"/>
    </row>
    <row r="2834" spans="1:14" x14ac:dyDescent="0.25">
      <c r="A2834" s="22" t="s">
        <v>460</v>
      </c>
      <c r="B2834" s="22" t="s">
        <v>39</v>
      </c>
      <c r="C2834" s="22" t="s">
        <v>7681</v>
      </c>
      <c r="D2834" s="23">
        <v>-103600</v>
      </c>
      <c r="E2834" s="22" t="s">
        <v>57</v>
      </c>
      <c r="F2834" s="24">
        <v>44516</v>
      </c>
      <c r="G2834" s="22" t="s">
        <v>368</v>
      </c>
      <c r="H2834" s="22" t="s">
        <v>453</v>
      </c>
      <c r="I2834" s="22" t="s">
        <v>459</v>
      </c>
      <c r="J2834" s="22" t="s">
        <v>4552</v>
      </c>
      <c r="K2834" s="22" t="s">
        <v>61</v>
      </c>
      <c r="L2834" s="22"/>
      <c r="M2834" s="22"/>
      <c r="N2834" s="22"/>
    </row>
    <row r="2835" spans="1:14" x14ac:dyDescent="0.25">
      <c r="A2835" s="22" t="s">
        <v>458</v>
      </c>
      <c r="B2835" s="22" t="s">
        <v>39</v>
      </c>
      <c r="C2835" s="22" t="s">
        <v>7681</v>
      </c>
      <c r="D2835" s="23">
        <v>-227532</v>
      </c>
      <c r="E2835" s="22" t="s">
        <v>57</v>
      </c>
      <c r="F2835" s="24">
        <v>44519</v>
      </c>
      <c r="G2835" s="22" t="s">
        <v>368</v>
      </c>
      <c r="H2835" s="22" t="s">
        <v>453</v>
      </c>
      <c r="I2835" s="22" t="s">
        <v>457</v>
      </c>
      <c r="J2835" s="22" t="s">
        <v>4552</v>
      </c>
      <c r="K2835" s="22" t="s">
        <v>61</v>
      </c>
      <c r="L2835" s="22"/>
      <c r="M2835" s="22"/>
      <c r="N2835" s="22"/>
    </row>
    <row r="2836" spans="1:14" x14ac:dyDescent="0.25">
      <c r="A2836" s="22" t="s">
        <v>455</v>
      </c>
      <c r="B2836" s="22" t="s">
        <v>39</v>
      </c>
      <c r="C2836" s="22" t="s">
        <v>7681</v>
      </c>
      <c r="D2836" s="23">
        <v>-1226207</v>
      </c>
      <c r="E2836" s="22" t="s">
        <v>57</v>
      </c>
      <c r="F2836" s="24">
        <v>44519</v>
      </c>
      <c r="G2836" s="22" t="s">
        <v>368</v>
      </c>
      <c r="H2836" s="22" t="s">
        <v>456</v>
      </c>
      <c r="I2836" s="22" t="s">
        <v>454</v>
      </c>
      <c r="J2836" s="22" t="s">
        <v>4552</v>
      </c>
      <c r="K2836" s="22" t="s">
        <v>61</v>
      </c>
      <c r="L2836" s="22"/>
      <c r="M2836" s="22"/>
      <c r="N2836" s="22"/>
    </row>
    <row r="2837" spans="1:14" x14ac:dyDescent="0.25">
      <c r="A2837" s="22" t="s">
        <v>452</v>
      </c>
      <c r="B2837" s="22" t="s">
        <v>39</v>
      </c>
      <c r="C2837" s="22" t="s">
        <v>7681</v>
      </c>
      <c r="D2837" s="23">
        <v>-165800</v>
      </c>
      <c r="E2837" s="22" t="s">
        <v>57</v>
      </c>
      <c r="F2837" s="24">
        <v>44522</v>
      </c>
      <c r="G2837" s="22" t="s">
        <v>368</v>
      </c>
      <c r="H2837" s="22" t="s">
        <v>453</v>
      </c>
      <c r="I2837" s="22" t="s">
        <v>451</v>
      </c>
      <c r="J2837" s="22" t="s">
        <v>4552</v>
      </c>
      <c r="K2837" s="22" t="s">
        <v>61</v>
      </c>
      <c r="L2837" s="22"/>
      <c r="M2837" s="22"/>
      <c r="N2837" s="22"/>
    </row>
    <row r="2838" spans="1:14" x14ac:dyDescent="0.25">
      <c r="A2838" s="22" t="s">
        <v>449</v>
      </c>
      <c r="B2838" s="22" t="s">
        <v>39</v>
      </c>
      <c r="C2838" s="22" t="s">
        <v>7681</v>
      </c>
      <c r="D2838" s="23">
        <v>-121524</v>
      </c>
      <c r="E2838" s="22" t="s">
        <v>57</v>
      </c>
      <c r="F2838" s="24">
        <v>44522</v>
      </c>
      <c r="G2838" s="22" t="s">
        <v>368</v>
      </c>
      <c r="H2838" s="22" t="s">
        <v>450</v>
      </c>
      <c r="I2838" s="22" t="s">
        <v>448</v>
      </c>
      <c r="J2838" s="22" t="s">
        <v>4552</v>
      </c>
      <c r="K2838" s="22" t="s">
        <v>61</v>
      </c>
      <c r="L2838" s="22"/>
      <c r="M2838" s="22"/>
      <c r="N2838" s="22"/>
    </row>
    <row r="2839" spans="1:14" x14ac:dyDescent="0.25">
      <c r="A2839" s="22" t="s">
        <v>447</v>
      </c>
      <c r="B2839" s="22" t="s">
        <v>39</v>
      </c>
      <c r="C2839" s="22" t="s">
        <v>7681</v>
      </c>
      <c r="D2839" s="23">
        <v>-103580</v>
      </c>
      <c r="E2839" s="22" t="s">
        <v>57</v>
      </c>
      <c r="F2839" s="24">
        <v>44527</v>
      </c>
      <c r="G2839" s="22" t="s">
        <v>368</v>
      </c>
      <c r="H2839" s="22" t="s">
        <v>375</v>
      </c>
      <c r="I2839" s="22" t="s">
        <v>446</v>
      </c>
      <c r="J2839" s="22" t="s">
        <v>4552</v>
      </c>
      <c r="K2839" s="22" t="s">
        <v>61</v>
      </c>
      <c r="L2839" s="22"/>
      <c r="M2839" s="22"/>
      <c r="N2839" s="22"/>
    </row>
    <row r="2840" spans="1:14" x14ac:dyDescent="0.25">
      <c r="A2840" s="22" t="s">
        <v>445</v>
      </c>
      <c r="B2840" s="22" t="s">
        <v>39</v>
      </c>
      <c r="C2840" s="22" t="s">
        <v>7678</v>
      </c>
      <c r="D2840" s="23">
        <v>-31600</v>
      </c>
      <c r="E2840" s="22" t="s">
        <v>57</v>
      </c>
      <c r="F2840" s="24">
        <v>44505</v>
      </c>
      <c r="G2840" s="22" t="s">
        <v>368</v>
      </c>
      <c r="H2840" s="22" t="s">
        <v>249</v>
      </c>
      <c r="I2840" s="22" t="s">
        <v>444</v>
      </c>
      <c r="J2840" s="22" t="s">
        <v>4407</v>
      </c>
      <c r="K2840" s="22" t="s">
        <v>66</v>
      </c>
      <c r="L2840" s="22"/>
      <c r="M2840" s="22"/>
      <c r="N2840" s="22"/>
    </row>
    <row r="2841" spans="1:14" x14ac:dyDescent="0.25">
      <c r="A2841" s="22" t="s">
        <v>443</v>
      </c>
      <c r="B2841" s="22" t="s">
        <v>39</v>
      </c>
      <c r="C2841" s="22" t="s">
        <v>7678</v>
      </c>
      <c r="D2841" s="23">
        <v>-24600</v>
      </c>
      <c r="E2841" s="22" t="s">
        <v>57</v>
      </c>
      <c r="F2841" s="24">
        <v>44508</v>
      </c>
      <c r="G2841" s="22" t="s">
        <v>368</v>
      </c>
      <c r="H2841" s="22" t="s">
        <v>249</v>
      </c>
      <c r="I2841" s="22" t="s">
        <v>442</v>
      </c>
      <c r="J2841" s="22" t="s">
        <v>4407</v>
      </c>
      <c r="K2841" s="22" t="s">
        <v>66</v>
      </c>
      <c r="L2841" s="22"/>
      <c r="M2841" s="22"/>
      <c r="N2841" s="22"/>
    </row>
    <row r="2842" spans="1:14" x14ac:dyDescent="0.25">
      <c r="A2842" s="22" t="s">
        <v>441</v>
      </c>
      <c r="B2842" s="22" t="s">
        <v>39</v>
      </c>
      <c r="C2842" s="22" t="s">
        <v>7678</v>
      </c>
      <c r="D2842" s="23">
        <v>-256400</v>
      </c>
      <c r="E2842" s="22" t="s">
        <v>57</v>
      </c>
      <c r="F2842" s="24">
        <v>44509</v>
      </c>
      <c r="G2842" s="22" t="s">
        <v>368</v>
      </c>
      <c r="H2842" s="22" t="s">
        <v>249</v>
      </c>
      <c r="I2842" s="22" t="s">
        <v>440</v>
      </c>
      <c r="J2842" s="22" t="s">
        <v>4407</v>
      </c>
      <c r="K2842" s="22" t="s">
        <v>66</v>
      </c>
      <c r="L2842" s="22"/>
      <c r="M2842" s="22"/>
      <c r="N2842" s="22"/>
    </row>
    <row r="2843" spans="1:14" x14ac:dyDescent="0.25">
      <c r="A2843" s="22" t="s">
        <v>438</v>
      </c>
      <c r="B2843" s="22" t="s">
        <v>39</v>
      </c>
      <c r="C2843" s="22" t="s">
        <v>7678</v>
      </c>
      <c r="D2843" s="23">
        <v>-557900</v>
      </c>
      <c r="E2843" s="22" t="s">
        <v>57</v>
      </c>
      <c r="F2843" s="24">
        <v>44510</v>
      </c>
      <c r="G2843" s="22" t="s">
        <v>368</v>
      </c>
      <c r="H2843" s="22" t="s">
        <v>439</v>
      </c>
      <c r="I2843" s="22" t="s">
        <v>437</v>
      </c>
      <c r="J2843" s="22" t="s">
        <v>4407</v>
      </c>
      <c r="K2843" s="22" t="s">
        <v>66</v>
      </c>
      <c r="L2843" s="22"/>
      <c r="M2843" s="22"/>
      <c r="N2843" s="22"/>
    </row>
    <row r="2844" spans="1:14" x14ac:dyDescent="0.25">
      <c r="A2844" s="22" t="s">
        <v>419</v>
      </c>
      <c r="B2844" s="22" t="s">
        <v>39</v>
      </c>
      <c r="C2844" s="22" t="s">
        <v>7679</v>
      </c>
      <c r="D2844" s="23">
        <v>6502562</v>
      </c>
      <c r="E2844" s="22" t="s">
        <v>45</v>
      </c>
      <c r="F2844" s="24">
        <v>44546</v>
      </c>
      <c r="G2844" s="22" t="s">
        <v>368</v>
      </c>
      <c r="H2844" s="22"/>
      <c r="I2844" s="22" t="s">
        <v>368</v>
      </c>
      <c r="J2844" s="22" t="s">
        <v>4552</v>
      </c>
      <c r="K2844" s="22" t="s">
        <v>61</v>
      </c>
      <c r="L2844" s="22"/>
      <c r="M2844" s="22"/>
      <c r="N2844" s="22"/>
    </row>
    <row r="2845" spans="1:14" x14ac:dyDescent="0.25">
      <c r="A2845" s="22" t="s">
        <v>419</v>
      </c>
      <c r="B2845" s="22" t="s">
        <v>39</v>
      </c>
      <c r="C2845" s="22" t="s">
        <v>7679</v>
      </c>
      <c r="D2845" s="23">
        <v>-11072004</v>
      </c>
      <c r="E2845" s="22" t="s">
        <v>45</v>
      </c>
      <c r="F2845" s="24">
        <v>44546</v>
      </c>
      <c r="G2845" s="22" t="s">
        <v>368</v>
      </c>
      <c r="H2845" s="22"/>
      <c r="I2845" s="22" t="s">
        <v>368</v>
      </c>
      <c r="J2845" s="22" t="s">
        <v>4401</v>
      </c>
      <c r="K2845" s="22" t="s">
        <v>61</v>
      </c>
      <c r="L2845" s="22"/>
      <c r="M2845" s="22"/>
      <c r="N2845" s="22"/>
    </row>
    <row r="2846" spans="1:14" x14ac:dyDescent="0.25">
      <c r="A2846" s="22" t="s">
        <v>419</v>
      </c>
      <c r="B2846" s="22" t="s">
        <v>39</v>
      </c>
      <c r="C2846" s="22" t="s">
        <v>7679</v>
      </c>
      <c r="D2846" s="23">
        <v>4644003</v>
      </c>
      <c r="E2846" s="22" t="s">
        <v>45</v>
      </c>
      <c r="F2846" s="24">
        <v>44546</v>
      </c>
      <c r="G2846" s="22" t="s">
        <v>368</v>
      </c>
      <c r="H2846" s="22"/>
      <c r="I2846" s="22" t="s">
        <v>368</v>
      </c>
      <c r="J2846" s="22" t="s">
        <v>4407</v>
      </c>
      <c r="K2846" s="22" t="s">
        <v>61</v>
      </c>
      <c r="L2846" s="22"/>
      <c r="M2846" s="22"/>
      <c r="N2846" s="22"/>
    </row>
    <row r="2847" spans="1:14" x14ac:dyDescent="0.25">
      <c r="A2847" s="22" t="s">
        <v>436</v>
      </c>
      <c r="B2847" s="22" t="s">
        <v>39</v>
      </c>
      <c r="C2847" s="22" t="s">
        <v>3504</v>
      </c>
      <c r="D2847" s="23">
        <v>11072004</v>
      </c>
      <c r="E2847" s="22" t="s">
        <v>42</v>
      </c>
      <c r="F2847" s="24">
        <v>44537</v>
      </c>
      <c r="G2847" s="22" t="s">
        <v>368</v>
      </c>
      <c r="H2847" s="22" t="s">
        <v>227</v>
      </c>
      <c r="I2847" s="22" t="s">
        <v>435</v>
      </c>
      <c r="J2847" s="22" t="s">
        <v>4401</v>
      </c>
      <c r="K2847" s="22" t="s">
        <v>292</v>
      </c>
      <c r="L2847" s="22"/>
      <c r="M2847" s="22"/>
      <c r="N2847" s="22"/>
    </row>
    <row r="2848" spans="1:14" x14ac:dyDescent="0.25">
      <c r="A2848" s="22" t="s">
        <v>1396</v>
      </c>
      <c r="B2848" s="22" t="s">
        <v>39</v>
      </c>
      <c r="C2848" s="22" t="s">
        <v>7682</v>
      </c>
      <c r="D2848" s="23">
        <v>-2720645</v>
      </c>
      <c r="E2848" s="22" t="s">
        <v>57</v>
      </c>
      <c r="F2848" s="24">
        <v>44560</v>
      </c>
      <c r="G2848" s="22" t="s">
        <v>1383</v>
      </c>
      <c r="H2848" s="22" t="s">
        <v>1397</v>
      </c>
      <c r="I2848" s="22" t="s">
        <v>1395</v>
      </c>
      <c r="J2848" s="22" t="s">
        <v>4407</v>
      </c>
      <c r="K2848" s="22" t="s">
        <v>66</v>
      </c>
      <c r="L2848" s="22"/>
      <c r="M2848" s="22"/>
      <c r="N2848" s="22"/>
    </row>
    <row r="2849" spans="1:14" x14ac:dyDescent="0.25">
      <c r="A2849" s="22" t="s">
        <v>1393</v>
      </c>
      <c r="B2849" s="22" t="s">
        <v>39</v>
      </c>
      <c r="C2849" s="22" t="s">
        <v>7677</v>
      </c>
      <c r="D2849" s="23">
        <v>-9700</v>
      </c>
      <c r="E2849" s="22" t="s">
        <v>57</v>
      </c>
      <c r="F2849" s="24">
        <v>44546</v>
      </c>
      <c r="G2849" s="22" t="s">
        <v>1383</v>
      </c>
      <c r="H2849" s="22" t="s">
        <v>1394</v>
      </c>
      <c r="I2849" s="22" t="s">
        <v>1392</v>
      </c>
      <c r="J2849" s="22" t="s">
        <v>4407</v>
      </c>
      <c r="K2849" s="22" t="s">
        <v>66</v>
      </c>
      <c r="L2849" s="22"/>
      <c r="M2849" s="22"/>
      <c r="N2849" s="22"/>
    </row>
    <row r="2850" spans="1:14" x14ac:dyDescent="0.25">
      <c r="A2850" s="22" t="s">
        <v>1390</v>
      </c>
      <c r="B2850" s="22" t="s">
        <v>39</v>
      </c>
      <c r="C2850" s="22" t="s">
        <v>96</v>
      </c>
      <c r="D2850" s="23">
        <v>-191294</v>
      </c>
      <c r="E2850" s="22" t="s">
        <v>57</v>
      </c>
      <c r="F2850" s="24">
        <v>44507</v>
      </c>
      <c r="G2850" s="22" t="s">
        <v>1383</v>
      </c>
      <c r="H2850" s="22" t="s">
        <v>1391</v>
      </c>
      <c r="I2850" s="22" t="s">
        <v>1389</v>
      </c>
      <c r="J2850" s="22" t="s">
        <v>4407</v>
      </c>
      <c r="K2850" s="22" t="s">
        <v>66</v>
      </c>
      <c r="L2850" s="22"/>
      <c r="M2850" s="22"/>
      <c r="N2850" s="22"/>
    </row>
    <row r="2851" spans="1:14" x14ac:dyDescent="0.25">
      <c r="A2851" s="22" t="s">
        <v>1388</v>
      </c>
      <c r="B2851" s="22" t="s">
        <v>39</v>
      </c>
      <c r="C2851" s="22" t="s">
        <v>7678</v>
      </c>
      <c r="D2851" s="23">
        <v>-22900</v>
      </c>
      <c r="E2851" s="22" t="s">
        <v>57</v>
      </c>
      <c r="F2851" s="24">
        <v>44509</v>
      </c>
      <c r="G2851" s="22" t="s">
        <v>1383</v>
      </c>
      <c r="H2851" s="22" t="s">
        <v>1386</v>
      </c>
      <c r="I2851" s="22" t="s">
        <v>1387</v>
      </c>
      <c r="J2851" s="22" t="s">
        <v>4407</v>
      </c>
      <c r="K2851" s="22" t="s">
        <v>66</v>
      </c>
      <c r="L2851" s="22"/>
      <c r="M2851" s="22"/>
      <c r="N2851" s="22"/>
    </row>
    <row r="2852" spans="1:14" x14ac:dyDescent="0.25">
      <c r="A2852" s="22" t="s">
        <v>1385</v>
      </c>
      <c r="B2852" s="22" t="s">
        <v>39</v>
      </c>
      <c r="C2852" s="22" t="s">
        <v>7678</v>
      </c>
      <c r="D2852" s="23">
        <v>-32700</v>
      </c>
      <c r="E2852" s="22" t="s">
        <v>57</v>
      </c>
      <c r="F2852" s="24">
        <v>44509</v>
      </c>
      <c r="G2852" s="22" t="s">
        <v>1383</v>
      </c>
      <c r="H2852" s="22" t="s">
        <v>1386</v>
      </c>
      <c r="I2852" s="22" t="s">
        <v>1384</v>
      </c>
      <c r="J2852" s="22" t="s">
        <v>4407</v>
      </c>
      <c r="K2852" s="22" t="s">
        <v>66</v>
      </c>
      <c r="L2852" s="22"/>
      <c r="M2852" s="22"/>
      <c r="N2852" s="22"/>
    </row>
    <row r="2853" spans="1:14" x14ac:dyDescent="0.25">
      <c r="A2853" s="22" t="s">
        <v>1382</v>
      </c>
      <c r="B2853" s="22" t="s">
        <v>39</v>
      </c>
      <c r="C2853" s="22" t="s">
        <v>3573</v>
      </c>
      <c r="D2853" s="23">
        <v>2977239</v>
      </c>
      <c r="E2853" s="22" t="s">
        <v>42</v>
      </c>
      <c r="F2853" s="24">
        <v>44635</v>
      </c>
      <c r="G2853" s="22" t="s">
        <v>1383</v>
      </c>
      <c r="H2853" s="22" t="s">
        <v>49</v>
      </c>
      <c r="I2853" s="22" t="s">
        <v>1381</v>
      </c>
      <c r="J2853" s="22" t="s">
        <v>4401</v>
      </c>
      <c r="K2853" s="22" t="s">
        <v>292</v>
      </c>
      <c r="L2853" s="22"/>
      <c r="M2853" s="22"/>
      <c r="N2853" s="22"/>
    </row>
    <row r="2854" spans="1:14" x14ac:dyDescent="0.25">
      <c r="A2854" s="22" t="s">
        <v>1382</v>
      </c>
      <c r="B2854" s="22" t="s">
        <v>39</v>
      </c>
      <c r="C2854" s="22" t="s">
        <v>3573</v>
      </c>
      <c r="D2854" s="23">
        <v>-2977239</v>
      </c>
      <c r="E2854" s="22" t="s">
        <v>45</v>
      </c>
      <c r="F2854" s="24">
        <v>44635</v>
      </c>
      <c r="G2854" s="22" t="s">
        <v>1383</v>
      </c>
      <c r="H2854" s="22" t="s">
        <v>230</v>
      </c>
      <c r="I2854" s="22" t="s">
        <v>1383</v>
      </c>
      <c r="J2854" s="22" t="s">
        <v>4401</v>
      </c>
      <c r="K2854" s="22" t="s">
        <v>292</v>
      </c>
      <c r="L2854" s="22"/>
      <c r="M2854" s="22"/>
      <c r="N2854" s="22"/>
    </row>
    <row r="2855" spans="1:14" x14ac:dyDescent="0.25">
      <c r="A2855" s="22" t="s">
        <v>1382</v>
      </c>
      <c r="B2855" s="22" t="s">
        <v>39</v>
      </c>
      <c r="C2855" s="22" t="s">
        <v>3573</v>
      </c>
      <c r="D2855" s="23">
        <v>2977239</v>
      </c>
      <c r="E2855" s="22" t="s">
        <v>45</v>
      </c>
      <c r="F2855" s="24">
        <v>44635</v>
      </c>
      <c r="G2855" s="22" t="s">
        <v>1383</v>
      </c>
      <c r="H2855" s="22" t="s">
        <v>230</v>
      </c>
      <c r="I2855" s="22" t="s">
        <v>1383</v>
      </c>
      <c r="J2855" s="22" t="s">
        <v>4407</v>
      </c>
      <c r="K2855" s="22" t="s">
        <v>292</v>
      </c>
      <c r="L2855" s="22"/>
      <c r="M2855" s="22"/>
      <c r="N2855" s="22"/>
    </row>
    <row r="2856" spans="1:14" x14ac:dyDescent="0.25">
      <c r="A2856" s="22" t="s">
        <v>1447</v>
      </c>
      <c r="B2856" s="22" t="s">
        <v>39</v>
      </c>
      <c r="C2856" s="22" t="s">
        <v>7680</v>
      </c>
      <c r="D2856" s="23">
        <v>-53700</v>
      </c>
      <c r="E2856" s="22" t="s">
        <v>57</v>
      </c>
      <c r="F2856" s="24">
        <v>44533</v>
      </c>
      <c r="G2856" s="22" t="s">
        <v>1440</v>
      </c>
      <c r="H2856" s="22" t="s">
        <v>1448</v>
      </c>
      <c r="I2856" s="22" t="s">
        <v>1446</v>
      </c>
      <c r="J2856" s="22" t="s">
        <v>4552</v>
      </c>
      <c r="K2856" s="22" t="s">
        <v>61</v>
      </c>
      <c r="L2856" s="22"/>
      <c r="M2856" s="22"/>
      <c r="N2856" s="22"/>
    </row>
    <row r="2857" spans="1:14" x14ac:dyDescent="0.25">
      <c r="A2857" s="22" t="s">
        <v>1444</v>
      </c>
      <c r="B2857" s="22" t="s">
        <v>39</v>
      </c>
      <c r="C2857" s="22" t="s">
        <v>7681</v>
      </c>
      <c r="D2857" s="23">
        <v>-613373</v>
      </c>
      <c r="E2857" s="22" t="s">
        <v>57</v>
      </c>
      <c r="F2857" s="24">
        <v>44524</v>
      </c>
      <c r="G2857" s="22" t="s">
        <v>1440</v>
      </c>
      <c r="H2857" s="22" t="s">
        <v>1445</v>
      </c>
      <c r="I2857" s="22" t="s">
        <v>1443</v>
      </c>
      <c r="J2857" s="22" t="s">
        <v>4552</v>
      </c>
      <c r="K2857" s="22" t="s">
        <v>61</v>
      </c>
      <c r="L2857" s="22"/>
      <c r="M2857" s="22"/>
      <c r="N2857" s="22"/>
    </row>
    <row r="2858" spans="1:14" x14ac:dyDescent="0.25">
      <c r="A2858" s="22" t="s">
        <v>1441</v>
      </c>
      <c r="B2858" s="22" t="s">
        <v>39</v>
      </c>
      <c r="C2858" s="22" t="s">
        <v>3573</v>
      </c>
      <c r="D2858" s="23">
        <v>667073</v>
      </c>
      <c r="E2858" s="22" t="s">
        <v>42</v>
      </c>
      <c r="F2858" s="24">
        <v>44635</v>
      </c>
      <c r="G2858" s="22" t="s">
        <v>1440</v>
      </c>
      <c r="H2858" s="22" t="s">
        <v>49</v>
      </c>
      <c r="I2858" s="22" t="s">
        <v>1442</v>
      </c>
      <c r="J2858" s="22" t="s">
        <v>4466</v>
      </c>
      <c r="K2858" s="22" t="s">
        <v>292</v>
      </c>
      <c r="L2858" s="22"/>
      <c r="M2858" s="22"/>
      <c r="N2858" s="22"/>
    </row>
    <row r="2859" spans="1:14" x14ac:dyDescent="0.25">
      <c r="A2859" s="22" t="s">
        <v>1441</v>
      </c>
      <c r="B2859" s="22" t="s">
        <v>39</v>
      </c>
      <c r="C2859" s="22" t="s">
        <v>3573</v>
      </c>
      <c r="D2859" s="23">
        <v>-667073</v>
      </c>
      <c r="E2859" s="22" t="s">
        <v>45</v>
      </c>
      <c r="F2859" s="24">
        <v>44635</v>
      </c>
      <c r="G2859" s="22" t="s">
        <v>1440</v>
      </c>
      <c r="H2859" s="22" t="s">
        <v>230</v>
      </c>
      <c r="I2859" s="22" t="s">
        <v>1440</v>
      </c>
      <c r="J2859" s="22" t="s">
        <v>4466</v>
      </c>
      <c r="K2859" s="22" t="s">
        <v>292</v>
      </c>
      <c r="L2859" s="22"/>
      <c r="M2859" s="22"/>
      <c r="N2859" s="22"/>
    </row>
    <row r="2860" spans="1:14" x14ac:dyDescent="0.25">
      <c r="A2860" s="22" t="s">
        <v>1441</v>
      </c>
      <c r="B2860" s="22" t="s">
        <v>39</v>
      </c>
      <c r="C2860" s="22" t="s">
        <v>3573</v>
      </c>
      <c r="D2860" s="23">
        <v>667073</v>
      </c>
      <c r="E2860" s="22" t="s">
        <v>45</v>
      </c>
      <c r="F2860" s="24">
        <v>44635</v>
      </c>
      <c r="G2860" s="22" t="s">
        <v>1440</v>
      </c>
      <c r="H2860" s="22" t="s">
        <v>230</v>
      </c>
      <c r="I2860" s="22" t="s">
        <v>1440</v>
      </c>
      <c r="J2860" s="22" t="s">
        <v>4552</v>
      </c>
      <c r="K2860" s="22" t="s">
        <v>292</v>
      </c>
      <c r="L2860" s="22"/>
      <c r="M2860" s="22"/>
      <c r="N2860" s="22"/>
    </row>
    <row r="2861" spans="1:14" x14ac:dyDescent="0.25">
      <c r="A2861" s="22" t="s">
        <v>1438</v>
      </c>
      <c r="B2861" s="22" t="s">
        <v>39</v>
      </c>
      <c r="C2861" s="22" t="s">
        <v>7682</v>
      </c>
      <c r="D2861" s="23">
        <v>-115621</v>
      </c>
      <c r="E2861" s="22" t="s">
        <v>57</v>
      </c>
      <c r="F2861" s="24">
        <v>44553</v>
      </c>
      <c r="G2861" s="22" t="s">
        <v>1431</v>
      </c>
      <c r="H2861" s="22" t="s">
        <v>1439</v>
      </c>
      <c r="I2861" s="22" t="s">
        <v>1437</v>
      </c>
      <c r="J2861" s="22" t="s">
        <v>4407</v>
      </c>
      <c r="K2861" s="22" t="s">
        <v>66</v>
      </c>
      <c r="L2861" s="22"/>
      <c r="M2861" s="22"/>
      <c r="N2861" s="22"/>
    </row>
    <row r="2862" spans="1:14" x14ac:dyDescent="0.25">
      <c r="A2862" s="22" t="s">
        <v>1435</v>
      </c>
      <c r="B2862" s="22" t="s">
        <v>39</v>
      </c>
      <c r="C2862" s="22" t="s">
        <v>96</v>
      </c>
      <c r="D2862" s="23">
        <v>-113700</v>
      </c>
      <c r="E2862" s="22" t="s">
        <v>57</v>
      </c>
      <c r="F2862" s="24">
        <v>44527</v>
      </c>
      <c r="G2862" s="22" t="s">
        <v>1431</v>
      </c>
      <c r="H2862" s="22" t="s">
        <v>1436</v>
      </c>
      <c r="I2862" s="22" t="s">
        <v>1434</v>
      </c>
      <c r="J2862" s="22" t="s">
        <v>4407</v>
      </c>
      <c r="K2862" s="22" t="s">
        <v>66</v>
      </c>
      <c r="L2862" s="22"/>
      <c r="M2862" s="22"/>
      <c r="N2862" s="22"/>
    </row>
    <row r="2863" spans="1:14" x14ac:dyDescent="0.25">
      <c r="A2863" s="22" t="s">
        <v>1432</v>
      </c>
      <c r="B2863" s="22" t="s">
        <v>39</v>
      </c>
      <c r="C2863" s="22" t="s">
        <v>5285</v>
      </c>
      <c r="D2863" s="23">
        <v>229321</v>
      </c>
      <c r="E2863" s="22" t="s">
        <v>42</v>
      </c>
      <c r="F2863" s="24">
        <v>44635</v>
      </c>
      <c r="G2863" s="22" t="s">
        <v>1431</v>
      </c>
      <c r="H2863" s="22" t="s">
        <v>49</v>
      </c>
      <c r="I2863" s="22" t="s">
        <v>1433</v>
      </c>
      <c r="J2863" s="22" t="s">
        <v>4401</v>
      </c>
      <c r="K2863" s="22" t="s">
        <v>292</v>
      </c>
      <c r="L2863" s="22"/>
      <c r="M2863" s="22"/>
      <c r="N2863" s="22"/>
    </row>
    <row r="2864" spans="1:14" x14ac:dyDescent="0.25">
      <c r="A2864" s="22" t="s">
        <v>1432</v>
      </c>
      <c r="B2864" s="22" t="s">
        <v>39</v>
      </c>
      <c r="C2864" s="22" t="s">
        <v>5285</v>
      </c>
      <c r="D2864" s="23">
        <v>-229321</v>
      </c>
      <c r="E2864" s="22" t="s">
        <v>45</v>
      </c>
      <c r="F2864" s="24">
        <v>44635</v>
      </c>
      <c r="G2864" s="22" t="s">
        <v>1431</v>
      </c>
      <c r="H2864" s="22" t="s">
        <v>230</v>
      </c>
      <c r="I2864" s="22" t="s">
        <v>1431</v>
      </c>
      <c r="J2864" s="22" t="s">
        <v>4401</v>
      </c>
      <c r="K2864" s="22" t="s">
        <v>292</v>
      </c>
      <c r="L2864" s="22"/>
      <c r="M2864" s="22"/>
      <c r="N2864" s="22"/>
    </row>
    <row r="2865" spans="1:14" x14ac:dyDescent="0.25">
      <c r="A2865" s="22" t="s">
        <v>1432</v>
      </c>
      <c r="B2865" s="22" t="s">
        <v>39</v>
      </c>
      <c r="C2865" s="22" t="s">
        <v>5285</v>
      </c>
      <c r="D2865" s="23">
        <v>229321</v>
      </c>
      <c r="E2865" s="22" t="s">
        <v>45</v>
      </c>
      <c r="F2865" s="24">
        <v>44635</v>
      </c>
      <c r="G2865" s="22" t="s">
        <v>1431</v>
      </c>
      <c r="H2865" s="22" t="s">
        <v>230</v>
      </c>
      <c r="I2865" s="22" t="s">
        <v>1431</v>
      </c>
      <c r="J2865" s="22" t="s">
        <v>4407</v>
      </c>
      <c r="K2865" s="22" t="s">
        <v>292</v>
      </c>
      <c r="L2865" s="22"/>
      <c r="M2865" s="22"/>
      <c r="N2865" s="22"/>
    </row>
    <row r="2866" spans="1:14" x14ac:dyDescent="0.25">
      <c r="A2866" s="22" t="s">
        <v>1429</v>
      </c>
      <c r="B2866" s="22" t="s">
        <v>39</v>
      </c>
      <c r="C2866" s="22" t="s">
        <v>7680</v>
      </c>
      <c r="D2866" s="23">
        <v>-95024</v>
      </c>
      <c r="E2866" s="22" t="s">
        <v>57</v>
      </c>
      <c r="F2866" s="24">
        <v>44560</v>
      </c>
      <c r="G2866" s="22" t="s">
        <v>1422</v>
      </c>
      <c r="H2866" s="22" t="s">
        <v>1430</v>
      </c>
      <c r="I2866" s="22" t="s">
        <v>1428</v>
      </c>
      <c r="J2866" s="22" t="s">
        <v>4552</v>
      </c>
      <c r="K2866" s="22" t="s">
        <v>61</v>
      </c>
      <c r="L2866" s="22"/>
      <c r="M2866" s="22"/>
      <c r="N2866" s="22"/>
    </row>
    <row r="2867" spans="1:14" x14ac:dyDescent="0.25">
      <c r="A2867" s="22" t="s">
        <v>1426</v>
      </c>
      <c r="B2867" s="22" t="s">
        <v>39</v>
      </c>
      <c r="C2867" s="22" t="s">
        <v>92</v>
      </c>
      <c r="D2867" s="23">
        <v>-29200</v>
      </c>
      <c r="E2867" s="22" t="s">
        <v>57</v>
      </c>
      <c r="F2867" s="24">
        <v>44529</v>
      </c>
      <c r="G2867" s="22" t="s">
        <v>1422</v>
      </c>
      <c r="H2867" s="22" t="s">
        <v>1427</v>
      </c>
      <c r="I2867" s="22" t="s">
        <v>1425</v>
      </c>
      <c r="J2867" s="22" t="s">
        <v>4552</v>
      </c>
      <c r="K2867" s="22" t="s">
        <v>61</v>
      </c>
      <c r="L2867" s="22"/>
      <c r="M2867" s="22"/>
      <c r="N2867" s="22"/>
    </row>
    <row r="2868" spans="1:14" x14ac:dyDescent="0.25">
      <c r="A2868" s="22" t="s">
        <v>1423</v>
      </c>
      <c r="B2868" s="22" t="s">
        <v>39</v>
      </c>
      <c r="C2868" s="22" t="s">
        <v>3767</v>
      </c>
      <c r="D2868" s="23">
        <v>124224</v>
      </c>
      <c r="E2868" s="22" t="s">
        <v>42</v>
      </c>
      <c r="F2868" s="24">
        <v>44635</v>
      </c>
      <c r="G2868" s="22" t="s">
        <v>1422</v>
      </c>
      <c r="H2868" s="22" t="s">
        <v>49</v>
      </c>
      <c r="I2868" s="22" t="s">
        <v>1424</v>
      </c>
      <c r="J2868" s="22" t="s">
        <v>4466</v>
      </c>
      <c r="K2868" s="22" t="s">
        <v>292</v>
      </c>
      <c r="L2868" s="22"/>
      <c r="M2868" s="22"/>
      <c r="N2868" s="22"/>
    </row>
    <row r="2869" spans="1:14" x14ac:dyDescent="0.25">
      <c r="A2869" s="22" t="s">
        <v>1423</v>
      </c>
      <c r="B2869" s="22" t="s">
        <v>39</v>
      </c>
      <c r="C2869" s="22" t="s">
        <v>3767</v>
      </c>
      <c r="D2869" s="23">
        <v>-124224</v>
      </c>
      <c r="E2869" s="22" t="s">
        <v>45</v>
      </c>
      <c r="F2869" s="24">
        <v>44635</v>
      </c>
      <c r="G2869" s="22" t="s">
        <v>1422</v>
      </c>
      <c r="H2869" s="22" t="s">
        <v>230</v>
      </c>
      <c r="I2869" s="22" t="s">
        <v>1422</v>
      </c>
      <c r="J2869" s="22" t="s">
        <v>4466</v>
      </c>
      <c r="K2869" s="22" t="s">
        <v>292</v>
      </c>
      <c r="L2869" s="22"/>
      <c r="M2869" s="22"/>
      <c r="N2869" s="22"/>
    </row>
    <row r="2870" spans="1:14" x14ac:dyDescent="0.25">
      <c r="A2870" s="22" t="s">
        <v>1423</v>
      </c>
      <c r="B2870" s="22" t="s">
        <v>39</v>
      </c>
      <c r="C2870" s="22" t="s">
        <v>3767</v>
      </c>
      <c r="D2870" s="23">
        <v>124224</v>
      </c>
      <c r="E2870" s="22" t="s">
        <v>45</v>
      </c>
      <c r="F2870" s="24">
        <v>44635</v>
      </c>
      <c r="G2870" s="22" t="s">
        <v>1422</v>
      </c>
      <c r="H2870" s="22" t="s">
        <v>230</v>
      </c>
      <c r="I2870" s="22" t="s">
        <v>1422</v>
      </c>
      <c r="J2870" s="22" t="s">
        <v>4552</v>
      </c>
      <c r="K2870" s="22" t="s">
        <v>292</v>
      </c>
      <c r="L2870" s="22"/>
      <c r="M2870" s="22"/>
      <c r="N2870" s="22"/>
    </row>
    <row r="2871" spans="1:14" x14ac:dyDescent="0.25">
      <c r="A2871" s="22" t="s">
        <v>1420</v>
      </c>
      <c r="B2871" s="22" t="s">
        <v>39</v>
      </c>
      <c r="C2871" s="22" t="s">
        <v>7682</v>
      </c>
      <c r="D2871" s="23">
        <v>-53700</v>
      </c>
      <c r="E2871" s="22" t="s">
        <v>57</v>
      </c>
      <c r="F2871" s="24">
        <v>44542</v>
      </c>
      <c r="G2871" s="22" t="s">
        <v>1416</v>
      </c>
      <c r="H2871" s="22" t="s">
        <v>1421</v>
      </c>
      <c r="I2871" s="22" t="s">
        <v>1419</v>
      </c>
      <c r="J2871" s="22" t="s">
        <v>4407</v>
      </c>
      <c r="K2871" s="22" t="s">
        <v>66</v>
      </c>
      <c r="L2871" s="22"/>
      <c r="M2871" s="22"/>
      <c r="N2871" s="22"/>
    </row>
    <row r="2872" spans="1:14" x14ac:dyDescent="0.25">
      <c r="A2872" s="22" t="s">
        <v>1417</v>
      </c>
      <c r="B2872" s="22" t="s">
        <v>39</v>
      </c>
      <c r="C2872" s="22" t="s">
        <v>3553</v>
      </c>
      <c r="D2872" s="23">
        <v>53700</v>
      </c>
      <c r="E2872" s="22" t="s">
        <v>42</v>
      </c>
      <c r="F2872" s="24">
        <v>44635</v>
      </c>
      <c r="G2872" s="22" t="s">
        <v>1416</v>
      </c>
      <c r="H2872" s="22" t="s">
        <v>49</v>
      </c>
      <c r="I2872" s="22" t="s">
        <v>1418</v>
      </c>
      <c r="J2872" s="22" t="s">
        <v>4401</v>
      </c>
      <c r="K2872" s="22" t="s">
        <v>292</v>
      </c>
      <c r="L2872" s="22"/>
      <c r="M2872" s="22"/>
      <c r="N2872" s="22"/>
    </row>
    <row r="2873" spans="1:14" x14ac:dyDescent="0.25">
      <c r="A2873" s="22" t="s">
        <v>1417</v>
      </c>
      <c r="B2873" s="22" t="s">
        <v>39</v>
      </c>
      <c r="C2873" s="22" t="s">
        <v>3553</v>
      </c>
      <c r="D2873" s="23">
        <v>-53700</v>
      </c>
      <c r="E2873" s="22" t="s">
        <v>45</v>
      </c>
      <c r="F2873" s="24">
        <v>44635</v>
      </c>
      <c r="G2873" s="22" t="s">
        <v>1416</v>
      </c>
      <c r="H2873" s="22" t="s">
        <v>230</v>
      </c>
      <c r="I2873" s="22" t="s">
        <v>1416</v>
      </c>
      <c r="J2873" s="22" t="s">
        <v>4401</v>
      </c>
      <c r="K2873" s="22" t="s">
        <v>292</v>
      </c>
      <c r="L2873" s="22"/>
      <c r="M2873" s="22"/>
      <c r="N2873" s="22"/>
    </row>
    <row r="2874" spans="1:14" x14ac:dyDescent="0.25">
      <c r="A2874" s="22" t="s">
        <v>1417</v>
      </c>
      <c r="B2874" s="22" t="s">
        <v>39</v>
      </c>
      <c r="C2874" s="22" t="s">
        <v>3553</v>
      </c>
      <c r="D2874" s="23">
        <v>53700</v>
      </c>
      <c r="E2874" s="22" t="s">
        <v>45</v>
      </c>
      <c r="F2874" s="24">
        <v>44635</v>
      </c>
      <c r="G2874" s="22" t="s">
        <v>1416</v>
      </c>
      <c r="H2874" s="22" t="s">
        <v>230</v>
      </c>
      <c r="I2874" s="22" t="s">
        <v>1416</v>
      </c>
      <c r="J2874" s="22" t="s">
        <v>4407</v>
      </c>
      <c r="K2874" s="22" t="s">
        <v>292</v>
      </c>
      <c r="L2874" s="22"/>
      <c r="M2874" s="22"/>
      <c r="N2874" s="22"/>
    </row>
    <row r="2875" spans="1:14" x14ac:dyDescent="0.25">
      <c r="A2875" s="22" t="s">
        <v>251</v>
      </c>
      <c r="B2875" s="22" t="s">
        <v>39</v>
      </c>
      <c r="C2875" s="22" t="s">
        <v>7682</v>
      </c>
      <c r="D2875" s="23">
        <v>-132520</v>
      </c>
      <c r="E2875" s="22" t="s">
        <v>45</v>
      </c>
      <c r="F2875" s="24">
        <v>44543</v>
      </c>
      <c r="G2875" s="22" t="s">
        <v>964</v>
      </c>
      <c r="H2875" s="22" t="s">
        <v>866</v>
      </c>
      <c r="I2875" s="22" t="s">
        <v>248</v>
      </c>
      <c r="J2875" s="22" t="s">
        <v>4407</v>
      </c>
      <c r="K2875" s="22" t="s">
        <v>66</v>
      </c>
      <c r="L2875" s="22"/>
      <c r="M2875" s="22"/>
      <c r="N2875" s="22"/>
    </row>
    <row r="2876" spans="1:14" x14ac:dyDescent="0.25">
      <c r="A2876" s="22" t="s">
        <v>965</v>
      </c>
      <c r="B2876" s="22" t="s">
        <v>39</v>
      </c>
      <c r="C2876" s="22" t="s">
        <v>7688</v>
      </c>
      <c r="D2876" s="23">
        <v>-228800</v>
      </c>
      <c r="E2876" s="22" t="s">
        <v>45</v>
      </c>
      <c r="F2876" s="24">
        <v>44569</v>
      </c>
      <c r="G2876" s="22" t="s">
        <v>964</v>
      </c>
      <c r="H2876" s="22"/>
      <c r="I2876" s="22" t="s">
        <v>964</v>
      </c>
      <c r="J2876" s="22" t="s">
        <v>4401</v>
      </c>
      <c r="K2876" s="22" t="s">
        <v>66</v>
      </c>
      <c r="L2876" s="22"/>
      <c r="M2876" s="22"/>
      <c r="N2876" s="22"/>
    </row>
    <row r="2877" spans="1:14" x14ac:dyDescent="0.25">
      <c r="A2877" s="22" t="s">
        <v>965</v>
      </c>
      <c r="B2877" s="22" t="s">
        <v>39</v>
      </c>
      <c r="C2877" s="22" t="s">
        <v>7688</v>
      </c>
      <c r="D2877" s="23">
        <v>242945</v>
      </c>
      <c r="E2877" s="22" t="s">
        <v>45</v>
      </c>
      <c r="F2877" s="24">
        <v>44569</v>
      </c>
      <c r="G2877" s="22" t="s">
        <v>964</v>
      </c>
      <c r="H2877" s="22"/>
      <c r="I2877" s="22" t="s">
        <v>964</v>
      </c>
      <c r="J2877" s="22" t="s">
        <v>4407</v>
      </c>
      <c r="K2877" s="22" t="s">
        <v>66</v>
      </c>
      <c r="L2877" s="22"/>
      <c r="M2877" s="22"/>
      <c r="N2877" s="22"/>
    </row>
    <row r="2878" spans="1:14" x14ac:dyDescent="0.25">
      <c r="A2878" s="22" t="s">
        <v>1380</v>
      </c>
      <c r="B2878" s="22" t="s">
        <v>39</v>
      </c>
      <c r="C2878" s="22" t="s">
        <v>7689</v>
      </c>
      <c r="D2878" s="23">
        <v>-36000</v>
      </c>
      <c r="E2878" s="22" t="s">
        <v>57</v>
      </c>
      <c r="F2878" s="24">
        <v>44564</v>
      </c>
      <c r="G2878" s="22" t="s">
        <v>964</v>
      </c>
      <c r="H2878" s="22" t="s">
        <v>951</v>
      </c>
      <c r="I2878" s="22" t="s">
        <v>1379</v>
      </c>
      <c r="J2878" s="22" t="s">
        <v>4407</v>
      </c>
      <c r="K2878" s="22" t="s">
        <v>66</v>
      </c>
      <c r="L2878" s="22"/>
      <c r="M2878" s="22"/>
      <c r="N2878" s="22"/>
    </row>
    <row r="2879" spans="1:14" x14ac:dyDescent="0.25">
      <c r="A2879" s="22" t="s">
        <v>965</v>
      </c>
      <c r="B2879" s="22" t="s">
        <v>39</v>
      </c>
      <c r="C2879" s="22" t="s">
        <v>7690</v>
      </c>
      <c r="D2879" s="23">
        <v>-74425</v>
      </c>
      <c r="E2879" s="22" t="s">
        <v>57</v>
      </c>
      <c r="F2879" s="24">
        <v>44569</v>
      </c>
      <c r="G2879" s="22" t="s">
        <v>964</v>
      </c>
      <c r="H2879" s="22" t="s">
        <v>1326</v>
      </c>
      <c r="I2879" s="22" t="s">
        <v>1325</v>
      </c>
      <c r="J2879" s="22" t="s">
        <v>4407</v>
      </c>
      <c r="K2879" s="22" t="s">
        <v>66</v>
      </c>
      <c r="L2879" s="22"/>
      <c r="M2879" s="22"/>
      <c r="N2879" s="22"/>
    </row>
    <row r="2880" spans="1:14" x14ac:dyDescent="0.25">
      <c r="A2880" s="22" t="s">
        <v>1324</v>
      </c>
      <c r="B2880" s="22" t="s">
        <v>39</v>
      </c>
      <c r="C2880" s="22" t="s">
        <v>4267</v>
      </c>
      <c r="D2880" s="23">
        <v>228800</v>
      </c>
      <c r="E2880" s="22" t="s">
        <v>42</v>
      </c>
      <c r="F2880" s="24">
        <v>44635</v>
      </c>
      <c r="G2880" s="22" t="s">
        <v>964</v>
      </c>
      <c r="H2880" s="22" t="s">
        <v>49</v>
      </c>
      <c r="I2880" s="22" t="s">
        <v>1323</v>
      </c>
      <c r="J2880" s="22" t="s">
        <v>4401</v>
      </c>
      <c r="K2880" s="22" t="s">
        <v>292</v>
      </c>
      <c r="L2880" s="22"/>
      <c r="M2880" s="22"/>
      <c r="N2880" s="22"/>
    </row>
    <row r="2881" spans="1:14" x14ac:dyDescent="0.25">
      <c r="A2881" s="22" t="s">
        <v>1321</v>
      </c>
      <c r="B2881" s="22" t="s">
        <v>39</v>
      </c>
      <c r="C2881" s="22" t="s">
        <v>7682</v>
      </c>
      <c r="D2881" s="23">
        <v>-102500</v>
      </c>
      <c r="E2881" s="22" t="s">
        <v>57</v>
      </c>
      <c r="F2881" s="24">
        <v>44534</v>
      </c>
      <c r="G2881" s="22" t="s">
        <v>1272</v>
      </c>
      <c r="H2881" s="22" t="s">
        <v>1322</v>
      </c>
      <c r="I2881" s="22" t="s">
        <v>1320</v>
      </c>
      <c r="J2881" s="22" t="s">
        <v>4407</v>
      </c>
      <c r="K2881" s="22" t="s">
        <v>66</v>
      </c>
      <c r="L2881" s="22"/>
      <c r="M2881" s="22"/>
      <c r="N2881" s="22"/>
    </row>
    <row r="2882" spans="1:14" x14ac:dyDescent="0.25">
      <c r="A2882" s="22" t="s">
        <v>1318</v>
      </c>
      <c r="B2882" s="22" t="s">
        <v>39</v>
      </c>
      <c r="C2882" s="22" t="s">
        <v>7682</v>
      </c>
      <c r="D2882" s="23">
        <v>-53700</v>
      </c>
      <c r="E2882" s="22" t="s">
        <v>57</v>
      </c>
      <c r="F2882" s="24">
        <v>44537</v>
      </c>
      <c r="G2882" s="22" t="s">
        <v>1272</v>
      </c>
      <c r="H2882" s="22" t="s">
        <v>1319</v>
      </c>
      <c r="I2882" s="22" t="s">
        <v>1317</v>
      </c>
      <c r="J2882" s="22" t="s">
        <v>4407</v>
      </c>
      <c r="K2882" s="22" t="s">
        <v>66</v>
      </c>
      <c r="L2882" s="22"/>
      <c r="M2882" s="22"/>
      <c r="N2882" s="22"/>
    </row>
    <row r="2883" spans="1:14" x14ac:dyDescent="0.25">
      <c r="A2883" s="22" t="s">
        <v>1316</v>
      </c>
      <c r="B2883" s="22" t="s">
        <v>39</v>
      </c>
      <c r="C2883" s="22" t="s">
        <v>7682</v>
      </c>
      <c r="D2883" s="23">
        <v>-100757</v>
      </c>
      <c r="E2883" s="22" t="s">
        <v>57</v>
      </c>
      <c r="F2883" s="24">
        <v>44542</v>
      </c>
      <c r="G2883" s="22" t="s">
        <v>1272</v>
      </c>
      <c r="H2883" s="22" t="s">
        <v>1309</v>
      </c>
      <c r="I2883" s="22" t="s">
        <v>1315</v>
      </c>
      <c r="J2883" s="22" t="s">
        <v>4407</v>
      </c>
      <c r="K2883" s="22" t="s">
        <v>66</v>
      </c>
      <c r="L2883" s="22"/>
      <c r="M2883" s="22"/>
      <c r="N2883" s="22"/>
    </row>
    <row r="2884" spans="1:14" x14ac:dyDescent="0.25">
      <c r="A2884" s="22" t="s">
        <v>1313</v>
      </c>
      <c r="B2884" s="22" t="s">
        <v>39</v>
      </c>
      <c r="C2884" s="22" t="s">
        <v>7682</v>
      </c>
      <c r="D2884" s="23">
        <v>-80161</v>
      </c>
      <c r="E2884" s="22" t="s">
        <v>57</v>
      </c>
      <c r="F2884" s="24">
        <v>44544</v>
      </c>
      <c r="G2884" s="22" t="s">
        <v>1272</v>
      </c>
      <c r="H2884" s="22" t="s">
        <v>1314</v>
      </c>
      <c r="I2884" s="22" t="s">
        <v>1312</v>
      </c>
      <c r="J2884" s="22" t="s">
        <v>4407</v>
      </c>
      <c r="K2884" s="22" t="s">
        <v>66</v>
      </c>
      <c r="L2884" s="22"/>
      <c r="M2884" s="22"/>
      <c r="N2884" s="22"/>
    </row>
    <row r="2885" spans="1:14" x14ac:dyDescent="0.25">
      <c r="A2885" s="22" t="s">
        <v>1311</v>
      </c>
      <c r="B2885" s="22" t="s">
        <v>39</v>
      </c>
      <c r="C2885" s="22" t="s">
        <v>7682</v>
      </c>
      <c r="D2885" s="23">
        <v>-53700</v>
      </c>
      <c r="E2885" s="22" t="s">
        <v>57</v>
      </c>
      <c r="F2885" s="24">
        <v>44557</v>
      </c>
      <c r="G2885" s="22" t="s">
        <v>1272</v>
      </c>
      <c r="H2885" s="22" t="s">
        <v>1003</v>
      </c>
      <c r="I2885" s="22" t="s">
        <v>1310</v>
      </c>
      <c r="J2885" s="22" t="s">
        <v>4407</v>
      </c>
      <c r="K2885" s="22" t="s">
        <v>66</v>
      </c>
      <c r="L2885" s="22"/>
      <c r="M2885" s="22"/>
      <c r="N2885" s="22"/>
    </row>
    <row r="2886" spans="1:14" x14ac:dyDescent="0.25">
      <c r="A2886" s="22" t="s">
        <v>1308</v>
      </c>
      <c r="B2886" s="22" t="s">
        <v>39</v>
      </c>
      <c r="C2886" s="22" t="s">
        <v>7682</v>
      </c>
      <c r="D2886" s="23">
        <v>-3968641</v>
      </c>
      <c r="E2886" s="22" t="s">
        <v>57</v>
      </c>
      <c r="F2886" s="24">
        <v>44560</v>
      </c>
      <c r="G2886" s="22" t="s">
        <v>1272</v>
      </c>
      <c r="H2886" s="22" t="s">
        <v>1309</v>
      </c>
      <c r="I2886" s="22" t="s">
        <v>1307</v>
      </c>
      <c r="J2886" s="22" t="s">
        <v>4407</v>
      </c>
      <c r="K2886" s="22" t="s">
        <v>66</v>
      </c>
      <c r="L2886" s="22"/>
      <c r="M2886" s="22"/>
      <c r="N2886" s="22"/>
    </row>
    <row r="2887" spans="1:14" x14ac:dyDescent="0.25">
      <c r="A2887" s="22" t="s">
        <v>1305</v>
      </c>
      <c r="B2887" s="22" t="s">
        <v>39</v>
      </c>
      <c r="C2887" s="22" t="s">
        <v>7682</v>
      </c>
      <c r="D2887" s="23">
        <v>-66159</v>
      </c>
      <c r="E2887" s="22" t="s">
        <v>57</v>
      </c>
      <c r="F2887" s="24">
        <v>44561</v>
      </c>
      <c r="G2887" s="22" t="s">
        <v>1272</v>
      </c>
      <c r="H2887" s="22" t="s">
        <v>1306</v>
      </c>
      <c r="I2887" s="22" t="s">
        <v>1304</v>
      </c>
      <c r="J2887" s="22" t="s">
        <v>4407</v>
      </c>
      <c r="K2887" s="22" t="s">
        <v>66</v>
      </c>
      <c r="L2887" s="22"/>
      <c r="M2887" s="22"/>
      <c r="N2887" s="22"/>
    </row>
    <row r="2888" spans="1:14" x14ac:dyDescent="0.25">
      <c r="A2888" s="22" t="s">
        <v>286</v>
      </c>
      <c r="B2888" s="22" t="s">
        <v>39</v>
      </c>
      <c r="C2888" s="22" t="s">
        <v>7682</v>
      </c>
      <c r="D2888" s="23">
        <v>-320864</v>
      </c>
      <c r="E2888" s="22" t="s">
        <v>45</v>
      </c>
      <c r="F2888" s="24">
        <v>44533</v>
      </c>
      <c r="G2888" s="22" t="s">
        <v>1272</v>
      </c>
      <c r="H2888" s="22" t="s">
        <v>1303</v>
      </c>
      <c r="I2888" s="22" t="s">
        <v>285</v>
      </c>
      <c r="J2888" s="22" t="s">
        <v>4401</v>
      </c>
      <c r="K2888" s="22" t="s">
        <v>66</v>
      </c>
      <c r="L2888" s="22"/>
      <c r="M2888" s="22"/>
      <c r="N2888" s="22"/>
    </row>
    <row r="2889" spans="1:14" x14ac:dyDescent="0.25">
      <c r="A2889" s="22" t="s">
        <v>1302</v>
      </c>
      <c r="B2889" s="22" t="s">
        <v>39</v>
      </c>
      <c r="C2889" s="22" t="s">
        <v>7680</v>
      </c>
      <c r="D2889" s="23">
        <v>-53700</v>
      </c>
      <c r="E2889" s="22" t="s">
        <v>57</v>
      </c>
      <c r="F2889" s="24">
        <v>44551</v>
      </c>
      <c r="G2889" s="22" t="s">
        <v>1272</v>
      </c>
      <c r="H2889" s="22" t="s">
        <v>494</v>
      </c>
      <c r="I2889" s="22" t="s">
        <v>1301</v>
      </c>
      <c r="J2889" s="22" t="s">
        <v>4552</v>
      </c>
      <c r="K2889" s="22" t="s">
        <v>61</v>
      </c>
      <c r="L2889" s="22"/>
      <c r="M2889" s="22"/>
      <c r="N2889" s="22"/>
    </row>
    <row r="2890" spans="1:14" x14ac:dyDescent="0.25">
      <c r="A2890" s="22" t="s">
        <v>1300</v>
      </c>
      <c r="B2890" s="22" t="s">
        <v>39</v>
      </c>
      <c r="C2890" s="22" t="s">
        <v>7680</v>
      </c>
      <c r="D2890" s="23">
        <v>-117626</v>
      </c>
      <c r="E2890" s="22" t="s">
        <v>57</v>
      </c>
      <c r="F2890" s="24">
        <v>44554</v>
      </c>
      <c r="G2890" s="22" t="s">
        <v>1272</v>
      </c>
      <c r="H2890" s="22" t="s">
        <v>1296</v>
      </c>
      <c r="I2890" s="22" t="s">
        <v>1299</v>
      </c>
      <c r="J2890" s="22" t="s">
        <v>4552</v>
      </c>
      <c r="K2890" s="22" t="s">
        <v>61</v>
      </c>
      <c r="L2890" s="22"/>
      <c r="M2890" s="22"/>
      <c r="N2890" s="22"/>
    </row>
    <row r="2891" spans="1:14" x14ac:dyDescent="0.25">
      <c r="A2891" s="22" t="s">
        <v>1298</v>
      </c>
      <c r="B2891" s="22" t="s">
        <v>39</v>
      </c>
      <c r="C2891" s="22" t="s">
        <v>7680</v>
      </c>
      <c r="D2891" s="23">
        <v>-789412</v>
      </c>
      <c r="E2891" s="22" t="s">
        <v>57</v>
      </c>
      <c r="F2891" s="24">
        <v>44556</v>
      </c>
      <c r="G2891" s="22" t="s">
        <v>1272</v>
      </c>
      <c r="H2891" s="22" t="s">
        <v>494</v>
      </c>
      <c r="I2891" s="22" t="s">
        <v>1297</v>
      </c>
      <c r="J2891" s="22" t="s">
        <v>4552</v>
      </c>
      <c r="K2891" s="22" t="s">
        <v>61</v>
      </c>
      <c r="L2891" s="22"/>
      <c r="M2891" s="22"/>
      <c r="N2891" s="22"/>
    </row>
    <row r="2892" spans="1:14" x14ac:dyDescent="0.25">
      <c r="A2892" s="22" t="s">
        <v>1295</v>
      </c>
      <c r="B2892" s="22" t="s">
        <v>39</v>
      </c>
      <c r="C2892" s="22" t="s">
        <v>7680</v>
      </c>
      <c r="D2892" s="23">
        <v>-72786</v>
      </c>
      <c r="E2892" s="22" t="s">
        <v>57</v>
      </c>
      <c r="F2892" s="24">
        <v>44558</v>
      </c>
      <c r="G2892" s="22" t="s">
        <v>1272</v>
      </c>
      <c r="H2892" s="22" t="s">
        <v>1296</v>
      </c>
      <c r="I2892" s="22" t="s">
        <v>1294</v>
      </c>
      <c r="J2892" s="22" t="s">
        <v>4552</v>
      </c>
      <c r="K2892" s="22" t="s">
        <v>61</v>
      </c>
      <c r="L2892" s="22"/>
      <c r="M2892" s="22"/>
      <c r="N2892" s="22"/>
    </row>
    <row r="2893" spans="1:14" x14ac:dyDescent="0.25">
      <c r="A2893" s="22" t="s">
        <v>1293</v>
      </c>
      <c r="B2893" s="22" t="s">
        <v>39</v>
      </c>
      <c r="C2893" s="22" t="s">
        <v>7680</v>
      </c>
      <c r="D2893" s="23">
        <v>-353272</v>
      </c>
      <c r="E2893" s="22" t="s">
        <v>57</v>
      </c>
      <c r="F2893" s="24">
        <v>44559</v>
      </c>
      <c r="G2893" s="22" t="s">
        <v>1272</v>
      </c>
      <c r="H2893" s="22" t="s">
        <v>1250</v>
      </c>
      <c r="I2893" s="22" t="s">
        <v>1292</v>
      </c>
      <c r="J2893" s="22" t="s">
        <v>4552</v>
      </c>
      <c r="K2893" s="22" t="s">
        <v>61</v>
      </c>
      <c r="L2893" s="22"/>
      <c r="M2893" s="22"/>
      <c r="N2893" s="22"/>
    </row>
    <row r="2894" spans="1:14" x14ac:dyDescent="0.25">
      <c r="A2894" s="22" t="s">
        <v>1290</v>
      </c>
      <c r="B2894" s="22" t="s">
        <v>39</v>
      </c>
      <c r="C2894" s="22" t="s">
        <v>7680</v>
      </c>
      <c r="D2894" s="23">
        <v>-55132</v>
      </c>
      <c r="E2894" s="22" t="s">
        <v>57</v>
      </c>
      <c r="F2894" s="24">
        <v>44559</v>
      </c>
      <c r="G2894" s="22" t="s">
        <v>1272</v>
      </c>
      <c r="H2894" s="22" t="s">
        <v>1291</v>
      </c>
      <c r="I2894" s="22" t="s">
        <v>1289</v>
      </c>
      <c r="J2894" s="22" t="s">
        <v>4552</v>
      </c>
      <c r="K2894" s="22" t="s">
        <v>61</v>
      </c>
      <c r="L2894" s="22"/>
      <c r="M2894" s="22"/>
      <c r="N2894" s="22"/>
    </row>
    <row r="2895" spans="1:14" x14ac:dyDescent="0.25">
      <c r="A2895" s="22" t="s">
        <v>1287</v>
      </c>
      <c r="B2895" s="22" t="s">
        <v>39</v>
      </c>
      <c r="C2895" s="22" t="s">
        <v>7680</v>
      </c>
      <c r="D2895" s="23">
        <v>-147186</v>
      </c>
      <c r="E2895" s="22" t="s">
        <v>57</v>
      </c>
      <c r="F2895" s="24">
        <v>44561</v>
      </c>
      <c r="G2895" s="22" t="s">
        <v>1272</v>
      </c>
      <c r="H2895" s="22" t="s">
        <v>1288</v>
      </c>
      <c r="I2895" s="22" t="s">
        <v>1286</v>
      </c>
      <c r="J2895" s="22" t="s">
        <v>4552</v>
      </c>
      <c r="K2895" s="22" t="s">
        <v>61</v>
      </c>
      <c r="L2895" s="22"/>
      <c r="M2895" s="22"/>
      <c r="N2895" s="22"/>
    </row>
    <row r="2896" spans="1:14" x14ac:dyDescent="0.25">
      <c r="A2896" s="22" t="s">
        <v>1284</v>
      </c>
      <c r="B2896" s="22" t="s">
        <v>39</v>
      </c>
      <c r="C2896" s="22" t="s">
        <v>7680</v>
      </c>
      <c r="D2896" s="23">
        <v>-195400</v>
      </c>
      <c r="E2896" s="22" t="s">
        <v>57</v>
      </c>
      <c r="F2896" s="24">
        <v>44561</v>
      </c>
      <c r="G2896" s="22" t="s">
        <v>1272</v>
      </c>
      <c r="H2896" s="22" t="s">
        <v>1285</v>
      </c>
      <c r="I2896" s="22" t="s">
        <v>1283</v>
      </c>
      <c r="J2896" s="22" t="s">
        <v>4552</v>
      </c>
      <c r="K2896" s="22" t="s">
        <v>61</v>
      </c>
      <c r="L2896" s="22"/>
      <c r="M2896" s="22"/>
      <c r="N2896" s="22"/>
    </row>
    <row r="2897" spans="1:14" x14ac:dyDescent="0.25">
      <c r="A2897" s="22" t="s">
        <v>1281</v>
      </c>
      <c r="B2897" s="22" t="s">
        <v>39</v>
      </c>
      <c r="C2897" s="22" t="s">
        <v>7680</v>
      </c>
      <c r="D2897" s="23">
        <v>-53700</v>
      </c>
      <c r="E2897" s="22" t="s">
        <v>57</v>
      </c>
      <c r="F2897" s="24">
        <v>44564</v>
      </c>
      <c r="G2897" s="22" t="s">
        <v>1272</v>
      </c>
      <c r="H2897" s="22" t="s">
        <v>1282</v>
      </c>
      <c r="I2897" s="22" t="s">
        <v>1280</v>
      </c>
      <c r="J2897" s="22" t="s">
        <v>4552</v>
      </c>
      <c r="K2897" s="22" t="s">
        <v>61</v>
      </c>
      <c r="L2897" s="22"/>
      <c r="M2897" s="22"/>
      <c r="N2897" s="22"/>
    </row>
    <row r="2898" spans="1:14" x14ac:dyDescent="0.25">
      <c r="A2898" s="22" t="s">
        <v>419</v>
      </c>
      <c r="B2898" s="22" t="s">
        <v>39</v>
      </c>
      <c r="C2898" s="22" t="s">
        <v>7680</v>
      </c>
      <c r="D2898" s="23">
        <v>-74561</v>
      </c>
      <c r="E2898" s="22" t="s">
        <v>45</v>
      </c>
      <c r="F2898" s="24">
        <v>44546</v>
      </c>
      <c r="G2898" s="22" t="s">
        <v>1272</v>
      </c>
      <c r="H2898" s="22" t="s">
        <v>1279</v>
      </c>
      <c r="I2898" s="22" t="s">
        <v>368</v>
      </c>
      <c r="J2898" s="22" t="s">
        <v>4552</v>
      </c>
      <c r="K2898" s="22" t="s">
        <v>61</v>
      </c>
      <c r="L2898" s="22"/>
      <c r="M2898" s="22"/>
      <c r="N2898" s="22"/>
    </row>
    <row r="2899" spans="1:14" x14ac:dyDescent="0.25">
      <c r="A2899" s="22" t="s">
        <v>1278</v>
      </c>
      <c r="B2899" s="22" t="s">
        <v>39</v>
      </c>
      <c r="C2899" s="22" t="s">
        <v>7677</v>
      </c>
      <c r="D2899" s="23">
        <v>-23700</v>
      </c>
      <c r="E2899" s="22" t="s">
        <v>57</v>
      </c>
      <c r="F2899" s="24">
        <v>44531</v>
      </c>
      <c r="G2899" s="22" t="s">
        <v>1272</v>
      </c>
      <c r="H2899" s="22" t="s">
        <v>979</v>
      </c>
      <c r="I2899" s="22" t="s">
        <v>1277</v>
      </c>
      <c r="J2899" s="22" t="s">
        <v>4407</v>
      </c>
      <c r="K2899" s="22" t="s">
        <v>66</v>
      </c>
      <c r="L2899" s="22"/>
      <c r="M2899" s="22"/>
      <c r="N2899" s="22"/>
    </row>
    <row r="2900" spans="1:14" x14ac:dyDescent="0.25">
      <c r="A2900" s="22" t="s">
        <v>1276</v>
      </c>
      <c r="B2900" s="22" t="s">
        <v>39</v>
      </c>
      <c r="C2900" s="22" t="s">
        <v>7677</v>
      </c>
      <c r="D2900" s="23">
        <v>-47200</v>
      </c>
      <c r="E2900" s="22" t="s">
        <v>57</v>
      </c>
      <c r="F2900" s="24">
        <v>44531</v>
      </c>
      <c r="G2900" s="22" t="s">
        <v>1272</v>
      </c>
      <c r="H2900" s="22" t="s">
        <v>979</v>
      </c>
      <c r="I2900" s="22" t="s">
        <v>1275</v>
      </c>
      <c r="J2900" s="22" t="s">
        <v>4407</v>
      </c>
      <c r="K2900" s="22" t="s">
        <v>66</v>
      </c>
      <c r="L2900" s="22"/>
      <c r="M2900" s="22"/>
      <c r="N2900" s="22"/>
    </row>
    <row r="2901" spans="1:14" x14ac:dyDescent="0.25">
      <c r="A2901" s="22" t="s">
        <v>1274</v>
      </c>
      <c r="B2901" s="22" t="s">
        <v>39</v>
      </c>
      <c r="C2901" s="22" t="s">
        <v>7677</v>
      </c>
      <c r="D2901" s="23">
        <v>-31600</v>
      </c>
      <c r="E2901" s="22" t="s">
        <v>57</v>
      </c>
      <c r="F2901" s="24">
        <v>44531</v>
      </c>
      <c r="G2901" s="22" t="s">
        <v>1272</v>
      </c>
      <c r="H2901" s="22" t="s">
        <v>979</v>
      </c>
      <c r="I2901" s="22" t="s">
        <v>1273</v>
      </c>
      <c r="J2901" s="22" t="s">
        <v>4407</v>
      </c>
      <c r="K2901" s="22" t="s">
        <v>66</v>
      </c>
      <c r="L2901" s="22"/>
      <c r="M2901" s="22"/>
      <c r="N2901" s="22"/>
    </row>
    <row r="2902" spans="1:14" x14ac:dyDescent="0.25">
      <c r="A2902" s="22" t="s">
        <v>1271</v>
      </c>
      <c r="B2902" s="22" t="s">
        <v>39</v>
      </c>
      <c r="C2902" s="22" t="s">
        <v>7677</v>
      </c>
      <c r="D2902" s="23">
        <v>-156800</v>
      </c>
      <c r="E2902" s="22" t="s">
        <v>57</v>
      </c>
      <c r="F2902" s="24">
        <v>44537</v>
      </c>
      <c r="G2902" s="22" t="s">
        <v>1272</v>
      </c>
      <c r="H2902" s="22" t="s">
        <v>941</v>
      </c>
      <c r="I2902" s="22" t="s">
        <v>1270</v>
      </c>
      <c r="J2902" s="22" t="s">
        <v>4407</v>
      </c>
      <c r="K2902" s="22" t="s">
        <v>66</v>
      </c>
      <c r="L2902" s="22"/>
      <c r="M2902" s="22"/>
      <c r="N2902" s="22"/>
    </row>
    <row r="2903" spans="1:14" x14ac:dyDescent="0.25">
      <c r="A2903" s="22" t="s">
        <v>1378</v>
      </c>
      <c r="B2903" s="22" t="s">
        <v>39</v>
      </c>
      <c r="C2903" s="22" t="s">
        <v>7677</v>
      </c>
      <c r="D2903" s="23">
        <v>-45800</v>
      </c>
      <c r="E2903" s="22" t="s">
        <v>57</v>
      </c>
      <c r="F2903" s="24">
        <v>44537</v>
      </c>
      <c r="G2903" s="22" t="s">
        <v>1272</v>
      </c>
      <c r="H2903" s="22" t="s">
        <v>941</v>
      </c>
      <c r="I2903" s="22" t="s">
        <v>1377</v>
      </c>
      <c r="J2903" s="22" t="s">
        <v>4407</v>
      </c>
      <c r="K2903" s="22" t="s">
        <v>66</v>
      </c>
      <c r="L2903" s="22"/>
      <c r="M2903" s="22"/>
      <c r="N2903" s="22"/>
    </row>
    <row r="2904" spans="1:14" x14ac:dyDescent="0.25">
      <c r="A2904" s="22" t="s">
        <v>1376</v>
      </c>
      <c r="B2904" s="22" t="s">
        <v>39</v>
      </c>
      <c r="C2904" s="22" t="s">
        <v>7677</v>
      </c>
      <c r="D2904" s="23">
        <v>-47200</v>
      </c>
      <c r="E2904" s="22" t="s">
        <v>57</v>
      </c>
      <c r="F2904" s="24">
        <v>44540</v>
      </c>
      <c r="G2904" s="22" t="s">
        <v>1272</v>
      </c>
      <c r="H2904" s="22" t="s">
        <v>212</v>
      </c>
      <c r="I2904" s="22" t="s">
        <v>1375</v>
      </c>
      <c r="J2904" s="22" t="s">
        <v>4407</v>
      </c>
      <c r="K2904" s="22" t="s">
        <v>66</v>
      </c>
      <c r="L2904" s="22"/>
      <c r="M2904" s="22"/>
      <c r="N2904" s="22"/>
    </row>
    <row r="2905" spans="1:14" x14ac:dyDescent="0.25">
      <c r="A2905" s="22" t="s">
        <v>1374</v>
      </c>
      <c r="B2905" s="22" t="s">
        <v>39</v>
      </c>
      <c r="C2905" s="22" t="s">
        <v>7677</v>
      </c>
      <c r="D2905" s="23">
        <v>-32700</v>
      </c>
      <c r="E2905" s="22" t="s">
        <v>57</v>
      </c>
      <c r="F2905" s="24">
        <v>44546</v>
      </c>
      <c r="G2905" s="22" t="s">
        <v>1272</v>
      </c>
      <c r="H2905" s="22" t="s">
        <v>298</v>
      </c>
      <c r="I2905" s="22" t="s">
        <v>1373</v>
      </c>
      <c r="J2905" s="22" t="s">
        <v>4407</v>
      </c>
      <c r="K2905" s="22" t="s">
        <v>66</v>
      </c>
      <c r="L2905" s="22"/>
      <c r="M2905" s="22"/>
      <c r="N2905" s="22"/>
    </row>
    <row r="2906" spans="1:14" x14ac:dyDescent="0.25">
      <c r="A2906" s="22" t="s">
        <v>1372</v>
      </c>
      <c r="B2906" s="22" t="s">
        <v>39</v>
      </c>
      <c r="C2906" s="22" t="s">
        <v>7677</v>
      </c>
      <c r="D2906" s="23">
        <v>-150000</v>
      </c>
      <c r="E2906" s="22" t="s">
        <v>57</v>
      </c>
      <c r="F2906" s="24">
        <v>44547</v>
      </c>
      <c r="G2906" s="22" t="s">
        <v>1272</v>
      </c>
      <c r="H2906" s="22" t="s">
        <v>212</v>
      </c>
      <c r="I2906" s="22" t="s">
        <v>1371</v>
      </c>
      <c r="J2906" s="22" t="s">
        <v>4407</v>
      </c>
      <c r="K2906" s="22" t="s">
        <v>66</v>
      </c>
      <c r="L2906" s="22"/>
      <c r="M2906" s="22"/>
      <c r="N2906" s="22"/>
    </row>
    <row r="2907" spans="1:14" x14ac:dyDescent="0.25">
      <c r="A2907" s="22" t="s">
        <v>1370</v>
      </c>
      <c r="B2907" s="22" t="s">
        <v>39</v>
      </c>
      <c r="C2907" s="22" t="s">
        <v>7677</v>
      </c>
      <c r="D2907" s="23">
        <v>-32700</v>
      </c>
      <c r="E2907" s="22" t="s">
        <v>57</v>
      </c>
      <c r="F2907" s="24">
        <v>44547</v>
      </c>
      <c r="G2907" s="22" t="s">
        <v>1272</v>
      </c>
      <c r="H2907" s="22" t="s">
        <v>1360</v>
      </c>
      <c r="I2907" s="22" t="s">
        <v>1369</v>
      </c>
      <c r="J2907" s="22" t="s">
        <v>4407</v>
      </c>
      <c r="K2907" s="22" t="s">
        <v>66</v>
      </c>
      <c r="L2907" s="22"/>
      <c r="M2907" s="22"/>
      <c r="N2907" s="22"/>
    </row>
    <row r="2908" spans="1:14" x14ac:dyDescent="0.25">
      <c r="A2908" s="22" t="s">
        <v>1368</v>
      </c>
      <c r="B2908" s="22" t="s">
        <v>39</v>
      </c>
      <c r="C2908" s="22" t="s">
        <v>7677</v>
      </c>
      <c r="D2908" s="23">
        <v>-32700</v>
      </c>
      <c r="E2908" s="22" t="s">
        <v>57</v>
      </c>
      <c r="F2908" s="24">
        <v>44550</v>
      </c>
      <c r="G2908" s="22" t="s">
        <v>1272</v>
      </c>
      <c r="H2908" s="22" t="s">
        <v>1357</v>
      </c>
      <c r="I2908" s="22" t="s">
        <v>1367</v>
      </c>
      <c r="J2908" s="22" t="s">
        <v>4407</v>
      </c>
      <c r="K2908" s="22" t="s">
        <v>66</v>
      </c>
      <c r="L2908" s="22"/>
      <c r="M2908" s="22"/>
      <c r="N2908" s="22"/>
    </row>
    <row r="2909" spans="1:14" x14ac:dyDescent="0.25">
      <c r="A2909" s="22" t="s">
        <v>1366</v>
      </c>
      <c r="B2909" s="22" t="s">
        <v>39</v>
      </c>
      <c r="C2909" s="22" t="s">
        <v>7677</v>
      </c>
      <c r="D2909" s="23">
        <v>-112100</v>
      </c>
      <c r="E2909" s="22" t="s">
        <v>57</v>
      </c>
      <c r="F2909" s="24">
        <v>44550</v>
      </c>
      <c r="G2909" s="22" t="s">
        <v>1272</v>
      </c>
      <c r="H2909" s="22" t="s">
        <v>550</v>
      </c>
      <c r="I2909" s="22" t="s">
        <v>1365</v>
      </c>
      <c r="J2909" s="22" t="s">
        <v>4407</v>
      </c>
      <c r="K2909" s="22" t="s">
        <v>66</v>
      </c>
      <c r="L2909" s="22"/>
      <c r="M2909" s="22"/>
      <c r="N2909" s="22"/>
    </row>
    <row r="2910" spans="1:14" x14ac:dyDescent="0.25">
      <c r="A2910" s="22" t="s">
        <v>1364</v>
      </c>
      <c r="B2910" s="22" t="s">
        <v>39</v>
      </c>
      <c r="C2910" s="22" t="s">
        <v>7677</v>
      </c>
      <c r="D2910" s="23">
        <v>-47200</v>
      </c>
      <c r="E2910" s="22" t="s">
        <v>57</v>
      </c>
      <c r="F2910" s="24">
        <v>44551</v>
      </c>
      <c r="G2910" s="22" t="s">
        <v>1272</v>
      </c>
      <c r="H2910" s="22" t="s">
        <v>715</v>
      </c>
      <c r="I2910" s="22" t="s">
        <v>1363</v>
      </c>
      <c r="J2910" s="22" t="s">
        <v>4407</v>
      </c>
      <c r="K2910" s="22" t="s">
        <v>66</v>
      </c>
      <c r="L2910" s="22"/>
      <c r="M2910" s="22"/>
      <c r="N2910" s="22"/>
    </row>
    <row r="2911" spans="1:14" x14ac:dyDescent="0.25">
      <c r="A2911" s="22" t="s">
        <v>1362</v>
      </c>
      <c r="B2911" s="22" t="s">
        <v>39</v>
      </c>
      <c r="C2911" s="22" t="s">
        <v>7677</v>
      </c>
      <c r="D2911" s="23">
        <v>-31600</v>
      </c>
      <c r="E2911" s="22" t="s">
        <v>57</v>
      </c>
      <c r="F2911" s="24">
        <v>44558</v>
      </c>
      <c r="G2911" s="22" t="s">
        <v>1272</v>
      </c>
      <c r="H2911" s="22" t="s">
        <v>941</v>
      </c>
      <c r="I2911" s="22" t="s">
        <v>1361</v>
      </c>
      <c r="J2911" s="22" t="s">
        <v>4407</v>
      </c>
      <c r="K2911" s="22" t="s">
        <v>66</v>
      </c>
      <c r="L2911" s="22"/>
      <c r="M2911" s="22"/>
      <c r="N2911" s="22"/>
    </row>
    <row r="2912" spans="1:14" x14ac:dyDescent="0.25">
      <c r="A2912" s="22" t="s">
        <v>1359</v>
      </c>
      <c r="B2912" s="22" t="s">
        <v>39</v>
      </c>
      <c r="C2912" s="22" t="s">
        <v>7677</v>
      </c>
      <c r="D2912" s="23">
        <v>-47200</v>
      </c>
      <c r="E2912" s="22" t="s">
        <v>57</v>
      </c>
      <c r="F2912" s="24">
        <v>44558</v>
      </c>
      <c r="G2912" s="22" t="s">
        <v>1272</v>
      </c>
      <c r="H2912" s="22" t="s">
        <v>1360</v>
      </c>
      <c r="I2912" s="22" t="s">
        <v>1358</v>
      </c>
      <c r="J2912" s="22" t="s">
        <v>4407</v>
      </c>
      <c r="K2912" s="22" t="s">
        <v>66</v>
      </c>
      <c r="L2912" s="22"/>
      <c r="M2912" s="22"/>
      <c r="N2912" s="22"/>
    </row>
    <row r="2913" spans="1:14" x14ac:dyDescent="0.25">
      <c r="A2913" s="22" t="s">
        <v>1356</v>
      </c>
      <c r="B2913" s="22" t="s">
        <v>39</v>
      </c>
      <c r="C2913" s="22" t="s">
        <v>7677</v>
      </c>
      <c r="D2913" s="23">
        <v>-562100</v>
      </c>
      <c r="E2913" s="22" t="s">
        <v>57</v>
      </c>
      <c r="F2913" s="24">
        <v>44559</v>
      </c>
      <c r="G2913" s="22" t="s">
        <v>1272</v>
      </c>
      <c r="H2913" s="22" t="s">
        <v>1357</v>
      </c>
      <c r="I2913" s="22" t="s">
        <v>1355</v>
      </c>
      <c r="J2913" s="22" t="s">
        <v>4407</v>
      </c>
      <c r="K2913" s="22" t="s">
        <v>66</v>
      </c>
      <c r="L2913" s="22"/>
      <c r="M2913" s="22"/>
      <c r="N2913" s="22"/>
    </row>
    <row r="2914" spans="1:14" x14ac:dyDescent="0.25">
      <c r="A2914" s="22" t="s">
        <v>1354</v>
      </c>
      <c r="B2914" s="22" t="s">
        <v>39</v>
      </c>
      <c r="C2914" s="22" t="s">
        <v>7677</v>
      </c>
      <c r="D2914" s="23">
        <v>-31600</v>
      </c>
      <c r="E2914" s="22" t="s">
        <v>57</v>
      </c>
      <c r="F2914" s="24">
        <v>44560</v>
      </c>
      <c r="G2914" s="22" t="s">
        <v>1272</v>
      </c>
      <c r="H2914" s="22" t="s">
        <v>212</v>
      </c>
      <c r="I2914" s="22" t="s">
        <v>1353</v>
      </c>
      <c r="J2914" s="22" t="s">
        <v>4407</v>
      </c>
      <c r="K2914" s="22" t="s">
        <v>66</v>
      </c>
      <c r="L2914" s="22"/>
      <c r="M2914" s="22"/>
      <c r="N2914" s="22"/>
    </row>
    <row r="2915" spans="1:14" x14ac:dyDescent="0.25">
      <c r="A2915" s="22" t="s">
        <v>1352</v>
      </c>
      <c r="B2915" s="22" t="s">
        <v>39</v>
      </c>
      <c r="C2915" s="22" t="s">
        <v>7687</v>
      </c>
      <c r="D2915" s="23">
        <v>-77300</v>
      </c>
      <c r="E2915" s="22" t="s">
        <v>57</v>
      </c>
      <c r="F2915" s="24">
        <v>44543</v>
      </c>
      <c r="G2915" s="22" t="s">
        <v>1272</v>
      </c>
      <c r="H2915" s="22" t="s">
        <v>494</v>
      </c>
      <c r="I2915" s="22" t="s">
        <v>1351</v>
      </c>
      <c r="J2915" s="22" t="s">
        <v>4552</v>
      </c>
      <c r="K2915" s="22" t="s">
        <v>61</v>
      </c>
      <c r="L2915" s="22"/>
      <c r="M2915" s="22"/>
      <c r="N2915" s="22"/>
    </row>
    <row r="2916" spans="1:14" x14ac:dyDescent="0.25">
      <c r="A2916" s="22" t="s">
        <v>1350</v>
      </c>
      <c r="B2916" s="22" t="s">
        <v>39</v>
      </c>
      <c r="C2916" s="22" t="s">
        <v>7687</v>
      </c>
      <c r="D2916" s="23">
        <v>-143100</v>
      </c>
      <c r="E2916" s="22" t="s">
        <v>57</v>
      </c>
      <c r="F2916" s="24">
        <v>44546</v>
      </c>
      <c r="G2916" s="22" t="s">
        <v>1272</v>
      </c>
      <c r="H2916" s="22" t="s">
        <v>494</v>
      </c>
      <c r="I2916" s="22" t="s">
        <v>1349</v>
      </c>
      <c r="J2916" s="22" t="s">
        <v>4552</v>
      </c>
      <c r="K2916" s="22" t="s">
        <v>61</v>
      </c>
      <c r="L2916" s="22"/>
      <c r="M2916" s="22"/>
      <c r="N2916" s="22"/>
    </row>
    <row r="2917" spans="1:14" x14ac:dyDescent="0.25">
      <c r="A2917" s="22" t="s">
        <v>1347</v>
      </c>
      <c r="B2917" s="22" t="s">
        <v>39</v>
      </c>
      <c r="C2917" s="22" t="s">
        <v>7687</v>
      </c>
      <c r="D2917" s="23">
        <v>-29200</v>
      </c>
      <c r="E2917" s="22" t="s">
        <v>57</v>
      </c>
      <c r="F2917" s="24">
        <v>44547</v>
      </c>
      <c r="G2917" s="22" t="s">
        <v>1272</v>
      </c>
      <c r="H2917" s="22" t="s">
        <v>1348</v>
      </c>
      <c r="I2917" s="22" t="s">
        <v>1346</v>
      </c>
      <c r="J2917" s="22" t="s">
        <v>4552</v>
      </c>
      <c r="K2917" s="22" t="s">
        <v>61</v>
      </c>
      <c r="L2917" s="22"/>
      <c r="M2917" s="22"/>
      <c r="N2917" s="22"/>
    </row>
    <row r="2918" spans="1:14" x14ac:dyDescent="0.25">
      <c r="A2918" s="22" t="s">
        <v>1344</v>
      </c>
      <c r="B2918" s="22" t="s">
        <v>39</v>
      </c>
      <c r="C2918" s="22" t="s">
        <v>7687</v>
      </c>
      <c r="D2918" s="23">
        <v>-28100</v>
      </c>
      <c r="E2918" s="22" t="s">
        <v>57</v>
      </c>
      <c r="F2918" s="24">
        <v>44554</v>
      </c>
      <c r="G2918" s="22" t="s">
        <v>1272</v>
      </c>
      <c r="H2918" s="22" t="s">
        <v>1345</v>
      </c>
      <c r="I2918" s="22" t="s">
        <v>1343</v>
      </c>
      <c r="J2918" s="22" t="s">
        <v>4552</v>
      </c>
      <c r="K2918" s="22" t="s">
        <v>61</v>
      </c>
      <c r="L2918" s="22"/>
      <c r="M2918" s="22"/>
      <c r="N2918" s="22"/>
    </row>
    <row r="2919" spans="1:14" x14ac:dyDescent="0.25">
      <c r="A2919" s="22" t="s">
        <v>1342</v>
      </c>
      <c r="B2919" s="22" t="s">
        <v>39</v>
      </c>
      <c r="C2919" s="22" t="s">
        <v>7687</v>
      </c>
      <c r="D2919" s="23">
        <v>-28100</v>
      </c>
      <c r="E2919" s="22" t="s">
        <v>57</v>
      </c>
      <c r="F2919" s="24">
        <v>44554</v>
      </c>
      <c r="G2919" s="22" t="s">
        <v>1272</v>
      </c>
      <c r="H2919" s="22" t="s">
        <v>919</v>
      </c>
      <c r="I2919" s="22" t="s">
        <v>1341</v>
      </c>
      <c r="J2919" s="22" t="s">
        <v>4552</v>
      </c>
      <c r="K2919" s="22" t="s">
        <v>61</v>
      </c>
      <c r="L2919" s="22"/>
      <c r="M2919" s="22"/>
      <c r="N2919" s="22"/>
    </row>
    <row r="2920" spans="1:14" x14ac:dyDescent="0.25">
      <c r="A2920" s="22" t="s">
        <v>1340</v>
      </c>
      <c r="B2920" s="22" t="s">
        <v>39</v>
      </c>
      <c r="C2920" s="22" t="s">
        <v>7687</v>
      </c>
      <c r="D2920" s="23">
        <v>-29200</v>
      </c>
      <c r="E2920" s="22" t="s">
        <v>57</v>
      </c>
      <c r="F2920" s="24">
        <v>44557</v>
      </c>
      <c r="G2920" s="22" t="s">
        <v>1272</v>
      </c>
      <c r="H2920" s="22" t="s">
        <v>897</v>
      </c>
      <c r="I2920" s="22" t="s">
        <v>1339</v>
      </c>
      <c r="J2920" s="22" t="s">
        <v>4552</v>
      </c>
      <c r="K2920" s="22" t="s">
        <v>61</v>
      </c>
      <c r="L2920" s="22"/>
      <c r="M2920" s="22"/>
      <c r="N2920" s="22"/>
    </row>
    <row r="2921" spans="1:14" x14ac:dyDescent="0.25">
      <c r="A2921" s="22" t="s">
        <v>1338</v>
      </c>
      <c r="B2921" s="22" t="s">
        <v>39</v>
      </c>
      <c r="C2921" s="22" t="s">
        <v>7687</v>
      </c>
      <c r="D2921" s="23">
        <v>-29200</v>
      </c>
      <c r="E2921" s="22" t="s">
        <v>57</v>
      </c>
      <c r="F2921" s="24">
        <v>44558</v>
      </c>
      <c r="G2921" s="22" t="s">
        <v>1272</v>
      </c>
      <c r="H2921" s="22" t="s">
        <v>486</v>
      </c>
      <c r="I2921" s="22" t="s">
        <v>1337</v>
      </c>
      <c r="J2921" s="22" t="s">
        <v>4552</v>
      </c>
      <c r="K2921" s="22" t="s">
        <v>61</v>
      </c>
      <c r="L2921" s="22"/>
      <c r="M2921" s="22"/>
      <c r="N2921" s="22"/>
    </row>
    <row r="2922" spans="1:14" x14ac:dyDescent="0.25">
      <c r="A2922" s="22" t="s">
        <v>1336</v>
      </c>
      <c r="B2922" s="22" t="s">
        <v>39</v>
      </c>
      <c r="C2922" s="22" t="s">
        <v>7687</v>
      </c>
      <c r="D2922" s="23">
        <v>-29200</v>
      </c>
      <c r="E2922" s="22" t="s">
        <v>57</v>
      </c>
      <c r="F2922" s="24">
        <v>44558</v>
      </c>
      <c r="G2922" s="22" t="s">
        <v>1272</v>
      </c>
      <c r="H2922" s="22" t="s">
        <v>282</v>
      </c>
      <c r="I2922" s="22" t="s">
        <v>1335</v>
      </c>
      <c r="J2922" s="22" t="s">
        <v>4552</v>
      </c>
      <c r="K2922" s="22" t="s">
        <v>61</v>
      </c>
      <c r="L2922" s="22"/>
      <c r="M2922" s="22"/>
      <c r="N2922" s="22"/>
    </row>
    <row r="2923" spans="1:14" x14ac:dyDescent="0.25">
      <c r="A2923" s="22" t="s">
        <v>1334</v>
      </c>
      <c r="B2923" s="22" t="s">
        <v>39</v>
      </c>
      <c r="C2923" s="22" t="s">
        <v>7687</v>
      </c>
      <c r="D2923" s="23">
        <v>-42300</v>
      </c>
      <c r="E2923" s="22" t="s">
        <v>57</v>
      </c>
      <c r="F2923" s="24">
        <v>44560</v>
      </c>
      <c r="G2923" s="22" t="s">
        <v>1272</v>
      </c>
      <c r="H2923" s="22" t="s">
        <v>494</v>
      </c>
      <c r="I2923" s="22" t="s">
        <v>1333</v>
      </c>
      <c r="J2923" s="22" t="s">
        <v>4552</v>
      </c>
      <c r="K2923" s="22" t="s">
        <v>61</v>
      </c>
      <c r="L2923" s="22"/>
      <c r="M2923" s="22"/>
      <c r="N2923" s="22"/>
    </row>
    <row r="2924" spans="1:14" x14ac:dyDescent="0.25">
      <c r="A2924" s="22" t="s">
        <v>1332</v>
      </c>
      <c r="B2924" s="22" t="s">
        <v>39</v>
      </c>
      <c r="C2924" s="22" t="s">
        <v>7687</v>
      </c>
      <c r="D2924" s="23">
        <v>-43700</v>
      </c>
      <c r="E2924" s="22" t="s">
        <v>57</v>
      </c>
      <c r="F2924" s="24">
        <v>44560</v>
      </c>
      <c r="G2924" s="22" t="s">
        <v>1272</v>
      </c>
      <c r="H2924" s="22" t="s">
        <v>494</v>
      </c>
      <c r="I2924" s="22" t="s">
        <v>1331</v>
      </c>
      <c r="J2924" s="22" t="s">
        <v>4552</v>
      </c>
      <c r="K2924" s="22" t="s">
        <v>61</v>
      </c>
      <c r="L2924" s="22"/>
      <c r="M2924" s="22"/>
      <c r="N2924" s="22"/>
    </row>
    <row r="2925" spans="1:14" x14ac:dyDescent="0.25">
      <c r="A2925" s="22" t="s">
        <v>1330</v>
      </c>
      <c r="B2925" s="22" t="s">
        <v>39</v>
      </c>
      <c r="C2925" s="22" t="s">
        <v>7687</v>
      </c>
      <c r="D2925" s="23">
        <v>-28100</v>
      </c>
      <c r="E2925" s="22" t="s">
        <v>57</v>
      </c>
      <c r="F2925" s="24">
        <v>44561</v>
      </c>
      <c r="G2925" s="22" t="s">
        <v>1272</v>
      </c>
      <c r="H2925" s="22" t="s">
        <v>483</v>
      </c>
      <c r="I2925" s="22" t="s">
        <v>1329</v>
      </c>
      <c r="J2925" s="22" t="s">
        <v>4552</v>
      </c>
      <c r="K2925" s="22" t="s">
        <v>61</v>
      </c>
      <c r="L2925" s="22"/>
      <c r="M2925" s="22"/>
      <c r="N2925" s="22"/>
    </row>
    <row r="2926" spans="1:14" x14ac:dyDescent="0.25">
      <c r="A2926" s="22" t="s">
        <v>1328</v>
      </c>
      <c r="B2926" s="22" t="s">
        <v>39</v>
      </c>
      <c r="C2926" s="22" t="s">
        <v>96</v>
      </c>
      <c r="D2926" s="23">
        <v>-65016</v>
      </c>
      <c r="E2926" s="22" t="s">
        <v>57</v>
      </c>
      <c r="F2926" s="24">
        <v>44513</v>
      </c>
      <c r="G2926" s="22" t="s">
        <v>1272</v>
      </c>
      <c r="H2926" s="22" t="s">
        <v>1306</v>
      </c>
      <c r="I2926" s="22" t="s">
        <v>1327</v>
      </c>
      <c r="J2926" s="22" t="s">
        <v>4407</v>
      </c>
      <c r="K2926" s="22" t="s">
        <v>66</v>
      </c>
      <c r="L2926" s="22"/>
      <c r="M2926" s="22"/>
      <c r="N2926" s="22"/>
    </row>
    <row r="2927" spans="1:14" x14ac:dyDescent="0.25">
      <c r="A2927" s="22" t="s">
        <v>1611</v>
      </c>
      <c r="B2927" s="22" t="s">
        <v>39</v>
      </c>
      <c r="C2927" s="22" t="s">
        <v>7681</v>
      </c>
      <c r="D2927" s="23">
        <v>-71455</v>
      </c>
      <c r="E2927" s="22" t="s">
        <v>57</v>
      </c>
      <c r="F2927" s="24">
        <v>44512</v>
      </c>
      <c r="G2927" s="22" t="s">
        <v>1272</v>
      </c>
      <c r="H2927" s="22" t="s">
        <v>1612</v>
      </c>
      <c r="I2927" s="22" t="s">
        <v>1610</v>
      </c>
      <c r="J2927" s="22" t="s">
        <v>4552</v>
      </c>
      <c r="K2927" s="22" t="s">
        <v>61</v>
      </c>
      <c r="L2927" s="22"/>
      <c r="M2927" s="22"/>
      <c r="N2927" s="22"/>
    </row>
    <row r="2928" spans="1:14" x14ac:dyDescent="0.25">
      <c r="A2928" s="22" t="s">
        <v>1608</v>
      </c>
      <c r="B2928" s="22" t="s">
        <v>39</v>
      </c>
      <c r="C2928" s="22" t="s">
        <v>7681</v>
      </c>
      <c r="D2928" s="23">
        <v>-316180</v>
      </c>
      <c r="E2928" s="22" t="s">
        <v>57</v>
      </c>
      <c r="F2928" s="24">
        <v>44522</v>
      </c>
      <c r="G2928" s="22" t="s">
        <v>1272</v>
      </c>
      <c r="H2928" s="22" t="s">
        <v>1609</v>
      </c>
      <c r="I2928" s="22" t="s">
        <v>1607</v>
      </c>
      <c r="J2928" s="22" t="s">
        <v>4552</v>
      </c>
      <c r="K2928" s="22" t="s">
        <v>61</v>
      </c>
      <c r="L2928" s="22"/>
      <c r="M2928" s="22"/>
      <c r="N2928" s="22"/>
    </row>
    <row r="2929" spans="1:14" x14ac:dyDescent="0.25">
      <c r="A2929" s="22" t="s">
        <v>1605</v>
      </c>
      <c r="B2929" s="22" t="s">
        <v>39</v>
      </c>
      <c r="C2929" s="22" t="s">
        <v>7681</v>
      </c>
      <c r="D2929" s="23">
        <v>-422208</v>
      </c>
      <c r="E2929" s="22" t="s">
        <v>57</v>
      </c>
      <c r="F2929" s="24">
        <v>44522</v>
      </c>
      <c r="G2929" s="22" t="s">
        <v>1272</v>
      </c>
      <c r="H2929" s="22" t="s">
        <v>1606</v>
      </c>
      <c r="I2929" s="22" t="s">
        <v>1604</v>
      </c>
      <c r="J2929" s="22" t="s">
        <v>4552</v>
      </c>
      <c r="K2929" s="22" t="s">
        <v>61</v>
      </c>
      <c r="L2929" s="22"/>
      <c r="M2929" s="22"/>
      <c r="N2929" s="22"/>
    </row>
    <row r="2930" spans="1:14" x14ac:dyDescent="0.25">
      <c r="A2930" s="22" t="s">
        <v>1602</v>
      </c>
      <c r="B2930" s="22" t="s">
        <v>39</v>
      </c>
      <c r="C2930" s="22" t="s">
        <v>7681</v>
      </c>
      <c r="D2930" s="23">
        <v>-100678</v>
      </c>
      <c r="E2930" s="22" t="s">
        <v>57</v>
      </c>
      <c r="F2930" s="24">
        <v>44531</v>
      </c>
      <c r="G2930" s="22" t="s">
        <v>1272</v>
      </c>
      <c r="H2930" s="22" t="s">
        <v>1603</v>
      </c>
      <c r="I2930" s="22" t="s">
        <v>1601</v>
      </c>
      <c r="J2930" s="22" t="s">
        <v>4552</v>
      </c>
      <c r="K2930" s="22" t="s">
        <v>61</v>
      </c>
      <c r="L2930" s="22"/>
      <c r="M2930" s="22"/>
      <c r="N2930" s="22"/>
    </row>
    <row r="2931" spans="1:14" x14ac:dyDescent="0.25">
      <c r="A2931" s="22" t="s">
        <v>1600</v>
      </c>
      <c r="B2931" s="22" t="s">
        <v>39</v>
      </c>
      <c r="C2931" s="22" t="s">
        <v>7678</v>
      </c>
      <c r="D2931" s="23">
        <v>-128300</v>
      </c>
      <c r="E2931" s="22" t="s">
        <v>57</v>
      </c>
      <c r="F2931" s="24">
        <v>44505</v>
      </c>
      <c r="G2931" s="22" t="s">
        <v>1272</v>
      </c>
      <c r="H2931" s="22" t="s">
        <v>319</v>
      </c>
      <c r="I2931" s="22" t="s">
        <v>1599</v>
      </c>
      <c r="J2931" s="22" t="s">
        <v>4407</v>
      </c>
      <c r="K2931" s="22" t="s">
        <v>66</v>
      </c>
      <c r="L2931" s="22"/>
      <c r="M2931" s="22"/>
      <c r="N2931" s="22"/>
    </row>
    <row r="2932" spans="1:14" x14ac:dyDescent="0.25">
      <c r="A2932" s="22" t="s">
        <v>1598</v>
      </c>
      <c r="B2932" s="22" t="s">
        <v>39</v>
      </c>
      <c r="C2932" s="22" t="s">
        <v>7678</v>
      </c>
      <c r="D2932" s="23">
        <v>-47200</v>
      </c>
      <c r="E2932" s="22" t="s">
        <v>57</v>
      </c>
      <c r="F2932" s="24">
        <v>44508</v>
      </c>
      <c r="G2932" s="22" t="s">
        <v>1272</v>
      </c>
      <c r="H2932" s="22" t="s">
        <v>332</v>
      </c>
      <c r="I2932" s="22" t="s">
        <v>1597</v>
      </c>
      <c r="J2932" s="22" t="s">
        <v>4407</v>
      </c>
      <c r="K2932" s="22" t="s">
        <v>66</v>
      </c>
      <c r="L2932" s="22"/>
      <c r="M2932" s="22"/>
      <c r="N2932" s="22"/>
    </row>
    <row r="2933" spans="1:14" x14ac:dyDescent="0.25">
      <c r="A2933" s="22" t="s">
        <v>1596</v>
      </c>
      <c r="B2933" s="22" t="s">
        <v>39</v>
      </c>
      <c r="C2933" s="22" t="s">
        <v>7678</v>
      </c>
      <c r="D2933" s="23">
        <v>-23700</v>
      </c>
      <c r="E2933" s="22" t="s">
        <v>57</v>
      </c>
      <c r="F2933" s="24">
        <v>44511</v>
      </c>
      <c r="G2933" s="22" t="s">
        <v>1272</v>
      </c>
      <c r="H2933" s="22" t="s">
        <v>979</v>
      </c>
      <c r="I2933" s="22" t="s">
        <v>1595</v>
      </c>
      <c r="J2933" s="22" t="s">
        <v>4407</v>
      </c>
      <c r="K2933" s="22" t="s">
        <v>66</v>
      </c>
      <c r="L2933" s="22"/>
      <c r="M2933" s="22"/>
      <c r="N2933" s="22"/>
    </row>
    <row r="2934" spans="1:14" x14ac:dyDescent="0.25">
      <c r="A2934" s="22" t="s">
        <v>1594</v>
      </c>
      <c r="B2934" s="22" t="s">
        <v>39</v>
      </c>
      <c r="C2934" s="22" t="s">
        <v>7678</v>
      </c>
      <c r="D2934" s="23">
        <v>-31600</v>
      </c>
      <c r="E2934" s="22" t="s">
        <v>57</v>
      </c>
      <c r="F2934" s="24">
        <v>44511</v>
      </c>
      <c r="G2934" s="22" t="s">
        <v>1272</v>
      </c>
      <c r="H2934" s="22" t="s">
        <v>979</v>
      </c>
      <c r="I2934" s="22" t="s">
        <v>1593</v>
      </c>
      <c r="J2934" s="22" t="s">
        <v>4407</v>
      </c>
      <c r="K2934" s="22" t="s">
        <v>66</v>
      </c>
      <c r="L2934" s="22"/>
      <c r="M2934" s="22"/>
      <c r="N2934" s="22"/>
    </row>
    <row r="2935" spans="1:14" x14ac:dyDescent="0.25">
      <c r="A2935" s="22" t="s">
        <v>1592</v>
      </c>
      <c r="B2935" s="22" t="s">
        <v>39</v>
      </c>
      <c r="C2935" s="22" t="s">
        <v>7678</v>
      </c>
      <c r="D2935" s="23">
        <v>-22300</v>
      </c>
      <c r="E2935" s="22" t="s">
        <v>57</v>
      </c>
      <c r="F2935" s="24">
        <v>44511</v>
      </c>
      <c r="G2935" s="22" t="s">
        <v>1272</v>
      </c>
      <c r="H2935" s="22" t="s">
        <v>979</v>
      </c>
      <c r="I2935" s="22" t="s">
        <v>1591</v>
      </c>
      <c r="J2935" s="22" t="s">
        <v>4407</v>
      </c>
      <c r="K2935" s="22" t="s">
        <v>66</v>
      </c>
      <c r="L2935" s="22"/>
      <c r="M2935" s="22"/>
      <c r="N2935" s="22"/>
    </row>
    <row r="2936" spans="1:14" x14ac:dyDescent="0.25">
      <c r="A2936" s="22" t="s">
        <v>1590</v>
      </c>
      <c r="B2936" s="22" t="s">
        <v>39</v>
      </c>
      <c r="C2936" s="22" t="s">
        <v>7678</v>
      </c>
      <c r="D2936" s="23">
        <v>-47200</v>
      </c>
      <c r="E2936" s="22" t="s">
        <v>57</v>
      </c>
      <c r="F2936" s="24">
        <v>44511</v>
      </c>
      <c r="G2936" s="22" t="s">
        <v>1272</v>
      </c>
      <c r="H2936" s="22" t="s">
        <v>979</v>
      </c>
      <c r="I2936" s="22" t="s">
        <v>1589</v>
      </c>
      <c r="J2936" s="22" t="s">
        <v>4407</v>
      </c>
      <c r="K2936" s="22" t="s">
        <v>66</v>
      </c>
      <c r="L2936" s="22"/>
      <c r="M2936" s="22"/>
      <c r="N2936" s="22"/>
    </row>
    <row r="2937" spans="1:14" x14ac:dyDescent="0.25">
      <c r="A2937" s="22" t="s">
        <v>1588</v>
      </c>
      <c r="B2937" s="22" t="s">
        <v>39</v>
      </c>
      <c r="C2937" s="22" t="s">
        <v>7678</v>
      </c>
      <c r="D2937" s="23">
        <v>-146600</v>
      </c>
      <c r="E2937" s="22" t="s">
        <v>57</v>
      </c>
      <c r="F2937" s="24">
        <v>44518</v>
      </c>
      <c r="G2937" s="22" t="s">
        <v>1272</v>
      </c>
      <c r="H2937" s="22" t="s">
        <v>979</v>
      </c>
      <c r="I2937" s="22" t="s">
        <v>1587</v>
      </c>
      <c r="J2937" s="22" t="s">
        <v>4407</v>
      </c>
      <c r="K2937" s="22" t="s">
        <v>66</v>
      </c>
      <c r="L2937" s="22"/>
      <c r="M2937" s="22"/>
      <c r="N2937" s="22"/>
    </row>
    <row r="2938" spans="1:14" x14ac:dyDescent="0.25">
      <c r="A2938" s="22" t="s">
        <v>1586</v>
      </c>
      <c r="B2938" s="22" t="s">
        <v>39</v>
      </c>
      <c r="C2938" s="22" t="s">
        <v>7678</v>
      </c>
      <c r="D2938" s="23">
        <v>-45800</v>
      </c>
      <c r="E2938" s="22" t="s">
        <v>57</v>
      </c>
      <c r="F2938" s="24">
        <v>44519</v>
      </c>
      <c r="G2938" s="22" t="s">
        <v>1272</v>
      </c>
      <c r="H2938" s="22" t="s">
        <v>941</v>
      </c>
      <c r="I2938" s="22" t="s">
        <v>1585</v>
      </c>
      <c r="J2938" s="22" t="s">
        <v>4407</v>
      </c>
      <c r="K2938" s="22" t="s">
        <v>66</v>
      </c>
      <c r="L2938" s="22"/>
      <c r="M2938" s="22"/>
      <c r="N2938" s="22"/>
    </row>
    <row r="2939" spans="1:14" x14ac:dyDescent="0.25">
      <c r="A2939" s="22" t="s">
        <v>1584</v>
      </c>
      <c r="B2939" s="22" t="s">
        <v>39</v>
      </c>
      <c r="C2939" s="22" t="s">
        <v>7678</v>
      </c>
      <c r="D2939" s="23">
        <v>-39500</v>
      </c>
      <c r="E2939" s="22" t="s">
        <v>57</v>
      </c>
      <c r="F2939" s="24">
        <v>44526</v>
      </c>
      <c r="G2939" s="22" t="s">
        <v>1272</v>
      </c>
      <c r="H2939" s="22" t="s">
        <v>941</v>
      </c>
      <c r="I2939" s="22" t="s">
        <v>1583</v>
      </c>
      <c r="J2939" s="22" t="s">
        <v>4407</v>
      </c>
      <c r="K2939" s="22" t="s">
        <v>66</v>
      </c>
      <c r="L2939" s="22"/>
      <c r="M2939" s="22"/>
      <c r="N2939" s="22"/>
    </row>
    <row r="2940" spans="1:14" x14ac:dyDescent="0.25">
      <c r="A2940" s="22" t="s">
        <v>1582</v>
      </c>
      <c r="B2940" s="22" t="s">
        <v>39</v>
      </c>
      <c r="C2940" s="22" t="s">
        <v>7678</v>
      </c>
      <c r="D2940" s="23">
        <v>-22900</v>
      </c>
      <c r="E2940" s="22" t="s">
        <v>57</v>
      </c>
      <c r="F2940" s="24">
        <v>44526</v>
      </c>
      <c r="G2940" s="22" t="s">
        <v>1272</v>
      </c>
      <c r="H2940" s="22" t="s">
        <v>941</v>
      </c>
      <c r="I2940" s="22" t="s">
        <v>1581</v>
      </c>
      <c r="J2940" s="22" t="s">
        <v>4407</v>
      </c>
      <c r="K2940" s="22" t="s">
        <v>66</v>
      </c>
      <c r="L2940" s="22"/>
      <c r="M2940" s="22"/>
      <c r="N2940" s="22"/>
    </row>
    <row r="2941" spans="1:14" x14ac:dyDescent="0.25">
      <c r="A2941" s="22" t="s">
        <v>1580</v>
      </c>
      <c r="B2941" s="22" t="s">
        <v>39</v>
      </c>
      <c r="C2941" s="22" t="s">
        <v>7678</v>
      </c>
      <c r="D2941" s="23">
        <v>-32700</v>
      </c>
      <c r="E2941" s="22" t="s">
        <v>57</v>
      </c>
      <c r="F2941" s="24">
        <v>44526</v>
      </c>
      <c r="G2941" s="22" t="s">
        <v>1272</v>
      </c>
      <c r="H2941" s="22" t="s">
        <v>941</v>
      </c>
      <c r="I2941" s="22" t="s">
        <v>1579</v>
      </c>
      <c r="J2941" s="22" t="s">
        <v>4407</v>
      </c>
      <c r="K2941" s="22" t="s">
        <v>66</v>
      </c>
      <c r="L2941" s="22"/>
      <c r="M2941" s="22"/>
      <c r="N2941" s="22"/>
    </row>
    <row r="2942" spans="1:14" x14ac:dyDescent="0.25">
      <c r="A2942" s="22" t="s">
        <v>1504</v>
      </c>
      <c r="B2942" s="22" t="s">
        <v>39</v>
      </c>
      <c r="C2942" s="22" t="s">
        <v>7688</v>
      </c>
      <c r="D2942" s="23">
        <v>269166</v>
      </c>
      <c r="E2942" s="22" t="s">
        <v>45</v>
      </c>
      <c r="F2942" s="24">
        <v>44508</v>
      </c>
      <c r="G2942" s="22" t="s">
        <v>1272</v>
      </c>
      <c r="H2942" s="22"/>
      <c r="I2942" s="22" t="s">
        <v>1272</v>
      </c>
      <c r="J2942" s="22" t="s">
        <v>4466</v>
      </c>
      <c r="K2942" s="22" t="s">
        <v>292</v>
      </c>
      <c r="L2942" s="22"/>
      <c r="M2942" s="22"/>
      <c r="N2942" s="22"/>
    </row>
    <row r="2943" spans="1:14" x14ac:dyDescent="0.25">
      <c r="A2943" s="22" t="s">
        <v>1504</v>
      </c>
      <c r="B2943" s="22" t="s">
        <v>39</v>
      </c>
      <c r="C2943" s="22" t="s">
        <v>7688</v>
      </c>
      <c r="D2943" s="23">
        <v>13033974</v>
      </c>
      <c r="E2943" s="22" t="s">
        <v>45</v>
      </c>
      <c r="F2943" s="24">
        <v>44508</v>
      </c>
      <c r="G2943" s="22" t="s">
        <v>1272</v>
      </c>
      <c r="H2943" s="22"/>
      <c r="I2943" s="22" t="s">
        <v>1272</v>
      </c>
      <c r="J2943" s="22" t="s">
        <v>4552</v>
      </c>
      <c r="K2943" s="22" t="s">
        <v>292</v>
      </c>
      <c r="L2943" s="22"/>
      <c r="M2943" s="22"/>
      <c r="N2943" s="22"/>
    </row>
    <row r="2944" spans="1:14" x14ac:dyDescent="0.25">
      <c r="A2944" s="22" t="s">
        <v>1504</v>
      </c>
      <c r="B2944" s="22" t="s">
        <v>39</v>
      </c>
      <c r="C2944" s="22" t="s">
        <v>7688</v>
      </c>
      <c r="D2944" s="23">
        <v>-44779540</v>
      </c>
      <c r="E2944" s="22" t="s">
        <v>45</v>
      </c>
      <c r="F2944" s="24">
        <v>44508</v>
      </c>
      <c r="G2944" s="22" t="s">
        <v>1272</v>
      </c>
      <c r="H2944" s="22"/>
      <c r="I2944" s="22" t="s">
        <v>1272</v>
      </c>
      <c r="J2944" s="22" t="s">
        <v>4401</v>
      </c>
      <c r="K2944" s="22" t="s">
        <v>292</v>
      </c>
      <c r="L2944" s="22"/>
      <c r="M2944" s="22"/>
      <c r="N2944" s="22"/>
    </row>
    <row r="2945" spans="1:14" x14ac:dyDescent="0.25">
      <c r="A2945" s="22" t="s">
        <v>1504</v>
      </c>
      <c r="B2945" s="22" t="s">
        <v>39</v>
      </c>
      <c r="C2945" s="22" t="s">
        <v>7688</v>
      </c>
      <c r="D2945" s="23">
        <v>31238290</v>
      </c>
      <c r="E2945" s="22" t="s">
        <v>45</v>
      </c>
      <c r="F2945" s="24">
        <v>44508</v>
      </c>
      <c r="G2945" s="22" t="s">
        <v>1272</v>
      </c>
      <c r="H2945" s="22"/>
      <c r="I2945" s="22" t="s">
        <v>1272</v>
      </c>
      <c r="J2945" s="22" t="s">
        <v>4407</v>
      </c>
      <c r="K2945" s="22" t="s">
        <v>292</v>
      </c>
      <c r="L2945" s="22"/>
      <c r="M2945" s="22"/>
      <c r="N2945" s="22"/>
    </row>
    <row r="2946" spans="1:14" x14ac:dyDescent="0.25">
      <c r="A2946" s="22" t="s">
        <v>1578</v>
      </c>
      <c r="B2946" s="22" t="s">
        <v>39</v>
      </c>
      <c r="C2946" s="22" t="s">
        <v>7691</v>
      </c>
      <c r="D2946" s="23">
        <v>-32300</v>
      </c>
      <c r="E2946" s="22" t="s">
        <v>57</v>
      </c>
      <c r="F2946" s="24">
        <v>44564</v>
      </c>
      <c r="G2946" s="22" t="s">
        <v>1272</v>
      </c>
      <c r="H2946" s="22" t="s">
        <v>282</v>
      </c>
      <c r="I2946" s="22" t="s">
        <v>1577</v>
      </c>
      <c r="J2946" s="22" t="s">
        <v>4552</v>
      </c>
      <c r="K2946" s="22" t="s">
        <v>61</v>
      </c>
      <c r="L2946" s="22"/>
      <c r="M2946" s="22"/>
      <c r="N2946" s="22"/>
    </row>
    <row r="2947" spans="1:14" x14ac:dyDescent="0.25">
      <c r="A2947" s="22" t="s">
        <v>1576</v>
      </c>
      <c r="B2947" s="22" t="s">
        <v>39</v>
      </c>
      <c r="C2947" s="22" t="s">
        <v>7691</v>
      </c>
      <c r="D2947" s="23">
        <v>-32300</v>
      </c>
      <c r="E2947" s="22" t="s">
        <v>57</v>
      </c>
      <c r="F2947" s="24">
        <v>44564</v>
      </c>
      <c r="G2947" s="22" t="s">
        <v>1272</v>
      </c>
      <c r="H2947" s="22" t="s">
        <v>486</v>
      </c>
      <c r="I2947" s="22" t="s">
        <v>1575</v>
      </c>
      <c r="J2947" s="22" t="s">
        <v>4552</v>
      </c>
      <c r="K2947" s="22" t="s">
        <v>61</v>
      </c>
      <c r="L2947" s="22"/>
      <c r="M2947" s="22"/>
      <c r="N2947" s="22"/>
    </row>
    <row r="2948" spans="1:14" x14ac:dyDescent="0.25">
      <c r="A2948" s="22" t="s">
        <v>1574</v>
      </c>
      <c r="B2948" s="22" t="s">
        <v>39</v>
      </c>
      <c r="C2948" s="22" t="s">
        <v>7691</v>
      </c>
      <c r="D2948" s="23">
        <v>-265200</v>
      </c>
      <c r="E2948" s="22" t="s">
        <v>57</v>
      </c>
      <c r="F2948" s="24">
        <v>44566</v>
      </c>
      <c r="G2948" s="22" t="s">
        <v>1272</v>
      </c>
      <c r="H2948" s="22" t="s">
        <v>897</v>
      </c>
      <c r="I2948" s="22" t="s">
        <v>1573</v>
      </c>
      <c r="J2948" s="22" t="s">
        <v>4552</v>
      </c>
      <c r="K2948" s="22" t="s">
        <v>61</v>
      </c>
      <c r="L2948" s="22"/>
      <c r="M2948" s="22"/>
      <c r="N2948" s="22"/>
    </row>
    <row r="2949" spans="1:14" x14ac:dyDescent="0.25">
      <c r="A2949" s="22" t="s">
        <v>1572</v>
      </c>
      <c r="B2949" s="22" t="s">
        <v>39</v>
      </c>
      <c r="C2949" s="22" t="s">
        <v>7691</v>
      </c>
      <c r="D2949" s="23">
        <v>-59100</v>
      </c>
      <c r="E2949" s="22" t="s">
        <v>57</v>
      </c>
      <c r="F2949" s="24">
        <v>44571</v>
      </c>
      <c r="G2949" s="22" t="s">
        <v>1272</v>
      </c>
      <c r="H2949" s="22" t="s">
        <v>206</v>
      </c>
      <c r="I2949" s="22" t="s">
        <v>1571</v>
      </c>
      <c r="J2949" s="22" t="s">
        <v>4552</v>
      </c>
      <c r="K2949" s="22" t="s">
        <v>61</v>
      </c>
      <c r="L2949" s="22"/>
      <c r="M2949" s="22"/>
      <c r="N2949" s="22"/>
    </row>
    <row r="2950" spans="1:14" x14ac:dyDescent="0.25">
      <c r="A2950" s="22" t="s">
        <v>1570</v>
      </c>
      <c r="B2950" s="22" t="s">
        <v>39</v>
      </c>
      <c r="C2950" s="22" t="s">
        <v>7691</v>
      </c>
      <c r="D2950" s="23">
        <v>-48200</v>
      </c>
      <c r="E2950" s="22" t="s">
        <v>57</v>
      </c>
      <c r="F2950" s="24">
        <v>44573</v>
      </c>
      <c r="G2950" s="22" t="s">
        <v>1272</v>
      </c>
      <c r="H2950" s="22" t="s">
        <v>919</v>
      </c>
      <c r="I2950" s="22" t="s">
        <v>1569</v>
      </c>
      <c r="J2950" s="22" t="s">
        <v>4552</v>
      </c>
      <c r="K2950" s="22" t="s">
        <v>61</v>
      </c>
      <c r="L2950" s="22"/>
      <c r="M2950" s="22"/>
      <c r="N2950" s="22"/>
    </row>
    <row r="2951" spans="1:14" x14ac:dyDescent="0.25">
      <c r="A2951" s="22" t="s">
        <v>1667</v>
      </c>
      <c r="B2951" s="22" t="s">
        <v>39</v>
      </c>
      <c r="C2951" s="22" t="s">
        <v>7691</v>
      </c>
      <c r="D2951" s="23">
        <v>-157700</v>
      </c>
      <c r="E2951" s="22" t="s">
        <v>57</v>
      </c>
      <c r="F2951" s="24">
        <v>44574</v>
      </c>
      <c r="G2951" s="22" t="s">
        <v>1272</v>
      </c>
      <c r="H2951" s="22" t="s">
        <v>375</v>
      </c>
      <c r="I2951" s="22" t="s">
        <v>1666</v>
      </c>
      <c r="J2951" s="22" t="s">
        <v>4552</v>
      </c>
      <c r="K2951" s="22" t="s">
        <v>61</v>
      </c>
      <c r="L2951" s="22"/>
      <c r="M2951" s="22"/>
      <c r="N2951" s="22"/>
    </row>
    <row r="2952" spans="1:14" x14ac:dyDescent="0.25">
      <c r="A2952" s="22" t="s">
        <v>1665</v>
      </c>
      <c r="B2952" s="22" t="s">
        <v>39</v>
      </c>
      <c r="C2952" s="22" t="s">
        <v>7691</v>
      </c>
      <c r="D2952" s="23">
        <v>-980600</v>
      </c>
      <c r="E2952" s="22" t="s">
        <v>57</v>
      </c>
      <c r="F2952" s="24">
        <v>44578</v>
      </c>
      <c r="G2952" s="22" t="s">
        <v>1272</v>
      </c>
      <c r="H2952" s="22" t="s">
        <v>491</v>
      </c>
      <c r="I2952" s="22" t="s">
        <v>1664</v>
      </c>
      <c r="J2952" s="22" t="s">
        <v>4552</v>
      </c>
      <c r="K2952" s="22" t="s">
        <v>61</v>
      </c>
      <c r="L2952" s="22"/>
      <c r="M2952" s="22"/>
      <c r="N2952" s="22"/>
    </row>
    <row r="2953" spans="1:14" x14ac:dyDescent="0.25">
      <c r="A2953" s="22" t="s">
        <v>1662</v>
      </c>
      <c r="B2953" s="22" t="s">
        <v>39</v>
      </c>
      <c r="C2953" s="22" t="s">
        <v>7691</v>
      </c>
      <c r="D2953" s="23">
        <v>-20900</v>
      </c>
      <c r="E2953" s="22" t="s">
        <v>57</v>
      </c>
      <c r="F2953" s="24">
        <v>44580</v>
      </c>
      <c r="G2953" s="22" t="s">
        <v>1272</v>
      </c>
      <c r="H2953" s="22" t="s">
        <v>1663</v>
      </c>
      <c r="I2953" s="22" t="s">
        <v>1661</v>
      </c>
      <c r="J2953" s="22" t="s">
        <v>4552</v>
      </c>
      <c r="K2953" s="22" t="s">
        <v>61</v>
      </c>
      <c r="L2953" s="22"/>
      <c r="M2953" s="22"/>
      <c r="N2953" s="22"/>
    </row>
    <row r="2954" spans="1:14" x14ac:dyDescent="0.25">
      <c r="A2954" s="22" t="s">
        <v>1660</v>
      </c>
      <c r="B2954" s="22" t="s">
        <v>39</v>
      </c>
      <c r="C2954" s="22" t="s">
        <v>7691</v>
      </c>
      <c r="D2954" s="23">
        <v>-32300</v>
      </c>
      <c r="E2954" s="22" t="s">
        <v>57</v>
      </c>
      <c r="F2954" s="24">
        <v>44581</v>
      </c>
      <c r="G2954" s="22" t="s">
        <v>1272</v>
      </c>
      <c r="H2954" s="22" t="s">
        <v>799</v>
      </c>
      <c r="I2954" s="22" t="s">
        <v>1659</v>
      </c>
      <c r="J2954" s="22" t="s">
        <v>4552</v>
      </c>
      <c r="K2954" s="22" t="s">
        <v>61</v>
      </c>
      <c r="L2954" s="22"/>
      <c r="M2954" s="22"/>
      <c r="N2954" s="22"/>
    </row>
    <row r="2955" spans="1:14" x14ac:dyDescent="0.25">
      <c r="A2955" s="22" t="s">
        <v>1657</v>
      </c>
      <c r="B2955" s="22" t="s">
        <v>39</v>
      </c>
      <c r="C2955" s="22" t="s">
        <v>7691</v>
      </c>
      <c r="D2955" s="23">
        <v>-32300</v>
      </c>
      <c r="E2955" s="22" t="s">
        <v>57</v>
      </c>
      <c r="F2955" s="24">
        <v>44582</v>
      </c>
      <c r="G2955" s="22" t="s">
        <v>1272</v>
      </c>
      <c r="H2955" s="22" t="s">
        <v>1658</v>
      </c>
      <c r="I2955" s="22" t="s">
        <v>1656</v>
      </c>
      <c r="J2955" s="22" t="s">
        <v>4552</v>
      </c>
      <c r="K2955" s="22" t="s">
        <v>61</v>
      </c>
      <c r="L2955" s="22"/>
      <c r="M2955" s="22"/>
      <c r="N2955" s="22"/>
    </row>
    <row r="2956" spans="1:14" x14ac:dyDescent="0.25">
      <c r="A2956" s="22" t="s">
        <v>1654</v>
      </c>
      <c r="B2956" s="22" t="s">
        <v>39</v>
      </c>
      <c r="C2956" s="22" t="s">
        <v>7691</v>
      </c>
      <c r="D2956" s="23">
        <v>-2327100</v>
      </c>
      <c r="E2956" s="22" t="s">
        <v>57</v>
      </c>
      <c r="F2956" s="24">
        <v>44585</v>
      </c>
      <c r="G2956" s="22" t="s">
        <v>1272</v>
      </c>
      <c r="H2956" s="22" t="s">
        <v>1655</v>
      </c>
      <c r="I2956" s="22" t="s">
        <v>1653</v>
      </c>
      <c r="J2956" s="22" t="s">
        <v>4552</v>
      </c>
      <c r="K2956" s="22" t="s">
        <v>61</v>
      </c>
      <c r="L2956" s="22"/>
      <c r="M2956" s="22"/>
      <c r="N2956" s="22"/>
    </row>
    <row r="2957" spans="1:14" x14ac:dyDescent="0.25">
      <c r="A2957" s="22" t="s">
        <v>1652</v>
      </c>
      <c r="B2957" s="22" t="s">
        <v>39</v>
      </c>
      <c r="C2957" s="22" t="s">
        <v>7691</v>
      </c>
      <c r="D2957" s="23">
        <v>-478400</v>
      </c>
      <c r="E2957" s="22" t="s">
        <v>57</v>
      </c>
      <c r="F2957" s="24">
        <v>44586</v>
      </c>
      <c r="G2957" s="22" t="s">
        <v>1272</v>
      </c>
      <c r="H2957" s="22" t="s">
        <v>375</v>
      </c>
      <c r="I2957" s="22" t="s">
        <v>1651</v>
      </c>
      <c r="J2957" s="22" t="s">
        <v>4552</v>
      </c>
      <c r="K2957" s="22" t="s">
        <v>61</v>
      </c>
      <c r="L2957" s="22"/>
      <c r="M2957" s="22"/>
      <c r="N2957" s="22"/>
    </row>
    <row r="2958" spans="1:14" x14ac:dyDescent="0.25">
      <c r="A2958" s="22" t="s">
        <v>1650</v>
      </c>
      <c r="B2958" s="22" t="s">
        <v>39</v>
      </c>
      <c r="C2958" s="22" t="s">
        <v>7691</v>
      </c>
      <c r="D2958" s="23">
        <v>-135100</v>
      </c>
      <c r="E2958" s="22" t="s">
        <v>57</v>
      </c>
      <c r="F2958" s="24">
        <v>44586</v>
      </c>
      <c r="G2958" s="22" t="s">
        <v>1272</v>
      </c>
      <c r="H2958" s="22" t="s">
        <v>375</v>
      </c>
      <c r="I2958" s="22" t="s">
        <v>1649</v>
      </c>
      <c r="J2958" s="22" t="s">
        <v>4552</v>
      </c>
      <c r="K2958" s="22" t="s">
        <v>61</v>
      </c>
      <c r="L2958" s="22"/>
      <c r="M2958" s="22"/>
      <c r="N2958" s="22"/>
    </row>
    <row r="2959" spans="1:14" x14ac:dyDescent="0.25">
      <c r="A2959" s="22" t="s">
        <v>1648</v>
      </c>
      <c r="B2959" s="22" t="s">
        <v>39</v>
      </c>
      <c r="C2959" s="22" t="s">
        <v>7691</v>
      </c>
      <c r="D2959" s="23">
        <v>-10700</v>
      </c>
      <c r="E2959" s="22" t="s">
        <v>57</v>
      </c>
      <c r="F2959" s="24">
        <v>44588</v>
      </c>
      <c r="G2959" s="22" t="s">
        <v>1272</v>
      </c>
      <c r="H2959" s="22" t="s">
        <v>532</v>
      </c>
      <c r="I2959" s="22" t="s">
        <v>1647</v>
      </c>
      <c r="J2959" s="22" t="s">
        <v>4407</v>
      </c>
      <c r="K2959" s="22" t="s">
        <v>61</v>
      </c>
      <c r="L2959" s="22"/>
      <c r="M2959" s="22"/>
      <c r="N2959" s="22"/>
    </row>
    <row r="2960" spans="1:14" x14ac:dyDescent="0.25">
      <c r="A2960" s="22" t="s">
        <v>1646</v>
      </c>
      <c r="B2960" s="22" t="s">
        <v>39</v>
      </c>
      <c r="C2960" s="22" t="s">
        <v>7691</v>
      </c>
      <c r="D2960" s="23">
        <v>-32300</v>
      </c>
      <c r="E2960" s="22" t="s">
        <v>57</v>
      </c>
      <c r="F2960" s="24">
        <v>44589</v>
      </c>
      <c r="G2960" s="22" t="s">
        <v>1272</v>
      </c>
      <c r="H2960" s="22" t="s">
        <v>483</v>
      </c>
      <c r="I2960" s="22" t="s">
        <v>1645</v>
      </c>
      <c r="J2960" s="22" t="s">
        <v>4552</v>
      </c>
      <c r="K2960" s="22" t="s">
        <v>61</v>
      </c>
      <c r="L2960" s="22"/>
      <c r="M2960" s="22"/>
      <c r="N2960" s="22"/>
    </row>
    <row r="2961" spans="1:14" x14ac:dyDescent="0.25">
      <c r="A2961" s="22" t="s">
        <v>1644</v>
      </c>
      <c r="B2961" s="22" t="s">
        <v>39</v>
      </c>
      <c r="C2961" s="22" t="s">
        <v>7691</v>
      </c>
      <c r="D2961" s="23">
        <v>-31000</v>
      </c>
      <c r="E2961" s="22" t="s">
        <v>57</v>
      </c>
      <c r="F2961" s="24">
        <v>44589</v>
      </c>
      <c r="G2961" s="22" t="s">
        <v>1272</v>
      </c>
      <c r="H2961" s="22" t="s">
        <v>491</v>
      </c>
      <c r="I2961" s="22" t="s">
        <v>1643</v>
      </c>
      <c r="J2961" s="22" t="s">
        <v>4552</v>
      </c>
      <c r="K2961" s="22" t="s">
        <v>61</v>
      </c>
      <c r="L2961" s="22"/>
      <c r="M2961" s="22"/>
      <c r="N2961" s="22"/>
    </row>
    <row r="2962" spans="1:14" x14ac:dyDescent="0.25">
      <c r="A2962" s="22" t="s">
        <v>1642</v>
      </c>
      <c r="B2962" s="22" t="s">
        <v>39</v>
      </c>
      <c r="C2962" s="22" t="s">
        <v>7691</v>
      </c>
      <c r="D2962" s="23">
        <v>-31000</v>
      </c>
      <c r="E2962" s="22" t="s">
        <v>57</v>
      </c>
      <c r="F2962" s="24">
        <v>44596</v>
      </c>
      <c r="G2962" s="22" t="s">
        <v>1272</v>
      </c>
      <c r="H2962" s="22" t="s">
        <v>375</v>
      </c>
      <c r="I2962" s="22" t="s">
        <v>1641</v>
      </c>
      <c r="J2962" s="22" t="s">
        <v>4552</v>
      </c>
      <c r="K2962" s="22" t="s">
        <v>61</v>
      </c>
      <c r="L2962" s="22"/>
      <c r="M2962" s="22"/>
      <c r="N2962" s="22"/>
    </row>
    <row r="2963" spans="1:14" x14ac:dyDescent="0.25">
      <c r="A2963" s="22" t="s">
        <v>1639</v>
      </c>
      <c r="B2963" s="22" t="s">
        <v>39</v>
      </c>
      <c r="C2963" s="22" t="s">
        <v>7692</v>
      </c>
      <c r="D2963" s="23">
        <v>-72591</v>
      </c>
      <c r="E2963" s="22" t="s">
        <v>57</v>
      </c>
      <c r="F2963" s="24">
        <v>44562</v>
      </c>
      <c r="G2963" s="22" t="s">
        <v>1272</v>
      </c>
      <c r="H2963" s="22" t="s">
        <v>1640</v>
      </c>
      <c r="I2963" s="22" t="s">
        <v>1638</v>
      </c>
      <c r="J2963" s="22" t="s">
        <v>4552</v>
      </c>
      <c r="K2963" s="22" t="s">
        <v>61</v>
      </c>
      <c r="L2963" s="22"/>
      <c r="M2963" s="22"/>
      <c r="N2963" s="22"/>
    </row>
    <row r="2964" spans="1:14" x14ac:dyDescent="0.25">
      <c r="A2964" s="22" t="s">
        <v>1637</v>
      </c>
      <c r="B2964" s="22" t="s">
        <v>39</v>
      </c>
      <c r="C2964" s="22" t="s">
        <v>7692</v>
      </c>
      <c r="D2964" s="23">
        <v>-331300</v>
      </c>
      <c r="E2964" s="22" t="s">
        <v>57</v>
      </c>
      <c r="F2964" s="24">
        <v>44564</v>
      </c>
      <c r="G2964" s="22" t="s">
        <v>1272</v>
      </c>
      <c r="H2964" s="22" t="s">
        <v>1448</v>
      </c>
      <c r="I2964" s="22" t="s">
        <v>1636</v>
      </c>
      <c r="J2964" s="22" t="s">
        <v>4552</v>
      </c>
      <c r="K2964" s="22" t="s">
        <v>61</v>
      </c>
      <c r="L2964" s="22"/>
      <c r="M2964" s="22"/>
      <c r="N2964" s="22"/>
    </row>
    <row r="2965" spans="1:14" x14ac:dyDescent="0.25">
      <c r="A2965" s="22" t="s">
        <v>1635</v>
      </c>
      <c r="B2965" s="22" t="s">
        <v>39</v>
      </c>
      <c r="C2965" s="22" t="s">
        <v>7692</v>
      </c>
      <c r="D2965" s="23">
        <v>-59100</v>
      </c>
      <c r="E2965" s="22" t="s">
        <v>57</v>
      </c>
      <c r="F2965" s="24">
        <v>44566</v>
      </c>
      <c r="G2965" s="22" t="s">
        <v>1272</v>
      </c>
      <c r="H2965" s="22" t="s">
        <v>375</v>
      </c>
      <c r="I2965" s="22" t="s">
        <v>1634</v>
      </c>
      <c r="J2965" s="22" t="s">
        <v>4552</v>
      </c>
      <c r="K2965" s="22" t="s">
        <v>61</v>
      </c>
      <c r="L2965" s="22"/>
      <c r="M2965" s="22"/>
      <c r="N2965" s="22"/>
    </row>
    <row r="2966" spans="1:14" x14ac:dyDescent="0.25">
      <c r="A2966" s="22" t="s">
        <v>1633</v>
      </c>
      <c r="B2966" s="22" t="s">
        <v>39</v>
      </c>
      <c r="C2966" s="22" t="s">
        <v>7692</v>
      </c>
      <c r="D2966" s="23">
        <v>-192434</v>
      </c>
      <c r="E2966" s="22" t="s">
        <v>57</v>
      </c>
      <c r="F2966" s="24">
        <v>44567</v>
      </c>
      <c r="G2966" s="22" t="s">
        <v>1272</v>
      </c>
      <c r="H2966" s="22" t="s">
        <v>1244</v>
      </c>
      <c r="I2966" s="22" t="s">
        <v>1632</v>
      </c>
      <c r="J2966" s="22" t="s">
        <v>4552</v>
      </c>
      <c r="K2966" s="22" t="s">
        <v>61</v>
      </c>
      <c r="L2966" s="22"/>
      <c r="M2966" s="22"/>
      <c r="N2966" s="22"/>
    </row>
    <row r="2967" spans="1:14" x14ac:dyDescent="0.25">
      <c r="A2967" s="22" t="s">
        <v>1630</v>
      </c>
      <c r="B2967" s="22" t="s">
        <v>39</v>
      </c>
      <c r="C2967" s="22" t="s">
        <v>7692</v>
      </c>
      <c r="D2967" s="23">
        <v>-59978</v>
      </c>
      <c r="E2967" s="22" t="s">
        <v>57</v>
      </c>
      <c r="F2967" s="24">
        <v>44569</v>
      </c>
      <c r="G2967" s="22" t="s">
        <v>1272</v>
      </c>
      <c r="H2967" s="22" t="s">
        <v>1631</v>
      </c>
      <c r="I2967" s="22" t="s">
        <v>1629</v>
      </c>
      <c r="J2967" s="22" t="s">
        <v>4552</v>
      </c>
      <c r="K2967" s="22" t="s">
        <v>61</v>
      </c>
      <c r="L2967" s="22"/>
      <c r="M2967" s="22"/>
      <c r="N2967" s="22"/>
    </row>
    <row r="2968" spans="1:14" x14ac:dyDescent="0.25">
      <c r="A2968" s="22" t="s">
        <v>1628</v>
      </c>
      <c r="B2968" s="22" t="s">
        <v>39</v>
      </c>
      <c r="C2968" s="22" t="s">
        <v>7692</v>
      </c>
      <c r="D2968" s="23">
        <v>-152537</v>
      </c>
      <c r="E2968" s="22" t="s">
        <v>57</v>
      </c>
      <c r="F2968" s="24">
        <v>44573</v>
      </c>
      <c r="G2968" s="22" t="s">
        <v>1272</v>
      </c>
      <c r="H2968" s="22" t="s">
        <v>375</v>
      </c>
      <c r="I2968" s="22" t="s">
        <v>1627</v>
      </c>
      <c r="J2968" s="22" t="s">
        <v>4552</v>
      </c>
      <c r="K2968" s="22" t="s">
        <v>61</v>
      </c>
      <c r="L2968" s="22"/>
      <c r="M2968" s="22"/>
      <c r="N2968" s="22"/>
    </row>
    <row r="2969" spans="1:14" x14ac:dyDescent="0.25">
      <c r="A2969" s="22" t="s">
        <v>1626</v>
      </c>
      <c r="B2969" s="22" t="s">
        <v>39</v>
      </c>
      <c r="C2969" s="22" t="s">
        <v>7692</v>
      </c>
      <c r="D2969" s="23">
        <v>-208634</v>
      </c>
      <c r="E2969" s="22" t="s">
        <v>57</v>
      </c>
      <c r="F2969" s="24">
        <v>44575</v>
      </c>
      <c r="G2969" s="22" t="s">
        <v>1272</v>
      </c>
      <c r="H2969" s="22" t="s">
        <v>547</v>
      </c>
      <c r="I2969" s="22" t="s">
        <v>1625</v>
      </c>
      <c r="J2969" s="22" t="s">
        <v>4466</v>
      </c>
      <c r="K2969" s="22" t="s">
        <v>61</v>
      </c>
      <c r="L2969" s="22"/>
      <c r="M2969" s="22"/>
      <c r="N2969" s="22"/>
    </row>
    <row r="2970" spans="1:14" x14ac:dyDescent="0.25">
      <c r="A2970" s="22" t="s">
        <v>1624</v>
      </c>
      <c r="B2970" s="22" t="s">
        <v>39</v>
      </c>
      <c r="C2970" s="22" t="s">
        <v>7692</v>
      </c>
      <c r="D2970" s="23">
        <v>-59100</v>
      </c>
      <c r="E2970" s="22" t="s">
        <v>57</v>
      </c>
      <c r="F2970" s="24">
        <v>44576</v>
      </c>
      <c r="G2970" s="22" t="s">
        <v>1272</v>
      </c>
      <c r="H2970" s="22" t="s">
        <v>375</v>
      </c>
      <c r="I2970" s="22" t="s">
        <v>1623</v>
      </c>
      <c r="J2970" s="22" t="s">
        <v>4552</v>
      </c>
      <c r="K2970" s="22" t="s">
        <v>61</v>
      </c>
      <c r="L2970" s="22"/>
      <c r="M2970" s="22"/>
      <c r="N2970" s="22"/>
    </row>
    <row r="2971" spans="1:14" x14ac:dyDescent="0.25">
      <c r="A2971" s="22" t="s">
        <v>1621</v>
      </c>
      <c r="B2971" s="22" t="s">
        <v>39</v>
      </c>
      <c r="C2971" s="22" t="s">
        <v>7692</v>
      </c>
      <c r="D2971" s="23">
        <v>-1990165</v>
      </c>
      <c r="E2971" s="22" t="s">
        <v>57</v>
      </c>
      <c r="F2971" s="24">
        <v>44577</v>
      </c>
      <c r="G2971" s="22" t="s">
        <v>1272</v>
      </c>
      <c r="H2971" s="22" t="s">
        <v>1622</v>
      </c>
      <c r="I2971" s="22" t="s">
        <v>1620</v>
      </c>
      <c r="J2971" s="22" t="s">
        <v>4552</v>
      </c>
      <c r="K2971" s="22" t="s">
        <v>61</v>
      </c>
      <c r="L2971" s="22"/>
      <c r="M2971" s="22"/>
      <c r="N2971" s="22"/>
    </row>
    <row r="2972" spans="1:14" x14ac:dyDescent="0.25">
      <c r="A2972" s="22" t="s">
        <v>1618</v>
      </c>
      <c r="B2972" s="22" t="s">
        <v>39</v>
      </c>
      <c r="C2972" s="22" t="s">
        <v>7692</v>
      </c>
      <c r="D2972" s="23">
        <v>-262100</v>
      </c>
      <c r="E2972" s="22" t="s">
        <v>57</v>
      </c>
      <c r="F2972" s="24">
        <v>44577</v>
      </c>
      <c r="G2972" s="22" t="s">
        <v>1272</v>
      </c>
      <c r="H2972" s="22" t="s">
        <v>1619</v>
      </c>
      <c r="I2972" s="22" t="s">
        <v>1617</v>
      </c>
      <c r="J2972" s="22" t="s">
        <v>4552</v>
      </c>
      <c r="K2972" s="22" t="s">
        <v>61</v>
      </c>
      <c r="L2972" s="22"/>
      <c r="M2972" s="22"/>
      <c r="N2972" s="22"/>
    </row>
    <row r="2973" spans="1:14" x14ac:dyDescent="0.25">
      <c r="A2973" s="22" t="s">
        <v>1616</v>
      </c>
      <c r="B2973" s="22" t="s">
        <v>39</v>
      </c>
      <c r="C2973" s="22" t="s">
        <v>7692</v>
      </c>
      <c r="D2973" s="23">
        <v>-633274</v>
      </c>
      <c r="E2973" s="22" t="s">
        <v>57</v>
      </c>
      <c r="F2973" s="24">
        <v>44579</v>
      </c>
      <c r="G2973" s="22" t="s">
        <v>1272</v>
      </c>
      <c r="H2973" s="22" t="s">
        <v>375</v>
      </c>
      <c r="I2973" s="22" t="s">
        <v>1615</v>
      </c>
      <c r="J2973" s="22" t="s">
        <v>4552</v>
      </c>
      <c r="K2973" s="22" t="s">
        <v>61</v>
      </c>
      <c r="L2973" s="22"/>
      <c r="M2973" s="22"/>
      <c r="N2973" s="22"/>
    </row>
    <row r="2974" spans="1:14" x14ac:dyDescent="0.25">
      <c r="A2974" s="22" t="s">
        <v>1614</v>
      </c>
      <c r="B2974" s="22" t="s">
        <v>39</v>
      </c>
      <c r="C2974" s="22" t="s">
        <v>7692</v>
      </c>
      <c r="D2974" s="23">
        <v>-89937</v>
      </c>
      <c r="E2974" s="22" t="s">
        <v>57</v>
      </c>
      <c r="F2974" s="24">
        <v>44580</v>
      </c>
      <c r="G2974" s="22" t="s">
        <v>1272</v>
      </c>
      <c r="H2974" s="22" t="s">
        <v>491</v>
      </c>
      <c r="I2974" s="22" t="s">
        <v>1613</v>
      </c>
      <c r="J2974" s="22" t="s">
        <v>4552</v>
      </c>
      <c r="K2974" s="22" t="s">
        <v>61</v>
      </c>
      <c r="L2974" s="22"/>
      <c r="M2974" s="22"/>
      <c r="N2974" s="22"/>
    </row>
    <row r="2975" spans="1:14" x14ac:dyDescent="0.25">
      <c r="A2975" s="22" t="s">
        <v>1568</v>
      </c>
      <c r="B2975" s="22" t="s">
        <v>39</v>
      </c>
      <c r="C2975" s="22" t="s">
        <v>7692</v>
      </c>
      <c r="D2975" s="23">
        <v>-182400</v>
      </c>
      <c r="E2975" s="22" t="s">
        <v>57</v>
      </c>
      <c r="F2975" s="24">
        <v>44581</v>
      </c>
      <c r="G2975" s="22" t="s">
        <v>1272</v>
      </c>
      <c r="H2975" s="22" t="s">
        <v>1006</v>
      </c>
      <c r="I2975" s="22" t="s">
        <v>1567</v>
      </c>
      <c r="J2975" s="22" t="s">
        <v>4552</v>
      </c>
      <c r="K2975" s="22" t="s">
        <v>61</v>
      </c>
      <c r="L2975" s="22"/>
      <c r="M2975" s="22"/>
      <c r="N2975" s="22"/>
    </row>
    <row r="2976" spans="1:14" x14ac:dyDescent="0.25">
      <c r="A2976" s="22" t="s">
        <v>1501</v>
      </c>
      <c r="B2976" s="22" t="s">
        <v>39</v>
      </c>
      <c r="C2976" s="22" t="s">
        <v>7692</v>
      </c>
      <c r="D2976" s="23">
        <v>-59100</v>
      </c>
      <c r="E2976" s="22" t="s">
        <v>57</v>
      </c>
      <c r="F2976" s="24">
        <v>44583</v>
      </c>
      <c r="G2976" s="22" t="s">
        <v>1272</v>
      </c>
      <c r="H2976" s="22" t="s">
        <v>1502</v>
      </c>
      <c r="I2976" s="22" t="s">
        <v>1500</v>
      </c>
      <c r="J2976" s="22" t="s">
        <v>4407</v>
      </c>
      <c r="K2976" s="22" t="s">
        <v>61</v>
      </c>
      <c r="L2976" s="22"/>
      <c r="M2976" s="22"/>
      <c r="N2976" s="22"/>
    </row>
    <row r="2977" spans="1:14" x14ac:dyDescent="0.25">
      <c r="A2977" s="22" t="s">
        <v>1499</v>
      </c>
      <c r="B2977" s="22" t="s">
        <v>39</v>
      </c>
      <c r="C2977" s="22" t="s">
        <v>7692</v>
      </c>
      <c r="D2977" s="23">
        <v>-59100</v>
      </c>
      <c r="E2977" s="22" t="s">
        <v>57</v>
      </c>
      <c r="F2977" s="24">
        <v>44585</v>
      </c>
      <c r="G2977" s="22" t="s">
        <v>1272</v>
      </c>
      <c r="H2977" s="22" t="s">
        <v>491</v>
      </c>
      <c r="I2977" s="22" t="s">
        <v>1498</v>
      </c>
      <c r="J2977" s="22" t="s">
        <v>4552</v>
      </c>
      <c r="K2977" s="22" t="s">
        <v>61</v>
      </c>
      <c r="L2977" s="22"/>
      <c r="M2977" s="22"/>
      <c r="N2977" s="22"/>
    </row>
    <row r="2978" spans="1:14" x14ac:dyDescent="0.25">
      <c r="A2978" s="22" t="s">
        <v>1496</v>
      </c>
      <c r="B2978" s="22" t="s">
        <v>39</v>
      </c>
      <c r="C2978" s="22" t="s">
        <v>7692</v>
      </c>
      <c r="D2978" s="23">
        <v>-60532</v>
      </c>
      <c r="E2978" s="22" t="s">
        <v>57</v>
      </c>
      <c r="F2978" s="24">
        <v>44586</v>
      </c>
      <c r="G2978" s="22" t="s">
        <v>1272</v>
      </c>
      <c r="H2978" s="22" t="s">
        <v>1497</v>
      </c>
      <c r="I2978" s="22" t="s">
        <v>1495</v>
      </c>
      <c r="J2978" s="22" t="s">
        <v>4466</v>
      </c>
      <c r="K2978" s="22" t="s">
        <v>61</v>
      </c>
      <c r="L2978" s="22"/>
      <c r="M2978" s="22"/>
      <c r="N2978" s="22"/>
    </row>
    <row r="2979" spans="1:14" x14ac:dyDescent="0.25">
      <c r="A2979" s="22" t="s">
        <v>1494</v>
      </c>
      <c r="B2979" s="22" t="s">
        <v>39</v>
      </c>
      <c r="C2979" s="22" t="s">
        <v>7692</v>
      </c>
      <c r="D2979" s="23">
        <v>-60124</v>
      </c>
      <c r="E2979" s="22" t="s">
        <v>57</v>
      </c>
      <c r="F2979" s="24">
        <v>44588</v>
      </c>
      <c r="G2979" s="22" t="s">
        <v>1272</v>
      </c>
      <c r="H2979" s="22" t="s">
        <v>375</v>
      </c>
      <c r="I2979" s="22" t="s">
        <v>1493</v>
      </c>
      <c r="J2979" s="22" t="s">
        <v>4552</v>
      </c>
      <c r="K2979" s="22" t="s">
        <v>61</v>
      </c>
      <c r="L2979" s="22"/>
      <c r="M2979" s="22"/>
      <c r="N2979" s="22"/>
    </row>
    <row r="2980" spans="1:14" x14ac:dyDescent="0.25">
      <c r="A2980" s="22" t="s">
        <v>1491</v>
      </c>
      <c r="B2980" s="22" t="s">
        <v>39</v>
      </c>
      <c r="C2980" s="22" t="s">
        <v>7692</v>
      </c>
      <c r="D2980" s="23">
        <v>-109269</v>
      </c>
      <c r="E2980" s="22" t="s">
        <v>57</v>
      </c>
      <c r="F2980" s="24">
        <v>44589</v>
      </c>
      <c r="G2980" s="22" t="s">
        <v>1272</v>
      </c>
      <c r="H2980" s="22" t="s">
        <v>1492</v>
      </c>
      <c r="I2980" s="22" t="s">
        <v>1490</v>
      </c>
      <c r="J2980" s="22" t="s">
        <v>4407</v>
      </c>
      <c r="K2980" s="22" t="s">
        <v>61</v>
      </c>
      <c r="L2980" s="22"/>
      <c r="M2980" s="22"/>
      <c r="N2980" s="22"/>
    </row>
    <row r="2981" spans="1:14" x14ac:dyDescent="0.25">
      <c r="A2981" s="22" t="s">
        <v>1489</v>
      </c>
      <c r="B2981" s="22" t="s">
        <v>39</v>
      </c>
      <c r="C2981" s="22" t="s">
        <v>7692</v>
      </c>
      <c r="D2981" s="23">
        <v>-140840</v>
      </c>
      <c r="E2981" s="22" t="s">
        <v>57</v>
      </c>
      <c r="F2981" s="24">
        <v>44591</v>
      </c>
      <c r="G2981" s="22" t="s">
        <v>1272</v>
      </c>
      <c r="H2981" s="22" t="s">
        <v>1111</v>
      </c>
      <c r="I2981" s="22" t="s">
        <v>1488</v>
      </c>
      <c r="J2981" s="22" t="s">
        <v>4552</v>
      </c>
      <c r="K2981" s="22" t="s">
        <v>61</v>
      </c>
      <c r="L2981" s="22"/>
      <c r="M2981" s="22"/>
      <c r="N2981" s="22"/>
    </row>
    <row r="2982" spans="1:14" x14ac:dyDescent="0.25">
      <c r="A2982" s="22" t="s">
        <v>1487</v>
      </c>
      <c r="B2982" s="22" t="s">
        <v>39</v>
      </c>
      <c r="C2982" s="22" t="s">
        <v>7692</v>
      </c>
      <c r="D2982" s="23">
        <v>-662398</v>
      </c>
      <c r="E2982" s="22" t="s">
        <v>57</v>
      </c>
      <c r="F2982" s="24">
        <v>44596</v>
      </c>
      <c r="G2982" s="22" t="s">
        <v>1272</v>
      </c>
      <c r="H2982" s="22" t="s">
        <v>1006</v>
      </c>
      <c r="I2982" s="22" t="s">
        <v>1486</v>
      </c>
      <c r="J2982" s="22" t="s">
        <v>4552</v>
      </c>
      <c r="K2982" s="22" t="s">
        <v>61</v>
      </c>
      <c r="L2982" s="22"/>
      <c r="M2982" s="22"/>
      <c r="N2982" s="22"/>
    </row>
    <row r="2983" spans="1:14" x14ac:dyDescent="0.25">
      <c r="A2983" s="22" t="s">
        <v>1485</v>
      </c>
      <c r="B2983" s="22" t="s">
        <v>39</v>
      </c>
      <c r="C2983" s="22" t="s">
        <v>7689</v>
      </c>
      <c r="D2983" s="23">
        <v>-23000</v>
      </c>
      <c r="E2983" s="22" t="s">
        <v>57</v>
      </c>
      <c r="F2983" s="24">
        <v>44568</v>
      </c>
      <c r="G2983" s="22" t="s">
        <v>1272</v>
      </c>
      <c r="H2983" s="22" t="s">
        <v>715</v>
      </c>
      <c r="I2983" s="22" t="s">
        <v>1484</v>
      </c>
      <c r="J2983" s="22" t="s">
        <v>4407</v>
      </c>
      <c r="K2983" s="22" t="s">
        <v>66</v>
      </c>
      <c r="L2983" s="22"/>
      <c r="M2983" s="22"/>
      <c r="N2983" s="22"/>
    </row>
    <row r="2984" spans="1:14" x14ac:dyDescent="0.25">
      <c r="A2984" s="22" t="s">
        <v>1483</v>
      </c>
      <c r="B2984" s="22" t="s">
        <v>39</v>
      </c>
      <c r="C2984" s="22" t="s">
        <v>7689</v>
      </c>
      <c r="D2984" s="23">
        <v>-51900</v>
      </c>
      <c r="E2984" s="22" t="s">
        <v>57</v>
      </c>
      <c r="F2984" s="24">
        <v>44568</v>
      </c>
      <c r="G2984" s="22" t="s">
        <v>1272</v>
      </c>
      <c r="H2984" s="22" t="s">
        <v>715</v>
      </c>
      <c r="I2984" s="22" t="s">
        <v>1482</v>
      </c>
      <c r="J2984" s="22" t="s">
        <v>4407</v>
      </c>
      <c r="K2984" s="22" t="s">
        <v>66</v>
      </c>
      <c r="L2984" s="22"/>
      <c r="M2984" s="22"/>
      <c r="N2984" s="22"/>
    </row>
    <row r="2985" spans="1:14" x14ac:dyDescent="0.25">
      <c r="A2985" s="22" t="s">
        <v>1481</v>
      </c>
      <c r="B2985" s="22" t="s">
        <v>39</v>
      </c>
      <c r="C2985" s="22" t="s">
        <v>7689</v>
      </c>
      <c r="D2985" s="23">
        <v>-36000</v>
      </c>
      <c r="E2985" s="22" t="s">
        <v>57</v>
      </c>
      <c r="F2985" s="24">
        <v>44574</v>
      </c>
      <c r="G2985" s="22" t="s">
        <v>1272</v>
      </c>
      <c r="H2985" s="22" t="s">
        <v>298</v>
      </c>
      <c r="I2985" s="22" t="s">
        <v>1480</v>
      </c>
      <c r="J2985" s="22" t="s">
        <v>4407</v>
      </c>
      <c r="K2985" s="22" t="s">
        <v>66</v>
      </c>
      <c r="L2985" s="22"/>
      <c r="M2985" s="22"/>
      <c r="N2985" s="22"/>
    </row>
    <row r="2986" spans="1:14" x14ac:dyDescent="0.25">
      <c r="A2986" s="22" t="s">
        <v>1479</v>
      </c>
      <c r="B2986" s="22" t="s">
        <v>39</v>
      </c>
      <c r="C2986" s="22" t="s">
        <v>7689</v>
      </c>
      <c r="D2986" s="23">
        <v>-51900</v>
      </c>
      <c r="E2986" s="22" t="s">
        <v>57</v>
      </c>
      <c r="F2986" s="24">
        <v>44575</v>
      </c>
      <c r="G2986" s="22" t="s">
        <v>1272</v>
      </c>
      <c r="H2986" s="22" t="s">
        <v>550</v>
      </c>
      <c r="I2986" s="22" t="s">
        <v>1478</v>
      </c>
      <c r="J2986" s="22" t="s">
        <v>4407</v>
      </c>
      <c r="K2986" s="22" t="s">
        <v>66</v>
      </c>
      <c r="L2986" s="22"/>
      <c r="M2986" s="22"/>
      <c r="N2986" s="22"/>
    </row>
    <row r="2987" spans="1:14" x14ac:dyDescent="0.25">
      <c r="A2987" s="22" t="s">
        <v>1476</v>
      </c>
      <c r="B2987" s="22" t="s">
        <v>39</v>
      </c>
      <c r="C2987" s="22" t="s">
        <v>7689</v>
      </c>
      <c r="D2987" s="23">
        <v>-51900</v>
      </c>
      <c r="E2987" s="22" t="s">
        <v>57</v>
      </c>
      <c r="F2987" s="24">
        <v>44578</v>
      </c>
      <c r="G2987" s="22" t="s">
        <v>1272</v>
      </c>
      <c r="H2987" s="22" t="s">
        <v>1477</v>
      </c>
      <c r="I2987" s="22" t="s">
        <v>1475</v>
      </c>
      <c r="J2987" s="22" t="s">
        <v>4407</v>
      </c>
      <c r="K2987" s="22" t="s">
        <v>66</v>
      </c>
      <c r="L2987" s="22"/>
      <c r="M2987" s="22"/>
      <c r="N2987" s="22"/>
    </row>
    <row r="2988" spans="1:14" x14ac:dyDescent="0.25">
      <c r="A2988" s="22" t="s">
        <v>1474</v>
      </c>
      <c r="B2988" s="22" t="s">
        <v>39</v>
      </c>
      <c r="C2988" s="22" t="s">
        <v>7689</v>
      </c>
      <c r="D2988" s="23">
        <v>-161400</v>
      </c>
      <c r="E2988" s="22" t="s">
        <v>57</v>
      </c>
      <c r="F2988" s="24">
        <v>44578</v>
      </c>
      <c r="G2988" s="22" t="s">
        <v>1272</v>
      </c>
      <c r="H2988" s="22" t="s">
        <v>212</v>
      </c>
      <c r="I2988" s="22" t="s">
        <v>1473</v>
      </c>
      <c r="J2988" s="22" t="s">
        <v>4407</v>
      </c>
      <c r="K2988" s="22" t="s">
        <v>66</v>
      </c>
      <c r="L2988" s="22"/>
      <c r="M2988" s="22"/>
      <c r="N2988" s="22"/>
    </row>
    <row r="2989" spans="1:14" x14ac:dyDescent="0.25">
      <c r="A2989" s="22" t="s">
        <v>1471</v>
      </c>
      <c r="B2989" s="22" t="s">
        <v>39</v>
      </c>
      <c r="C2989" s="22" t="s">
        <v>7689</v>
      </c>
      <c r="D2989" s="23">
        <v>-2600000</v>
      </c>
      <c r="E2989" s="22" t="s">
        <v>57</v>
      </c>
      <c r="F2989" s="24">
        <v>44583</v>
      </c>
      <c r="G2989" s="22" t="s">
        <v>1272</v>
      </c>
      <c r="H2989" s="22" t="s">
        <v>1472</v>
      </c>
      <c r="I2989" s="22" t="s">
        <v>1470</v>
      </c>
      <c r="J2989" s="22" t="s">
        <v>4407</v>
      </c>
      <c r="K2989" s="22" t="s">
        <v>66</v>
      </c>
      <c r="L2989" s="22"/>
      <c r="M2989" s="22"/>
      <c r="N2989" s="22"/>
    </row>
    <row r="2990" spans="1:14" x14ac:dyDescent="0.25">
      <c r="A2990" s="22" t="s">
        <v>1469</v>
      </c>
      <c r="B2990" s="22" t="s">
        <v>39</v>
      </c>
      <c r="C2990" s="22" t="s">
        <v>7689</v>
      </c>
      <c r="D2990" s="23">
        <v>-504000</v>
      </c>
      <c r="E2990" s="22" t="s">
        <v>57</v>
      </c>
      <c r="F2990" s="24">
        <v>44583</v>
      </c>
      <c r="G2990" s="22" t="s">
        <v>1272</v>
      </c>
      <c r="H2990" s="22" t="s">
        <v>989</v>
      </c>
      <c r="I2990" s="22" t="s">
        <v>1468</v>
      </c>
      <c r="J2990" s="22" t="s">
        <v>4407</v>
      </c>
      <c r="K2990" s="22" t="s">
        <v>66</v>
      </c>
      <c r="L2990" s="22"/>
      <c r="M2990" s="22"/>
      <c r="N2990" s="22"/>
    </row>
    <row r="2991" spans="1:14" x14ac:dyDescent="0.25">
      <c r="A2991" s="22" t="s">
        <v>1467</v>
      </c>
      <c r="B2991" s="22" t="s">
        <v>39</v>
      </c>
      <c r="C2991" s="22" t="s">
        <v>7689</v>
      </c>
      <c r="D2991" s="23">
        <v>-51900</v>
      </c>
      <c r="E2991" s="22" t="s">
        <v>57</v>
      </c>
      <c r="F2991" s="24">
        <v>44585</v>
      </c>
      <c r="G2991" s="22" t="s">
        <v>1272</v>
      </c>
      <c r="H2991" s="22" t="s">
        <v>319</v>
      </c>
      <c r="I2991" s="22" t="s">
        <v>1466</v>
      </c>
      <c r="J2991" s="22" t="s">
        <v>4407</v>
      </c>
      <c r="K2991" s="22" t="s">
        <v>66</v>
      </c>
      <c r="L2991" s="22"/>
      <c r="M2991" s="22"/>
      <c r="N2991" s="22"/>
    </row>
    <row r="2992" spans="1:14" x14ac:dyDescent="0.25">
      <c r="A2992" s="22" t="s">
        <v>1465</v>
      </c>
      <c r="B2992" s="22" t="s">
        <v>39</v>
      </c>
      <c r="C2992" s="22" t="s">
        <v>7689</v>
      </c>
      <c r="D2992" s="23">
        <v>-34700</v>
      </c>
      <c r="E2992" s="22" t="s">
        <v>57</v>
      </c>
      <c r="F2992" s="24">
        <v>44587</v>
      </c>
      <c r="G2992" s="22" t="s">
        <v>1272</v>
      </c>
      <c r="H2992" s="22" t="s">
        <v>989</v>
      </c>
      <c r="I2992" s="22" t="s">
        <v>1464</v>
      </c>
      <c r="J2992" s="22" t="s">
        <v>4407</v>
      </c>
      <c r="K2992" s="22" t="s">
        <v>66</v>
      </c>
      <c r="L2992" s="22"/>
      <c r="M2992" s="22"/>
      <c r="N2992" s="22"/>
    </row>
    <row r="2993" spans="1:14" x14ac:dyDescent="0.25">
      <c r="A2993" s="22" t="s">
        <v>1463</v>
      </c>
      <c r="B2993" s="22" t="s">
        <v>39</v>
      </c>
      <c r="C2993" s="22" t="s">
        <v>7689</v>
      </c>
      <c r="D2993" s="23">
        <v>-51900</v>
      </c>
      <c r="E2993" s="22" t="s">
        <v>57</v>
      </c>
      <c r="F2993" s="24">
        <v>44587</v>
      </c>
      <c r="G2993" s="22" t="s">
        <v>1272</v>
      </c>
      <c r="H2993" s="22" t="s">
        <v>212</v>
      </c>
      <c r="I2993" s="22" t="s">
        <v>1462</v>
      </c>
      <c r="J2993" s="22" t="s">
        <v>4407</v>
      </c>
      <c r="K2993" s="22" t="s">
        <v>66</v>
      </c>
      <c r="L2993" s="22"/>
      <c r="M2993" s="22"/>
      <c r="N2993" s="22"/>
    </row>
    <row r="2994" spans="1:14" x14ac:dyDescent="0.25">
      <c r="A2994" s="22" t="s">
        <v>1461</v>
      </c>
      <c r="B2994" s="22" t="s">
        <v>39</v>
      </c>
      <c r="C2994" s="22" t="s">
        <v>7689</v>
      </c>
      <c r="D2994" s="23">
        <v>-26000</v>
      </c>
      <c r="E2994" s="22" t="s">
        <v>57</v>
      </c>
      <c r="F2994" s="24">
        <v>44589</v>
      </c>
      <c r="G2994" s="22" t="s">
        <v>1272</v>
      </c>
      <c r="H2994" s="22" t="s">
        <v>979</v>
      </c>
      <c r="I2994" s="22" t="s">
        <v>1460</v>
      </c>
      <c r="J2994" s="22" t="s">
        <v>4407</v>
      </c>
      <c r="K2994" s="22" t="s">
        <v>66</v>
      </c>
      <c r="L2994" s="22"/>
      <c r="M2994" s="22"/>
      <c r="N2994" s="22"/>
    </row>
    <row r="2995" spans="1:14" x14ac:dyDescent="0.25">
      <c r="A2995" s="22" t="s">
        <v>1459</v>
      </c>
      <c r="B2995" s="22" t="s">
        <v>39</v>
      </c>
      <c r="C2995" s="22" t="s">
        <v>7689</v>
      </c>
      <c r="D2995" s="23">
        <v>-72000</v>
      </c>
      <c r="E2995" s="22" t="s">
        <v>57</v>
      </c>
      <c r="F2995" s="24">
        <v>44589</v>
      </c>
      <c r="G2995" s="22" t="s">
        <v>1272</v>
      </c>
      <c r="H2995" s="22" t="s">
        <v>1357</v>
      </c>
      <c r="I2995" s="22" t="s">
        <v>1458</v>
      </c>
      <c r="J2995" s="22" t="s">
        <v>4407</v>
      </c>
      <c r="K2995" s="22" t="s">
        <v>66</v>
      </c>
      <c r="L2995" s="22"/>
      <c r="M2995" s="22"/>
      <c r="N2995" s="22"/>
    </row>
    <row r="2996" spans="1:14" x14ac:dyDescent="0.25">
      <c r="A2996" s="22" t="s">
        <v>1457</v>
      </c>
      <c r="B2996" s="22" t="s">
        <v>39</v>
      </c>
      <c r="C2996" s="22" t="s">
        <v>7689</v>
      </c>
      <c r="D2996" s="23">
        <v>-36000</v>
      </c>
      <c r="E2996" s="22" t="s">
        <v>57</v>
      </c>
      <c r="F2996" s="24">
        <v>44592</v>
      </c>
      <c r="G2996" s="22" t="s">
        <v>1272</v>
      </c>
      <c r="H2996" s="22" t="s">
        <v>304</v>
      </c>
      <c r="I2996" s="22" t="s">
        <v>1456</v>
      </c>
      <c r="J2996" s="22" t="s">
        <v>4407</v>
      </c>
      <c r="K2996" s="22" t="s">
        <v>66</v>
      </c>
      <c r="L2996" s="22"/>
      <c r="M2996" s="22"/>
      <c r="N2996" s="22"/>
    </row>
    <row r="2997" spans="1:14" x14ac:dyDescent="0.25">
      <c r="A2997" s="22" t="s">
        <v>1455</v>
      </c>
      <c r="B2997" s="22" t="s">
        <v>39</v>
      </c>
      <c r="C2997" s="22" t="s">
        <v>7689</v>
      </c>
      <c r="D2997" s="23">
        <v>-34700</v>
      </c>
      <c r="E2997" s="22" t="s">
        <v>57</v>
      </c>
      <c r="F2997" s="24">
        <v>44596</v>
      </c>
      <c r="G2997" s="22" t="s">
        <v>1272</v>
      </c>
      <c r="H2997" s="22" t="s">
        <v>979</v>
      </c>
      <c r="I2997" s="22" t="s">
        <v>1454</v>
      </c>
      <c r="J2997" s="22" t="s">
        <v>4407</v>
      </c>
      <c r="K2997" s="22" t="s">
        <v>66</v>
      </c>
      <c r="L2997" s="22"/>
      <c r="M2997" s="22"/>
      <c r="N2997" s="22"/>
    </row>
    <row r="2998" spans="1:14" x14ac:dyDescent="0.25">
      <c r="A2998" s="22" t="s">
        <v>1452</v>
      </c>
      <c r="B2998" s="22" t="s">
        <v>39</v>
      </c>
      <c r="C2998" s="22" t="s">
        <v>7690</v>
      </c>
      <c r="D2998" s="23">
        <v>-59100</v>
      </c>
      <c r="E2998" s="22" t="s">
        <v>57</v>
      </c>
      <c r="F2998" s="24">
        <v>44562</v>
      </c>
      <c r="G2998" s="22" t="s">
        <v>1272</v>
      </c>
      <c r="H2998" s="22" t="s">
        <v>1453</v>
      </c>
      <c r="I2998" s="22" t="s">
        <v>1451</v>
      </c>
      <c r="J2998" s="22" t="s">
        <v>4407</v>
      </c>
      <c r="K2998" s="22" t="s">
        <v>66</v>
      </c>
      <c r="L2998" s="22"/>
      <c r="M2998" s="22"/>
      <c r="N2998" s="22"/>
    </row>
    <row r="2999" spans="1:14" x14ac:dyDescent="0.25">
      <c r="A2999" s="22" t="s">
        <v>1450</v>
      </c>
      <c r="B2999" s="22" t="s">
        <v>39</v>
      </c>
      <c r="C2999" s="22" t="s">
        <v>7690</v>
      </c>
      <c r="D2999" s="23">
        <v>-237300</v>
      </c>
      <c r="E2999" s="22" t="s">
        <v>57</v>
      </c>
      <c r="F2999" s="24">
        <v>44563</v>
      </c>
      <c r="G2999" s="22" t="s">
        <v>1272</v>
      </c>
      <c r="H2999" s="22" t="s">
        <v>263</v>
      </c>
      <c r="I2999" s="22" t="s">
        <v>1449</v>
      </c>
      <c r="J2999" s="22" t="s">
        <v>4407</v>
      </c>
      <c r="K2999" s="22" t="s">
        <v>66</v>
      </c>
      <c r="L2999" s="22"/>
      <c r="M2999" s="22"/>
      <c r="N2999" s="22"/>
    </row>
    <row r="3000" spans="1:14" x14ac:dyDescent="0.25">
      <c r="A3000" s="22" t="s">
        <v>1566</v>
      </c>
      <c r="B3000" s="22" t="s">
        <v>39</v>
      </c>
      <c r="C3000" s="22" t="s">
        <v>7690</v>
      </c>
      <c r="D3000" s="23">
        <v>-103500</v>
      </c>
      <c r="E3000" s="22" t="s">
        <v>57</v>
      </c>
      <c r="F3000" s="24">
        <v>44568</v>
      </c>
      <c r="G3000" s="22" t="s">
        <v>1272</v>
      </c>
      <c r="H3000" s="22" t="s">
        <v>1309</v>
      </c>
      <c r="I3000" s="22" t="s">
        <v>1565</v>
      </c>
      <c r="J3000" s="22" t="s">
        <v>4407</v>
      </c>
      <c r="K3000" s="22" t="s">
        <v>66</v>
      </c>
      <c r="L3000" s="22"/>
      <c r="M3000" s="22"/>
      <c r="N3000" s="22"/>
    </row>
    <row r="3001" spans="1:14" x14ac:dyDescent="0.25">
      <c r="A3001" s="22" t="s">
        <v>1563</v>
      </c>
      <c r="B3001" s="22" t="s">
        <v>39</v>
      </c>
      <c r="C3001" s="22" t="s">
        <v>7690</v>
      </c>
      <c r="D3001" s="23">
        <v>-1680135</v>
      </c>
      <c r="E3001" s="22" t="s">
        <v>57</v>
      </c>
      <c r="F3001" s="24">
        <v>44568</v>
      </c>
      <c r="G3001" s="22" t="s">
        <v>1272</v>
      </c>
      <c r="H3001" s="22" t="s">
        <v>1564</v>
      </c>
      <c r="I3001" s="22" t="s">
        <v>1562</v>
      </c>
      <c r="J3001" s="22" t="s">
        <v>4407</v>
      </c>
      <c r="K3001" s="22" t="s">
        <v>66</v>
      </c>
      <c r="L3001" s="22"/>
      <c r="M3001" s="22"/>
      <c r="N3001" s="22"/>
    </row>
    <row r="3002" spans="1:14" x14ac:dyDescent="0.25">
      <c r="A3002" s="22" t="s">
        <v>1561</v>
      </c>
      <c r="B3002" s="22" t="s">
        <v>39</v>
      </c>
      <c r="C3002" s="22" t="s">
        <v>7690</v>
      </c>
      <c r="D3002" s="23">
        <v>-166272</v>
      </c>
      <c r="E3002" s="22" t="s">
        <v>57</v>
      </c>
      <c r="F3002" s="24">
        <v>44570</v>
      </c>
      <c r="G3002" s="22" t="s">
        <v>1272</v>
      </c>
      <c r="H3002" s="22" t="s">
        <v>532</v>
      </c>
      <c r="I3002" s="22" t="s">
        <v>1560</v>
      </c>
      <c r="J3002" s="22" t="s">
        <v>4407</v>
      </c>
      <c r="K3002" s="22" t="s">
        <v>66</v>
      </c>
      <c r="L3002" s="22"/>
      <c r="M3002" s="22"/>
      <c r="N3002" s="22"/>
    </row>
    <row r="3003" spans="1:14" x14ac:dyDescent="0.25">
      <c r="A3003" s="22" t="s">
        <v>1558</v>
      </c>
      <c r="B3003" s="22" t="s">
        <v>39</v>
      </c>
      <c r="C3003" s="22" t="s">
        <v>7690</v>
      </c>
      <c r="D3003" s="23">
        <v>-115861</v>
      </c>
      <c r="E3003" s="22" t="s">
        <v>57</v>
      </c>
      <c r="F3003" s="24">
        <v>44571</v>
      </c>
      <c r="G3003" s="22" t="s">
        <v>1272</v>
      </c>
      <c r="H3003" s="22" t="s">
        <v>1559</v>
      </c>
      <c r="I3003" s="22" t="s">
        <v>1557</v>
      </c>
      <c r="J3003" s="22" t="s">
        <v>4407</v>
      </c>
      <c r="K3003" s="22" t="s">
        <v>66</v>
      </c>
      <c r="L3003" s="22"/>
      <c r="M3003" s="22"/>
      <c r="N3003" s="22"/>
    </row>
    <row r="3004" spans="1:14" x14ac:dyDescent="0.25">
      <c r="A3004" s="22" t="s">
        <v>1555</v>
      </c>
      <c r="B3004" s="22" t="s">
        <v>39</v>
      </c>
      <c r="C3004" s="22" t="s">
        <v>7690</v>
      </c>
      <c r="D3004" s="23">
        <v>-1423628</v>
      </c>
      <c r="E3004" s="22" t="s">
        <v>57</v>
      </c>
      <c r="F3004" s="24">
        <v>44571</v>
      </c>
      <c r="G3004" s="22" t="s">
        <v>1272</v>
      </c>
      <c r="H3004" s="22" t="s">
        <v>1556</v>
      </c>
      <c r="I3004" s="22" t="s">
        <v>1554</v>
      </c>
      <c r="J3004" s="22" t="s">
        <v>4407</v>
      </c>
      <c r="K3004" s="22" t="s">
        <v>66</v>
      </c>
      <c r="L3004" s="22"/>
      <c r="M3004" s="22"/>
      <c r="N3004" s="22"/>
    </row>
    <row r="3005" spans="1:14" x14ac:dyDescent="0.25">
      <c r="A3005" s="22" t="s">
        <v>1552</v>
      </c>
      <c r="B3005" s="22" t="s">
        <v>39</v>
      </c>
      <c r="C3005" s="22" t="s">
        <v>7690</v>
      </c>
      <c r="D3005" s="23">
        <v>-221400</v>
      </c>
      <c r="E3005" s="22" t="s">
        <v>57</v>
      </c>
      <c r="F3005" s="24">
        <v>44576</v>
      </c>
      <c r="G3005" s="22" t="s">
        <v>1272</v>
      </c>
      <c r="H3005" s="22" t="s">
        <v>1553</v>
      </c>
      <c r="I3005" s="22" t="s">
        <v>1551</v>
      </c>
      <c r="J3005" s="22" t="s">
        <v>4407</v>
      </c>
      <c r="K3005" s="22" t="s">
        <v>66</v>
      </c>
      <c r="L3005" s="22"/>
      <c r="M3005" s="22"/>
      <c r="N3005" s="22"/>
    </row>
    <row r="3006" spans="1:14" x14ac:dyDescent="0.25">
      <c r="A3006" s="22" t="s">
        <v>1549</v>
      </c>
      <c r="B3006" s="22" t="s">
        <v>39</v>
      </c>
      <c r="C3006" s="22" t="s">
        <v>7690</v>
      </c>
      <c r="D3006" s="23">
        <v>-1161016</v>
      </c>
      <c r="E3006" s="22" t="s">
        <v>57</v>
      </c>
      <c r="F3006" s="24">
        <v>44576</v>
      </c>
      <c r="G3006" s="22" t="s">
        <v>1272</v>
      </c>
      <c r="H3006" s="22" t="s">
        <v>1550</v>
      </c>
      <c r="I3006" s="22" t="s">
        <v>1548</v>
      </c>
      <c r="J3006" s="22" t="s">
        <v>4407</v>
      </c>
      <c r="K3006" s="22" t="s">
        <v>66</v>
      </c>
      <c r="L3006" s="22"/>
      <c r="M3006" s="22"/>
      <c r="N3006" s="22"/>
    </row>
    <row r="3007" spans="1:14" x14ac:dyDescent="0.25">
      <c r="A3007" s="22" t="s">
        <v>1546</v>
      </c>
      <c r="B3007" s="22" t="s">
        <v>39</v>
      </c>
      <c r="C3007" s="22" t="s">
        <v>7690</v>
      </c>
      <c r="D3007" s="23">
        <v>-274998</v>
      </c>
      <c r="E3007" s="22" t="s">
        <v>57</v>
      </c>
      <c r="F3007" s="24">
        <v>44577</v>
      </c>
      <c r="G3007" s="22" t="s">
        <v>1272</v>
      </c>
      <c r="H3007" s="22" t="s">
        <v>1547</v>
      </c>
      <c r="I3007" s="22" t="s">
        <v>1545</v>
      </c>
      <c r="J3007" s="22" t="s">
        <v>4407</v>
      </c>
      <c r="K3007" s="22" t="s">
        <v>66</v>
      </c>
      <c r="L3007" s="22"/>
      <c r="M3007" s="22"/>
      <c r="N3007" s="22"/>
    </row>
    <row r="3008" spans="1:14" x14ac:dyDescent="0.25">
      <c r="A3008" s="22" t="s">
        <v>1544</v>
      </c>
      <c r="B3008" s="22" t="s">
        <v>39</v>
      </c>
      <c r="C3008" s="22" t="s">
        <v>7690</v>
      </c>
      <c r="D3008" s="23">
        <v>-156300</v>
      </c>
      <c r="E3008" s="22" t="s">
        <v>57</v>
      </c>
      <c r="F3008" s="24">
        <v>44580</v>
      </c>
      <c r="G3008" s="22" t="s">
        <v>1272</v>
      </c>
      <c r="H3008" s="22" t="s">
        <v>1309</v>
      </c>
      <c r="I3008" s="22" t="s">
        <v>1543</v>
      </c>
      <c r="J3008" s="22" t="s">
        <v>4407</v>
      </c>
      <c r="K3008" s="22" t="s">
        <v>66</v>
      </c>
      <c r="L3008" s="22"/>
      <c r="M3008" s="22"/>
      <c r="N3008" s="22"/>
    </row>
    <row r="3009" spans="1:14" x14ac:dyDescent="0.25">
      <c r="A3009" s="22" t="s">
        <v>1541</v>
      </c>
      <c r="B3009" s="22" t="s">
        <v>39</v>
      </c>
      <c r="C3009" s="22" t="s">
        <v>7690</v>
      </c>
      <c r="D3009" s="23">
        <v>-219000</v>
      </c>
      <c r="E3009" s="22" t="s">
        <v>57</v>
      </c>
      <c r="F3009" s="24">
        <v>44581</v>
      </c>
      <c r="G3009" s="22" t="s">
        <v>1272</v>
      </c>
      <c r="H3009" s="22" t="s">
        <v>1542</v>
      </c>
      <c r="I3009" s="22" t="s">
        <v>1540</v>
      </c>
      <c r="J3009" s="22" t="s">
        <v>4407</v>
      </c>
      <c r="K3009" s="22" t="s">
        <v>66</v>
      </c>
      <c r="L3009" s="22"/>
      <c r="M3009" s="22"/>
      <c r="N3009" s="22"/>
    </row>
    <row r="3010" spans="1:14" x14ac:dyDescent="0.25">
      <c r="A3010" s="22" t="s">
        <v>1538</v>
      </c>
      <c r="B3010" s="22" t="s">
        <v>39</v>
      </c>
      <c r="C3010" s="22" t="s">
        <v>7690</v>
      </c>
      <c r="D3010" s="23">
        <v>-62060</v>
      </c>
      <c r="E3010" s="22" t="s">
        <v>57</v>
      </c>
      <c r="F3010" s="24">
        <v>44582</v>
      </c>
      <c r="G3010" s="22" t="s">
        <v>1272</v>
      </c>
      <c r="H3010" s="22" t="s">
        <v>1539</v>
      </c>
      <c r="I3010" s="22" t="s">
        <v>1537</v>
      </c>
      <c r="J3010" s="22" t="s">
        <v>4407</v>
      </c>
      <c r="K3010" s="22" t="s">
        <v>66</v>
      </c>
      <c r="L3010" s="22"/>
      <c r="M3010" s="22"/>
      <c r="N3010" s="22"/>
    </row>
    <row r="3011" spans="1:14" x14ac:dyDescent="0.25">
      <c r="A3011" s="22" t="s">
        <v>1536</v>
      </c>
      <c r="B3011" s="22" t="s">
        <v>39</v>
      </c>
      <c r="C3011" s="22" t="s">
        <v>7690</v>
      </c>
      <c r="D3011" s="23">
        <v>-103500</v>
      </c>
      <c r="E3011" s="22" t="s">
        <v>57</v>
      </c>
      <c r="F3011" s="24">
        <v>44582</v>
      </c>
      <c r="G3011" s="22" t="s">
        <v>1272</v>
      </c>
      <c r="H3011" s="22" t="s">
        <v>1105</v>
      </c>
      <c r="I3011" s="22" t="s">
        <v>1535</v>
      </c>
      <c r="J3011" s="22" t="s">
        <v>4407</v>
      </c>
      <c r="K3011" s="22" t="s">
        <v>66</v>
      </c>
      <c r="L3011" s="22"/>
      <c r="M3011" s="22"/>
      <c r="N3011" s="22"/>
    </row>
    <row r="3012" spans="1:14" x14ac:dyDescent="0.25">
      <c r="A3012" s="22" t="s">
        <v>1533</v>
      </c>
      <c r="B3012" s="22" t="s">
        <v>39</v>
      </c>
      <c r="C3012" s="22" t="s">
        <v>7690</v>
      </c>
      <c r="D3012" s="23">
        <v>-547296</v>
      </c>
      <c r="E3012" s="22" t="s">
        <v>57</v>
      </c>
      <c r="F3012" s="24">
        <v>44583</v>
      </c>
      <c r="G3012" s="22" t="s">
        <v>1272</v>
      </c>
      <c r="H3012" s="22" t="s">
        <v>1534</v>
      </c>
      <c r="I3012" s="22" t="s">
        <v>1532</v>
      </c>
      <c r="J3012" s="22" t="s">
        <v>4407</v>
      </c>
      <c r="K3012" s="22" t="s">
        <v>66</v>
      </c>
      <c r="L3012" s="22"/>
      <c r="M3012" s="22"/>
      <c r="N3012" s="22"/>
    </row>
    <row r="3013" spans="1:14" x14ac:dyDescent="0.25">
      <c r="A3013" s="22" t="s">
        <v>1530</v>
      </c>
      <c r="B3013" s="22" t="s">
        <v>39</v>
      </c>
      <c r="C3013" s="22" t="s">
        <v>7690</v>
      </c>
      <c r="D3013" s="23">
        <v>-610275</v>
      </c>
      <c r="E3013" s="22" t="s">
        <v>57</v>
      </c>
      <c r="F3013" s="24">
        <v>44584</v>
      </c>
      <c r="G3013" s="22" t="s">
        <v>1272</v>
      </c>
      <c r="H3013" s="22" t="s">
        <v>1531</v>
      </c>
      <c r="I3013" s="22" t="s">
        <v>1529</v>
      </c>
      <c r="J3013" s="22" t="s">
        <v>4407</v>
      </c>
      <c r="K3013" s="22" t="s">
        <v>66</v>
      </c>
      <c r="L3013" s="22"/>
      <c r="M3013" s="22"/>
      <c r="N3013" s="22"/>
    </row>
    <row r="3014" spans="1:14" x14ac:dyDescent="0.25">
      <c r="A3014" s="22" t="s">
        <v>1528</v>
      </c>
      <c r="B3014" s="22" t="s">
        <v>39</v>
      </c>
      <c r="C3014" s="22" t="s">
        <v>7690</v>
      </c>
      <c r="D3014" s="23">
        <v>-59191</v>
      </c>
      <c r="E3014" s="22" t="s">
        <v>57</v>
      </c>
      <c r="F3014" s="24">
        <v>44587</v>
      </c>
      <c r="G3014" s="22" t="s">
        <v>1272</v>
      </c>
      <c r="H3014" s="22" t="s">
        <v>319</v>
      </c>
      <c r="I3014" s="22" t="s">
        <v>1527</v>
      </c>
      <c r="J3014" s="22" t="s">
        <v>4407</v>
      </c>
      <c r="K3014" s="22" t="s">
        <v>66</v>
      </c>
      <c r="L3014" s="22"/>
      <c r="M3014" s="22"/>
      <c r="N3014" s="22"/>
    </row>
    <row r="3015" spans="1:14" x14ac:dyDescent="0.25">
      <c r="A3015" s="22" t="s">
        <v>1525</v>
      </c>
      <c r="B3015" s="22" t="s">
        <v>39</v>
      </c>
      <c r="C3015" s="22" t="s">
        <v>7690</v>
      </c>
      <c r="D3015" s="23">
        <v>-131801</v>
      </c>
      <c r="E3015" s="22" t="s">
        <v>57</v>
      </c>
      <c r="F3015" s="24">
        <v>44588</v>
      </c>
      <c r="G3015" s="22" t="s">
        <v>1272</v>
      </c>
      <c r="H3015" s="22" t="s">
        <v>1526</v>
      </c>
      <c r="I3015" s="22" t="s">
        <v>1524</v>
      </c>
      <c r="J3015" s="22" t="s">
        <v>4407</v>
      </c>
      <c r="K3015" s="22" t="s">
        <v>66</v>
      </c>
      <c r="L3015" s="22"/>
      <c r="M3015" s="22"/>
      <c r="N3015" s="22"/>
    </row>
    <row r="3016" spans="1:14" x14ac:dyDescent="0.25">
      <c r="A3016" s="22" t="s">
        <v>1522</v>
      </c>
      <c r="B3016" s="22" t="s">
        <v>39</v>
      </c>
      <c r="C3016" s="22" t="s">
        <v>7690</v>
      </c>
      <c r="D3016" s="23">
        <v>-3553521</v>
      </c>
      <c r="E3016" s="22" t="s">
        <v>57</v>
      </c>
      <c r="F3016" s="24">
        <v>44589</v>
      </c>
      <c r="G3016" s="22" t="s">
        <v>1272</v>
      </c>
      <c r="H3016" s="22" t="s">
        <v>1523</v>
      </c>
      <c r="I3016" s="22" t="s">
        <v>1521</v>
      </c>
      <c r="J3016" s="22" t="s">
        <v>4407</v>
      </c>
      <c r="K3016" s="22" t="s">
        <v>66</v>
      </c>
      <c r="L3016" s="22"/>
      <c r="M3016" s="22"/>
      <c r="N3016" s="22"/>
    </row>
    <row r="3017" spans="1:14" x14ac:dyDescent="0.25">
      <c r="A3017" s="22" t="s">
        <v>1519</v>
      </c>
      <c r="B3017" s="22" t="s">
        <v>39</v>
      </c>
      <c r="C3017" s="22" t="s">
        <v>7690</v>
      </c>
      <c r="D3017" s="23">
        <v>-1121100</v>
      </c>
      <c r="E3017" s="22" t="s">
        <v>57</v>
      </c>
      <c r="F3017" s="24">
        <v>44589</v>
      </c>
      <c r="G3017" s="22" t="s">
        <v>1272</v>
      </c>
      <c r="H3017" s="22" t="s">
        <v>1520</v>
      </c>
      <c r="I3017" s="22" t="s">
        <v>1518</v>
      </c>
      <c r="J3017" s="22" t="s">
        <v>4407</v>
      </c>
      <c r="K3017" s="22" t="s">
        <v>66</v>
      </c>
      <c r="L3017" s="22"/>
      <c r="M3017" s="22"/>
      <c r="N3017" s="22"/>
    </row>
    <row r="3018" spans="1:14" x14ac:dyDescent="0.25">
      <c r="A3018" s="22" t="s">
        <v>1516</v>
      </c>
      <c r="B3018" s="22" t="s">
        <v>39</v>
      </c>
      <c r="C3018" s="22" t="s">
        <v>7690</v>
      </c>
      <c r="D3018" s="23">
        <v>-2367666</v>
      </c>
      <c r="E3018" s="22" t="s">
        <v>57</v>
      </c>
      <c r="F3018" s="24">
        <v>44589</v>
      </c>
      <c r="G3018" s="22" t="s">
        <v>1272</v>
      </c>
      <c r="H3018" s="22" t="s">
        <v>1517</v>
      </c>
      <c r="I3018" s="22" t="s">
        <v>1515</v>
      </c>
      <c r="J3018" s="22" t="s">
        <v>4407</v>
      </c>
      <c r="K3018" s="22" t="s">
        <v>66</v>
      </c>
      <c r="L3018" s="22"/>
      <c r="M3018" s="22"/>
      <c r="N3018" s="22"/>
    </row>
    <row r="3019" spans="1:14" x14ac:dyDescent="0.25">
      <c r="A3019" s="22" t="s">
        <v>1513</v>
      </c>
      <c r="B3019" s="22" t="s">
        <v>39</v>
      </c>
      <c r="C3019" s="22" t="s">
        <v>7690</v>
      </c>
      <c r="D3019" s="23">
        <v>-164072</v>
      </c>
      <c r="E3019" s="22" t="s">
        <v>57</v>
      </c>
      <c r="F3019" s="24">
        <v>44589</v>
      </c>
      <c r="G3019" s="22" t="s">
        <v>1272</v>
      </c>
      <c r="H3019" s="22" t="s">
        <v>1514</v>
      </c>
      <c r="I3019" s="22" t="s">
        <v>1512</v>
      </c>
      <c r="J3019" s="22" t="s">
        <v>4407</v>
      </c>
      <c r="K3019" s="22" t="s">
        <v>66</v>
      </c>
      <c r="L3019" s="22"/>
      <c r="M3019" s="22"/>
      <c r="N3019" s="22"/>
    </row>
    <row r="3020" spans="1:14" x14ac:dyDescent="0.25">
      <c r="A3020" s="22" t="s">
        <v>1510</v>
      </c>
      <c r="B3020" s="22" t="s">
        <v>39</v>
      </c>
      <c r="C3020" s="22" t="s">
        <v>7690</v>
      </c>
      <c r="D3020" s="23">
        <v>-59100</v>
      </c>
      <c r="E3020" s="22" t="s">
        <v>57</v>
      </c>
      <c r="F3020" s="24">
        <v>44592</v>
      </c>
      <c r="G3020" s="22" t="s">
        <v>1272</v>
      </c>
      <c r="H3020" s="22" t="s">
        <v>1511</v>
      </c>
      <c r="I3020" s="22" t="s">
        <v>1509</v>
      </c>
      <c r="J3020" s="22" t="s">
        <v>4407</v>
      </c>
      <c r="K3020" s="22" t="s">
        <v>66</v>
      </c>
      <c r="L3020" s="22"/>
      <c r="M3020" s="22"/>
      <c r="N3020" s="22"/>
    </row>
    <row r="3021" spans="1:14" x14ac:dyDescent="0.25">
      <c r="A3021" s="22" t="s">
        <v>1508</v>
      </c>
      <c r="B3021" s="22" t="s">
        <v>39</v>
      </c>
      <c r="C3021" s="22" t="s">
        <v>7690</v>
      </c>
      <c r="D3021" s="23">
        <v>-3500214</v>
      </c>
      <c r="E3021" s="22" t="s">
        <v>57</v>
      </c>
      <c r="F3021" s="24">
        <v>44592</v>
      </c>
      <c r="G3021" s="22" t="s">
        <v>1272</v>
      </c>
      <c r="H3021" s="22" t="s">
        <v>1309</v>
      </c>
      <c r="I3021" s="22" t="s">
        <v>1507</v>
      </c>
      <c r="J3021" s="22" t="s">
        <v>4407</v>
      </c>
      <c r="K3021" s="22" t="s">
        <v>66</v>
      </c>
      <c r="L3021" s="22"/>
      <c r="M3021" s="22"/>
      <c r="N3021" s="22"/>
    </row>
    <row r="3022" spans="1:14" x14ac:dyDescent="0.25">
      <c r="A3022" s="22" t="s">
        <v>1506</v>
      </c>
      <c r="B3022" s="22" t="s">
        <v>39</v>
      </c>
      <c r="C3022" s="22" t="s">
        <v>7690</v>
      </c>
      <c r="D3022" s="23">
        <v>-2662981</v>
      </c>
      <c r="E3022" s="22" t="s">
        <v>57</v>
      </c>
      <c r="F3022" s="24">
        <v>44594</v>
      </c>
      <c r="G3022" s="22" t="s">
        <v>1272</v>
      </c>
      <c r="H3022" s="22" t="s">
        <v>1314</v>
      </c>
      <c r="I3022" s="22" t="s">
        <v>1505</v>
      </c>
      <c r="J3022" s="22" t="s">
        <v>4407</v>
      </c>
      <c r="K3022" s="22" t="s">
        <v>66</v>
      </c>
      <c r="L3022" s="22"/>
      <c r="M3022" s="22"/>
      <c r="N3022" s="22"/>
    </row>
    <row r="3023" spans="1:14" x14ac:dyDescent="0.25">
      <c r="A3023" s="22" t="s">
        <v>1504</v>
      </c>
      <c r="B3023" s="22" t="s">
        <v>39</v>
      </c>
      <c r="C3023" s="22" t="s">
        <v>47</v>
      </c>
      <c r="D3023" s="23">
        <v>45100404</v>
      </c>
      <c r="E3023" s="22" t="s">
        <v>42</v>
      </c>
      <c r="F3023" s="24">
        <v>44508</v>
      </c>
      <c r="G3023" s="22" t="s">
        <v>1272</v>
      </c>
      <c r="H3023" s="22" t="s">
        <v>292</v>
      </c>
      <c r="I3023" s="22" t="s">
        <v>1503</v>
      </c>
      <c r="J3023" s="22" t="s">
        <v>4401</v>
      </c>
      <c r="K3023" s="22" t="s">
        <v>292</v>
      </c>
      <c r="L3023" s="22"/>
      <c r="M3023" s="22"/>
      <c r="N3023" s="22"/>
    </row>
    <row r="3024" spans="1:14" x14ac:dyDescent="0.25">
      <c r="A3024" s="22" t="s">
        <v>968</v>
      </c>
      <c r="B3024" s="22" t="s">
        <v>39</v>
      </c>
      <c r="C3024" s="22" t="s">
        <v>7682</v>
      </c>
      <c r="D3024" s="23">
        <v>-873499</v>
      </c>
      <c r="E3024" s="22" t="s">
        <v>57</v>
      </c>
      <c r="F3024" s="24">
        <v>44560</v>
      </c>
      <c r="G3024" s="22" t="s">
        <v>972</v>
      </c>
      <c r="H3024" s="22" t="s">
        <v>7693</v>
      </c>
      <c r="I3024" s="22" t="s">
        <v>7694</v>
      </c>
      <c r="J3024" s="22" t="s">
        <v>4407</v>
      </c>
      <c r="K3024" s="22" t="s">
        <v>66</v>
      </c>
      <c r="L3024" s="22"/>
      <c r="M3024" s="22"/>
      <c r="N3024" s="22"/>
    </row>
    <row r="3025" spans="1:14" x14ac:dyDescent="0.25">
      <c r="A3025" s="22" t="s">
        <v>968</v>
      </c>
      <c r="B3025" s="22" t="s">
        <v>39</v>
      </c>
      <c r="C3025" s="22" t="s">
        <v>7688</v>
      </c>
      <c r="D3025" s="23">
        <v>-238110</v>
      </c>
      <c r="E3025" s="22" t="s">
        <v>45</v>
      </c>
      <c r="F3025" s="24">
        <v>44560</v>
      </c>
      <c r="G3025" s="22" t="s">
        <v>972</v>
      </c>
      <c r="H3025" s="22"/>
      <c r="I3025" s="22" t="s">
        <v>972</v>
      </c>
      <c r="J3025" s="22" t="s">
        <v>4401</v>
      </c>
      <c r="K3025" s="22" t="s">
        <v>66</v>
      </c>
      <c r="L3025" s="22"/>
      <c r="M3025" s="22"/>
      <c r="N3025" s="22"/>
    </row>
    <row r="3026" spans="1:14" x14ac:dyDescent="0.25">
      <c r="A3026" s="22" t="s">
        <v>968</v>
      </c>
      <c r="B3026" s="22" t="s">
        <v>39</v>
      </c>
      <c r="C3026" s="22" t="s">
        <v>7688</v>
      </c>
      <c r="D3026" s="23">
        <v>873499</v>
      </c>
      <c r="E3026" s="22" t="s">
        <v>45</v>
      </c>
      <c r="F3026" s="24">
        <v>44560</v>
      </c>
      <c r="G3026" s="22" t="s">
        <v>972</v>
      </c>
      <c r="H3026" s="22"/>
      <c r="I3026" s="22" t="s">
        <v>972</v>
      </c>
      <c r="J3026" s="22" t="s">
        <v>4407</v>
      </c>
      <c r="K3026" s="22" t="s">
        <v>66</v>
      </c>
      <c r="L3026" s="22"/>
      <c r="M3026" s="22"/>
      <c r="N3026" s="22"/>
    </row>
    <row r="3027" spans="1:14" x14ac:dyDescent="0.25">
      <c r="A3027" s="22" t="s">
        <v>1504</v>
      </c>
      <c r="B3027" s="22" t="s">
        <v>39</v>
      </c>
      <c r="C3027" s="22" t="s">
        <v>47</v>
      </c>
      <c r="D3027" s="23">
        <v>238110</v>
      </c>
      <c r="E3027" s="22" t="s">
        <v>45</v>
      </c>
      <c r="F3027" s="24">
        <v>44508</v>
      </c>
      <c r="G3027" s="22" t="s">
        <v>972</v>
      </c>
      <c r="H3027" s="22" t="s">
        <v>6029</v>
      </c>
      <c r="I3027" s="22" t="s">
        <v>1272</v>
      </c>
      <c r="J3027" s="22" t="s">
        <v>4401</v>
      </c>
      <c r="K3027" s="22" t="s">
        <v>292</v>
      </c>
      <c r="L3027" s="22"/>
      <c r="M3027" s="22"/>
      <c r="N3027" s="22"/>
    </row>
    <row r="3028" spans="1:14" x14ac:dyDescent="0.25">
      <c r="A3028" s="22" t="s">
        <v>1098</v>
      </c>
      <c r="B3028" s="22" t="s">
        <v>39</v>
      </c>
      <c r="C3028" s="22" t="s">
        <v>113</v>
      </c>
      <c r="D3028" s="23">
        <v>-137900</v>
      </c>
      <c r="E3028" s="22" t="s">
        <v>57</v>
      </c>
      <c r="F3028" s="24">
        <v>44601</v>
      </c>
      <c r="G3028" s="22" t="s">
        <v>1088</v>
      </c>
      <c r="H3028" s="22" t="s">
        <v>1099</v>
      </c>
      <c r="I3028" s="22" t="s">
        <v>1097</v>
      </c>
      <c r="J3028" s="22" t="s">
        <v>4401</v>
      </c>
      <c r="K3028" s="22" t="s">
        <v>66</v>
      </c>
      <c r="L3028" s="22"/>
      <c r="M3028" s="22"/>
      <c r="N3028" s="22"/>
    </row>
    <row r="3029" spans="1:14" x14ac:dyDescent="0.25">
      <c r="A3029" s="22" t="s">
        <v>1095</v>
      </c>
      <c r="B3029" s="22" t="s">
        <v>39</v>
      </c>
      <c r="C3029" s="22" t="s">
        <v>113</v>
      </c>
      <c r="D3029" s="23">
        <v>-1862596</v>
      </c>
      <c r="E3029" s="22" t="s">
        <v>57</v>
      </c>
      <c r="F3029" s="24">
        <v>44615</v>
      </c>
      <c r="G3029" s="22" t="s">
        <v>1088</v>
      </c>
      <c r="H3029" s="22" t="s">
        <v>1096</v>
      </c>
      <c r="I3029" s="22" t="s">
        <v>1094</v>
      </c>
      <c r="J3029" s="22" t="s">
        <v>4401</v>
      </c>
      <c r="K3029" s="22" t="s">
        <v>66</v>
      </c>
      <c r="L3029" s="22"/>
      <c r="M3029" s="22"/>
      <c r="N3029" s="22"/>
    </row>
    <row r="3030" spans="1:14" x14ac:dyDescent="0.25">
      <c r="A3030" s="22" t="s">
        <v>1092</v>
      </c>
      <c r="B3030" s="22" t="s">
        <v>39</v>
      </c>
      <c r="C3030" s="22" t="s">
        <v>120</v>
      </c>
      <c r="D3030" s="23">
        <v>-254263</v>
      </c>
      <c r="E3030" s="22" t="s">
        <v>57</v>
      </c>
      <c r="F3030" s="24">
        <v>44596</v>
      </c>
      <c r="G3030" s="22" t="s">
        <v>1088</v>
      </c>
      <c r="H3030" s="22" t="s">
        <v>1093</v>
      </c>
      <c r="I3030" s="22" t="s">
        <v>1091</v>
      </c>
      <c r="J3030" s="22" t="s">
        <v>4401</v>
      </c>
      <c r="K3030" s="22" t="s">
        <v>66</v>
      </c>
      <c r="L3030" s="22"/>
      <c r="M3030" s="22"/>
      <c r="N3030" s="22"/>
    </row>
    <row r="3031" spans="1:14" x14ac:dyDescent="0.25">
      <c r="A3031" s="22" t="s">
        <v>1089</v>
      </c>
      <c r="B3031" s="22" t="s">
        <v>39</v>
      </c>
      <c r="C3031" s="22" t="s">
        <v>5285</v>
      </c>
      <c r="D3031" s="23">
        <v>2254759</v>
      </c>
      <c r="E3031" s="22" t="s">
        <v>42</v>
      </c>
      <c r="F3031" s="24">
        <v>44670</v>
      </c>
      <c r="G3031" s="22" t="s">
        <v>1088</v>
      </c>
      <c r="H3031" s="22" t="s">
        <v>49</v>
      </c>
      <c r="I3031" s="22" t="s">
        <v>1090</v>
      </c>
      <c r="J3031" s="22" t="s">
        <v>4401</v>
      </c>
      <c r="K3031" s="22" t="s">
        <v>292</v>
      </c>
      <c r="L3031" s="22"/>
      <c r="M3031" s="22"/>
      <c r="N3031" s="22"/>
    </row>
    <row r="3032" spans="1:14" x14ac:dyDescent="0.25">
      <c r="A3032" s="22" t="s">
        <v>1089</v>
      </c>
      <c r="B3032" s="22" t="s">
        <v>39</v>
      </c>
      <c r="C3032" s="22" t="s">
        <v>5285</v>
      </c>
      <c r="D3032" s="23">
        <v>2254759</v>
      </c>
      <c r="E3032" s="22" t="s">
        <v>45</v>
      </c>
      <c r="F3032" s="24">
        <v>44670</v>
      </c>
      <c r="G3032" s="22" t="s">
        <v>1088</v>
      </c>
      <c r="H3032" s="22" t="s">
        <v>230</v>
      </c>
      <c r="I3032" s="22" t="s">
        <v>1088</v>
      </c>
      <c r="J3032" s="22" t="s">
        <v>4401</v>
      </c>
      <c r="K3032" s="22" t="s">
        <v>292</v>
      </c>
      <c r="L3032" s="22"/>
      <c r="M3032" s="22"/>
      <c r="N3032" s="22"/>
    </row>
    <row r="3033" spans="1:14" x14ac:dyDescent="0.25">
      <c r="A3033" s="22" t="s">
        <v>1089</v>
      </c>
      <c r="B3033" s="22" t="s">
        <v>39</v>
      </c>
      <c r="C3033" s="22" t="s">
        <v>5285</v>
      </c>
      <c r="D3033" s="23">
        <v>-2254759</v>
      </c>
      <c r="E3033" s="22" t="s">
        <v>45</v>
      </c>
      <c r="F3033" s="24">
        <v>44670</v>
      </c>
      <c r="G3033" s="22" t="s">
        <v>1088</v>
      </c>
      <c r="H3033" s="22" t="s">
        <v>230</v>
      </c>
      <c r="I3033" s="22" t="s">
        <v>1088</v>
      </c>
      <c r="J3033" s="22" t="s">
        <v>4401</v>
      </c>
      <c r="K3033" s="22" t="s">
        <v>292</v>
      </c>
      <c r="L3033" s="22"/>
      <c r="M3033" s="22"/>
      <c r="N3033" s="22"/>
    </row>
    <row r="3034" spans="1:14" x14ac:dyDescent="0.25">
      <c r="A3034" s="22" t="s">
        <v>1081</v>
      </c>
      <c r="B3034" s="22" t="s">
        <v>39</v>
      </c>
      <c r="C3034" s="22" t="s">
        <v>7695</v>
      </c>
      <c r="D3034" s="23">
        <v>-1040771</v>
      </c>
      <c r="E3034" s="22" t="s">
        <v>45</v>
      </c>
      <c r="F3034" s="24">
        <v>44593</v>
      </c>
      <c r="G3034" s="22" t="s">
        <v>976</v>
      </c>
      <c r="H3034" s="22"/>
      <c r="I3034" s="22" t="s">
        <v>976</v>
      </c>
      <c r="J3034" s="22" t="s">
        <v>4466</v>
      </c>
      <c r="K3034" s="22" t="s">
        <v>66</v>
      </c>
      <c r="L3034" s="22"/>
      <c r="M3034" s="22"/>
      <c r="N3034" s="22"/>
    </row>
    <row r="3035" spans="1:14" x14ac:dyDescent="0.25">
      <c r="A3035" s="22" t="s">
        <v>1081</v>
      </c>
      <c r="B3035" s="22" t="s">
        <v>39</v>
      </c>
      <c r="C3035" s="22" t="s">
        <v>7695</v>
      </c>
      <c r="D3035" s="23">
        <v>1089300</v>
      </c>
      <c r="E3035" s="22" t="s">
        <v>45</v>
      </c>
      <c r="F3035" s="24">
        <v>44593</v>
      </c>
      <c r="G3035" s="22" t="s">
        <v>976</v>
      </c>
      <c r="H3035" s="22"/>
      <c r="I3035" s="22" t="s">
        <v>976</v>
      </c>
      <c r="J3035" s="22" t="s">
        <v>4401</v>
      </c>
      <c r="K3035" s="22" t="s">
        <v>66</v>
      </c>
      <c r="L3035" s="22"/>
      <c r="M3035" s="22"/>
      <c r="N3035" s="22"/>
    </row>
    <row r="3036" spans="1:14" x14ac:dyDescent="0.25">
      <c r="A3036" s="22" t="s">
        <v>1086</v>
      </c>
      <c r="B3036" s="22" t="s">
        <v>39</v>
      </c>
      <c r="C3036" s="22" t="s">
        <v>113</v>
      </c>
      <c r="D3036" s="23">
        <v>-59100</v>
      </c>
      <c r="E3036" s="22" t="s">
        <v>57</v>
      </c>
      <c r="F3036" s="24">
        <v>44593</v>
      </c>
      <c r="G3036" s="22" t="s">
        <v>976</v>
      </c>
      <c r="H3036" s="22" t="s">
        <v>1087</v>
      </c>
      <c r="I3036" s="22" t="s">
        <v>1085</v>
      </c>
      <c r="J3036" s="22" t="s">
        <v>4401</v>
      </c>
      <c r="K3036" s="22" t="s">
        <v>66</v>
      </c>
      <c r="L3036" s="22"/>
      <c r="M3036" s="22"/>
      <c r="N3036" s="22"/>
    </row>
    <row r="3037" spans="1:14" x14ac:dyDescent="0.25">
      <c r="A3037" s="22" t="s">
        <v>1083</v>
      </c>
      <c r="B3037" s="22" t="s">
        <v>39</v>
      </c>
      <c r="C3037" s="22" t="s">
        <v>113</v>
      </c>
      <c r="D3037" s="23">
        <v>-125100</v>
      </c>
      <c r="E3037" s="22" t="s">
        <v>57</v>
      </c>
      <c r="F3037" s="24">
        <v>44595</v>
      </c>
      <c r="G3037" s="22" t="s">
        <v>976</v>
      </c>
      <c r="H3037" s="22" t="s">
        <v>1084</v>
      </c>
      <c r="I3037" s="22" t="s">
        <v>1082</v>
      </c>
      <c r="J3037" s="22" t="s">
        <v>4401</v>
      </c>
      <c r="K3037" s="22" t="s">
        <v>66</v>
      </c>
      <c r="L3037" s="22"/>
      <c r="M3037" s="22"/>
      <c r="N3037" s="22"/>
    </row>
    <row r="3038" spans="1:14" x14ac:dyDescent="0.25">
      <c r="A3038" s="22" t="s">
        <v>1081</v>
      </c>
      <c r="B3038" s="22" t="s">
        <v>39</v>
      </c>
      <c r="C3038" s="22" t="s">
        <v>7696</v>
      </c>
      <c r="D3038" s="23">
        <v>-78800</v>
      </c>
      <c r="E3038" s="22" t="s">
        <v>57</v>
      </c>
      <c r="F3038" s="24">
        <v>44593</v>
      </c>
      <c r="G3038" s="22" t="s">
        <v>976</v>
      </c>
      <c r="H3038" s="22" t="s">
        <v>979</v>
      </c>
      <c r="I3038" s="22" t="s">
        <v>1080</v>
      </c>
      <c r="J3038" s="22" t="s">
        <v>4401</v>
      </c>
      <c r="K3038" s="22" t="s">
        <v>66</v>
      </c>
      <c r="L3038" s="22"/>
      <c r="M3038" s="22"/>
      <c r="N3038" s="22"/>
    </row>
    <row r="3039" spans="1:14" x14ac:dyDescent="0.25">
      <c r="A3039" s="22" t="s">
        <v>1079</v>
      </c>
      <c r="B3039" s="22" t="s">
        <v>39</v>
      </c>
      <c r="C3039" s="22" t="s">
        <v>7696</v>
      </c>
      <c r="D3039" s="23">
        <v>-51900</v>
      </c>
      <c r="E3039" s="22" t="s">
        <v>57</v>
      </c>
      <c r="F3039" s="24">
        <v>44593</v>
      </c>
      <c r="G3039" s="22" t="s">
        <v>976</v>
      </c>
      <c r="H3039" s="22" t="s">
        <v>979</v>
      </c>
      <c r="I3039" s="22" t="s">
        <v>1078</v>
      </c>
      <c r="J3039" s="22" t="s">
        <v>4401</v>
      </c>
      <c r="K3039" s="22" t="s">
        <v>66</v>
      </c>
      <c r="L3039" s="22"/>
      <c r="M3039" s="22"/>
      <c r="N3039" s="22"/>
    </row>
    <row r="3040" spans="1:14" x14ac:dyDescent="0.25">
      <c r="A3040" s="22" t="s">
        <v>1034</v>
      </c>
      <c r="B3040" s="22" t="s">
        <v>39</v>
      </c>
      <c r="C3040" s="22" t="s">
        <v>7696</v>
      </c>
      <c r="D3040" s="23">
        <v>-85500</v>
      </c>
      <c r="E3040" s="22" t="s">
        <v>57</v>
      </c>
      <c r="F3040" s="24">
        <v>44596</v>
      </c>
      <c r="G3040" s="22" t="s">
        <v>976</v>
      </c>
      <c r="H3040" s="22" t="s">
        <v>715</v>
      </c>
      <c r="I3040" s="22" t="s">
        <v>1033</v>
      </c>
      <c r="J3040" s="22" t="s">
        <v>4401</v>
      </c>
      <c r="K3040" s="22" t="s">
        <v>66</v>
      </c>
      <c r="L3040" s="22"/>
      <c r="M3040" s="22"/>
      <c r="N3040" s="22"/>
    </row>
    <row r="3041" spans="1:14" x14ac:dyDescent="0.25">
      <c r="A3041" s="22" t="s">
        <v>981</v>
      </c>
      <c r="B3041" s="22" t="s">
        <v>39</v>
      </c>
      <c r="C3041" s="22" t="s">
        <v>7696</v>
      </c>
      <c r="D3041" s="23">
        <v>-662800</v>
      </c>
      <c r="E3041" s="22" t="s">
        <v>57</v>
      </c>
      <c r="F3041" s="24">
        <v>44601</v>
      </c>
      <c r="G3041" s="22" t="s">
        <v>976</v>
      </c>
      <c r="H3041" s="22" t="s">
        <v>979</v>
      </c>
      <c r="I3041" s="22" t="s">
        <v>980</v>
      </c>
      <c r="J3041" s="22" t="s">
        <v>4401</v>
      </c>
      <c r="K3041" s="22" t="s">
        <v>66</v>
      </c>
      <c r="L3041" s="22"/>
      <c r="M3041" s="22"/>
      <c r="N3041" s="22"/>
    </row>
    <row r="3042" spans="1:14" x14ac:dyDescent="0.25">
      <c r="A3042" s="22" t="s">
        <v>978</v>
      </c>
      <c r="B3042" s="22" t="s">
        <v>39</v>
      </c>
      <c r="C3042" s="22" t="s">
        <v>7696</v>
      </c>
      <c r="D3042" s="23">
        <v>-26100</v>
      </c>
      <c r="E3042" s="22" t="s">
        <v>57</v>
      </c>
      <c r="F3042" s="24">
        <v>44601</v>
      </c>
      <c r="G3042" s="22" t="s">
        <v>976</v>
      </c>
      <c r="H3042" s="22" t="s">
        <v>979</v>
      </c>
      <c r="I3042" s="22" t="s">
        <v>977</v>
      </c>
      <c r="J3042" s="22" t="s">
        <v>4401</v>
      </c>
      <c r="K3042" s="22" t="s">
        <v>66</v>
      </c>
      <c r="L3042" s="22"/>
      <c r="M3042" s="22"/>
      <c r="N3042" s="22"/>
    </row>
    <row r="3043" spans="1:14" x14ac:dyDescent="0.25">
      <c r="A3043" s="22" t="s">
        <v>975</v>
      </c>
      <c r="B3043" s="22" t="s">
        <v>39</v>
      </c>
      <c r="C3043" s="22" t="s">
        <v>47</v>
      </c>
      <c r="D3043" s="23">
        <v>1040771</v>
      </c>
      <c r="E3043" s="22" t="s">
        <v>42</v>
      </c>
      <c r="F3043" s="24">
        <v>44635</v>
      </c>
      <c r="G3043" s="22" t="s">
        <v>976</v>
      </c>
      <c r="H3043" s="22" t="s">
        <v>49</v>
      </c>
      <c r="I3043" s="22" t="s">
        <v>974</v>
      </c>
      <c r="J3043" s="22" t="s">
        <v>4466</v>
      </c>
      <c r="K3043" s="22" t="s">
        <v>292</v>
      </c>
      <c r="L3043" s="22"/>
      <c r="M3043" s="22"/>
      <c r="N3043" s="22"/>
    </row>
    <row r="3044" spans="1:14" x14ac:dyDescent="0.25">
      <c r="A3044" s="22" t="s">
        <v>1107</v>
      </c>
      <c r="B3044" s="22" t="s">
        <v>39</v>
      </c>
      <c r="C3044" s="22" t="s">
        <v>7697</v>
      </c>
      <c r="D3044" s="23">
        <v>60057</v>
      </c>
      <c r="E3044" s="22" t="s">
        <v>45</v>
      </c>
      <c r="F3044" s="24">
        <v>44609</v>
      </c>
      <c r="G3044" s="22" t="s">
        <v>1106</v>
      </c>
      <c r="H3044" s="22"/>
      <c r="I3044" s="22" t="s">
        <v>1106</v>
      </c>
      <c r="J3044" s="22" t="s">
        <v>4466</v>
      </c>
      <c r="K3044" s="22" t="s">
        <v>61</v>
      </c>
      <c r="L3044" s="22"/>
      <c r="M3044" s="22"/>
      <c r="N3044" s="22"/>
    </row>
    <row r="3045" spans="1:14" x14ac:dyDescent="0.25">
      <c r="A3045" s="22" t="s">
        <v>1107</v>
      </c>
      <c r="B3045" s="22" t="s">
        <v>39</v>
      </c>
      <c r="C3045" s="22" t="s">
        <v>7697</v>
      </c>
      <c r="D3045" s="23">
        <v>-59163</v>
      </c>
      <c r="E3045" s="22" t="s">
        <v>45</v>
      </c>
      <c r="F3045" s="24">
        <v>44609</v>
      </c>
      <c r="G3045" s="22" t="s">
        <v>1106</v>
      </c>
      <c r="H3045" s="22"/>
      <c r="I3045" s="22" t="s">
        <v>1106</v>
      </c>
      <c r="J3045" s="22" t="s">
        <v>4401</v>
      </c>
      <c r="K3045" s="22" t="s">
        <v>61</v>
      </c>
      <c r="L3045" s="22"/>
      <c r="M3045" s="22"/>
      <c r="N3045" s="22"/>
    </row>
    <row r="3046" spans="1:14" x14ac:dyDescent="0.25">
      <c r="A3046" s="22" t="s">
        <v>1107</v>
      </c>
      <c r="B3046" s="22" t="s">
        <v>39</v>
      </c>
      <c r="C3046" s="22" t="s">
        <v>7698</v>
      </c>
      <c r="D3046" s="23">
        <v>-60057</v>
      </c>
      <c r="E3046" s="22" t="s">
        <v>57</v>
      </c>
      <c r="F3046" s="24">
        <v>44609</v>
      </c>
      <c r="G3046" s="22" t="s">
        <v>1106</v>
      </c>
      <c r="H3046" s="22" t="s">
        <v>1121</v>
      </c>
      <c r="I3046" s="22" t="s">
        <v>1120</v>
      </c>
      <c r="J3046" s="22" t="s">
        <v>4466</v>
      </c>
      <c r="K3046" s="22" t="s">
        <v>61</v>
      </c>
      <c r="L3046" s="22"/>
      <c r="M3046" s="22"/>
      <c r="N3046" s="22"/>
    </row>
    <row r="3047" spans="1:14" x14ac:dyDescent="0.25">
      <c r="A3047" s="22" t="s">
        <v>1118</v>
      </c>
      <c r="B3047" s="22" t="s">
        <v>39</v>
      </c>
      <c r="C3047" s="22" t="s">
        <v>113</v>
      </c>
      <c r="D3047" s="23">
        <v>-261837</v>
      </c>
      <c r="E3047" s="22" t="s">
        <v>57</v>
      </c>
      <c r="F3047" s="24">
        <v>44602</v>
      </c>
      <c r="G3047" s="22" t="s">
        <v>1106</v>
      </c>
      <c r="H3047" s="22" t="s">
        <v>1119</v>
      </c>
      <c r="I3047" s="22" t="s">
        <v>1117</v>
      </c>
      <c r="J3047" s="22" t="s">
        <v>4401</v>
      </c>
      <c r="K3047" s="22" t="s">
        <v>66</v>
      </c>
      <c r="L3047" s="22"/>
      <c r="M3047" s="22"/>
      <c r="N3047" s="22"/>
    </row>
    <row r="3048" spans="1:14" x14ac:dyDescent="0.25">
      <c r="A3048" s="22" t="s">
        <v>1115</v>
      </c>
      <c r="B3048" s="22" t="s">
        <v>39</v>
      </c>
      <c r="C3048" s="22" t="s">
        <v>113</v>
      </c>
      <c r="D3048" s="23">
        <v>-59100</v>
      </c>
      <c r="E3048" s="22" t="s">
        <v>57</v>
      </c>
      <c r="F3048" s="24">
        <v>44618</v>
      </c>
      <c r="G3048" s="22" t="s">
        <v>1106</v>
      </c>
      <c r="H3048" s="22" t="s">
        <v>1116</v>
      </c>
      <c r="I3048" s="22" t="s">
        <v>1114</v>
      </c>
      <c r="J3048" s="22" t="s">
        <v>4401</v>
      </c>
      <c r="K3048" s="22" t="s">
        <v>66</v>
      </c>
      <c r="L3048" s="22"/>
      <c r="M3048" s="22"/>
      <c r="N3048" s="22"/>
    </row>
    <row r="3049" spans="1:14" x14ac:dyDescent="0.25">
      <c r="A3049" s="22" t="s">
        <v>1113</v>
      </c>
      <c r="B3049" s="22" t="s">
        <v>39</v>
      </c>
      <c r="C3049" s="22" t="s">
        <v>3573</v>
      </c>
      <c r="D3049" s="23">
        <v>380100</v>
      </c>
      <c r="E3049" s="22" t="s">
        <v>42</v>
      </c>
      <c r="F3049" s="24">
        <v>44670</v>
      </c>
      <c r="G3049" s="22" t="s">
        <v>1106</v>
      </c>
      <c r="H3049" s="22" t="s">
        <v>49</v>
      </c>
      <c r="I3049" s="22" t="s">
        <v>1112</v>
      </c>
      <c r="J3049" s="22" t="s">
        <v>4401</v>
      </c>
      <c r="K3049" s="22" t="s">
        <v>292</v>
      </c>
      <c r="L3049" s="22"/>
      <c r="M3049" s="22"/>
      <c r="N3049" s="22"/>
    </row>
    <row r="3050" spans="1:14" x14ac:dyDescent="0.25">
      <c r="A3050" s="22" t="s">
        <v>1110</v>
      </c>
      <c r="B3050" s="22" t="s">
        <v>39</v>
      </c>
      <c r="C3050" s="22" t="s">
        <v>7698</v>
      </c>
      <c r="D3050" s="23">
        <v>-59100</v>
      </c>
      <c r="E3050" s="22" t="s">
        <v>57</v>
      </c>
      <c r="F3050" s="24">
        <v>44596</v>
      </c>
      <c r="G3050" s="22" t="s">
        <v>1100</v>
      </c>
      <c r="H3050" s="22" t="s">
        <v>1111</v>
      </c>
      <c r="I3050" s="22" t="s">
        <v>1109</v>
      </c>
      <c r="J3050" s="22" t="s">
        <v>4466</v>
      </c>
      <c r="K3050" s="22" t="s">
        <v>61</v>
      </c>
      <c r="L3050" s="22"/>
      <c r="M3050" s="22"/>
      <c r="N3050" s="22"/>
    </row>
    <row r="3051" spans="1:14" x14ac:dyDescent="0.25">
      <c r="A3051" s="22" t="s">
        <v>1107</v>
      </c>
      <c r="B3051" s="22" t="s">
        <v>39</v>
      </c>
      <c r="C3051" s="22" t="s">
        <v>7698</v>
      </c>
      <c r="D3051" s="23">
        <v>-894</v>
      </c>
      <c r="E3051" s="22" t="s">
        <v>45</v>
      </c>
      <c r="F3051" s="24">
        <v>44609</v>
      </c>
      <c r="G3051" s="22" t="s">
        <v>1100</v>
      </c>
      <c r="H3051" s="22" t="s">
        <v>1108</v>
      </c>
      <c r="I3051" s="22" t="s">
        <v>1106</v>
      </c>
      <c r="J3051" s="22" t="s">
        <v>4466</v>
      </c>
      <c r="K3051" s="22" t="s">
        <v>61</v>
      </c>
      <c r="L3051" s="22"/>
      <c r="M3051" s="22"/>
      <c r="N3051" s="22"/>
    </row>
    <row r="3052" spans="1:14" x14ac:dyDescent="0.25">
      <c r="A3052" s="22" t="s">
        <v>1104</v>
      </c>
      <c r="B3052" s="22" t="s">
        <v>39</v>
      </c>
      <c r="C3052" s="22" t="s">
        <v>120</v>
      </c>
      <c r="D3052" s="23">
        <v>-59163</v>
      </c>
      <c r="E3052" s="22" t="s">
        <v>57</v>
      </c>
      <c r="F3052" s="24">
        <v>44594</v>
      </c>
      <c r="G3052" s="22" t="s">
        <v>1100</v>
      </c>
      <c r="H3052" s="22" t="s">
        <v>1105</v>
      </c>
      <c r="I3052" s="22" t="s">
        <v>1103</v>
      </c>
      <c r="J3052" s="22" t="s">
        <v>4401</v>
      </c>
      <c r="K3052" s="22" t="s">
        <v>66</v>
      </c>
      <c r="L3052" s="22"/>
      <c r="M3052" s="22"/>
      <c r="N3052" s="22"/>
    </row>
    <row r="3053" spans="1:14" x14ac:dyDescent="0.25">
      <c r="A3053" s="22" t="s">
        <v>1101</v>
      </c>
      <c r="B3053" s="22" t="s">
        <v>39</v>
      </c>
      <c r="C3053" s="22" t="s">
        <v>3573</v>
      </c>
      <c r="D3053" s="23">
        <v>119157</v>
      </c>
      <c r="E3053" s="22" t="s">
        <v>42</v>
      </c>
      <c r="F3053" s="24">
        <v>44670</v>
      </c>
      <c r="G3053" s="22" t="s">
        <v>1100</v>
      </c>
      <c r="H3053" s="22" t="s">
        <v>520</v>
      </c>
      <c r="I3053" s="22" t="s">
        <v>1102</v>
      </c>
      <c r="J3053" s="22" t="s">
        <v>4401</v>
      </c>
      <c r="K3053" s="22" t="s">
        <v>292</v>
      </c>
      <c r="L3053" s="22"/>
      <c r="M3053" s="22"/>
      <c r="N3053" s="22"/>
    </row>
    <row r="3054" spans="1:14" x14ac:dyDescent="0.25">
      <c r="A3054" s="22" t="s">
        <v>1101</v>
      </c>
      <c r="B3054" s="22" t="s">
        <v>39</v>
      </c>
      <c r="C3054" s="22" t="s">
        <v>3573</v>
      </c>
      <c r="D3054" s="23">
        <v>59994</v>
      </c>
      <c r="E3054" s="22" t="s">
        <v>45</v>
      </c>
      <c r="F3054" s="24">
        <v>44670</v>
      </c>
      <c r="G3054" s="22" t="s">
        <v>1100</v>
      </c>
      <c r="H3054" s="22" t="s">
        <v>230</v>
      </c>
      <c r="I3054" s="22" t="s">
        <v>1100</v>
      </c>
      <c r="J3054" s="22" t="s">
        <v>4466</v>
      </c>
      <c r="K3054" s="22" t="s">
        <v>292</v>
      </c>
      <c r="L3054" s="22"/>
      <c r="M3054" s="22"/>
      <c r="N3054" s="22"/>
    </row>
    <row r="3055" spans="1:14" x14ac:dyDescent="0.25">
      <c r="A3055" s="22" t="s">
        <v>1101</v>
      </c>
      <c r="B3055" s="22" t="s">
        <v>39</v>
      </c>
      <c r="C3055" s="22" t="s">
        <v>3573</v>
      </c>
      <c r="D3055" s="23">
        <v>-59994</v>
      </c>
      <c r="E3055" s="22" t="s">
        <v>45</v>
      </c>
      <c r="F3055" s="24">
        <v>44670</v>
      </c>
      <c r="G3055" s="22" t="s">
        <v>1100</v>
      </c>
      <c r="H3055" s="22" t="s">
        <v>230</v>
      </c>
      <c r="I3055" s="22" t="s">
        <v>1100</v>
      </c>
      <c r="J3055" s="22" t="s">
        <v>4401</v>
      </c>
      <c r="K3055" s="22" t="s">
        <v>292</v>
      </c>
      <c r="L3055" s="22"/>
      <c r="M3055" s="22"/>
      <c r="N3055" s="22"/>
    </row>
    <row r="3056" spans="1:14" x14ac:dyDescent="0.25">
      <c r="A3056" s="22" t="s">
        <v>968</v>
      </c>
      <c r="B3056" s="22" t="s">
        <v>39</v>
      </c>
      <c r="C3056" s="22" t="s">
        <v>7682</v>
      </c>
      <c r="D3056" s="23">
        <v>-635389</v>
      </c>
      <c r="E3056" s="22" t="s">
        <v>45</v>
      </c>
      <c r="F3056" s="24">
        <v>44560</v>
      </c>
      <c r="G3056" s="22" t="s">
        <v>967</v>
      </c>
      <c r="H3056" s="22" t="s">
        <v>973</v>
      </c>
      <c r="I3056" s="22" t="s">
        <v>972</v>
      </c>
      <c r="J3056" s="22" t="s">
        <v>4407</v>
      </c>
      <c r="K3056" s="22" t="s">
        <v>66</v>
      </c>
      <c r="L3056" s="22"/>
      <c r="M3056" s="22"/>
      <c r="N3056" s="22"/>
    </row>
    <row r="3057" spans="1:14" x14ac:dyDescent="0.25">
      <c r="A3057" s="22" t="s">
        <v>968</v>
      </c>
      <c r="B3057" s="22" t="s">
        <v>39</v>
      </c>
      <c r="C3057" s="22" t="s">
        <v>7695</v>
      </c>
      <c r="D3057" s="23">
        <v>-398362</v>
      </c>
      <c r="E3057" s="22" t="s">
        <v>45</v>
      </c>
      <c r="F3057" s="24">
        <v>44560</v>
      </c>
      <c r="G3057" s="22" t="s">
        <v>967</v>
      </c>
      <c r="H3057" s="22"/>
      <c r="I3057" s="22" t="s">
        <v>967</v>
      </c>
      <c r="J3057" s="22" t="s">
        <v>4401</v>
      </c>
      <c r="K3057" s="22" t="s">
        <v>66</v>
      </c>
      <c r="L3057" s="22"/>
      <c r="M3057" s="22"/>
      <c r="N3057" s="22"/>
    </row>
    <row r="3058" spans="1:14" x14ac:dyDescent="0.25">
      <c r="A3058" s="22" t="s">
        <v>968</v>
      </c>
      <c r="B3058" s="22" t="s">
        <v>39</v>
      </c>
      <c r="C3058" s="22" t="s">
        <v>7695</v>
      </c>
      <c r="D3058" s="23">
        <v>635389</v>
      </c>
      <c r="E3058" s="22" t="s">
        <v>45</v>
      </c>
      <c r="F3058" s="24">
        <v>44560</v>
      </c>
      <c r="G3058" s="22" t="s">
        <v>967</v>
      </c>
      <c r="H3058" s="22"/>
      <c r="I3058" s="22" t="s">
        <v>967</v>
      </c>
      <c r="J3058" s="22" t="s">
        <v>4407</v>
      </c>
      <c r="K3058" s="22" t="s">
        <v>66</v>
      </c>
      <c r="L3058" s="22"/>
      <c r="M3058" s="22"/>
      <c r="N3058" s="22"/>
    </row>
    <row r="3059" spans="1:14" x14ac:dyDescent="0.25">
      <c r="A3059" s="22" t="s">
        <v>971</v>
      </c>
      <c r="B3059" s="22" t="s">
        <v>39</v>
      </c>
      <c r="C3059" s="22" t="s">
        <v>4267</v>
      </c>
      <c r="D3059" s="23">
        <v>398362</v>
      </c>
      <c r="E3059" s="22" t="s">
        <v>42</v>
      </c>
      <c r="F3059" s="24">
        <v>44670</v>
      </c>
      <c r="G3059" s="22" t="s">
        <v>967</v>
      </c>
      <c r="H3059" s="22" t="s">
        <v>520</v>
      </c>
      <c r="I3059" s="22" t="s">
        <v>970</v>
      </c>
      <c r="J3059" s="22" t="s">
        <v>4401</v>
      </c>
      <c r="K3059" s="22" t="s">
        <v>292</v>
      </c>
      <c r="L3059" s="22"/>
      <c r="M3059" s="22"/>
      <c r="N3059" s="22"/>
    </row>
    <row r="3060" spans="1:14" x14ac:dyDescent="0.25">
      <c r="A3060" s="22" t="s">
        <v>968</v>
      </c>
      <c r="B3060" s="22" t="s">
        <v>39</v>
      </c>
      <c r="C3060" s="22" t="s">
        <v>7682</v>
      </c>
      <c r="D3060" s="23">
        <v>-237027</v>
      </c>
      <c r="E3060" s="22" t="s">
        <v>45</v>
      </c>
      <c r="F3060" s="24">
        <v>44560</v>
      </c>
      <c r="G3060" s="22" t="s">
        <v>946</v>
      </c>
      <c r="H3060" s="22" t="s">
        <v>969</v>
      </c>
      <c r="I3060" s="22" t="s">
        <v>967</v>
      </c>
      <c r="J3060" s="22" t="s">
        <v>4407</v>
      </c>
      <c r="K3060" s="22" t="s">
        <v>66</v>
      </c>
      <c r="L3060" s="22"/>
      <c r="M3060" s="22"/>
      <c r="N3060" s="22"/>
    </row>
    <row r="3061" spans="1:14" x14ac:dyDescent="0.25">
      <c r="A3061" s="22" t="s">
        <v>948</v>
      </c>
      <c r="B3061" s="22" t="s">
        <v>39</v>
      </c>
      <c r="C3061" s="22" t="s">
        <v>7695</v>
      </c>
      <c r="D3061" s="23">
        <v>-23000</v>
      </c>
      <c r="E3061" s="22" t="s">
        <v>45</v>
      </c>
      <c r="F3061" s="24">
        <v>44588</v>
      </c>
      <c r="G3061" s="22" t="s">
        <v>946</v>
      </c>
      <c r="H3061" s="22"/>
      <c r="I3061" s="22" t="s">
        <v>946</v>
      </c>
      <c r="J3061" s="22" t="s">
        <v>4401</v>
      </c>
      <c r="K3061" s="22" t="s">
        <v>66</v>
      </c>
      <c r="L3061" s="22"/>
      <c r="M3061" s="22"/>
      <c r="N3061" s="22"/>
    </row>
    <row r="3062" spans="1:14" x14ac:dyDescent="0.25">
      <c r="A3062" s="22" t="s">
        <v>948</v>
      </c>
      <c r="B3062" s="22" t="s">
        <v>39</v>
      </c>
      <c r="C3062" s="22" t="s">
        <v>7695</v>
      </c>
      <c r="D3062" s="23">
        <v>251172</v>
      </c>
      <c r="E3062" s="22" t="s">
        <v>45</v>
      </c>
      <c r="F3062" s="24">
        <v>44588</v>
      </c>
      <c r="G3062" s="22" t="s">
        <v>946</v>
      </c>
      <c r="H3062" s="22"/>
      <c r="I3062" s="22" t="s">
        <v>946</v>
      </c>
      <c r="J3062" s="22" t="s">
        <v>4407</v>
      </c>
      <c r="K3062" s="22" t="s">
        <v>66</v>
      </c>
      <c r="L3062" s="22"/>
      <c r="M3062" s="22"/>
      <c r="N3062" s="22"/>
    </row>
    <row r="3063" spans="1:14" x14ac:dyDescent="0.25">
      <c r="A3063" s="22" t="s">
        <v>965</v>
      </c>
      <c r="B3063" s="22" t="s">
        <v>39</v>
      </c>
      <c r="C3063" s="22" t="s">
        <v>7690</v>
      </c>
      <c r="D3063" s="23">
        <v>-14145</v>
      </c>
      <c r="E3063" s="22" t="s">
        <v>45</v>
      </c>
      <c r="F3063" s="24">
        <v>44569</v>
      </c>
      <c r="G3063" s="22" t="s">
        <v>946</v>
      </c>
      <c r="H3063" s="22" t="s">
        <v>966</v>
      </c>
      <c r="I3063" s="22" t="s">
        <v>964</v>
      </c>
      <c r="J3063" s="22" t="s">
        <v>4407</v>
      </c>
      <c r="K3063" s="22" t="s">
        <v>66</v>
      </c>
      <c r="L3063" s="22"/>
      <c r="M3063" s="22"/>
      <c r="N3063" s="22"/>
    </row>
    <row r="3064" spans="1:14" x14ac:dyDescent="0.25">
      <c r="A3064" s="22" t="s">
        <v>963</v>
      </c>
      <c r="B3064" s="22" t="s">
        <v>39</v>
      </c>
      <c r="C3064" s="22" t="s">
        <v>7696</v>
      </c>
      <c r="D3064" s="23">
        <v>-51900</v>
      </c>
      <c r="E3064" s="22" t="s">
        <v>57</v>
      </c>
      <c r="F3064" s="24">
        <v>44603</v>
      </c>
      <c r="G3064" s="22" t="s">
        <v>946</v>
      </c>
      <c r="H3064" s="22" t="s">
        <v>951</v>
      </c>
      <c r="I3064" s="22" t="s">
        <v>962</v>
      </c>
      <c r="J3064" s="22" t="s">
        <v>4401</v>
      </c>
      <c r="K3064" s="22" t="s">
        <v>66</v>
      </c>
      <c r="L3064" s="22"/>
      <c r="M3064" s="22"/>
      <c r="N3064" s="22"/>
    </row>
    <row r="3065" spans="1:14" x14ac:dyDescent="0.25">
      <c r="A3065" s="22" t="s">
        <v>950</v>
      </c>
      <c r="B3065" s="22" t="s">
        <v>39</v>
      </c>
      <c r="C3065" s="22" t="s">
        <v>7696</v>
      </c>
      <c r="D3065" s="23">
        <v>-23000</v>
      </c>
      <c r="E3065" s="22" t="s">
        <v>57</v>
      </c>
      <c r="F3065" s="24">
        <v>44615</v>
      </c>
      <c r="G3065" s="22" t="s">
        <v>946</v>
      </c>
      <c r="H3065" s="22" t="s">
        <v>951</v>
      </c>
      <c r="I3065" s="22" t="s">
        <v>949</v>
      </c>
      <c r="J3065" s="22" t="s">
        <v>4401</v>
      </c>
      <c r="K3065" s="22" t="s">
        <v>66</v>
      </c>
      <c r="L3065" s="22"/>
      <c r="M3065" s="22"/>
      <c r="N3065" s="22"/>
    </row>
    <row r="3066" spans="1:14" x14ac:dyDescent="0.25">
      <c r="A3066" s="22" t="s">
        <v>948</v>
      </c>
      <c r="B3066" s="22" t="s">
        <v>39</v>
      </c>
      <c r="C3066" s="22" t="s">
        <v>120</v>
      </c>
      <c r="D3066" s="23">
        <v>-1711266</v>
      </c>
      <c r="E3066" s="22" t="s">
        <v>57</v>
      </c>
      <c r="F3066" s="24">
        <v>44588</v>
      </c>
      <c r="G3066" s="22" t="s">
        <v>946</v>
      </c>
      <c r="H3066" s="22" t="s">
        <v>212</v>
      </c>
      <c r="I3066" s="22" t="s">
        <v>947</v>
      </c>
      <c r="J3066" s="22" t="s">
        <v>4401</v>
      </c>
      <c r="K3066" s="22" t="s">
        <v>66</v>
      </c>
      <c r="L3066" s="22"/>
      <c r="M3066" s="22"/>
      <c r="N3066" s="22"/>
    </row>
    <row r="3067" spans="1:14" x14ac:dyDescent="0.25">
      <c r="A3067" s="22" t="s">
        <v>945</v>
      </c>
      <c r="B3067" s="22" t="s">
        <v>39</v>
      </c>
      <c r="C3067" s="22" t="s">
        <v>4267</v>
      </c>
      <c r="D3067" s="23">
        <v>1809166</v>
      </c>
      <c r="E3067" s="22" t="s">
        <v>42</v>
      </c>
      <c r="F3067" s="24">
        <v>44670</v>
      </c>
      <c r="G3067" s="22" t="s">
        <v>946</v>
      </c>
      <c r="H3067" s="22" t="s">
        <v>49</v>
      </c>
      <c r="I3067" s="22" t="s">
        <v>944</v>
      </c>
      <c r="J3067" s="22" t="s">
        <v>4401</v>
      </c>
      <c r="K3067" s="22" t="s">
        <v>292</v>
      </c>
      <c r="L3067" s="22"/>
      <c r="M3067" s="22"/>
      <c r="N3067" s="22"/>
    </row>
    <row r="3068" spans="1:14" x14ac:dyDescent="0.25">
      <c r="A3068" s="22" t="s">
        <v>1186</v>
      </c>
      <c r="B3068" s="22" t="s">
        <v>39</v>
      </c>
      <c r="C3068" s="22" t="s">
        <v>7699</v>
      </c>
      <c r="D3068" s="23">
        <v>136500</v>
      </c>
      <c r="E3068" s="22" t="s">
        <v>45</v>
      </c>
      <c r="F3068" s="24">
        <v>44609</v>
      </c>
      <c r="G3068" s="22" t="s">
        <v>1185</v>
      </c>
      <c r="H3068" s="22"/>
      <c r="I3068" s="22" t="s">
        <v>1185</v>
      </c>
      <c r="J3068" s="22" t="s">
        <v>4466</v>
      </c>
      <c r="K3068" s="22" t="s">
        <v>61</v>
      </c>
      <c r="L3068" s="22"/>
      <c r="M3068" s="22"/>
      <c r="N3068" s="22"/>
    </row>
    <row r="3069" spans="1:14" x14ac:dyDescent="0.25">
      <c r="A3069" s="22" t="s">
        <v>1186</v>
      </c>
      <c r="B3069" s="22" t="s">
        <v>39</v>
      </c>
      <c r="C3069" s="22" t="s">
        <v>7699</v>
      </c>
      <c r="D3069" s="23">
        <v>-60587</v>
      </c>
      <c r="E3069" s="22" t="s">
        <v>45</v>
      </c>
      <c r="F3069" s="24">
        <v>44609</v>
      </c>
      <c r="G3069" s="22" t="s">
        <v>1185</v>
      </c>
      <c r="H3069" s="22"/>
      <c r="I3069" s="22" t="s">
        <v>1185</v>
      </c>
      <c r="J3069" s="22" t="s">
        <v>4401</v>
      </c>
      <c r="K3069" s="22" t="s">
        <v>61</v>
      </c>
      <c r="L3069" s="22"/>
      <c r="M3069" s="22"/>
      <c r="N3069" s="22"/>
    </row>
    <row r="3070" spans="1:14" x14ac:dyDescent="0.25">
      <c r="A3070" s="22" t="s">
        <v>1186</v>
      </c>
      <c r="B3070" s="22" t="s">
        <v>39</v>
      </c>
      <c r="C3070" s="22" t="s">
        <v>7698</v>
      </c>
      <c r="D3070" s="23">
        <v>-136500</v>
      </c>
      <c r="E3070" s="22" t="s">
        <v>57</v>
      </c>
      <c r="F3070" s="24">
        <v>44609</v>
      </c>
      <c r="G3070" s="22" t="s">
        <v>1185</v>
      </c>
      <c r="H3070" s="22" t="s">
        <v>1191</v>
      </c>
      <c r="I3070" s="22" t="s">
        <v>1190</v>
      </c>
      <c r="J3070" s="22" t="s">
        <v>4466</v>
      </c>
      <c r="K3070" s="22" t="s">
        <v>61</v>
      </c>
      <c r="L3070" s="22"/>
      <c r="M3070" s="22"/>
      <c r="N3070" s="22"/>
    </row>
    <row r="3071" spans="1:14" x14ac:dyDescent="0.25">
      <c r="A3071" s="22" t="s">
        <v>1189</v>
      </c>
      <c r="B3071" s="22" t="s">
        <v>39</v>
      </c>
      <c r="C3071" s="22" t="s">
        <v>3767</v>
      </c>
      <c r="D3071" s="23">
        <v>60587</v>
      </c>
      <c r="E3071" s="22" t="s">
        <v>42</v>
      </c>
      <c r="F3071" s="24">
        <v>44670</v>
      </c>
      <c r="G3071" s="22" t="s">
        <v>1185</v>
      </c>
      <c r="H3071" s="22" t="s">
        <v>520</v>
      </c>
      <c r="I3071" s="22" t="s">
        <v>1188</v>
      </c>
      <c r="J3071" s="22" t="s">
        <v>4401</v>
      </c>
      <c r="K3071" s="22" t="s">
        <v>292</v>
      </c>
      <c r="L3071" s="22"/>
      <c r="M3071" s="22"/>
      <c r="N3071" s="22"/>
    </row>
    <row r="3072" spans="1:14" x14ac:dyDescent="0.25">
      <c r="A3072" s="22" t="s">
        <v>1039</v>
      </c>
      <c r="B3072" s="22" t="s">
        <v>39</v>
      </c>
      <c r="C3072" s="22" t="s">
        <v>7700</v>
      </c>
      <c r="D3072" s="23">
        <v>1228603</v>
      </c>
      <c r="E3072" s="22" t="s">
        <v>45</v>
      </c>
      <c r="F3072" s="24">
        <v>44609</v>
      </c>
      <c r="G3072" s="22" t="s">
        <v>1038</v>
      </c>
      <c r="H3072" s="22"/>
      <c r="I3072" s="22" t="s">
        <v>1038</v>
      </c>
      <c r="J3072" s="22" t="s">
        <v>4466</v>
      </c>
      <c r="K3072" s="22" t="s">
        <v>61</v>
      </c>
      <c r="L3072" s="22"/>
      <c r="M3072" s="22"/>
      <c r="N3072" s="22"/>
    </row>
    <row r="3073" spans="1:14" x14ac:dyDescent="0.25">
      <c r="A3073" s="22" t="s">
        <v>1039</v>
      </c>
      <c r="B3073" s="22" t="s">
        <v>39</v>
      </c>
      <c r="C3073" s="22" t="s">
        <v>7700</v>
      </c>
      <c r="D3073" s="23">
        <v>-523052</v>
      </c>
      <c r="E3073" s="22" t="s">
        <v>45</v>
      </c>
      <c r="F3073" s="24">
        <v>44609</v>
      </c>
      <c r="G3073" s="22" t="s">
        <v>1038</v>
      </c>
      <c r="H3073" s="22"/>
      <c r="I3073" s="22" t="s">
        <v>1038</v>
      </c>
      <c r="J3073" s="22" t="s">
        <v>4401</v>
      </c>
      <c r="K3073" s="22" t="s">
        <v>61</v>
      </c>
      <c r="L3073" s="22"/>
      <c r="M3073" s="22"/>
      <c r="N3073" s="22"/>
    </row>
    <row r="3074" spans="1:14" x14ac:dyDescent="0.25">
      <c r="A3074" s="22" t="s">
        <v>1076</v>
      </c>
      <c r="B3074" s="22" t="s">
        <v>39</v>
      </c>
      <c r="C3074" s="22" t="s">
        <v>7701</v>
      </c>
      <c r="D3074" s="23">
        <v>-32300</v>
      </c>
      <c r="E3074" s="22" t="s">
        <v>57</v>
      </c>
      <c r="F3074" s="24">
        <v>44617</v>
      </c>
      <c r="G3074" s="22" t="s">
        <v>1038</v>
      </c>
      <c r="H3074" s="22" t="s">
        <v>1077</v>
      </c>
      <c r="I3074" s="22" t="s">
        <v>1075</v>
      </c>
      <c r="J3074" s="22" t="s">
        <v>4466</v>
      </c>
      <c r="K3074" s="22" t="s">
        <v>61</v>
      </c>
      <c r="L3074" s="22"/>
      <c r="M3074" s="22"/>
      <c r="N3074" s="22"/>
    </row>
    <row r="3075" spans="1:14" x14ac:dyDescent="0.25">
      <c r="A3075" s="22" t="s">
        <v>1074</v>
      </c>
      <c r="B3075" s="22" t="s">
        <v>39</v>
      </c>
      <c r="C3075" s="22" t="s">
        <v>7698</v>
      </c>
      <c r="D3075" s="23">
        <v>-206064</v>
      </c>
      <c r="E3075" s="22" t="s">
        <v>57</v>
      </c>
      <c r="F3075" s="24">
        <v>44602</v>
      </c>
      <c r="G3075" s="22" t="s">
        <v>1038</v>
      </c>
      <c r="H3075" s="22" t="s">
        <v>1053</v>
      </c>
      <c r="I3075" s="22" t="s">
        <v>1073</v>
      </c>
      <c r="J3075" s="22" t="s">
        <v>4466</v>
      </c>
      <c r="K3075" s="22" t="s">
        <v>61</v>
      </c>
      <c r="L3075" s="22"/>
      <c r="M3075" s="22"/>
      <c r="N3075" s="22"/>
    </row>
    <row r="3076" spans="1:14" x14ac:dyDescent="0.25">
      <c r="A3076" s="22" t="s">
        <v>1039</v>
      </c>
      <c r="B3076" s="22" t="s">
        <v>39</v>
      </c>
      <c r="C3076" s="22" t="s">
        <v>7698</v>
      </c>
      <c r="D3076" s="23">
        <v>-849432</v>
      </c>
      <c r="E3076" s="22" t="s">
        <v>57</v>
      </c>
      <c r="F3076" s="24">
        <v>44609</v>
      </c>
      <c r="G3076" s="22" t="s">
        <v>1038</v>
      </c>
      <c r="H3076" s="22" t="s">
        <v>1053</v>
      </c>
      <c r="I3076" s="22" t="s">
        <v>1072</v>
      </c>
      <c r="J3076" s="22" t="s">
        <v>4466</v>
      </c>
      <c r="K3076" s="22" t="s">
        <v>61</v>
      </c>
      <c r="L3076" s="22"/>
      <c r="M3076" s="22"/>
      <c r="N3076" s="22"/>
    </row>
    <row r="3077" spans="1:14" x14ac:dyDescent="0.25">
      <c r="A3077" s="22" t="s">
        <v>1070</v>
      </c>
      <c r="B3077" s="22" t="s">
        <v>39</v>
      </c>
      <c r="C3077" s="22" t="s">
        <v>7698</v>
      </c>
      <c r="D3077" s="23">
        <v>-140807</v>
      </c>
      <c r="E3077" s="22" t="s">
        <v>57</v>
      </c>
      <c r="F3077" s="24">
        <v>44620</v>
      </c>
      <c r="G3077" s="22" t="s">
        <v>1038</v>
      </c>
      <c r="H3077" s="22" t="s">
        <v>1071</v>
      </c>
      <c r="I3077" s="22" t="s">
        <v>1069</v>
      </c>
      <c r="J3077" s="22" t="s">
        <v>4466</v>
      </c>
      <c r="K3077" s="22" t="s">
        <v>61</v>
      </c>
      <c r="L3077" s="22"/>
      <c r="M3077" s="22"/>
      <c r="N3077" s="22"/>
    </row>
    <row r="3078" spans="1:14" x14ac:dyDescent="0.25">
      <c r="A3078" s="22" t="s">
        <v>1067</v>
      </c>
      <c r="B3078" s="22" t="s">
        <v>39</v>
      </c>
      <c r="C3078" s="22" t="s">
        <v>113</v>
      </c>
      <c r="D3078" s="23">
        <v>-2243360</v>
      </c>
      <c r="E3078" s="22" t="s">
        <v>57</v>
      </c>
      <c r="F3078" s="24">
        <v>44606</v>
      </c>
      <c r="G3078" s="22" t="s">
        <v>1038</v>
      </c>
      <c r="H3078" s="22" t="s">
        <v>1068</v>
      </c>
      <c r="I3078" s="22" t="s">
        <v>1066</v>
      </c>
      <c r="J3078" s="22" t="s">
        <v>4401</v>
      </c>
      <c r="K3078" s="22" t="s">
        <v>66</v>
      </c>
      <c r="L3078" s="22"/>
      <c r="M3078" s="22"/>
      <c r="N3078" s="22"/>
    </row>
    <row r="3079" spans="1:14" x14ac:dyDescent="0.25">
      <c r="A3079" s="22" t="s">
        <v>1065</v>
      </c>
      <c r="B3079" s="22" t="s">
        <v>39</v>
      </c>
      <c r="C3079" s="22" t="s">
        <v>3504</v>
      </c>
      <c r="D3079" s="23">
        <v>2766412</v>
      </c>
      <c r="E3079" s="22" t="s">
        <v>42</v>
      </c>
      <c r="F3079" s="24">
        <v>44670</v>
      </c>
      <c r="G3079" s="22" t="s">
        <v>1038</v>
      </c>
      <c r="H3079" s="22" t="s">
        <v>520</v>
      </c>
      <c r="I3079" s="22" t="s">
        <v>1064</v>
      </c>
      <c r="J3079" s="22" t="s">
        <v>4401</v>
      </c>
      <c r="K3079" s="22" t="s">
        <v>292</v>
      </c>
      <c r="L3079" s="22"/>
      <c r="M3079" s="22"/>
      <c r="N3079" s="22"/>
    </row>
    <row r="3080" spans="1:14" x14ac:dyDescent="0.25">
      <c r="A3080" s="22" t="s">
        <v>1055</v>
      </c>
      <c r="B3080" s="22" t="s">
        <v>39</v>
      </c>
      <c r="C3080" s="22" t="s">
        <v>7700</v>
      </c>
      <c r="D3080" s="23">
        <v>2211060</v>
      </c>
      <c r="E3080" s="22" t="s">
        <v>45</v>
      </c>
      <c r="F3080" s="24">
        <v>44593</v>
      </c>
      <c r="G3080" s="22" t="s">
        <v>1037</v>
      </c>
      <c r="H3080" s="22"/>
      <c r="I3080" s="22" t="s">
        <v>1037</v>
      </c>
      <c r="J3080" s="22" t="s">
        <v>4466</v>
      </c>
      <c r="K3080" s="22" t="s">
        <v>61</v>
      </c>
      <c r="L3080" s="22"/>
      <c r="M3080" s="22"/>
      <c r="N3080" s="22"/>
    </row>
    <row r="3081" spans="1:14" x14ac:dyDescent="0.25">
      <c r="A3081" s="22" t="s">
        <v>1055</v>
      </c>
      <c r="B3081" s="22" t="s">
        <v>39</v>
      </c>
      <c r="C3081" s="22" t="s">
        <v>7700</v>
      </c>
      <c r="D3081" s="23">
        <v>90600</v>
      </c>
      <c r="E3081" s="22" t="s">
        <v>45</v>
      </c>
      <c r="F3081" s="24">
        <v>44593</v>
      </c>
      <c r="G3081" s="22" t="s">
        <v>1037</v>
      </c>
      <c r="H3081" s="22"/>
      <c r="I3081" s="22" t="s">
        <v>1037</v>
      </c>
      <c r="J3081" s="22" t="s">
        <v>4552</v>
      </c>
      <c r="K3081" s="22" t="s">
        <v>61</v>
      </c>
      <c r="L3081" s="22"/>
      <c r="M3081" s="22"/>
      <c r="N3081" s="22"/>
    </row>
    <row r="3082" spans="1:14" x14ac:dyDescent="0.25">
      <c r="A3082" s="22" t="s">
        <v>1055</v>
      </c>
      <c r="B3082" s="22" t="s">
        <v>39</v>
      </c>
      <c r="C3082" s="22" t="s">
        <v>7700</v>
      </c>
      <c r="D3082" s="23">
        <v>-2243360</v>
      </c>
      <c r="E3082" s="22" t="s">
        <v>45</v>
      </c>
      <c r="F3082" s="24">
        <v>44593</v>
      </c>
      <c r="G3082" s="22" t="s">
        <v>1037</v>
      </c>
      <c r="H3082" s="22"/>
      <c r="I3082" s="22" t="s">
        <v>1037</v>
      </c>
      <c r="J3082" s="22" t="s">
        <v>4401</v>
      </c>
      <c r="K3082" s="22" t="s">
        <v>61</v>
      </c>
      <c r="L3082" s="22"/>
      <c r="M3082" s="22"/>
      <c r="N3082" s="22"/>
    </row>
    <row r="3083" spans="1:14" x14ac:dyDescent="0.25">
      <c r="A3083" s="22" t="s">
        <v>1063</v>
      </c>
      <c r="B3083" s="22" t="s">
        <v>39</v>
      </c>
      <c r="C3083" s="22" t="s">
        <v>7691</v>
      </c>
      <c r="D3083" s="23">
        <v>-7400</v>
      </c>
      <c r="E3083" s="22" t="s">
        <v>57</v>
      </c>
      <c r="F3083" s="24">
        <v>44586</v>
      </c>
      <c r="G3083" s="22" t="s">
        <v>1037</v>
      </c>
      <c r="H3083" s="22" t="s">
        <v>375</v>
      </c>
      <c r="I3083" s="22" t="s">
        <v>1062</v>
      </c>
      <c r="J3083" s="22" t="s">
        <v>4552</v>
      </c>
      <c r="K3083" s="22" t="s">
        <v>61</v>
      </c>
      <c r="L3083" s="22"/>
      <c r="M3083" s="22"/>
      <c r="N3083" s="22"/>
    </row>
    <row r="3084" spans="1:14" x14ac:dyDescent="0.25">
      <c r="A3084" s="22" t="s">
        <v>1061</v>
      </c>
      <c r="B3084" s="22" t="s">
        <v>39</v>
      </c>
      <c r="C3084" s="22" t="s">
        <v>7691</v>
      </c>
      <c r="D3084" s="23">
        <v>-83200</v>
      </c>
      <c r="E3084" s="22" t="s">
        <v>57</v>
      </c>
      <c r="F3084" s="24">
        <v>44586</v>
      </c>
      <c r="G3084" s="22" t="s">
        <v>1037</v>
      </c>
      <c r="H3084" s="22" t="s">
        <v>375</v>
      </c>
      <c r="I3084" s="22" t="s">
        <v>1060</v>
      </c>
      <c r="J3084" s="22" t="s">
        <v>4552</v>
      </c>
      <c r="K3084" s="22" t="s">
        <v>61</v>
      </c>
      <c r="L3084" s="22"/>
      <c r="M3084" s="22"/>
      <c r="N3084" s="22"/>
    </row>
    <row r="3085" spans="1:14" x14ac:dyDescent="0.25">
      <c r="A3085" s="22" t="s">
        <v>1059</v>
      </c>
      <c r="B3085" s="22" t="s">
        <v>39</v>
      </c>
      <c r="C3085" s="22" t="s">
        <v>7701</v>
      </c>
      <c r="D3085" s="23">
        <v>-48200</v>
      </c>
      <c r="E3085" s="22" t="s">
        <v>57</v>
      </c>
      <c r="F3085" s="24">
        <v>44608</v>
      </c>
      <c r="G3085" s="22" t="s">
        <v>1037</v>
      </c>
      <c r="H3085" s="22" t="s">
        <v>375</v>
      </c>
      <c r="I3085" s="22" t="s">
        <v>1058</v>
      </c>
      <c r="J3085" s="22" t="s">
        <v>4466</v>
      </c>
      <c r="K3085" s="22" t="s">
        <v>61</v>
      </c>
      <c r="L3085" s="22"/>
      <c r="M3085" s="22"/>
      <c r="N3085" s="22"/>
    </row>
    <row r="3086" spans="1:14" x14ac:dyDescent="0.25">
      <c r="A3086" s="22" t="s">
        <v>1057</v>
      </c>
      <c r="B3086" s="22" t="s">
        <v>39</v>
      </c>
      <c r="C3086" s="22" t="s">
        <v>7701</v>
      </c>
      <c r="D3086" s="23">
        <v>-50400</v>
      </c>
      <c r="E3086" s="22" t="s">
        <v>57</v>
      </c>
      <c r="F3086" s="24">
        <v>44614</v>
      </c>
      <c r="G3086" s="22" t="s">
        <v>1037</v>
      </c>
      <c r="H3086" s="22" t="s">
        <v>375</v>
      </c>
      <c r="I3086" s="22" t="s">
        <v>1056</v>
      </c>
      <c r="J3086" s="22" t="s">
        <v>4466</v>
      </c>
      <c r="K3086" s="22" t="s">
        <v>61</v>
      </c>
      <c r="L3086" s="22"/>
      <c r="M3086" s="22"/>
      <c r="N3086" s="22"/>
    </row>
    <row r="3087" spans="1:14" x14ac:dyDescent="0.25">
      <c r="A3087" s="22" t="s">
        <v>1055</v>
      </c>
      <c r="B3087" s="22" t="s">
        <v>39</v>
      </c>
      <c r="C3087" s="22" t="s">
        <v>7698</v>
      </c>
      <c r="D3087" s="23">
        <v>-285764</v>
      </c>
      <c r="E3087" s="22" t="s">
        <v>57</v>
      </c>
      <c r="F3087" s="24">
        <v>44593</v>
      </c>
      <c r="G3087" s="22" t="s">
        <v>1037</v>
      </c>
      <c r="H3087" s="22" t="s">
        <v>1053</v>
      </c>
      <c r="I3087" s="22" t="s">
        <v>1054</v>
      </c>
      <c r="J3087" s="22" t="s">
        <v>4466</v>
      </c>
      <c r="K3087" s="22" t="s">
        <v>61</v>
      </c>
      <c r="L3087" s="22"/>
      <c r="M3087" s="22"/>
      <c r="N3087" s="22"/>
    </row>
    <row r="3088" spans="1:14" x14ac:dyDescent="0.25">
      <c r="A3088" s="22" t="s">
        <v>1052</v>
      </c>
      <c r="B3088" s="22" t="s">
        <v>39</v>
      </c>
      <c r="C3088" s="22" t="s">
        <v>7698</v>
      </c>
      <c r="D3088" s="23">
        <v>-206064</v>
      </c>
      <c r="E3088" s="22" t="s">
        <v>57</v>
      </c>
      <c r="F3088" s="24">
        <v>44597</v>
      </c>
      <c r="G3088" s="22" t="s">
        <v>1037</v>
      </c>
      <c r="H3088" s="22" t="s">
        <v>1053</v>
      </c>
      <c r="I3088" s="22" t="s">
        <v>1051</v>
      </c>
      <c r="J3088" s="22" t="s">
        <v>4466</v>
      </c>
      <c r="K3088" s="22" t="s">
        <v>61</v>
      </c>
      <c r="L3088" s="22"/>
      <c r="M3088" s="22"/>
      <c r="N3088" s="22"/>
    </row>
    <row r="3089" spans="1:14" x14ac:dyDescent="0.25">
      <c r="A3089" s="22" t="s">
        <v>1050</v>
      </c>
      <c r="B3089" s="22" t="s">
        <v>39</v>
      </c>
      <c r="C3089" s="22" t="s">
        <v>7698</v>
      </c>
      <c r="D3089" s="23">
        <v>-521090</v>
      </c>
      <c r="E3089" s="22" t="s">
        <v>57</v>
      </c>
      <c r="F3089" s="24">
        <v>44601</v>
      </c>
      <c r="G3089" s="22" t="s">
        <v>1037</v>
      </c>
      <c r="H3089" s="22" t="s">
        <v>375</v>
      </c>
      <c r="I3089" s="22" t="s">
        <v>1049</v>
      </c>
      <c r="J3089" s="22" t="s">
        <v>4466</v>
      </c>
      <c r="K3089" s="22" t="s">
        <v>61</v>
      </c>
      <c r="L3089" s="22"/>
      <c r="M3089" s="22"/>
      <c r="N3089" s="22"/>
    </row>
    <row r="3090" spans="1:14" x14ac:dyDescent="0.25">
      <c r="A3090" s="22" t="s">
        <v>1048</v>
      </c>
      <c r="B3090" s="22" t="s">
        <v>39</v>
      </c>
      <c r="C3090" s="22" t="s">
        <v>7698</v>
      </c>
      <c r="D3090" s="23">
        <v>-60961</v>
      </c>
      <c r="E3090" s="22" t="s">
        <v>57</v>
      </c>
      <c r="F3090" s="24">
        <v>44601</v>
      </c>
      <c r="G3090" s="22" t="s">
        <v>1037</v>
      </c>
      <c r="H3090" s="22" t="s">
        <v>375</v>
      </c>
      <c r="I3090" s="22" t="s">
        <v>1047</v>
      </c>
      <c r="J3090" s="22" t="s">
        <v>4466</v>
      </c>
      <c r="K3090" s="22" t="s">
        <v>61</v>
      </c>
      <c r="L3090" s="22"/>
      <c r="M3090" s="22"/>
      <c r="N3090" s="22"/>
    </row>
    <row r="3091" spans="1:14" x14ac:dyDescent="0.25">
      <c r="A3091" s="22" t="s">
        <v>1046</v>
      </c>
      <c r="B3091" s="22" t="s">
        <v>39</v>
      </c>
      <c r="C3091" s="22" t="s">
        <v>7698</v>
      </c>
      <c r="D3091" s="23">
        <v>-204334</v>
      </c>
      <c r="E3091" s="22" t="s">
        <v>57</v>
      </c>
      <c r="F3091" s="24">
        <v>44607</v>
      </c>
      <c r="G3091" s="22" t="s">
        <v>1037</v>
      </c>
      <c r="H3091" s="22" t="s">
        <v>375</v>
      </c>
      <c r="I3091" s="22" t="s">
        <v>1045</v>
      </c>
      <c r="J3091" s="22" t="s">
        <v>4466</v>
      </c>
      <c r="K3091" s="22" t="s">
        <v>61</v>
      </c>
      <c r="L3091" s="22"/>
      <c r="M3091" s="22"/>
      <c r="N3091" s="22"/>
    </row>
    <row r="3092" spans="1:14" x14ac:dyDescent="0.25">
      <c r="A3092" s="22" t="s">
        <v>1044</v>
      </c>
      <c r="B3092" s="22" t="s">
        <v>39</v>
      </c>
      <c r="C3092" s="22" t="s">
        <v>7698</v>
      </c>
      <c r="D3092" s="23">
        <v>-60961</v>
      </c>
      <c r="E3092" s="22" t="s">
        <v>57</v>
      </c>
      <c r="F3092" s="24">
        <v>44615</v>
      </c>
      <c r="G3092" s="22" t="s">
        <v>1037</v>
      </c>
      <c r="H3092" s="22" t="s">
        <v>375</v>
      </c>
      <c r="I3092" s="22" t="s">
        <v>1043</v>
      </c>
      <c r="J3092" s="22" t="s">
        <v>4466</v>
      </c>
      <c r="K3092" s="22" t="s">
        <v>61</v>
      </c>
      <c r="L3092" s="22"/>
      <c r="M3092" s="22"/>
      <c r="N3092" s="22"/>
    </row>
    <row r="3093" spans="1:14" x14ac:dyDescent="0.25">
      <c r="A3093" s="22" t="s">
        <v>1042</v>
      </c>
      <c r="B3093" s="22" t="s">
        <v>39</v>
      </c>
      <c r="C3093" s="22" t="s">
        <v>7698</v>
      </c>
      <c r="D3093" s="23">
        <v>-67735</v>
      </c>
      <c r="E3093" s="22" t="s">
        <v>57</v>
      </c>
      <c r="F3093" s="24">
        <v>44618</v>
      </c>
      <c r="G3093" s="22" t="s">
        <v>1037</v>
      </c>
      <c r="H3093" s="22" t="s">
        <v>375</v>
      </c>
      <c r="I3093" s="22" t="s">
        <v>1041</v>
      </c>
      <c r="J3093" s="22" t="s">
        <v>4466</v>
      </c>
      <c r="K3093" s="22" t="s">
        <v>61</v>
      </c>
      <c r="L3093" s="22"/>
      <c r="M3093" s="22"/>
      <c r="N3093" s="22"/>
    </row>
    <row r="3094" spans="1:14" x14ac:dyDescent="0.25">
      <c r="A3094" s="22" t="s">
        <v>1039</v>
      </c>
      <c r="B3094" s="22" t="s">
        <v>39</v>
      </c>
      <c r="C3094" s="22" t="s">
        <v>7698</v>
      </c>
      <c r="D3094" s="23">
        <v>-705551</v>
      </c>
      <c r="E3094" s="22" t="s">
        <v>45</v>
      </c>
      <c r="F3094" s="24">
        <v>44609</v>
      </c>
      <c r="G3094" s="22" t="s">
        <v>1037</v>
      </c>
      <c r="H3094" s="22" t="s">
        <v>1040</v>
      </c>
      <c r="I3094" s="22" t="s">
        <v>1038</v>
      </c>
      <c r="J3094" s="22" t="s">
        <v>4466</v>
      </c>
      <c r="K3094" s="22" t="s">
        <v>61</v>
      </c>
      <c r="L3094" s="22"/>
      <c r="M3094" s="22"/>
      <c r="N3094" s="22"/>
    </row>
    <row r="3095" spans="1:14" x14ac:dyDescent="0.25">
      <c r="A3095" s="22" t="s">
        <v>1036</v>
      </c>
      <c r="B3095" s="22" t="s">
        <v>39</v>
      </c>
      <c r="C3095" s="22" t="s">
        <v>3504</v>
      </c>
      <c r="D3095" s="23">
        <v>2243360</v>
      </c>
      <c r="E3095" s="22" t="s">
        <v>42</v>
      </c>
      <c r="F3095" s="24">
        <v>44670</v>
      </c>
      <c r="G3095" s="22" t="s">
        <v>1037</v>
      </c>
      <c r="H3095" s="22" t="s">
        <v>49</v>
      </c>
      <c r="I3095" s="22" t="s">
        <v>1035</v>
      </c>
      <c r="J3095" s="22" t="s">
        <v>4401</v>
      </c>
      <c r="K3095" s="22" t="s">
        <v>292</v>
      </c>
      <c r="L3095" s="22"/>
      <c r="M3095" s="22"/>
      <c r="N3095" s="22"/>
    </row>
    <row r="3096" spans="1:14" x14ac:dyDescent="0.25">
      <c r="A3096" s="22" t="s">
        <v>114</v>
      </c>
      <c r="B3096" s="22" t="s">
        <v>39</v>
      </c>
      <c r="C3096" s="22" t="s">
        <v>7695</v>
      </c>
      <c r="D3096" s="23">
        <v>-3000000</v>
      </c>
      <c r="E3096" s="22" t="s">
        <v>45</v>
      </c>
      <c r="F3096" s="24">
        <v>44621</v>
      </c>
      <c r="G3096" s="22" t="s">
        <v>942</v>
      </c>
      <c r="H3096" s="22"/>
      <c r="I3096" s="22" t="s">
        <v>942</v>
      </c>
      <c r="J3096" s="22" t="s">
        <v>4466</v>
      </c>
      <c r="K3096" s="22" t="s">
        <v>66</v>
      </c>
      <c r="L3096" s="22"/>
      <c r="M3096" s="22"/>
      <c r="N3096" s="22"/>
    </row>
    <row r="3097" spans="1:14" x14ac:dyDescent="0.25">
      <c r="A3097" s="22" t="s">
        <v>114</v>
      </c>
      <c r="B3097" s="22" t="s">
        <v>39</v>
      </c>
      <c r="C3097" s="22" t="s">
        <v>7695</v>
      </c>
      <c r="D3097" s="23">
        <v>6976803</v>
      </c>
      <c r="E3097" s="22" t="s">
        <v>45</v>
      </c>
      <c r="F3097" s="24">
        <v>44621</v>
      </c>
      <c r="G3097" s="22" t="s">
        <v>942</v>
      </c>
      <c r="H3097" s="22"/>
      <c r="I3097" s="22" t="s">
        <v>942</v>
      </c>
      <c r="J3097" s="22" t="s">
        <v>4401</v>
      </c>
      <c r="K3097" s="22" t="s">
        <v>66</v>
      </c>
      <c r="L3097" s="22"/>
      <c r="M3097" s="22"/>
      <c r="N3097" s="22"/>
    </row>
    <row r="3098" spans="1:14" x14ac:dyDescent="0.25">
      <c r="A3098" s="22" t="s">
        <v>114</v>
      </c>
      <c r="B3098" s="22" t="s">
        <v>39</v>
      </c>
      <c r="C3098" s="22" t="s">
        <v>113</v>
      </c>
      <c r="D3098" s="23">
        <v>-6976803</v>
      </c>
      <c r="E3098" s="22" t="s">
        <v>57</v>
      </c>
      <c r="F3098" s="24">
        <v>44621</v>
      </c>
      <c r="G3098" s="22" t="s">
        <v>942</v>
      </c>
      <c r="H3098" s="22" t="s">
        <v>943</v>
      </c>
      <c r="I3098" s="22" t="s">
        <v>116</v>
      </c>
      <c r="J3098" s="22" t="s">
        <v>4401</v>
      </c>
      <c r="K3098" s="22" t="s">
        <v>66</v>
      </c>
      <c r="L3098" s="22"/>
      <c r="M3098" s="22"/>
      <c r="N3098" s="22"/>
    </row>
    <row r="3099" spans="1:14" x14ac:dyDescent="0.25">
      <c r="A3099" s="22" t="s">
        <v>953</v>
      </c>
      <c r="B3099" s="22" t="s">
        <v>39</v>
      </c>
      <c r="C3099" s="22" t="s">
        <v>40</v>
      </c>
      <c r="D3099" s="23">
        <v>3000000</v>
      </c>
      <c r="E3099" s="22" t="s">
        <v>42</v>
      </c>
      <c r="F3099" s="24">
        <v>44635</v>
      </c>
      <c r="G3099" s="22" t="s">
        <v>942</v>
      </c>
      <c r="H3099" s="22" t="s">
        <v>520</v>
      </c>
      <c r="I3099" s="22" t="s">
        <v>952</v>
      </c>
      <c r="J3099" s="22" t="s">
        <v>4466</v>
      </c>
      <c r="K3099" s="22" t="s">
        <v>292</v>
      </c>
      <c r="L3099" s="22"/>
      <c r="M3099" s="22"/>
      <c r="N3099" s="22"/>
    </row>
    <row r="3100" spans="1:14" x14ac:dyDescent="0.25">
      <c r="A3100" s="22" t="s">
        <v>114</v>
      </c>
      <c r="B3100" s="22" t="s">
        <v>39</v>
      </c>
      <c r="C3100" s="22" t="s">
        <v>7695</v>
      </c>
      <c r="D3100" s="23">
        <v>976803</v>
      </c>
      <c r="E3100" s="22" t="s">
        <v>45</v>
      </c>
      <c r="F3100" s="24">
        <v>44621</v>
      </c>
      <c r="G3100" s="22" t="s">
        <v>954</v>
      </c>
      <c r="H3100" s="22"/>
      <c r="I3100" s="22" t="s">
        <v>954</v>
      </c>
      <c r="J3100" s="22" t="s">
        <v>4401</v>
      </c>
      <c r="K3100" s="22" t="s">
        <v>66</v>
      </c>
      <c r="L3100" s="22"/>
      <c r="M3100" s="22"/>
      <c r="N3100" s="22"/>
    </row>
    <row r="3101" spans="1:14" x14ac:dyDescent="0.25">
      <c r="A3101" s="22" t="s">
        <v>114</v>
      </c>
      <c r="B3101" s="22" t="s">
        <v>39</v>
      </c>
      <c r="C3101" s="22" t="s">
        <v>113</v>
      </c>
      <c r="D3101" s="23">
        <v>-3976803</v>
      </c>
      <c r="E3101" s="22" t="s">
        <v>45</v>
      </c>
      <c r="F3101" s="24">
        <v>44621</v>
      </c>
      <c r="G3101" s="22" t="s">
        <v>954</v>
      </c>
      <c r="H3101" s="22" t="s">
        <v>955</v>
      </c>
      <c r="I3101" s="22" t="s">
        <v>942</v>
      </c>
      <c r="J3101" s="22" t="s">
        <v>4401</v>
      </c>
      <c r="K3101" s="22" t="s">
        <v>66</v>
      </c>
      <c r="L3101" s="22"/>
      <c r="M3101" s="22"/>
      <c r="N3101" s="22"/>
    </row>
    <row r="3102" spans="1:14" x14ac:dyDescent="0.25">
      <c r="A3102" s="22" t="s">
        <v>957</v>
      </c>
      <c r="B3102" s="22" t="s">
        <v>39</v>
      </c>
      <c r="C3102" s="22" t="s">
        <v>40</v>
      </c>
      <c r="D3102" s="23">
        <v>3000000</v>
      </c>
      <c r="E3102" s="22" t="s">
        <v>42</v>
      </c>
      <c r="F3102" s="24">
        <v>44635</v>
      </c>
      <c r="G3102" s="22" t="s">
        <v>954</v>
      </c>
      <c r="H3102" s="22" t="s">
        <v>520</v>
      </c>
      <c r="I3102" s="22" t="s">
        <v>956</v>
      </c>
      <c r="J3102" s="22" t="s">
        <v>4401</v>
      </c>
      <c r="K3102" s="22" t="s">
        <v>292</v>
      </c>
      <c r="L3102" s="22"/>
      <c r="M3102" s="22"/>
      <c r="N3102" s="22"/>
    </row>
    <row r="3103" spans="1:14" x14ac:dyDescent="0.25">
      <c r="A3103" s="22" t="s">
        <v>959</v>
      </c>
      <c r="B3103" s="22" t="s">
        <v>39</v>
      </c>
      <c r="C3103" s="22" t="s">
        <v>7695</v>
      </c>
      <c r="D3103" s="23">
        <v>1388295</v>
      </c>
      <c r="E3103" s="22" t="s">
        <v>45</v>
      </c>
      <c r="F3103" s="24">
        <v>44606</v>
      </c>
      <c r="G3103" s="22" t="s">
        <v>958</v>
      </c>
      <c r="H3103" s="22"/>
      <c r="I3103" s="22" t="s">
        <v>958</v>
      </c>
      <c r="J3103" s="22" t="s">
        <v>4401</v>
      </c>
      <c r="K3103" s="22" t="s">
        <v>66</v>
      </c>
      <c r="L3103" s="22"/>
      <c r="M3103" s="22"/>
      <c r="N3103" s="22"/>
    </row>
    <row r="3104" spans="1:14" x14ac:dyDescent="0.25">
      <c r="A3104" s="22" t="s">
        <v>959</v>
      </c>
      <c r="B3104" s="22" t="s">
        <v>39</v>
      </c>
      <c r="C3104" s="22" t="s">
        <v>113</v>
      </c>
      <c r="D3104" s="23">
        <v>-1983095</v>
      </c>
      <c r="E3104" s="22" t="s">
        <v>57</v>
      </c>
      <c r="F3104" s="24">
        <v>44606</v>
      </c>
      <c r="G3104" s="22" t="s">
        <v>958</v>
      </c>
      <c r="H3104" s="22" t="s">
        <v>961</v>
      </c>
      <c r="I3104" s="22" t="s">
        <v>960</v>
      </c>
      <c r="J3104" s="22" t="s">
        <v>4401</v>
      </c>
      <c r="K3104" s="22" t="s">
        <v>66</v>
      </c>
      <c r="L3104" s="22"/>
      <c r="M3104" s="22"/>
      <c r="N3104" s="22"/>
    </row>
    <row r="3105" spans="1:14" x14ac:dyDescent="0.25">
      <c r="A3105" s="22" t="s">
        <v>1032</v>
      </c>
      <c r="B3105" s="22" t="s">
        <v>39</v>
      </c>
      <c r="C3105" s="22" t="s">
        <v>4403</v>
      </c>
      <c r="D3105" s="23">
        <v>594800</v>
      </c>
      <c r="E3105" s="22" t="s">
        <v>42</v>
      </c>
      <c r="F3105" s="24">
        <v>44635</v>
      </c>
      <c r="G3105" s="22" t="s">
        <v>958</v>
      </c>
      <c r="H3105" s="22" t="s">
        <v>49</v>
      </c>
      <c r="I3105" s="22" t="s">
        <v>1031</v>
      </c>
      <c r="J3105" s="22" t="s">
        <v>4401</v>
      </c>
      <c r="K3105" s="22" t="s">
        <v>292</v>
      </c>
      <c r="L3105" s="22"/>
      <c r="M3105" s="22"/>
      <c r="N3105" s="22"/>
    </row>
    <row r="3106" spans="1:14" x14ac:dyDescent="0.25">
      <c r="A3106" s="22" t="s">
        <v>959</v>
      </c>
      <c r="B3106" s="22" t="s">
        <v>39</v>
      </c>
      <c r="C3106" s="22" t="s">
        <v>7695</v>
      </c>
      <c r="D3106" s="23">
        <v>-669452</v>
      </c>
      <c r="E3106" s="22" t="s">
        <v>45</v>
      </c>
      <c r="F3106" s="24">
        <v>44606</v>
      </c>
      <c r="G3106" s="22" t="s">
        <v>1029</v>
      </c>
      <c r="H3106" s="22"/>
      <c r="I3106" s="22" t="s">
        <v>1029</v>
      </c>
      <c r="J3106" s="22" t="s">
        <v>4466</v>
      </c>
      <c r="K3106" s="22" t="s">
        <v>66</v>
      </c>
      <c r="L3106" s="22"/>
      <c r="M3106" s="22"/>
      <c r="N3106" s="22"/>
    </row>
    <row r="3107" spans="1:14" x14ac:dyDescent="0.25">
      <c r="A3107" s="22" t="s">
        <v>959</v>
      </c>
      <c r="B3107" s="22" t="s">
        <v>39</v>
      </c>
      <c r="C3107" s="22" t="s">
        <v>7695</v>
      </c>
      <c r="D3107" s="23">
        <v>1388295</v>
      </c>
      <c r="E3107" s="22" t="s">
        <v>45</v>
      </c>
      <c r="F3107" s="24">
        <v>44606</v>
      </c>
      <c r="G3107" s="22" t="s">
        <v>1029</v>
      </c>
      <c r="H3107" s="22"/>
      <c r="I3107" s="22" t="s">
        <v>1029</v>
      </c>
      <c r="J3107" s="22" t="s">
        <v>4401</v>
      </c>
      <c r="K3107" s="22" t="s">
        <v>66</v>
      </c>
      <c r="L3107" s="22"/>
      <c r="M3107" s="22"/>
      <c r="N3107" s="22"/>
    </row>
    <row r="3108" spans="1:14" x14ac:dyDescent="0.25">
      <c r="A3108" s="22" t="s">
        <v>959</v>
      </c>
      <c r="B3108" s="22" t="s">
        <v>39</v>
      </c>
      <c r="C3108" s="22" t="s">
        <v>113</v>
      </c>
      <c r="D3108" s="23">
        <v>-1388295</v>
      </c>
      <c r="E3108" s="22" t="s">
        <v>45</v>
      </c>
      <c r="F3108" s="24">
        <v>44606</v>
      </c>
      <c r="G3108" s="22" t="s">
        <v>1029</v>
      </c>
      <c r="H3108" s="22" t="s">
        <v>1030</v>
      </c>
      <c r="I3108" s="22" t="s">
        <v>958</v>
      </c>
      <c r="J3108" s="22" t="s">
        <v>4401</v>
      </c>
      <c r="K3108" s="22" t="s">
        <v>66</v>
      </c>
      <c r="L3108" s="22"/>
      <c r="M3108" s="22"/>
      <c r="N3108" s="22"/>
    </row>
    <row r="3109" spans="1:14" x14ac:dyDescent="0.25">
      <c r="A3109" s="22" t="s">
        <v>1028</v>
      </c>
      <c r="B3109" s="22" t="s">
        <v>39</v>
      </c>
      <c r="C3109" s="22" t="s">
        <v>4403</v>
      </c>
      <c r="D3109" s="23">
        <v>669452</v>
      </c>
      <c r="E3109" s="22" t="s">
        <v>42</v>
      </c>
      <c r="F3109" s="24">
        <v>44635</v>
      </c>
      <c r="G3109" s="22" t="s">
        <v>1029</v>
      </c>
      <c r="H3109" s="22" t="s">
        <v>49</v>
      </c>
      <c r="I3109" s="22" t="s">
        <v>1027</v>
      </c>
      <c r="J3109" s="22" t="s">
        <v>4466</v>
      </c>
      <c r="K3109" s="22" t="s">
        <v>292</v>
      </c>
      <c r="L3109" s="22"/>
      <c r="M3109" s="22"/>
      <c r="N3109" s="22"/>
    </row>
    <row r="3110" spans="1:14" x14ac:dyDescent="0.25">
      <c r="A3110" s="22" t="s">
        <v>1025</v>
      </c>
      <c r="B3110" s="22" t="s">
        <v>39</v>
      </c>
      <c r="C3110" s="22" t="s">
        <v>7695</v>
      </c>
      <c r="D3110" s="23">
        <v>4767661</v>
      </c>
      <c r="E3110" s="22" t="s">
        <v>45</v>
      </c>
      <c r="F3110" s="24">
        <v>44614</v>
      </c>
      <c r="G3110" s="22" t="s">
        <v>1023</v>
      </c>
      <c r="H3110" s="22"/>
      <c r="I3110" s="22" t="s">
        <v>1023</v>
      </c>
      <c r="J3110" s="22" t="s">
        <v>4401</v>
      </c>
      <c r="K3110" s="22" t="s">
        <v>66</v>
      </c>
      <c r="L3110" s="22"/>
      <c r="M3110" s="22"/>
      <c r="N3110" s="22"/>
    </row>
    <row r="3111" spans="1:14" x14ac:dyDescent="0.25">
      <c r="A3111" s="22" t="s">
        <v>1025</v>
      </c>
      <c r="B3111" s="22" t="s">
        <v>39</v>
      </c>
      <c r="C3111" s="22" t="s">
        <v>113</v>
      </c>
      <c r="D3111" s="23">
        <v>-5088525</v>
      </c>
      <c r="E3111" s="22" t="s">
        <v>57</v>
      </c>
      <c r="F3111" s="24">
        <v>44614</v>
      </c>
      <c r="G3111" s="22" t="s">
        <v>1023</v>
      </c>
      <c r="H3111" s="22" t="s">
        <v>1026</v>
      </c>
      <c r="I3111" s="22" t="s">
        <v>1024</v>
      </c>
      <c r="J3111" s="22" t="s">
        <v>4401</v>
      </c>
      <c r="K3111" s="22" t="s">
        <v>66</v>
      </c>
      <c r="L3111" s="22"/>
      <c r="M3111" s="22"/>
      <c r="N3111" s="22"/>
    </row>
    <row r="3112" spans="1:14" x14ac:dyDescent="0.25">
      <c r="A3112" s="22" t="s">
        <v>1022</v>
      </c>
      <c r="B3112" s="22" t="s">
        <v>39</v>
      </c>
      <c r="C3112" s="22" t="s">
        <v>3566</v>
      </c>
      <c r="D3112" s="23">
        <v>320864</v>
      </c>
      <c r="E3112" s="22" t="s">
        <v>42</v>
      </c>
      <c r="F3112" s="24">
        <v>44635</v>
      </c>
      <c r="G3112" s="22" t="s">
        <v>1023</v>
      </c>
      <c r="H3112" s="22" t="s">
        <v>49</v>
      </c>
      <c r="I3112" s="22" t="s">
        <v>1021</v>
      </c>
      <c r="J3112" s="22" t="s">
        <v>4401</v>
      </c>
      <c r="K3112" s="22" t="s">
        <v>292</v>
      </c>
      <c r="L3112" s="22"/>
      <c r="M3112" s="22"/>
      <c r="N3112" s="22"/>
    </row>
    <row r="3113" spans="1:14" x14ac:dyDescent="0.25">
      <c r="A3113" s="22" t="s">
        <v>983</v>
      </c>
      <c r="B3113" s="22" t="s">
        <v>39</v>
      </c>
      <c r="C3113" s="22" t="s">
        <v>7695</v>
      </c>
      <c r="D3113" s="23">
        <v>910703</v>
      </c>
      <c r="E3113" s="22" t="s">
        <v>45</v>
      </c>
      <c r="F3113" s="24">
        <v>44670</v>
      </c>
      <c r="G3113" s="22" t="s">
        <v>984</v>
      </c>
      <c r="H3113" s="22"/>
      <c r="I3113" s="22" t="s">
        <v>984</v>
      </c>
      <c r="J3113" s="22" t="s">
        <v>4466</v>
      </c>
      <c r="K3113" s="22" t="s">
        <v>292</v>
      </c>
      <c r="L3113" s="22"/>
      <c r="M3113" s="22"/>
      <c r="N3113" s="22"/>
    </row>
    <row r="3114" spans="1:14" x14ac:dyDescent="0.25">
      <c r="A3114" s="22" t="s">
        <v>983</v>
      </c>
      <c r="B3114" s="22" t="s">
        <v>39</v>
      </c>
      <c r="C3114" s="22" t="s">
        <v>7695</v>
      </c>
      <c r="D3114" s="23">
        <v>-1390734</v>
      </c>
      <c r="E3114" s="22" t="s">
        <v>45</v>
      </c>
      <c r="F3114" s="24">
        <v>44670</v>
      </c>
      <c r="G3114" s="22" t="s">
        <v>984</v>
      </c>
      <c r="H3114" s="22"/>
      <c r="I3114" s="22" t="s">
        <v>984</v>
      </c>
      <c r="J3114" s="22" t="s">
        <v>4401</v>
      </c>
      <c r="K3114" s="22" t="s">
        <v>292</v>
      </c>
      <c r="L3114" s="22"/>
      <c r="M3114" s="22"/>
      <c r="N3114" s="22"/>
    </row>
    <row r="3115" spans="1:14" x14ac:dyDescent="0.25">
      <c r="A3115" s="22" t="s">
        <v>1019</v>
      </c>
      <c r="B3115" s="22" t="s">
        <v>39</v>
      </c>
      <c r="C3115" s="22" t="s">
        <v>7701</v>
      </c>
      <c r="D3115" s="23">
        <v>-32300</v>
      </c>
      <c r="E3115" s="22" t="s">
        <v>57</v>
      </c>
      <c r="F3115" s="24">
        <v>44606</v>
      </c>
      <c r="G3115" s="22" t="s">
        <v>984</v>
      </c>
      <c r="H3115" s="22" t="s">
        <v>1020</v>
      </c>
      <c r="I3115" s="22" t="s">
        <v>1018</v>
      </c>
      <c r="J3115" s="22" t="s">
        <v>4466</v>
      </c>
      <c r="K3115" s="22" t="s">
        <v>61</v>
      </c>
      <c r="L3115" s="22"/>
      <c r="M3115" s="22"/>
      <c r="N3115" s="22"/>
    </row>
    <row r="3116" spans="1:14" x14ac:dyDescent="0.25">
      <c r="A3116" s="22" t="s">
        <v>1017</v>
      </c>
      <c r="B3116" s="22" t="s">
        <v>39</v>
      </c>
      <c r="C3116" s="22" t="s">
        <v>7701</v>
      </c>
      <c r="D3116" s="23">
        <v>-127700</v>
      </c>
      <c r="E3116" s="22" t="s">
        <v>57</v>
      </c>
      <c r="F3116" s="24">
        <v>44608</v>
      </c>
      <c r="G3116" s="22" t="s">
        <v>984</v>
      </c>
      <c r="H3116" s="22" t="s">
        <v>919</v>
      </c>
      <c r="I3116" s="22" t="s">
        <v>1016</v>
      </c>
      <c r="J3116" s="22" t="s">
        <v>4466</v>
      </c>
      <c r="K3116" s="22" t="s">
        <v>61</v>
      </c>
      <c r="L3116" s="22"/>
      <c r="M3116" s="22"/>
      <c r="N3116" s="22"/>
    </row>
    <row r="3117" spans="1:14" x14ac:dyDescent="0.25">
      <c r="A3117" s="22" t="s">
        <v>1014</v>
      </c>
      <c r="B3117" s="22" t="s">
        <v>39</v>
      </c>
      <c r="C3117" s="22" t="s">
        <v>7698</v>
      </c>
      <c r="D3117" s="23">
        <v>-307226</v>
      </c>
      <c r="E3117" s="22" t="s">
        <v>57</v>
      </c>
      <c r="F3117" s="24">
        <v>44595</v>
      </c>
      <c r="G3117" s="22" t="s">
        <v>984</v>
      </c>
      <c r="H3117" s="22" t="s">
        <v>1015</v>
      </c>
      <c r="I3117" s="22" t="s">
        <v>1013</v>
      </c>
      <c r="J3117" s="22" t="s">
        <v>4466</v>
      </c>
      <c r="K3117" s="22" t="s">
        <v>61</v>
      </c>
      <c r="L3117" s="22"/>
      <c r="M3117" s="22"/>
      <c r="N3117" s="22"/>
    </row>
    <row r="3118" spans="1:14" x14ac:dyDescent="0.25">
      <c r="A3118" s="22" t="s">
        <v>1011</v>
      </c>
      <c r="B3118" s="22" t="s">
        <v>39</v>
      </c>
      <c r="C3118" s="22" t="s">
        <v>7698</v>
      </c>
      <c r="D3118" s="23">
        <v>-59100</v>
      </c>
      <c r="E3118" s="22" t="s">
        <v>57</v>
      </c>
      <c r="F3118" s="24">
        <v>44595</v>
      </c>
      <c r="G3118" s="22" t="s">
        <v>984</v>
      </c>
      <c r="H3118" s="22" t="s">
        <v>1012</v>
      </c>
      <c r="I3118" s="22" t="s">
        <v>1010</v>
      </c>
      <c r="J3118" s="22" t="s">
        <v>4466</v>
      </c>
      <c r="K3118" s="22" t="s">
        <v>61</v>
      </c>
      <c r="L3118" s="22"/>
      <c r="M3118" s="22"/>
      <c r="N3118" s="22"/>
    </row>
    <row r="3119" spans="1:14" x14ac:dyDescent="0.25">
      <c r="A3119" s="22" t="s">
        <v>1008</v>
      </c>
      <c r="B3119" s="22" t="s">
        <v>39</v>
      </c>
      <c r="C3119" s="22" t="s">
        <v>7698</v>
      </c>
      <c r="D3119" s="23">
        <v>-104457</v>
      </c>
      <c r="E3119" s="22" t="s">
        <v>57</v>
      </c>
      <c r="F3119" s="24">
        <v>44597</v>
      </c>
      <c r="G3119" s="22" t="s">
        <v>984</v>
      </c>
      <c r="H3119" s="22" t="s">
        <v>1009</v>
      </c>
      <c r="I3119" s="22" t="s">
        <v>1007</v>
      </c>
      <c r="J3119" s="22" t="s">
        <v>4466</v>
      </c>
      <c r="K3119" s="22" t="s">
        <v>61</v>
      </c>
      <c r="L3119" s="22"/>
      <c r="M3119" s="22"/>
      <c r="N3119" s="22"/>
    </row>
    <row r="3120" spans="1:14" x14ac:dyDescent="0.25">
      <c r="A3120" s="22" t="s">
        <v>1005</v>
      </c>
      <c r="B3120" s="22" t="s">
        <v>39</v>
      </c>
      <c r="C3120" s="22" t="s">
        <v>7698</v>
      </c>
      <c r="D3120" s="23">
        <v>-279920</v>
      </c>
      <c r="E3120" s="22" t="s">
        <v>57</v>
      </c>
      <c r="F3120" s="24">
        <v>44607</v>
      </c>
      <c r="G3120" s="22" t="s">
        <v>984</v>
      </c>
      <c r="H3120" s="22" t="s">
        <v>1006</v>
      </c>
      <c r="I3120" s="22" t="s">
        <v>1004</v>
      </c>
      <c r="J3120" s="22" t="s">
        <v>4466</v>
      </c>
      <c r="K3120" s="22" t="s">
        <v>61</v>
      </c>
      <c r="L3120" s="22"/>
      <c r="M3120" s="22"/>
      <c r="N3120" s="22"/>
    </row>
    <row r="3121" spans="1:14" x14ac:dyDescent="0.25">
      <c r="A3121" s="22" t="s">
        <v>1002</v>
      </c>
      <c r="B3121" s="22" t="s">
        <v>39</v>
      </c>
      <c r="C3121" s="22" t="s">
        <v>113</v>
      </c>
      <c r="D3121" s="23">
        <v>-78399</v>
      </c>
      <c r="E3121" s="22" t="s">
        <v>57</v>
      </c>
      <c r="F3121" s="24">
        <v>44600</v>
      </c>
      <c r="G3121" s="22" t="s">
        <v>984</v>
      </c>
      <c r="H3121" s="22" t="s">
        <v>1003</v>
      </c>
      <c r="I3121" s="22" t="s">
        <v>1001</v>
      </c>
      <c r="J3121" s="22" t="s">
        <v>4401</v>
      </c>
      <c r="K3121" s="22" t="s">
        <v>66</v>
      </c>
      <c r="L3121" s="22"/>
      <c r="M3121" s="22"/>
      <c r="N3121" s="22"/>
    </row>
    <row r="3122" spans="1:14" x14ac:dyDescent="0.25">
      <c r="A3122" s="22" t="s">
        <v>1000</v>
      </c>
      <c r="B3122" s="22" t="s">
        <v>39</v>
      </c>
      <c r="C3122" s="22" t="s">
        <v>113</v>
      </c>
      <c r="D3122" s="23">
        <v>-230000</v>
      </c>
      <c r="E3122" s="22" t="s">
        <v>57</v>
      </c>
      <c r="F3122" s="24">
        <v>44600</v>
      </c>
      <c r="G3122" s="22" t="s">
        <v>984</v>
      </c>
      <c r="H3122" s="22" t="s">
        <v>298</v>
      </c>
      <c r="I3122" s="22" t="s">
        <v>999</v>
      </c>
      <c r="J3122" s="22" t="s">
        <v>4401</v>
      </c>
      <c r="K3122" s="22" t="s">
        <v>66</v>
      </c>
      <c r="L3122" s="22"/>
      <c r="M3122" s="22"/>
      <c r="N3122" s="22"/>
    </row>
    <row r="3123" spans="1:14" x14ac:dyDescent="0.25">
      <c r="A3123" s="22" t="s">
        <v>997</v>
      </c>
      <c r="B3123" s="22" t="s">
        <v>39</v>
      </c>
      <c r="C3123" s="22" t="s">
        <v>113</v>
      </c>
      <c r="D3123" s="23">
        <v>-103500</v>
      </c>
      <c r="E3123" s="22" t="s">
        <v>57</v>
      </c>
      <c r="F3123" s="24">
        <v>44609</v>
      </c>
      <c r="G3123" s="22" t="s">
        <v>984</v>
      </c>
      <c r="H3123" s="22" t="s">
        <v>998</v>
      </c>
      <c r="I3123" s="22" t="s">
        <v>996</v>
      </c>
      <c r="J3123" s="22" t="s">
        <v>4401</v>
      </c>
      <c r="K3123" s="22" t="s">
        <v>66</v>
      </c>
      <c r="L3123" s="22"/>
      <c r="M3123" s="22"/>
      <c r="N3123" s="22"/>
    </row>
    <row r="3124" spans="1:14" x14ac:dyDescent="0.25">
      <c r="A3124" s="22" t="s">
        <v>994</v>
      </c>
      <c r="B3124" s="22" t="s">
        <v>39</v>
      </c>
      <c r="C3124" s="22" t="s">
        <v>113</v>
      </c>
      <c r="D3124" s="23">
        <v>-125100</v>
      </c>
      <c r="E3124" s="22" t="s">
        <v>57</v>
      </c>
      <c r="F3124" s="24">
        <v>44614</v>
      </c>
      <c r="G3124" s="22" t="s">
        <v>984</v>
      </c>
      <c r="H3124" s="22" t="s">
        <v>995</v>
      </c>
      <c r="I3124" s="22" t="s">
        <v>993</v>
      </c>
      <c r="J3124" s="22" t="s">
        <v>4401</v>
      </c>
      <c r="K3124" s="22" t="s">
        <v>66</v>
      </c>
      <c r="L3124" s="22"/>
      <c r="M3124" s="22"/>
      <c r="N3124" s="22"/>
    </row>
    <row r="3125" spans="1:14" x14ac:dyDescent="0.25">
      <c r="A3125" s="22" t="s">
        <v>991</v>
      </c>
      <c r="B3125" s="22" t="s">
        <v>39</v>
      </c>
      <c r="C3125" s="22" t="s">
        <v>7696</v>
      </c>
      <c r="D3125" s="23">
        <v>-36000</v>
      </c>
      <c r="E3125" s="22" t="s">
        <v>57</v>
      </c>
      <c r="F3125" s="24">
        <v>44603</v>
      </c>
      <c r="G3125" s="22" t="s">
        <v>984</v>
      </c>
      <c r="H3125" s="22" t="s">
        <v>992</v>
      </c>
      <c r="I3125" s="22" t="s">
        <v>990</v>
      </c>
      <c r="J3125" s="22" t="s">
        <v>4401</v>
      </c>
      <c r="K3125" s="22" t="s">
        <v>66</v>
      </c>
      <c r="L3125" s="22"/>
      <c r="M3125" s="22"/>
      <c r="N3125" s="22"/>
    </row>
    <row r="3126" spans="1:14" x14ac:dyDescent="0.25">
      <c r="A3126" s="22" t="s">
        <v>988</v>
      </c>
      <c r="B3126" s="22" t="s">
        <v>39</v>
      </c>
      <c r="C3126" s="22" t="s">
        <v>7696</v>
      </c>
      <c r="D3126" s="23">
        <v>-34700</v>
      </c>
      <c r="E3126" s="22" t="s">
        <v>57</v>
      </c>
      <c r="F3126" s="24">
        <v>44606</v>
      </c>
      <c r="G3126" s="22" t="s">
        <v>984</v>
      </c>
      <c r="H3126" s="22" t="s">
        <v>989</v>
      </c>
      <c r="I3126" s="22" t="s">
        <v>987</v>
      </c>
      <c r="J3126" s="22" t="s">
        <v>4401</v>
      </c>
      <c r="K3126" s="22" t="s">
        <v>66</v>
      </c>
      <c r="L3126" s="22"/>
      <c r="M3126" s="22"/>
      <c r="N3126" s="22"/>
    </row>
    <row r="3127" spans="1:14" x14ac:dyDescent="0.25">
      <c r="A3127" s="22" t="s">
        <v>986</v>
      </c>
      <c r="B3127" s="22" t="s">
        <v>39</v>
      </c>
      <c r="C3127" s="22" t="s">
        <v>7696</v>
      </c>
      <c r="D3127" s="23">
        <v>-303700</v>
      </c>
      <c r="E3127" s="22" t="s">
        <v>57</v>
      </c>
      <c r="F3127" s="24">
        <v>44614</v>
      </c>
      <c r="G3127" s="22" t="s">
        <v>984</v>
      </c>
      <c r="H3127" s="22" t="s">
        <v>550</v>
      </c>
      <c r="I3127" s="22" t="s">
        <v>985</v>
      </c>
      <c r="J3127" s="22" t="s">
        <v>4401</v>
      </c>
      <c r="K3127" s="22" t="s">
        <v>66</v>
      </c>
      <c r="L3127" s="22"/>
      <c r="M3127" s="22"/>
      <c r="N3127" s="22"/>
    </row>
    <row r="3128" spans="1:14" x14ac:dyDescent="0.25">
      <c r="A3128" s="22" t="s">
        <v>983</v>
      </c>
      <c r="B3128" s="22" t="s">
        <v>39</v>
      </c>
      <c r="C3128" s="22" t="s">
        <v>3566</v>
      </c>
      <c r="D3128" s="23">
        <v>2302133</v>
      </c>
      <c r="E3128" s="22" t="s">
        <v>42</v>
      </c>
      <c r="F3128" s="24">
        <v>44670</v>
      </c>
      <c r="G3128" s="22" t="s">
        <v>984</v>
      </c>
      <c r="H3128" s="22" t="s">
        <v>49</v>
      </c>
      <c r="I3128" s="22" t="s">
        <v>982</v>
      </c>
      <c r="J3128" s="22" t="s">
        <v>4401</v>
      </c>
      <c r="K3128" s="22" t="s">
        <v>292</v>
      </c>
      <c r="L3128" s="22"/>
      <c r="M3128" s="22"/>
      <c r="N3128" s="22"/>
    </row>
    <row r="3129" spans="1:14" x14ac:dyDescent="0.25">
      <c r="A3129" s="22" t="s">
        <v>1183</v>
      </c>
      <c r="B3129" s="22" t="s">
        <v>39</v>
      </c>
      <c r="C3129" s="22" t="s">
        <v>7695</v>
      </c>
      <c r="D3129" s="23">
        <v>17814</v>
      </c>
      <c r="E3129" s="22" t="s">
        <v>45</v>
      </c>
      <c r="F3129" s="24">
        <v>44614</v>
      </c>
      <c r="G3129" s="22" t="s">
        <v>1182</v>
      </c>
      <c r="H3129" s="22"/>
      <c r="I3129" s="22" t="s">
        <v>1182</v>
      </c>
      <c r="J3129" s="22" t="s">
        <v>4466</v>
      </c>
      <c r="K3129" s="22" t="s">
        <v>61</v>
      </c>
      <c r="L3129" s="22"/>
      <c r="M3129" s="22"/>
      <c r="N3129" s="22"/>
    </row>
    <row r="3130" spans="1:14" x14ac:dyDescent="0.25">
      <c r="A3130" s="22" t="s">
        <v>1183</v>
      </c>
      <c r="B3130" s="22" t="s">
        <v>39</v>
      </c>
      <c r="C3130" s="22" t="s">
        <v>7698</v>
      </c>
      <c r="D3130" s="23">
        <v>-92375</v>
      </c>
      <c r="E3130" s="22" t="s">
        <v>57</v>
      </c>
      <c r="F3130" s="24">
        <v>44614</v>
      </c>
      <c r="G3130" s="22" t="s">
        <v>1182</v>
      </c>
      <c r="H3130" s="22" t="s">
        <v>1244</v>
      </c>
      <c r="I3130" s="22" t="s">
        <v>1243</v>
      </c>
      <c r="J3130" s="22" t="s">
        <v>4466</v>
      </c>
      <c r="K3130" s="22" t="s">
        <v>61</v>
      </c>
      <c r="L3130" s="22"/>
      <c r="M3130" s="22"/>
      <c r="N3130" s="22"/>
    </row>
    <row r="3131" spans="1:14" x14ac:dyDescent="0.25">
      <c r="A3131" s="22" t="s">
        <v>1242</v>
      </c>
      <c r="B3131" s="22" t="s">
        <v>39</v>
      </c>
      <c r="C3131" s="22" t="s">
        <v>3643</v>
      </c>
      <c r="D3131" s="23">
        <v>74561</v>
      </c>
      <c r="E3131" s="22" t="s">
        <v>42</v>
      </c>
      <c r="F3131" s="24">
        <v>44635</v>
      </c>
      <c r="G3131" s="22" t="s">
        <v>1182</v>
      </c>
      <c r="H3131" s="22" t="s">
        <v>49</v>
      </c>
      <c r="I3131" s="22" t="s">
        <v>1241</v>
      </c>
      <c r="J3131" s="22" t="s">
        <v>4466</v>
      </c>
      <c r="K3131" s="22" t="s">
        <v>292</v>
      </c>
      <c r="L3131" s="22"/>
      <c r="M3131" s="22"/>
      <c r="N3131" s="22"/>
    </row>
    <row r="3132" spans="1:14" x14ac:dyDescent="0.25">
      <c r="A3132" s="22" t="s">
        <v>1234</v>
      </c>
      <c r="B3132" s="22" t="s">
        <v>39</v>
      </c>
      <c r="C3132" s="22" t="s">
        <v>7695</v>
      </c>
      <c r="D3132" s="23">
        <v>1675454</v>
      </c>
      <c r="E3132" s="22" t="s">
        <v>45</v>
      </c>
      <c r="F3132" s="24">
        <v>44605</v>
      </c>
      <c r="G3132" s="22" t="s">
        <v>1233</v>
      </c>
      <c r="H3132" s="22"/>
      <c r="I3132" s="22" t="s">
        <v>1233</v>
      </c>
      <c r="J3132" s="22" t="s">
        <v>4401</v>
      </c>
      <c r="K3132" s="22" t="s">
        <v>66</v>
      </c>
      <c r="L3132" s="22"/>
      <c r="M3132" s="22"/>
      <c r="N3132" s="22"/>
    </row>
    <row r="3133" spans="1:14" x14ac:dyDescent="0.25">
      <c r="A3133" s="22" t="s">
        <v>1234</v>
      </c>
      <c r="B3133" s="22" t="s">
        <v>39</v>
      </c>
      <c r="C3133" s="22" t="s">
        <v>113</v>
      </c>
      <c r="D3133" s="23">
        <v>-2548953</v>
      </c>
      <c r="E3133" s="22" t="s">
        <v>57</v>
      </c>
      <c r="F3133" s="24">
        <v>44605</v>
      </c>
      <c r="G3133" s="22" t="s">
        <v>1233</v>
      </c>
      <c r="H3133" s="22" t="s">
        <v>1240</v>
      </c>
      <c r="I3133" s="22" t="s">
        <v>1239</v>
      </c>
      <c r="J3133" s="22" t="s">
        <v>4401</v>
      </c>
      <c r="K3133" s="22" t="s">
        <v>66</v>
      </c>
      <c r="L3133" s="22"/>
      <c r="M3133" s="22"/>
      <c r="N3133" s="22"/>
    </row>
    <row r="3134" spans="1:14" x14ac:dyDescent="0.25">
      <c r="A3134" s="22" t="s">
        <v>1238</v>
      </c>
      <c r="B3134" s="22" t="s">
        <v>39</v>
      </c>
      <c r="C3134" s="22" t="s">
        <v>3643</v>
      </c>
      <c r="D3134" s="23">
        <v>873499</v>
      </c>
      <c r="E3134" s="22" t="s">
        <v>42</v>
      </c>
      <c r="F3134" s="24">
        <v>44635</v>
      </c>
      <c r="G3134" s="22" t="s">
        <v>1233</v>
      </c>
      <c r="H3134" s="22" t="s">
        <v>49</v>
      </c>
      <c r="I3134" s="22" t="s">
        <v>1237</v>
      </c>
      <c r="J3134" s="22" t="s">
        <v>4401</v>
      </c>
      <c r="K3134" s="22" t="s">
        <v>292</v>
      </c>
      <c r="L3134" s="22"/>
      <c r="M3134" s="22"/>
      <c r="N3134" s="22"/>
    </row>
    <row r="3135" spans="1:14" x14ac:dyDescent="0.25">
      <c r="A3135" s="22" t="s">
        <v>948</v>
      </c>
      <c r="B3135" s="22" t="s">
        <v>39</v>
      </c>
      <c r="C3135" s="22" t="s">
        <v>7695</v>
      </c>
      <c r="D3135" s="23">
        <v>93727</v>
      </c>
      <c r="E3135" s="22" t="s">
        <v>45</v>
      </c>
      <c r="F3135" s="24">
        <v>44588</v>
      </c>
      <c r="G3135" s="22" t="s">
        <v>1180</v>
      </c>
      <c r="H3135" s="22"/>
      <c r="I3135" s="22" t="s">
        <v>1180</v>
      </c>
      <c r="J3135" s="22" t="s">
        <v>4466</v>
      </c>
      <c r="K3135" s="22" t="s">
        <v>66</v>
      </c>
      <c r="L3135" s="22"/>
      <c r="M3135" s="22"/>
      <c r="N3135" s="22"/>
    </row>
    <row r="3136" spans="1:14" x14ac:dyDescent="0.25">
      <c r="A3136" s="22" t="s">
        <v>948</v>
      </c>
      <c r="B3136" s="22" t="s">
        <v>39</v>
      </c>
      <c r="C3136" s="22" t="s">
        <v>7695</v>
      </c>
      <c r="D3136" s="23">
        <v>-78503</v>
      </c>
      <c r="E3136" s="22" t="s">
        <v>45</v>
      </c>
      <c r="F3136" s="24">
        <v>44588</v>
      </c>
      <c r="G3136" s="22" t="s">
        <v>1180</v>
      </c>
      <c r="H3136" s="22"/>
      <c r="I3136" s="22" t="s">
        <v>1180</v>
      </c>
      <c r="J3136" s="22" t="s">
        <v>4401</v>
      </c>
      <c r="K3136" s="22" t="s">
        <v>66</v>
      </c>
      <c r="L3136" s="22"/>
      <c r="M3136" s="22"/>
      <c r="N3136" s="22"/>
    </row>
    <row r="3137" spans="1:14" x14ac:dyDescent="0.25">
      <c r="A3137" s="22" t="s">
        <v>1186</v>
      </c>
      <c r="B3137" s="22" t="s">
        <v>39</v>
      </c>
      <c r="C3137" s="22" t="s">
        <v>7698</v>
      </c>
      <c r="D3137" s="23">
        <v>-75913</v>
      </c>
      <c r="E3137" s="22" t="s">
        <v>45</v>
      </c>
      <c r="F3137" s="24">
        <v>44609</v>
      </c>
      <c r="G3137" s="22" t="s">
        <v>1180</v>
      </c>
      <c r="H3137" s="22" t="s">
        <v>1187</v>
      </c>
      <c r="I3137" s="22" t="s">
        <v>1185</v>
      </c>
      <c r="J3137" s="22" t="s">
        <v>4466</v>
      </c>
      <c r="K3137" s="22" t="s">
        <v>61</v>
      </c>
      <c r="L3137" s="22"/>
      <c r="M3137" s="22"/>
      <c r="N3137" s="22"/>
    </row>
    <row r="3138" spans="1:14" x14ac:dyDescent="0.25">
      <c r="A3138" s="22" t="s">
        <v>1183</v>
      </c>
      <c r="B3138" s="22" t="s">
        <v>39</v>
      </c>
      <c r="C3138" s="22" t="s">
        <v>7698</v>
      </c>
      <c r="D3138" s="23">
        <v>-17814</v>
      </c>
      <c r="E3138" s="22" t="s">
        <v>45</v>
      </c>
      <c r="F3138" s="24">
        <v>44614</v>
      </c>
      <c r="G3138" s="22" t="s">
        <v>1180</v>
      </c>
      <c r="H3138" s="22" t="s">
        <v>1184</v>
      </c>
      <c r="I3138" s="22" t="s">
        <v>1182</v>
      </c>
      <c r="J3138" s="22" t="s">
        <v>4466</v>
      </c>
      <c r="K3138" s="22" t="s">
        <v>61</v>
      </c>
      <c r="L3138" s="22"/>
      <c r="M3138" s="22"/>
      <c r="N3138" s="22"/>
    </row>
    <row r="3139" spans="1:14" x14ac:dyDescent="0.25">
      <c r="A3139" s="22" t="s">
        <v>948</v>
      </c>
      <c r="B3139" s="22" t="s">
        <v>39</v>
      </c>
      <c r="C3139" s="22" t="s">
        <v>120</v>
      </c>
      <c r="D3139" s="23">
        <v>-228172</v>
      </c>
      <c r="E3139" s="22" t="s">
        <v>45</v>
      </c>
      <c r="F3139" s="24">
        <v>44588</v>
      </c>
      <c r="G3139" s="22" t="s">
        <v>1180</v>
      </c>
      <c r="H3139" s="22" t="s">
        <v>1181</v>
      </c>
      <c r="I3139" s="22" t="s">
        <v>946</v>
      </c>
      <c r="J3139" s="22" t="s">
        <v>4401</v>
      </c>
      <c r="K3139" s="22" t="s">
        <v>66</v>
      </c>
      <c r="L3139" s="22"/>
      <c r="M3139" s="22"/>
      <c r="N3139" s="22"/>
    </row>
    <row r="3140" spans="1:14" x14ac:dyDescent="0.25">
      <c r="A3140" s="22" t="s">
        <v>1179</v>
      </c>
      <c r="B3140" s="22" t="s">
        <v>39</v>
      </c>
      <c r="C3140" s="22" t="s">
        <v>3480</v>
      </c>
      <c r="D3140" s="23">
        <v>306675</v>
      </c>
      <c r="E3140" s="22" t="s">
        <v>42</v>
      </c>
      <c r="F3140" s="24">
        <v>44635</v>
      </c>
      <c r="G3140" s="22" t="s">
        <v>1180</v>
      </c>
      <c r="H3140" s="22" t="s">
        <v>49</v>
      </c>
      <c r="I3140" s="22" t="s">
        <v>1178</v>
      </c>
      <c r="J3140" s="22" t="s">
        <v>4401</v>
      </c>
      <c r="K3140" s="22" t="s">
        <v>292</v>
      </c>
      <c r="L3140" s="22"/>
      <c r="M3140" s="22"/>
      <c r="N3140" s="22"/>
    </row>
    <row r="3141" spans="1:14" x14ac:dyDescent="0.25">
      <c r="A3141" s="22" t="s">
        <v>959</v>
      </c>
      <c r="B3141" s="22" t="s">
        <v>39</v>
      </c>
      <c r="C3141" s="22" t="s">
        <v>7695</v>
      </c>
      <c r="D3141" s="23">
        <v>-1819312</v>
      </c>
      <c r="E3141" s="22" t="s">
        <v>45</v>
      </c>
      <c r="F3141" s="24">
        <v>44606</v>
      </c>
      <c r="G3141" s="22" t="s">
        <v>1210</v>
      </c>
      <c r="H3141" s="22"/>
      <c r="I3141" s="22" t="s">
        <v>1210</v>
      </c>
      <c r="J3141" s="22" t="s">
        <v>4466</v>
      </c>
      <c r="K3141" s="22" t="s">
        <v>66</v>
      </c>
      <c r="L3141" s="22"/>
      <c r="M3141" s="22"/>
      <c r="N3141" s="22"/>
    </row>
    <row r="3142" spans="1:14" x14ac:dyDescent="0.25">
      <c r="A3142" s="22" t="s">
        <v>959</v>
      </c>
      <c r="B3142" s="22" t="s">
        <v>39</v>
      </c>
      <c r="C3142" s="22" t="s">
        <v>7695</v>
      </c>
      <c r="D3142" s="23">
        <v>2394297</v>
      </c>
      <c r="E3142" s="22" t="s">
        <v>45</v>
      </c>
      <c r="F3142" s="24">
        <v>44606</v>
      </c>
      <c r="G3142" s="22" t="s">
        <v>1210</v>
      </c>
      <c r="H3142" s="22"/>
      <c r="I3142" s="22" t="s">
        <v>1210</v>
      </c>
      <c r="J3142" s="22" t="s">
        <v>4401</v>
      </c>
      <c r="K3142" s="22" t="s">
        <v>66</v>
      </c>
      <c r="L3142" s="22"/>
      <c r="M3142" s="22"/>
      <c r="N3142" s="22"/>
    </row>
    <row r="3143" spans="1:14" x14ac:dyDescent="0.25">
      <c r="A3143" s="22" t="s">
        <v>959</v>
      </c>
      <c r="B3143" s="22" t="s">
        <v>39</v>
      </c>
      <c r="C3143" s="22" t="s">
        <v>113</v>
      </c>
      <c r="D3143" s="23">
        <v>-718843</v>
      </c>
      <c r="E3143" s="22" t="s">
        <v>45</v>
      </c>
      <c r="F3143" s="24">
        <v>44606</v>
      </c>
      <c r="G3143" s="22" t="s">
        <v>1210</v>
      </c>
      <c r="H3143" s="22" t="s">
        <v>1236</v>
      </c>
      <c r="I3143" s="22" t="s">
        <v>1029</v>
      </c>
      <c r="J3143" s="22" t="s">
        <v>4401</v>
      </c>
      <c r="K3143" s="22" t="s">
        <v>66</v>
      </c>
      <c r="L3143" s="22"/>
      <c r="M3143" s="22"/>
      <c r="N3143" s="22"/>
    </row>
    <row r="3144" spans="1:14" x14ac:dyDescent="0.25">
      <c r="A3144" s="22" t="s">
        <v>1234</v>
      </c>
      <c r="B3144" s="22" t="s">
        <v>39</v>
      </c>
      <c r="C3144" s="22" t="s">
        <v>113</v>
      </c>
      <c r="D3144" s="23">
        <v>-1675454</v>
      </c>
      <c r="E3144" s="22" t="s">
        <v>45</v>
      </c>
      <c r="F3144" s="24">
        <v>44605</v>
      </c>
      <c r="G3144" s="22" t="s">
        <v>1210</v>
      </c>
      <c r="H3144" s="22" t="s">
        <v>1235</v>
      </c>
      <c r="I3144" s="22" t="s">
        <v>1233</v>
      </c>
      <c r="J3144" s="22" t="s">
        <v>4401</v>
      </c>
      <c r="K3144" s="22" t="s">
        <v>66</v>
      </c>
      <c r="L3144" s="22"/>
      <c r="M3144" s="22"/>
      <c r="N3144" s="22"/>
    </row>
    <row r="3145" spans="1:14" x14ac:dyDescent="0.25">
      <c r="A3145" s="22" t="s">
        <v>1232</v>
      </c>
      <c r="B3145" s="22" t="s">
        <v>39</v>
      </c>
      <c r="C3145" s="22" t="s">
        <v>40</v>
      </c>
      <c r="D3145" s="23">
        <v>1819312</v>
      </c>
      <c r="E3145" s="22" t="s">
        <v>42</v>
      </c>
      <c r="F3145" s="24">
        <v>44635</v>
      </c>
      <c r="G3145" s="22" t="s">
        <v>1210</v>
      </c>
      <c r="H3145" s="22" t="s">
        <v>49</v>
      </c>
      <c r="I3145" s="22" t="s">
        <v>1231</v>
      </c>
      <c r="J3145" s="22" t="s">
        <v>4466</v>
      </c>
      <c r="K3145" s="22" t="s">
        <v>292</v>
      </c>
      <c r="L3145" s="22"/>
      <c r="M3145" s="22"/>
      <c r="N3145" s="22"/>
    </row>
    <row r="3146" spans="1:14" x14ac:dyDescent="0.25">
      <c r="A3146" s="22" t="s">
        <v>114</v>
      </c>
      <c r="B3146" s="22" t="s">
        <v>39</v>
      </c>
      <c r="C3146" s="22" t="s">
        <v>7695</v>
      </c>
      <c r="D3146" s="23">
        <v>-734620</v>
      </c>
      <c r="E3146" s="22" t="s">
        <v>45</v>
      </c>
      <c r="F3146" s="24">
        <v>44621</v>
      </c>
      <c r="G3146" s="22" t="s">
        <v>1226</v>
      </c>
      <c r="H3146" s="22"/>
      <c r="I3146" s="22" t="s">
        <v>1226</v>
      </c>
      <c r="J3146" s="22" t="s">
        <v>4466</v>
      </c>
      <c r="K3146" s="22" t="s">
        <v>66</v>
      </c>
      <c r="L3146" s="22"/>
      <c r="M3146" s="22"/>
      <c r="N3146" s="22"/>
    </row>
    <row r="3147" spans="1:14" x14ac:dyDescent="0.25">
      <c r="A3147" s="22" t="s">
        <v>114</v>
      </c>
      <c r="B3147" s="22" t="s">
        <v>39</v>
      </c>
      <c r="C3147" s="22" t="s">
        <v>7695</v>
      </c>
      <c r="D3147" s="23">
        <v>976803</v>
      </c>
      <c r="E3147" s="22" t="s">
        <v>45</v>
      </c>
      <c r="F3147" s="24">
        <v>44621</v>
      </c>
      <c r="G3147" s="22" t="s">
        <v>1226</v>
      </c>
      <c r="H3147" s="22"/>
      <c r="I3147" s="22" t="s">
        <v>1226</v>
      </c>
      <c r="J3147" s="22" t="s">
        <v>4401</v>
      </c>
      <c r="K3147" s="22" t="s">
        <v>66</v>
      </c>
      <c r="L3147" s="22"/>
      <c r="M3147" s="22"/>
      <c r="N3147" s="22"/>
    </row>
    <row r="3148" spans="1:14" x14ac:dyDescent="0.25">
      <c r="A3148" s="22" t="s">
        <v>114</v>
      </c>
      <c r="B3148" s="22" t="s">
        <v>39</v>
      </c>
      <c r="C3148" s="22" t="s">
        <v>113</v>
      </c>
      <c r="D3148" s="23">
        <v>-976803</v>
      </c>
      <c r="E3148" s="22" t="s">
        <v>45</v>
      </c>
      <c r="F3148" s="24">
        <v>44621</v>
      </c>
      <c r="G3148" s="22" t="s">
        <v>1226</v>
      </c>
      <c r="H3148" s="22" t="s">
        <v>1230</v>
      </c>
      <c r="I3148" s="22" t="s">
        <v>954</v>
      </c>
      <c r="J3148" s="22" t="s">
        <v>4401</v>
      </c>
      <c r="K3148" s="22" t="s">
        <v>66</v>
      </c>
      <c r="L3148" s="22"/>
      <c r="M3148" s="22"/>
      <c r="N3148" s="22"/>
    </row>
    <row r="3149" spans="1:14" x14ac:dyDescent="0.25">
      <c r="A3149" s="22" t="s">
        <v>1229</v>
      </c>
      <c r="B3149" s="22" t="s">
        <v>39</v>
      </c>
      <c r="C3149" s="22" t="s">
        <v>40</v>
      </c>
      <c r="D3149" s="23">
        <v>734620</v>
      </c>
      <c r="E3149" s="22" t="s">
        <v>42</v>
      </c>
      <c r="F3149" s="24">
        <v>44670</v>
      </c>
      <c r="G3149" s="22" t="s">
        <v>1226</v>
      </c>
      <c r="H3149" s="22" t="s">
        <v>520</v>
      </c>
      <c r="I3149" s="22" t="s">
        <v>1228</v>
      </c>
      <c r="J3149" s="22" t="s">
        <v>4466</v>
      </c>
      <c r="K3149" s="22" t="s">
        <v>292</v>
      </c>
      <c r="L3149" s="22"/>
      <c r="M3149" s="22"/>
      <c r="N3149" s="22"/>
    </row>
    <row r="3150" spans="1:14" x14ac:dyDescent="0.25">
      <c r="A3150" s="22" t="s">
        <v>114</v>
      </c>
      <c r="B3150" s="22" t="s">
        <v>39</v>
      </c>
      <c r="C3150" s="22" t="s">
        <v>7695</v>
      </c>
      <c r="D3150" s="23">
        <v>-154591</v>
      </c>
      <c r="E3150" s="22" t="s">
        <v>45</v>
      </c>
      <c r="F3150" s="24">
        <v>44621</v>
      </c>
      <c r="G3150" s="22" t="s">
        <v>1208</v>
      </c>
      <c r="H3150" s="22"/>
      <c r="I3150" s="22" t="s">
        <v>1208</v>
      </c>
      <c r="J3150" s="22" t="s">
        <v>4466</v>
      </c>
      <c r="K3150" s="22" t="s">
        <v>66</v>
      </c>
      <c r="L3150" s="22"/>
      <c r="M3150" s="22"/>
      <c r="N3150" s="22"/>
    </row>
    <row r="3151" spans="1:14" x14ac:dyDescent="0.25">
      <c r="A3151" s="22" t="s">
        <v>114</v>
      </c>
      <c r="B3151" s="22" t="s">
        <v>39</v>
      </c>
      <c r="C3151" s="22" t="s">
        <v>7695</v>
      </c>
      <c r="D3151" s="23">
        <v>242183</v>
      </c>
      <c r="E3151" s="22" t="s">
        <v>45</v>
      </c>
      <c r="F3151" s="24">
        <v>44621</v>
      </c>
      <c r="G3151" s="22" t="s">
        <v>1208</v>
      </c>
      <c r="H3151" s="22"/>
      <c r="I3151" s="22" t="s">
        <v>1208</v>
      </c>
      <c r="J3151" s="22" t="s">
        <v>4401</v>
      </c>
      <c r="K3151" s="22" t="s">
        <v>66</v>
      </c>
      <c r="L3151" s="22"/>
      <c r="M3151" s="22"/>
      <c r="N3151" s="22"/>
    </row>
    <row r="3152" spans="1:14" x14ac:dyDescent="0.25">
      <c r="A3152" s="22" t="s">
        <v>114</v>
      </c>
      <c r="B3152" s="22" t="s">
        <v>39</v>
      </c>
      <c r="C3152" s="22" t="s">
        <v>113</v>
      </c>
      <c r="D3152" s="23">
        <v>-242183</v>
      </c>
      <c r="E3152" s="22" t="s">
        <v>45</v>
      </c>
      <c r="F3152" s="24">
        <v>44621</v>
      </c>
      <c r="G3152" s="22" t="s">
        <v>1208</v>
      </c>
      <c r="H3152" s="22" t="s">
        <v>1227</v>
      </c>
      <c r="I3152" s="22" t="s">
        <v>1226</v>
      </c>
      <c r="J3152" s="22" t="s">
        <v>4401</v>
      </c>
      <c r="K3152" s="22" t="s">
        <v>66</v>
      </c>
      <c r="L3152" s="22"/>
      <c r="M3152" s="22"/>
      <c r="N3152" s="22"/>
    </row>
    <row r="3153" spans="1:14" x14ac:dyDescent="0.25">
      <c r="A3153" s="22" t="s">
        <v>1225</v>
      </c>
      <c r="B3153" s="22" t="s">
        <v>39</v>
      </c>
      <c r="C3153" s="22" t="s">
        <v>3480</v>
      </c>
      <c r="D3153" s="23">
        <v>154591</v>
      </c>
      <c r="E3153" s="22" t="s">
        <v>42</v>
      </c>
      <c r="F3153" s="24">
        <v>44670</v>
      </c>
      <c r="G3153" s="22" t="s">
        <v>1208</v>
      </c>
      <c r="H3153" s="22" t="s">
        <v>520</v>
      </c>
      <c r="I3153" s="22" t="s">
        <v>1224</v>
      </c>
      <c r="J3153" s="22" t="s">
        <v>4466</v>
      </c>
      <c r="K3153" s="22" t="s">
        <v>292</v>
      </c>
      <c r="L3153" s="22"/>
      <c r="M3153" s="22"/>
      <c r="N3153" s="22"/>
    </row>
    <row r="3154" spans="1:14" x14ac:dyDescent="0.25">
      <c r="A3154" s="22" t="s">
        <v>1148</v>
      </c>
      <c r="B3154" s="22" t="s">
        <v>39</v>
      </c>
      <c r="C3154" s="22" t="s">
        <v>7695</v>
      </c>
      <c r="D3154" s="23">
        <v>103500</v>
      </c>
      <c r="E3154" s="22" t="s">
        <v>45</v>
      </c>
      <c r="F3154" s="24">
        <v>44593</v>
      </c>
      <c r="G3154" s="22" t="s">
        <v>1147</v>
      </c>
      <c r="H3154" s="22"/>
      <c r="I3154" s="22" t="s">
        <v>1147</v>
      </c>
      <c r="J3154" s="22" t="s">
        <v>4466</v>
      </c>
      <c r="K3154" s="22" t="s">
        <v>61</v>
      </c>
      <c r="L3154" s="22"/>
      <c r="M3154" s="22"/>
      <c r="N3154" s="22"/>
    </row>
    <row r="3155" spans="1:14" x14ac:dyDescent="0.25">
      <c r="A3155" s="22" t="s">
        <v>1148</v>
      </c>
      <c r="B3155" s="22" t="s">
        <v>39</v>
      </c>
      <c r="C3155" s="22" t="s">
        <v>7695</v>
      </c>
      <c r="D3155" s="23">
        <v>-92679</v>
      </c>
      <c r="E3155" s="22" t="s">
        <v>45</v>
      </c>
      <c r="F3155" s="24">
        <v>44593</v>
      </c>
      <c r="G3155" s="22" t="s">
        <v>1147</v>
      </c>
      <c r="H3155" s="22"/>
      <c r="I3155" s="22" t="s">
        <v>1147</v>
      </c>
      <c r="J3155" s="22" t="s">
        <v>4401</v>
      </c>
      <c r="K3155" s="22" t="s">
        <v>61</v>
      </c>
      <c r="L3155" s="22"/>
      <c r="M3155" s="22"/>
      <c r="N3155" s="22"/>
    </row>
    <row r="3156" spans="1:14" x14ac:dyDescent="0.25">
      <c r="A3156" s="22" t="s">
        <v>1148</v>
      </c>
      <c r="B3156" s="22" t="s">
        <v>39</v>
      </c>
      <c r="C3156" s="22" t="s">
        <v>7698</v>
      </c>
      <c r="D3156" s="23">
        <v>-103500</v>
      </c>
      <c r="E3156" s="22" t="s">
        <v>57</v>
      </c>
      <c r="F3156" s="24">
        <v>44593</v>
      </c>
      <c r="G3156" s="22" t="s">
        <v>1147</v>
      </c>
      <c r="H3156" s="22" t="s">
        <v>1223</v>
      </c>
      <c r="I3156" s="22" t="s">
        <v>1222</v>
      </c>
      <c r="J3156" s="22" t="s">
        <v>4466</v>
      </c>
      <c r="K3156" s="22" t="s">
        <v>61</v>
      </c>
      <c r="L3156" s="22"/>
      <c r="M3156" s="22"/>
      <c r="N3156" s="22"/>
    </row>
    <row r="3157" spans="1:14" x14ac:dyDescent="0.25">
      <c r="A3157" s="22" t="s">
        <v>1220</v>
      </c>
      <c r="B3157" s="22" t="s">
        <v>39</v>
      </c>
      <c r="C3157" s="22" t="s">
        <v>113</v>
      </c>
      <c r="D3157" s="23">
        <v>-860349</v>
      </c>
      <c r="E3157" s="22" t="s">
        <v>57</v>
      </c>
      <c r="F3157" s="24">
        <v>44603</v>
      </c>
      <c r="G3157" s="22" t="s">
        <v>1147</v>
      </c>
      <c r="H3157" s="22" t="s">
        <v>1221</v>
      </c>
      <c r="I3157" s="22" t="s">
        <v>1219</v>
      </c>
      <c r="J3157" s="22" t="s">
        <v>4401</v>
      </c>
      <c r="K3157" s="22" t="s">
        <v>66</v>
      </c>
      <c r="L3157" s="22"/>
      <c r="M3157" s="22"/>
      <c r="N3157" s="22"/>
    </row>
    <row r="3158" spans="1:14" x14ac:dyDescent="0.25">
      <c r="A3158" s="22" t="s">
        <v>1218</v>
      </c>
      <c r="B3158" s="22" t="s">
        <v>39</v>
      </c>
      <c r="C3158" s="22" t="s">
        <v>47</v>
      </c>
      <c r="D3158" s="23">
        <v>953028</v>
      </c>
      <c r="E3158" s="22" t="s">
        <v>42</v>
      </c>
      <c r="F3158" s="24">
        <v>44670</v>
      </c>
      <c r="G3158" s="22" t="s">
        <v>1147</v>
      </c>
      <c r="H3158" s="22" t="s">
        <v>520</v>
      </c>
      <c r="I3158" s="22" t="s">
        <v>1217</v>
      </c>
      <c r="J3158" s="22" t="s">
        <v>4401</v>
      </c>
      <c r="K3158" s="22" t="s">
        <v>292</v>
      </c>
      <c r="L3158" s="22"/>
      <c r="M3158" s="22"/>
      <c r="N3158" s="22"/>
    </row>
    <row r="3159" spans="1:14" x14ac:dyDescent="0.25">
      <c r="A3159" s="22" t="s">
        <v>1145</v>
      </c>
      <c r="B3159" s="22" t="s">
        <v>39</v>
      </c>
      <c r="C3159" s="22" t="s">
        <v>7695</v>
      </c>
      <c r="D3159" s="23">
        <v>-1678</v>
      </c>
      <c r="E3159" s="22" t="s">
        <v>45</v>
      </c>
      <c r="F3159" s="24">
        <v>44606</v>
      </c>
      <c r="G3159" s="22" t="s">
        <v>1144</v>
      </c>
      <c r="H3159" s="22"/>
      <c r="I3159" s="22" t="s">
        <v>1144</v>
      </c>
      <c r="J3159" s="22" t="s">
        <v>4466</v>
      </c>
      <c r="K3159" s="22" t="s">
        <v>61</v>
      </c>
      <c r="L3159" s="22"/>
      <c r="M3159" s="22"/>
      <c r="N3159" s="22"/>
    </row>
    <row r="3160" spans="1:14" x14ac:dyDescent="0.25">
      <c r="A3160" s="22" t="s">
        <v>1145</v>
      </c>
      <c r="B3160" s="22" t="s">
        <v>39</v>
      </c>
      <c r="C3160" s="22" t="s">
        <v>7695</v>
      </c>
      <c r="D3160" s="23">
        <v>48529</v>
      </c>
      <c r="E3160" s="22" t="s">
        <v>45</v>
      </c>
      <c r="F3160" s="24">
        <v>44606</v>
      </c>
      <c r="G3160" s="22" t="s">
        <v>1144</v>
      </c>
      <c r="H3160" s="22"/>
      <c r="I3160" s="22" t="s">
        <v>1144</v>
      </c>
      <c r="J3160" s="22" t="s">
        <v>4401</v>
      </c>
      <c r="K3160" s="22" t="s">
        <v>61</v>
      </c>
      <c r="L3160" s="22"/>
      <c r="M3160" s="22"/>
      <c r="N3160" s="22"/>
    </row>
    <row r="3161" spans="1:14" x14ac:dyDescent="0.25">
      <c r="A3161" s="22" t="s">
        <v>1145</v>
      </c>
      <c r="B3161" s="22" t="s">
        <v>39</v>
      </c>
      <c r="C3161" s="22" t="s">
        <v>7698</v>
      </c>
      <c r="D3161" s="23">
        <v>-60643</v>
      </c>
      <c r="E3161" s="22" t="s">
        <v>57</v>
      </c>
      <c r="F3161" s="24">
        <v>44606</v>
      </c>
      <c r="G3161" s="22" t="s">
        <v>1144</v>
      </c>
      <c r="H3161" s="22" t="s">
        <v>1269</v>
      </c>
      <c r="I3161" s="22" t="s">
        <v>1268</v>
      </c>
      <c r="J3161" s="22" t="s">
        <v>4466</v>
      </c>
      <c r="K3161" s="22" t="s">
        <v>61</v>
      </c>
      <c r="L3161" s="22"/>
      <c r="M3161" s="22"/>
      <c r="N3161" s="22"/>
    </row>
    <row r="3162" spans="1:14" x14ac:dyDescent="0.25">
      <c r="A3162" s="22" t="s">
        <v>1055</v>
      </c>
      <c r="B3162" s="22" t="s">
        <v>39</v>
      </c>
      <c r="C3162" s="22" t="s">
        <v>7698</v>
      </c>
      <c r="D3162" s="23">
        <v>-58300</v>
      </c>
      <c r="E3162" s="22" t="s">
        <v>45</v>
      </c>
      <c r="F3162" s="24">
        <v>44593</v>
      </c>
      <c r="G3162" s="22" t="s">
        <v>1144</v>
      </c>
      <c r="H3162" s="22" t="s">
        <v>1040</v>
      </c>
      <c r="I3162" s="22" t="s">
        <v>1037</v>
      </c>
      <c r="J3162" s="22" t="s">
        <v>4466</v>
      </c>
      <c r="K3162" s="22" t="s">
        <v>61</v>
      </c>
      <c r="L3162" s="22"/>
      <c r="M3162" s="22"/>
      <c r="N3162" s="22"/>
    </row>
    <row r="3163" spans="1:14" x14ac:dyDescent="0.25">
      <c r="A3163" s="22" t="s">
        <v>1081</v>
      </c>
      <c r="B3163" s="22" t="s">
        <v>39</v>
      </c>
      <c r="C3163" s="22" t="s">
        <v>7696</v>
      </c>
      <c r="D3163" s="23">
        <v>-48529</v>
      </c>
      <c r="E3163" s="22" t="s">
        <v>45</v>
      </c>
      <c r="F3163" s="24">
        <v>44593</v>
      </c>
      <c r="G3163" s="22" t="s">
        <v>1144</v>
      </c>
      <c r="H3163" s="22" t="s">
        <v>1207</v>
      </c>
      <c r="I3163" s="22" t="s">
        <v>976</v>
      </c>
      <c r="J3163" s="22" t="s">
        <v>4401</v>
      </c>
      <c r="K3163" s="22" t="s">
        <v>66</v>
      </c>
      <c r="L3163" s="22"/>
      <c r="M3163" s="22"/>
      <c r="N3163" s="22"/>
    </row>
    <row r="3164" spans="1:14" x14ac:dyDescent="0.25">
      <c r="A3164" s="22" t="s">
        <v>1267</v>
      </c>
      <c r="B3164" s="22" t="s">
        <v>39</v>
      </c>
      <c r="C3164" s="22" t="s">
        <v>47</v>
      </c>
      <c r="D3164" s="23">
        <v>120621</v>
      </c>
      <c r="E3164" s="22" t="s">
        <v>42</v>
      </c>
      <c r="F3164" s="24">
        <v>44670</v>
      </c>
      <c r="G3164" s="22" t="s">
        <v>1144</v>
      </c>
      <c r="H3164" s="22" t="s">
        <v>520</v>
      </c>
      <c r="I3164" s="22" t="s">
        <v>1266</v>
      </c>
      <c r="J3164" s="22" t="s">
        <v>4466</v>
      </c>
      <c r="K3164" s="22" t="s">
        <v>292</v>
      </c>
      <c r="L3164" s="22"/>
      <c r="M3164" s="22"/>
      <c r="N3164" s="22"/>
    </row>
    <row r="3165" spans="1:14" x14ac:dyDescent="0.25">
      <c r="A3165" s="22" t="s">
        <v>1200</v>
      </c>
      <c r="B3165" s="22" t="s">
        <v>39</v>
      </c>
      <c r="C3165" s="22" t="s">
        <v>7695</v>
      </c>
      <c r="D3165" s="23">
        <v>6705</v>
      </c>
      <c r="E3165" s="22" t="s">
        <v>45</v>
      </c>
      <c r="F3165" s="24">
        <v>44609</v>
      </c>
      <c r="G3165" s="22" t="s">
        <v>1199</v>
      </c>
      <c r="H3165" s="22"/>
      <c r="I3165" s="22" t="s">
        <v>1199</v>
      </c>
      <c r="J3165" s="22" t="s">
        <v>4401</v>
      </c>
      <c r="K3165" s="22" t="s">
        <v>66</v>
      </c>
      <c r="L3165" s="22"/>
      <c r="M3165" s="22"/>
      <c r="N3165" s="22"/>
    </row>
    <row r="3166" spans="1:14" x14ac:dyDescent="0.25">
      <c r="A3166" s="22" t="s">
        <v>1200</v>
      </c>
      <c r="B3166" s="22" t="s">
        <v>39</v>
      </c>
      <c r="C3166" s="22" t="s">
        <v>7696</v>
      </c>
      <c r="D3166" s="23">
        <v>-36000</v>
      </c>
      <c r="E3166" s="22" t="s">
        <v>57</v>
      </c>
      <c r="F3166" s="24">
        <v>44609</v>
      </c>
      <c r="G3166" s="22" t="s">
        <v>1199</v>
      </c>
      <c r="H3166" s="22" t="s">
        <v>1204</v>
      </c>
      <c r="I3166" s="22" t="s">
        <v>1265</v>
      </c>
      <c r="J3166" s="22" t="s">
        <v>4401</v>
      </c>
      <c r="K3166" s="22" t="s">
        <v>66</v>
      </c>
      <c r="L3166" s="22"/>
      <c r="M3166" s="22"/>
      <c r="N3166" s="22"/>
    </row>
    <row r="3167" spans="1:14" x14ac:dyDescent="0.25">
      <c r="A3167" s="22" t="s">
        <v>1264</v>
      </c>
      <c r="B3167" s="22" t="s">
        <v>39</v>
      </c>
      <c r="C3167" s="22" t="s">
        <v>3643</v>
      </c>
      <c r="D3167" s="23">
        <v>29295</v>
      </c>
      <c r="E3167" s="22" t="s">
        <v>42</v>
      </c>
      <c r="F3167" s="24">
        <v>44670</v>
      </c>
      <c r="G3167" s="22" t="s">
        <v>1199</v>
      </c>
      <c r="H3167" s="22" t="s">
        <v>520</v>
      </c>
      <c r="I3167" s="22" t="s">
        <v>1263</v>
      </c>
      <c r="J3167" s="22" t="s">
        <v>4401</v>
      </c>
      <c r="K3167" s="22" t="s">
        <v>292</v>
      </c>
      <c r="L3167" s="22"/>
      <c r="M3167" s="22"/>
      <c r="N3167" s="22"/>
    </row>
    <row r="3168" spans="1:14" x14ac:dyDescent="0.25">
      <c r="A3168" s="22" t="s">
        <v>1261</v>
      </c>
      <c r="B3168" s="22" t="s">
        <v>39</v>
      </c>
      <c r="C3168" s="22" t="s">
        <v>7698</v>
      </c>
      <c r="D3168" s="23">
        <v>-59100</v>
      </c>
      <c r="E3168" s="22" t="s">
        <v>57</v>
      </c>
      <c r="F3168" s="24">
        <v>44613</v>
      </c>
      <c r="G3168" s="22" t="s">
        <v>1257</v>
      </c>
      <c r="H3168" s="22" t="s">
        <v>1262</v>
      </c>
      <c r="I3168" s="22" t="s">
        <v>1260</v>
      </c>
      <c r="J3168" s="22" t="s">
        <v>4466</v>
      </c>
      <c r="K3168" s="22" t="s">
        <v>61</v>
      </c>
      <c r="L3168" s="22"/>
      <c r="M3168" s="22"/>
      <c r="N3168" s="22"/>
    </row>
    <row r="3169" spans="1:14" x14ac:dyDescent="0.25">
      <c r="A3169" s="22" t="s">
        <v>1258</v>
      </c>
      <c r="B3169" s="22" t="s">
        <v>39</v>
      </c>
      <c r="C3169" s="22" t="s">
        <v>3760</v>
      </c>
      <c r="D3169" s="23">
        <v>59100</v>
      </c>
      <c r="E3169" s="22" t="s">
        <v>42</v>
      </c>
      <c r="F3169" s="24">
        <v>44670</v>
      </c>
      <c r="G3169" s="22" t="s">
        <v>1257</v>
      </c>
      <c r="H3169" s="22" t="s">
        <v>520</v>
      </c>
      <c r="I3169" s="22" t="s">
        <v>1259</v>
      </c>
      <c r="J3169" s="22" t="s">
        <v>4466</v>
      </c>
      <c r="K3169" s="22" t="s">
        <v>292</v>
      </c>
      <c r="L3169" s="22"/>
      <c r="M3169" s="22"/>
      <c r="N3169" s="22"/>
    </row>
    <row r="3170" spans="1:14" x14ac:dyDescent="0.25">
      <c r="A3170" s="22" t="s">
        <v>1258</v>
      </c>
      <c r="B3170" s="22" t="s">
        <v>39</v>
      </c>
      <c r="C3170" s="22" t="s">
        <v>3760</v>
      </c>
      <c r="D3170" s="23">
        <v>59100</v>
      </c>
      <c r="E3170" s="22" t="s">
        <v>45</v>
      </c>
      <c r="F3170" s="24">
        <v>44670</v>
      </c>
      <c r="G3170" s="22" t="s">
        <v>1257</v>
      </c>
      <c r="H3170" s="22" t="s">
        <v>230</v>
      </c>
      <c r="I3170" s="22" t="s">
        <v>1257</v>
      </c>
      <c r="J3170" s="22" t="s">
        <v>4466</v>
      </c>
      <c r="K3170" s="22" t="s">
        <v>292</v>
      </c>
      <c r="L3170" s="22"/>
      <c r="M3170" s="22"/>
      <c r="N3170" s="22"/>
    </row>
    <row r="3171" spans="1:14" x14ac:dyDescent="0.25">
      <c r="A3171" s="22" t="s">
        <v>1258</v>
      </c>
      <c r="B3171" s="22" t="s">
        <v>39</v>
      </c>
      <c r="C3171" s="22" t="s">
        <v>3760</v>
      </c>
      <c r="D3171" s="23">
        <v>-59100</v>
      </c>
      <c r="E3171" s="22" t="s">
        <v>45</v>
      </c>
      <c r="F3171" s="24">
        <v>44670</v>
      </c>
      <c r="G3171" s="22" t="s">
        <v>1257</v>
      </c>
      <c r="H3171" s="22" t="s">
        <v>230</v>
      </c>
      <c r="I3171" s="22" t="s">
        <v>1257</v>
      </c>
      <c r="J3171" s="22" t="s">
        <v>4466</v>
      </c>
      <c r="K3171" s="22" t="s">
        <v>292</v>
      </c>
      <c r="L3171" s="22"/>
      <c r="M3171" s="22"/>
      <c r="N3171" s="22"/>
    </row>
    <row r="3172" spans="1:14" x14ac:dyDescent="0.25">
      <c r="A3172" s="22" t="s">
        <v>1142</v>
      </c>
      <c r="B3172" s="22" t="s">
        <v>39</v>
      </c>
      <c r="C3172" s="22" t="s">
        <v>7695</v>
      </c>
      <c r="D3172" s="23">
        <v>154591</v>
      </c>
      <c r="E3172" s="22" t="s">
        <v>45</v>
      </c>
      <c r="F3172" s="24">
        <v>44610</v>
      </c>
      <c r="G3172" s="22" t="s">
        <v>1141</v>
      </c>
      <c r="H3172" s="22"/>
      <c r="I3172" s="22" t="s">
        <v>1141</v>
      </c>
      <c r="J3172" s="22" t="s">
        <v>4466</v>
      </c>
      <c r="K3172" s="22" t="s">
        <v>61</v>
      </c>
      <c r="L3172" s="22"/>
      <c r="M3172" s="22"/>
      <c r="N3172" s="22"/>
    </row>
    <row r="3173" spans="1:14" x14ac:dyDescent="0.25">
      <c r="A3173" s="22" t="s">
        <v>1142</v>
      </c>
      <c r="B3173" s="22" t="s">
        <v>39</v>
      </c>
      <c r="C3173" s="22" t="s">
        <v>7695</v>
      </c>
      <c r="D3173" s="23">
        <v>-74474</v>
      </c>
      <c r="E3173" s="22" t="s">
        <v>45</v>
      </c>
      <c r="F3173" s="24">
        <v>44610</v>
      </c>
      <c r="G3173" s="22" t="s">
        <v>1141</v>
      </c>
      <c r="H3173" s="22"/>
      <c r="I3173" s="22" t="s">
        <v>1141</v>
      </c>
      <c r="J3173" s="22" t="s">
        <v>4401</v>
      </c>
      <c r="K3173" s="22" t="s">
        <v>61</v>
      </c>
      <c r="L3173" s="22"/>
      <c r="M3173" s="22"/>
      <c r="N3173" s="22"/>
    </row>
    <row r="3174" spans="1:14" x14ac:dyDescent="0.25">
      <c r="A3174" s="22" t="s">
        <v>1142</v>
      </c>
      <c r="B3174" s="22" t="s">
        <v>39</v>
      </c>
      <c r="C3174" s="22" t="s">
        <v>7698</v>
      </c>
      <c r="D3174" s="23">
        <v>-154591</v>
      </c>
      <c r="E3174" s="22" t="s">
        <v>57</v>
      </c>
      <c r="F3174" s="24">
        <v>44610</v>
      </c>
      <c r="G3174" s="22" t="s">
        <v>1141</v>
      </c>
      <c r="H3174" s="22" t="s">
        <v>711</v>
      </c>
      <c r="I3174" s="22" t="s">
        <v>1256</v>
      </c>
      <c r="J3174" s="22" t="s">
        <v>4466</v>
      </c>
      <c r="K3174" s="22" t="s">
        <v>61</v>
      </c>
      <c r="L3174" s="22"/>
      <c r="M3174" s="22"/>
      <c r="N3174" s="22"/>
    </row>
    <row r="3175" spans="1:14" x14ac:dyDescent="0.25">
      <c r="A3175" s="22" t="s">
        <v>1255</v>
      </c>
      <c r="B3175" s="22" t="s">
        <v>39</v>
      </c>
      <c r="C3175" s="22" t="s">
        <v>5413</v>
      </c>
      <c r="D3175" s="23">
        <v>74474</v>
      </c>
      <c r="E3175" s="22" t="s">
        <v>42</v>
      </c>
      <c r="F3175" s="24">
        <v>44670</v>
      </c>
      <c r="G3175" s="22" t="s">
        <v>1141</v>
      </c>
      <c r="H3175" s="22" t="s">
        <v>49</v>
      </c>
      <c r="I3175" s="22" t="s">
        <v>1254</v>
      </c>
      <c r="J3175" s="22" t="s">
        <v>4401</v>
      </c>
      <c r="K3175" s="22" t="s">
        <v>292</v>
      </c>
      <c r="L3175" s="22"/>
      <c r="M3175" s="22"/>
      <c r="N3175" s="22"/>
    </row>
    <row r="3176" spans="1:14" x14ac:dyDescent="0.25">
      <c r="A3176" s="22" t="s">
        <v>1139</v>
      </c>
      <c r="B3176" s="22" t="s">
        <v>39</v>
      </c>
      <c r="C3176" s="22" t="s">
        <v>7695</v>
      </c>
      <c r="D3176" s="23">
        <v>283378</v>
      </c>
      <c r="E3176" s="22" t="s">
        <v>45</v>
      </c>
      <c r="F3176" s="24">
        <v>44611</v>
      </c>
      <c r="G3176" s="22" t="s">
        <v>1138</v>
      </c>
      <c r="H3176" s="22"/>
      <c r="I3176" s="22" t="s">
        <v>1138</v>
      </c>
      <c r="J3176" s="22" t="s">
        <v>4466</v>
      </c>
      <c r="K3176" s="22" t="s">
        <v>61</v>
      </c>
      <c r="L3176" s="22"/>
      <c r="M3176" s="22"/>
      <c r="N3176" s="22"/>
    </row>
    <row r="3177" spans="1:14" x14ac:dyDescent="0.25">
      <c r="A3177" s="22" t="s">
        <v>1139</v>
      </c>
      <c r="B3177" s="22" t="s">
        <v>39</v>
      </c>
      <c r="C3177" s="22" t="s">
        <v>7695</v>
      </c>
      <c r="D3177" s="23">
        <v>-234893</v>
      </c>
      <c r="E3177" s="22" t="s">
        <v>45</v>
      </c>
      <c r="F3177" s="24">
        <v>44611</v>
      </c>
      <c r="G3177" s="22" t="s">
        <v>1138</v>
      </c>
      <c r="H3177" s="22"/>
      <c r="I3177" s="22" t="s">
        <v>1138</v>
      </c>
      <c r="J3177" s="22" t="s">
        <v>4401</v>
      </c>
      <c r="K3177" s="22" t="s">
        <v>61</v>
      </c>
      <c r="L3177" s="22"/>
      <c r="M3177" s="22"/>
      <c r="N3177" s="22"/>
    </row>
    <row r="3178" spans="1:14" x14ac:dyDescent="0.25">
      <c r="A3178" s="22" t="s">
        <v>1252</v>
      </c>
      <c r="B3178" s="22" t="s">
        <v>39</v>
      </c>
      <c r="C3178" s="22" t="s">
        <v>7698</v>
      </c>
      <c r="D3178" s="23">
        <v>-115778</v>
      </c>
      <c r="E3178" s="22" t="s">
        <v>57</v>
      </c>
      <c r="F3178" s="24">
        <v>44610</v>
      </c>
      <c r="G3178" s="22" t="s">
        <v>1138</v>
      </c>
      <c r="H3178" s="22" t="s">
        <v>1253</v>
      </c>
      <c r="I3178" s="22" t="s">
        <v>1251</v>
      </c>
      <c r="J3178" s="22" t="s">
        <v>4466</v>
      </c>
      <c r="K3178" s="22" t="s">
        <v>61</v>
      </c>
      <c r="L3178" s="22"/>
      <c r="M3178" s="22"/>
      <c r="N3178" s="22"/>
    </row>
    <row r="3179" spans="1:14" x14ac:dyDescent="0.25">
      <c r="A3179" s="22" t="s">
        <v>1139</v>
      </c>
      <c r="B3179" s="22" t="s">
        <v>39</v>
      </c>
      <c r="C3179" s="22" t="s">
        <v>7698</v>
      </c>
      <c r="D3179" s="23">
        <v>-167600</v>
      </c>
      <c r="E3179" s="22" t="s">
        <v>57</v>
      </c>
      <c r="F3179" s="24">
        <v>44611</v>
      </c>
      <c r="G3179" s="22" t="s">
        <v>1138</v>
      </c>
      <c r="H3179" s="22" t="s">
        <v>1250</v>
      </c>
      <c r="I3179" s="22" t="s">
        <v>1249</v>
      </c>
      <c r="J3179" s="22" t="s">
        <v>4466</v>
      </c>
      <c r="K3179" s="22" t="s">
        <v>61</v>
      </c>
      <c r="L3179" s="22"/>
      <c r="M3179" s="22"/>
      <c r="N3179" s="22"/>
    </row>
    <row r="3180" spans="1:14" x14ac:dyDescent="0.25">
      <c r="A3180" s="22" t="s">
        <v>1248</v>
      </c>
      <c r="B3180" s="22" t="s">
        <v>39</v>
      </c>
      <c r="C3180" s="22" t="s">
        <v>4403</v>
      </c>
      <c r="D3180" s="23">
        <v>234893</v>
      </c>
      <c r="E3180" s="22" t="s">
        <v>42</v>
      </c>
      <c r="F3180" s="24">
        <v>44670</v>
      </c>
      <c r="G3180" s="22" t="s">
        <v>1138</v>
      </c>
      <c r="H3180" s="22" t="s">
        <v>49</v>
      </c>
      <c r="I3180" s="22" t="s">
        <v>1247</v>
      </c>
      <c r="J3180" s="22" t="s">
        <v>4401</v>
      </c>
      <c r="K3180" s="22" t="s">
        <v>292</v>
      </c>
      <c r="L3180" s="22"/>
      <c r="M3180" s="22"/>
      <c r="N3180" s="22"/>
    </row>
    <row r="3181" spans="1:14" x14ac:dyDescent="0.25">
      <c r="A3181" s="22" t="s">
        <v>1136</v>
      </c>
      <c r="B3181" s="22" t="s">
        <v>39</v>
      </c>
      <c r="C3181" s="22" t="s">
        <v>7695</v>
      </c>
      <c r="D3181" s="23">
        <v>94662</v>
      </c>
      <c r="E3181" s="22" t="s">
        <v>45</v>
      </c>
      <c r="F3181" s="24">
        <v>44615</v>
      </c>
      <c r="G3181" s="22" t="s">
        <v>1135</v>
      </c>
      <c r="H3181" s="22"/>
      <c r="I3181" s="22" t="s">
        <v>1135</v>
      </c>
      <c r="J3181" s="22" t="s">
        <v>4466</v>
      </c>
      <c r="K3181" s="22" t="s">
        <v>61</v>
      </c>
      <c r="L3181" s="22"/>
      <c r="M3181" s="22"/>
      <c r="N3181" s="22"/>
    </row>
    <row r="3182" spans="1:14" x14ac:dyDescent="0.25">
      <c r="A3182" s="22" t="s">
        <v>1136</v>
      </c>
      <c r="B3182" s="22" t="s">
        <v>39</v>
      </c>
      <c r="C3182" s="22" t="s">
        <v>7698</v>
      </c>
      <c r="D3182" s="23">
        <v>-398362</v>
      </c>
      <c r="E3182" s="22" t="s">
        <v>57</v>
      </c>
      <c r="F3182" s="24">
        <v>44615</v>
      </c>
      <c r="G3182" s="22" t="s">
        <v>1135</v>
      </c>
      <c r="H3182" s="22" t="s">
        <v>1246</v>
      </c>
      <c r="I3182" s="22" t="s">
        <v>1245</v>
      </c>
      <c r="J3182" s="22" t="s">
        <v>4466</v>
      </c>
      <c r="K3182" s="22" t="s">
        <v>61</v>
      </c>
      <c r="L3182" s="22"/>
      <c r="M3182" s="22"/>
      <c r="N3182" s="22"/>
    </row>
    <row r="3183" spans="1:14" x14ac:dyDescent="0.25">
      <c r="A3183" s="22" t="s">
        <v>1216</v>
      </c>
      <c r="B3183" s="22" t="s">
        <v>39</v>
      </c>
      <c r="C3183" s="22" t="s">
        <v>40</v>
      </c>
      <c r="D3183" s="23">
        <v>303700</v>
      </c>
      <c r="E3183" s="22" t="s">
        <v>42</v>
      </c>
      <c r="F3183" s="24">
        <v>44670</v>
      </c>
      <c r="G3183" s="22" t="s">
        <v>1135</v>
      </c>
      <c r="H3183" s="22" t="s">
        <v>49</v>
      </c>
      <c r="I3183" s="22" t="s">
        <v>1215</v>
      </c>
      <c r="J3183" s="22" t="s">
        <v>4466</v>
      </c>
      <c r="K3183" s="22" t="s">
        <v>292</v>
      </c>
      <c r="L3183" s="22"/>
      <c r="M3183" s="22"/>
      <c r="N3183" s="22"/>
    </row>
    <row r="3184" spans="1:14" x14ac:dyDescent="0.25">
      <c r="A3184" s="22" t="s">
        <v>1174</v>
      </c>
      <c r="B3184" s="22" t="s">
        <v>39</v>
      </c>
      <c r="C3184" s="22" t="s">
        <v>7695</v>
      </c>
      <c r="D3184" s="23">
        <v>19300</v>
      </c>
      <c r="E3184" s="22" t="s">
        <v>45</v>
      </c>
      <c r="F3184" s="24">
        <v>44615</v>
      </c>
      <c r="G3184" s="22" t="s">
        <v>1172</v>
      </c>
      <c r="H3184" s="22"/>
      <c r="I3184" s="22" t="s">
        <v>1172</v>
      </c>
      <c r="J3184" s="22" t="s">
        <v>4466</v>
      </c>
      <c r="K3184" s="22" t="s">
        <v>66</v>
      </c>
      <c r="L3184" s="22"/>
      <c r="M3184" s="22"/>
      <c r="N3184" s="22"/>
    </row>
    <row r="3185" spans="1:14" x14ac:dyDescent="0.25">
      <c r="A3185" s="22" t="s">
        <v>1174</v>
      </c>
      <c r="B3185" s="22" t="s">
        <v>39</v>
      </c>
      <c r="C3185" s="22" t="s">
        <v>7695</v>
      </c>
      <c r="D3185" s="23">
        <v>-15900</v>
      </c>
      <c r="E3185" s="22" t="s">
        <v>45</v>
      </c>
      <c r="F3185" s="24">
        <v>44615</v>
      </c>
      <c r="G3185" s="22" t="s">
        <v>1172</v>
      </c>
      <c r="H3185" s="22"/>
      <c r="I3185" s="22" t="s">
        <v>1172</v>
      </c>
      <c r="J3185" s="22" t="s">
        <v>4401</v>
      </c>
      <c r="K3185" s="22" t="s">
        <v>66</v>
      </c>
      <c r="L3185" s="22"/>
      <c r="M3185" s="22"/>
      <c r="N3185" s="22"/>
    </row>
    <row r="3186" spans="1:14" x14ac:dyDescent="0.25">
      <c r="A3186" s="22" t="s">
        <v>1177</v>
      </c>
      <c r="B3186" s="22" t="s">
        <v>39</v>
      </c>
      <c r="C3186" s="22" t="s">
        <v>7701</v>
      </c>
      <c r="D3186" s="23">
        <v>-19300</v>
      </c>
      <c r="E3186" s="22" t="s">
        <v>57</v>
      </c>
      <c r="F3186" s="24">
        <v>44615</v>
      </c>
      <c r="G3186" s="22" t="s">
        <v>1172</v>
      </c>
      <c r="H3186" s="22" t="s">
        <v>919</v>
      </c>
      <c r="I3186" s="22" t="s">
        <v>1176</v>
      </c>
      <c r="J3186" s="22" t="s">
        <v>4466</v>
      </c>
      <c r="K3186" s="22" t="s">
        <v>61</v>
      </c>
      <c r="L3186" s="22"/>
      <c r="M3186" s="22"/>
      <c r="N3186" s="22"/>
    </row>
    <row r="3187" spans="1:14" x14ac:dyDescent="0.25">
      <c r="A3187" s="22" t="s">
        <v>1174</v>
      </c>
      <c r="B3187" s="22" t="s">
        <v>39</v>
      </c>
      <c r="C3187" s="22" t="s">
        <v>7696</v>
      </c>
      <c r="D3187" s="23">
        <v>-36000</v>
      </c>
      <c r="E3187" s="22" t="s">
        <v>57</v>
      </c>
      <c r="F3187" s="24">
        <v>44615</v>
      </c>
      <c r="G3187" s="22" t="s">
        <v>1172</v>
      </c>
      <c r="H3187" s="22" t="s">
        <v>1175</v>
      </c>
      <c r="I3187" s="22" t="s">
        <v>1173</v>
      </c>
      <c r="J3187" s="22" t="s">
        <v>4401</v>
      </c>
      <c r="K3187" s="22" t="s">
        <v>66</v>
      </c>
      <c r="L3187" s="22"/>
      <c r="M3187" s="22"/>
      <c r="N3187" s="22"/>
    </row>
    <row r="3188" spans="1:14" x14ac:dyDescent="0.25">
      <c r="A3188" s="22" t="s">
        <v>1171</v>
      </c>
      <c r="B3188" s="22" t="s">
        <v>39</v>
      </c>
      <c r="C3188" s="22" t="s">
        <v>3760</v>
      </c>
      <c r="D3188" s="23">
        <v>51900</v>
      </c>
      <c r="E3188" s="22" t="s">
        <v>42</v>
      </c>
      <c r="F3188" s="24">
        <v>44670</v>
      </c>
      <c r="G3188" s="22" t="s">
        <v>1172</v>
      </c>
      <c r="H3188" s="22" t="s">
        <v>49</v>
      </c>
      <c r="I3188" s="22" t="s">
        <v>1170</v>
      </c>
      <c r="J3188" s="22" t="s">
        <v>4401</v>
      </c>
      <c r="K3188" s="22" t="s">
        <v>292</v>
      </c>
      <c r="L3188" s="22"/>
      <c r="M3188" s="22"/>
      <c r="N3188" s="22"/>
    </row>
    <row r="3189" spans="1:14" x14ac:dyDescent="0.25">
      <c r="A3189" s="22" t="s">
        <v>1206</v>
      </c>
      <c r="B3189" s="22" t="s">
        <v>39</v>
      </c>
      <c r="C3189" s="22" t="s">
        <v>7695</v>
      </c>
      <c r="D3189" s="23">
        <v>57025</v>
      </c>
      <c r="E3189" s="22" t="s">
        <v>45</v>
      </c>
      <c r="F3189" s="24">
        <v>44623</v>
      </c>
      <c r="G3189" s="22" t="s">
        <v>1205</v>
      </c>
      <c r="H3189" s="22"/>
      <c r="I3189" s="22" t="s">
        <v>1205</v>
      </c>
      <c r="J3189" s="22" t="s">
        <v>4401</v>
      </c>
      <c r="K3189" s="22" t="s">
        <v>66</v>
      </c>
      <c r="L3189" s="22"/>
      <c r="M3189" s="22"/>
      <c r="N3189" s="22"/>
    </row>
    <row r="3190" spans="1:14" x14ac:dyDescent="0.25">
      <c r="A3190" s="22" t="s">
        <v>1206</v>
      </c>
      <c r="B3190" s="22" t="s">
        <v>39</v>
      </c>
      <c r="C3190" s="22" t="s">
        <v>113</v>
      </c>
      <c r="D3190" s="23">
        <v>-537056</v>
      </c>
      <c r="E3190" s="22" t="s">
        <v>57</v>
      </c>
      <c r="F3190" s="24">
        <v>44623</v>
      </c>
      <c r="G3190" s="22" t="s">
        <v>1205</v>
      </c>
      <c r="H3190" s="22" t="s">
        <v>979</v>
      </c>
      <c r="I3190" s="22" t="s">
        <v>7702</v>
      </c>
      <c r="J3190" s="22" t="s">
        <v>4401</v>
      </c>
      <c r="K3190" s="22" t="s">
        <v>66</v>
      </c>
      <c r="L3190" s="22"/>
      <c r="M3190" s="22"/>
      <c r="N3190" s="22"/>
    </row>
    <row r="3191" spans="1:14" x14ac:dyDescent="0.25">
      <c r="A3191" s="22" t="s">
        <v>983</v>
      </c>
      <c r="B3191" s="22" t="s">
        <v>39</v>
      </c>
      <c r="C3191" s="22" t="s">
        <v>3566</v>
      </c>
      <c r="D3191" s="23">
        <v>480031</v>
      </c>
      <c r="E3191" s="22" t="s">
        <v>45</v>
      </c>
      <c r="F3191" s="24">
        <v>44670</v>
      </c>
      <c r="G3191" s="22" t="s">
        <v>1205</v>
      </c>
      <c r="H3191" s="22" t="s">
        <v>46</v>
      </c>
      <c r="I3191" s="22" t="s">
        <v>984</v>
      </c>
      <c r="J3191" s="22" t="s">
        <v>4401</v>
      </c>
      <c r="K3191" s="22" t="s">
        <v>292</v>
      </c>
      <c r="L3191" s="22"/>
      <c r="M3191" s="22"/>
      <c r="N3191" s="22"/>
    </row>
    <row r="3192" spans="1:14" x14ac:dyDescent="0.25">
      <c r="A3192" s="22" t="s">
        <v>44</v>
      </c>
      <c r="B3192" s="22" t="s">
        <v>39</v>
      </c>
      <c r="C3192" s="22" t="s">
        <v>7695</v>
      </c>
      <c r="D3192" s="23">
        <v>2147253</v>
      </c>
      <c r="E3192" s="22" t="s">
        <v>45</v>
      </c>
      <c r="F3192" s="24">
        <v>44580</v>
      </c>
      <c r="G3192" s="22" t="s">
        <v>1124</v>
      </c>
      <c r="H3192" s="22"/>
      <c r="I3192" s="22" t="s">
        <v>1124</v>
      </c>
      <c r="J3192" s="22" t="s">
        <v>4466</v>
      </c>
      <c r="K3192" s="22" t="s">
        <v>292</v>
      </c>
      <c r="L3192" s="22"/>
      <c r="M3192" s="22"/>
      <c r="N3192" s="22"/>
    </row>
    <row r="3193" spans="1:14" x14ac:dyDescent="0.25">
      <c r="A3193" s="22" t="s">
        <v>44</v>
      </c>
      <c r="B3193" s="22" t="s">
        <v>39</v>
      </c>
      <c r="C3193" s="22" t="s">
        <v>7695</v>
      </c>
      <c r="D3193" s="23">
        <v>-6075292</v>
      </c>
      <c r="E3193" s="22" t="s">
        <v>45</v>
      </c>
      <c r="F3193" s="24">
        <v>44580</v>
      </c>
      <c r="G3193" s="22" t="s">
        <v>1124</v>
      </c>
      <c r="H3193" s="22"/>
      <c r="I3193" s="22" t="s">
        <v>1124</v>
      </c>
      <c r="J3193" s="22" t="s">
        <v>4401</v>
      </c>
      <c r="K3193" s="22" t="s">
        <v>292</v>
      </c>
      <c r="L3193" s="22"/>
      <c r="M3193" s="22"/>
      <c r="N3193" s="22"/>
    </row>
    <row r="3194" spans="1:14" x14ac:dyDescent="0.25">
      <c r="A3194" s="22" t="s">
        <v>1169</v>
      </c>
      <c r="B3194" s="22" t="s">
        <v>39</v>
      </c>
      <c r="C3194" s="22" t="s">
        <v>7701</v>
      </c>
      <c r="D3194" s="23">
        <v>-48200</v>
      </c>
      <c r="E3194" s="22" t="s">
        <v>57</v>
      </c>
      <c r="F3194" s="24">
        <v>44615</v>
      </c>
      <c r="G3194" s="22" t="s">
        <v>1124</v>
      </c>
      <c r="H3194" s="22" t="s">
        <v>919</v>
      </c>
      <c r="I3194" s="22" t="s">
        <v>1168</v>
      </c>
      <c r="J3194" s="22" t="s">
        <v>4466</v>
      </c>
      <c r="K3194" s="22" t="s">
        <v>61</v>
      </c>
      <c r="L3194" s="22"/>
      <c r="M3194" s="22"/>
      <c r="N3194" s="22"/>
    </row>
    <row r="3195" spans="1:14" x14ac:dyDescent="0.25">
      <c r="A3195" s="22" t="s">
        <v>1166</v>
      </c>
      <c r="B3195" s="22" t="s">
        <v>39</v>
      </c>
      <c r="C3195" s="22" t="s">
        <v>7701</v>
      </c>
      <c r="D3195" s="23">
        <v>-49900</v>
      </c>
      <c r="E3195" s="22" t="s">
        <v>57</v>
      </c>
      <c r="F3195" s="24">
        <v>44616</v>
      </c>
      <c r="G3195" s="22" t="s">
        <v>1124</v>
      </c>
      <c r="H3195" s="22" t="s">
        <v>1167</v>
      </c>
      <c r="I3195" s="22" t="s">
        <v>1165</v>
      </c>
      <c r="J3195" s="22" t="s">
        <v>4466</v>
      </c>
      <c r="K3195" s="22" t="s">
        <v>61</v>
      </c>
      <c r="L3195" s="22"/>
      <c r="M3195" s="22"/>
      <c r="N3195" s="22"/>
    </row>
    <row r="3196" spans="1:14" x14ac:dyDescent="0.25">
      <c r="A3196" s="22" t="s">
        <v>1163</v>
      </c>
      <c r="B3196" s="22" t="s">
        <v>39</v>
      </c>
      <c r="C3196" s="22" t="s">
        <v>7701</v>
      </c>
      <c r="D3196" s="23">
        <v>-32300</v>
      </c>
      <c r="E3196" s="22" t="s">
        <v>57</v>
      </c>
      <c r="F3196" s="24">
        <v>44620</v>
      </c>
      <c r="G3196" s="22" t="s">
        <v>1124</v>
      </c>
      <c r="H3196" s="22" t="s">
        <v>1164</v>
      </c>
      <c r="I3196" s="22" t="s">
        <v>1162</v>
      </c>
      <c r="J3196" s="22" t="s">
        <v>4466</v>
      </c>
      <c r="K3196" s="22" t="s">
        <v>61</v>
      </c>
      <c r="L3196" s="22"/>
      <c r="M3196" s="22"/>
      <c r="N3196" s="22"/>
    </row>
    <row r="3197" spans="1:14" x14ac:dyDescent="0.25">
      <c r="A3197" s="22" t="s">
        <v>1161</v>
      </c>
      <c r="B3197" s="22" t="s">
        <v>39</v>
      </c>
      <c r="C3197" s="22" t="s">
        <v>7701</v>
      </c>
      <c r="D3197" s="23">
        <v>-32300</v>
      </c>
      <c r="E3197" s="22" t="s">
        <v>57</v>
      </c>
      <c r="F3197" s="24">
        <v>44620</v>
      </c>
      <c r="G3197" s="22" t="s">
        <v>1124</v>
      </c>
      <c r="H3197" s="22" t="s">
        <v>280</v>
      </c>
      <c r="I3197" s="22" t="s">
        <v>1160</v>
      </c>
      <c r="J3197" s="22" t="s">
        <v>4466</v>
      </c>
      <c r="K3197" s="22" t="s">
        <v>61</v>
      </c>
      <c r="L3197" s="22"/>
      <c r="M3197" s="22"/>
      <c r="N3197" s="22"/>
    </row>
    <row r="3198" spans="1:14" x14ac:dyDescent="0.25">
      <c r="A3198" s="22" t="s">
        <v>1158</v>
      </c>
      <c r="B3198" s="22" t="s">
        <v>39</v>
      </c>
      <c r="C3198" s="22" t="s">
        <v>7698</v>
      </c>
      <c r="D3198" s="23">
        <v>-681928</v>
      </c>
      <c r="E3198" s="22" t="s">
        <v>57</v>
      </c>
      <c r="F3198" s="24">
        <v>44599</v>
      </c>
      <c r="G3198" s="22" t="s">
        <v>1124</v>
      </c>
      <c r="H3198" s="22" t="s">
        <v>1159</v>
      </c>
      <c r="I3198" s="22" t="s">
        <v>1157</v>
      </c>
      <c r="J3198" s="22" t="s">
        <v>4466</v>
      </c>
      <c r="K3198" s="22" t="s">
        <v>61</v>
      </c>
      <c r="L3198" s="22"/>
      <c r="M3198" s="22"/>
      <c r="N3198" s="22"/>
    </row>
    <row r="3199" spans="1:14" x14ac:dyDescent="0.25">
      <c r="A3199" s="22" t="s">
        <v>1156</v>
      </c>
      <c r="B3199" s="22" t="s">
        <v>39</v>
      </c>
      <c r="C3199" s="22" t="s">
        <v>7698</v>
      </c>
      <c r="D3199" s="23">
        <v>-103500</v>
      </c>
      <c r="E3199" s="22" t="s">
        <v>57</v>
      </c>
      <c r="F3199" s="24">
        <v>44616</v>
      </c>
      <c r="G3199" s="22" t="s">
        <v>1124</v>
      </c>
      <c r="H3199" s="22" t="s">
        <v>785</v>
      </c>
      <c r="I3199" s="22" t="s">
        <v>1155</v>
      </c>
      <c r="J3199" s="22" t="s">
        <v>4466</v>
      </c>
      <c r="K3199" s="22" t="s">
        <v>61</v>
      </c>
      <c r="L3199" s="22"/>
      <c r="M3199" s="22"/>
      <c r="N3199" s="22"/>
    </row>
    <row r="3200" spans="1:14" x14ac:dyDescent="0.25">
      <c r="A3200" s="22" t="s">
        <v>1153</v>
      </c>
      <c r="B3200" s="22" t="s">
        <v>39</v>
      </c>
      <c r="C3200" s="22" t="s">
        <v>7698</v>
      </c>
      <c r="D3200" s="23">
        <v>-59978</v>
      </c>
      <c r="E3200" s="22" t="s">
        <v>57</v>
      </c>
      <c r="F3200" s="24">
        <v>44617</v>
      </c>
      <c r="G3200" s="22" t="s">
        <v>1124</v>
      </c>
      <c r="H3200" s="22" t="s">
        <v>1154</v>
      </c>
      <c r="I3200" s="22" t="s">
        <v>1152</v>
      </c>
      <c r="J3200" s="22" t="s">
        <v>4466</v>
      </c>
      <c r="K3200" s="22" t="s">
        <v>61</v>
      </c>
      <c r="L3200" s="22"/>
      <c r="M3200" s="22"/>
      <c r="N3200" s="22"/>
    </row>
    <row r="3201" spans="1:14" x14ac:dyDescent="0.25">
      <c r="A3201" s="22" t="s">
        <v>1151</v>
      </c>
      <c r="B3201" s="22" t="s">
        <v>39</v>
      </c>
      <c r="C3201" s="22" t="s">
        <v>7698</v>
      </c>
      <c r="D3201" s="23">
        <v>-858211</v>
      </c>
      <c r="E3201" s="22" t="s">
        <v>57</v>
      </c>
      <c r="F3201" s="24">
        <v>44620</v>
      </c>
      <c r="G3201" s="22" t="s">
        <v>1124</v>
      </c>
      <c r="H3201" s="22" t="s">
        <v>1015</v>
      </c>
      <c r="I3201" s="22" t="s">
        <v>1150</v>
      </c>
      <c r="J3201" s="22" t="s">
        <v>4466</v>
      </c>
      <c r="K3201" s="22" t="s">
        <v>61</v>
      </c>
      <c r="L3201" s="22"/>
      <c r="M3201" s="22"/>
      <c r="N3201" s="22"/>
    </row>
    <row r="3202" spans="1:14" x14ac:dyDescent="0.25">
      <c r="A3202" s="22" t="s">
        <v>1148</v>
      </c>
      <c r="B3202" s="22" t="s">
        <v>39</v>
      </c>
      <c r="C3202" s="22" t="s">
        <v>7698</v>
      </c>
      <c r="D3202" s="23">
        <v>-10821</v>
      </c>
      <c r="E3202" s="22" t="s">
        <v>45</v>
      </c>
      <c r="F3202" s="24">
        <v>44593</v>
      </c>
      <c r="G3202" s="22" t="s">
        <v>1124</v>
      </c>
      <c r="H3202" s="22" t="s">
        <v>1149</v>
      </c>
      <c r="I3202" s="22" t="s">
        <v>1147</v>
      </c>
      <c r="J3202" s="22" t="s">
        <v>4466</v>
      </c>
      <c r="K3202" s="22" t="s">
        <v>61</v>
      </c>
      <c r="L3202" s="22"/>
      <c r="M3202" s="22"/>
      <c r="N3202" s="22"/>
    </row>
    <row r="3203" spans="1:14" x14ac:dyDescent="0.25">
      <c r="A3203" s="22" t="s">
        <v>1145</v>
      </c>
      <c r="B3203" s="22" t="s">
        <v>39</v>
      </c>
      <c r="C3203" s="22" t="s">
        <v>7698</v>
      </c>
      <c r="D3203" s="23">
        <v>-46851</v>
      </c>
      <c r="E3203" s="22" t="s">
        <v>45</v>
      </c>
      <c r="F3203" s="24">
        <v>44606</v>
      </c>
      <c r="G3203" s="22" t="s">
        <v>1124</v>
      </c>
      <c r="H3203" s="22" t="s">
        <v>1146</v>
      </c>
      <c r="I3203" s="22" t="s">
        <v>1144</v>
      </c>
      <c r="J3203" s="22" t="s">
        <v>4466</v>
      </c>
      <c r="K3203" s="22" t="s">
        <v>61</v>
      </c>
      <c r="L3203" s="22"/>
      <c r="M3203" s="22"/>
      <c r="N3203" s="22"/>
    </row>
    <row r="3204" spans="1:14" x14ac:dyDescent="0.25">
      <c r="A3204" s="22" t="s">
        <v>1142</v>
      </c>
      <c r="B3204" s="22" t="s">
        <v>39</v>
      </c>
      <c r="C3204" s="22" t="s">
        <v>7698</v>
      </c>
      <c r="D3204" s="23">
        <v>-80117</v>
      </c>
      <c r="E3204" s="22" t="s">
        <v>45</v>
      </c>
      <c r="F3204" s="24">
        <v>44610</v>
      </c>
      <c r="G3204" s="22" t="s">
        <v>1124</v>
      </c>
      <c r="H3204" s="22" t="s">
        <v>1143</v>
      </c>
      <c r="I3204" s="22" t="s">
        <v>1141</v>
      </c>
      <c r="J3204" s="22" t="s">
        <v>4466</v>
      </c>
      <c r="K3204" s="22" t="s">
        <v>61</v>
      </c>
      <c r="L3204" s="22"/>
      <c r="M3204" s="22"/>
      <c r="N3204" s="22"/>
    </row>
    <row r="3205" spans="1:14" x14ac:dyDescent="0.25">
      <c r="A3205" s="22" t="s">
        <v>1139</v>
      </c>
      <c r="B3205" s="22" t="s">
        <v>39</v>
      </c>
      <c r="C3205" s="22" t="s">
        <v>7698</v>
      </c>
      <c r="D3205" s="23">
        <v>-48485</v>
      </c>
      <c r="E3205" s="22" t="s">
        <v>45</v>
      </c>
      <c r="F3205" s="24">
        <v>44611</v>
      </c>
      <c r="G3205" s="22" t="s">
        <v>1124</v>
      </c>
      <c r="H3205" s="22" t="s">
        <v>1140</v>
      </c>
      <c r="I3205" s="22" t="s">
        <v>1138</v>
      </c>
      <c r="J3205" s="22" t="s">
        <v>4466</v>
      </c>
      <c r="K3205" s="22" t="s">
        <v>61</v>
      </c>
      <c r="L3205" s="22"/>
      <c r="M3205" s="22"/>
      <c r="N3205" s="22"/>
    </row>
    <row r="3206" spans="1:14" x14ac:dyDescent="0.25">
      <c r="A3206" s="22" t="s">
        <v>1136</v>
      </c>
      <c r="B3206" s="22" t="s">
        <v>39</v>
      </c>
      <c r="C3206" s="22" t="s">
        <v>7698</v>
      </c>
      <c r="D3206" s="23">
        <v>-94662</v>
      </c>
      <c r="E3206" s="22" t="s">
        <v>45</v>
      </c>
      <c r="F3206" s="24">
        <v>44615</v>
      </c>
      <c r="G3206" s="22" t="s">
        <v>1124</v>
      </c>
      <c r="H3206" s="22" t="s">
        <v>1137</v>
      </c>
      <c r="I3206" s="22" t="s">
        <v>1135</v>
      </c>
      <c r="J3206" s="22" t="s">
        <v>4466</v>
      </c>
      <c r="K3206" s="22" t="s">
        <v>61</v>
      </c>
      <c r="L3206" s="22"/>
      <c r="M3206" s="22"/>
      <c r="N3206" s="22"/>
    </row>
    <row r="3207" spans="1:14" x14ac:dyDescent="0.25">
      <c r="A3207" s="22" t="s">
        <v>1133</v>
      </c>
      <c r="B3207" s="22" t="s">
        <v>39</v>
      </c>
      <c r="C3207" s="22" t="s">
        <v>113</v>
      </c>
      <c r="D3207" s="23">
        <v>-747494</v>
      </c>
      <c r="E3207" s="22" t="s">
        <v>57</v>
      </c>
      <c r="F3207" s="24">
        <v>44613</v>
      </c>
      <c r="G3207" s="22" t="s">
        <v>1124</v>
      </c>
      <c r="H3207" s="22" t="s">
        <v>1134</v>
      </c>
      <c r="I3207" s="22" t="s">
        <v>1132</v>
      </c>
      <c r="J3207" s="22" t="s">
        <v>4401</v>
      </c>
      <c r="K3207" s="22" t="s">
        <v>66</v>
      </c>
      <c r="L3207" s="22"/>
      <c r="M3207" s="22"/>
      <c r="N3207" s="22"/>
    </row>
    <row r="3208" spans="1:14" x14ac:dyDescent="0.25">
      <c r="A3208" s="22" t="s">
        <v>1130</v>
      </c>
      <c r="B3208" s="22" t="s">
        <v>39</v>
      </c>
      <c r="C3208" s="22" t="s">
        <v>113</v>
      </c>
      <c r="D3208" s="23">
        <v>-59978</v>
      </c>
      <c r="E3208" s="22" t="s">
        <v>57</v>
      </c>
      <c r="F3208" s="24">
        <v>44618</v>
      </c>
      <c r="G3208" s="22" t="s">
        <v>1124</v>
      </c>
      <c r="H3208" s="22" t="s">
        <v>1131</v>
      </c>
      <c r="I3208" s="22" t="s">
        <v>1129</v>
      </c>
      <c r="J3208" s="22" t="s">
        <v>4401</v>
      </c>
      <c r="K3208" s="22" t="s">
        <v>66</v>
      </c>
      <c r="L3208" s="22"/>
      <c r="M3208" s="22"/>
      <c r="N3208" s="22"/>
    </row>
    <row r="3209" spans="1:14" x14ac:dyDescent="0.25">
      <c r="A3209" s="22" t="s">
        <v>1127</v>
      </c>
      <c r="B3209" s="22" t="s">
        <v>39</v>
      </c>
      <c r="C3209" s="22" t="s">
        <v>113</v>
      </c>
      <c r="D3209" s="23">
        <v>-1000455</v>
      </c>
      <c r="E3209" s="22" t="s">
        <v>57</v>
      </c>
      <c r="F3209" s="24">
        <v>44619</v>
      </c>
      <c r="G3209" s="22" t="s">
        <v>1124</v>
      </c>
      <c r="H3209" s="22" t="s">
        <v>1128</v>
      </c>
      <c r="I3209" s="22" t="s">
        <v>1126</v>
      </c>
      <c r="J3209" s="22" t="s">
        <v>4401</v>
      </c>
      <c r="K3209" s="22" t="s">
        <v>66</v>
      </c>
      <c r="L3209" s="22"/>
      <c r="M3209" s="22"/>
      <c r="N3209" s="22"/>
    </row>
    <row r="3210" spans="1:14" x14ac:dyDescent="0.25">
      <c r="A3210" s="22" t="s">
        <v>1123</v>
      </c>
      <c r="B3210" s="22" t="s">
        <v>39</v>
      </c>
      <c r="C3210" s="22" t="s">
        <v>113</v>
      </c>
      <c r="D3210" s="23">
        <v>-113724</v>
      </c>
      <c r="E3210" s="22" t="s">
        <v>57</v>
      </c>
      <c r="F3210" s="24">
        <v>44620</v>
      </c>
      <c r="G3210" s="22" t="s">
        <v>1124</v>
      </c>
      <c r="H3210" s="22" t="s">
        <v>1125</v>
      </c>
      <c r="I3210" s="22" t="s">
        <v>1122</v>
      </c>
      <c r="J3210" s="22" t="s">
        <v>4401</v>
      </c>
      <c r="K3210" s="22" t="s">
        <v>66</v>
      </c>
      <c r="L3210" s="22"/>
      <c r="M3210" s="22"/>
      <c r="N3210" s="22"/>
    </row>
    <row r="3211" spans="1:14" x14ac:dyDescent="0.25">
      <c r="A3211" s="22" t="s">
        <v>1214</v>
      </c>
      <c r="B3211" s="22" t="s">
        <v>39</v>
      </c>
      <c r="C3211" s="22" t="s">
        <v>113</v>
      </c>
      <c r="D3211" s="23">
        <v>-2393851</v>
      </c>
      <c r="E3211" s="22" t="s">
        <v>57</v>
      </c>
      <c r="F3211" s="24">
        <v>44621</v>
      </c>
      <c r="G3211" s="22" t="s">
        <v>1124</v>
      </c>
      <c r="H3211" s="22" t="s">
        <v>979</v>
      </c>
      <c r="I3211" s="22" t="s">
        <v>1213</v>
      </c>
      <c r="J3211" s="22" t="s">
        <v>4401</v>
      </c>
      <c r="K3211" s="22" t="s">
        <v>66</v>
      </c>
      <c r="L3211" s="22"/>
      <c r="M3211" s="22"/>
      <c r="N3211" s="22"/>
    </row>
    <row r="3212" spans="1:14" x14ac:dyDescent="0.25">
      <c r="A3212" s="22" t="s">
        <v>1025</v>
      </c>
      <c r="B3212" s="22" t="s">
        <v>39</v>
      </c>
      <c r="C3212" s="22" t="s">
        <v>113</v>
      </c>
      <c r="D3212" s="23">
        <v>-4767661</v>
      </c>
      <c r="E3212" s="22" t="s">
        <v>45</v>
      </c>
      <c r="F3212" s="24">
        <v>44614</v>
      </c>
      <c r="G3212" s="22" t="s">
        <v>1124</v>
      </c>
      <c r="H3212" s="22" t="s">
        <v>1212</v>
      </c>
      <c r="I3212" s="22" t="s">
        <v>1023</v>
      </c>
      <c r="J3212" s="22" t="s">
        <v>4401</v>
      </c>
      <c r="K3212" s="22" t="s">
        <v>66</v>
      </c>
      <c r="L3212" s="22"/>
      <c r="M3212" s="22"/>
      <c r="N3212" s="22"/>
    </row>
    <row r="3213" spans="1:14" x14ac:dyDescent="0.25">
      <c r="A3213" s="22" t="s">
        <v>959</v>
      </c>
      <c r="B3213" s="22" t="s">
        <v>39</v>
      </c>
      <c r="C3213" s="22" t="s">
        <v>113</v>
      </c>
      <c r="D3213" s="23">
        <v>-574985</v>
      </c>
      <c r="E3213" s="22" t="s">
        <v>45</v>
      </c>
      <c r="F3213" s="24">
        <v>44606</v>
      </c>
      <c r="G3213" s="22" t="s">
        <v>1124</v>
      </c>
      <c r="H3213" s="22" t="s">
        <v>1211</v>
      </c>
      <c r="I3213" s="22" t="s">
        <v>1210</v>
      </c>
      <c r="J3213" s="22" t="s">
        <v>4401</v>
      </c>
      <c r="K3213" s="22" t="s">
        <v>66</v>
      </c>
      <c r="L3213" s="22"/>
      <c r="M3213" s="22"/>
      <c r="N3213" s="22"/>
    </row>
    <row r="3214" spans="1:14" x14ac:dyDescent="0.25">
      <c r="A3214" s="22" t="s">
        <v>114</v>
      </c>
      <c r="B3214" s="22" t="s">
        <v>39</v>
      </c>
      <c r="C3214" s="22" t="s">
        <v>113</v>
      </c>
      <c r="D3214" s="23">
        <v>-87592</v>
      </c>
      <c r="E3214" s="22" t="s">
        <v>45</v>
      </c>
      <c r="F3214" s="24">
        <v>44621</v>
      </c>
      <c r="G3214" s="22" t="s">
        <v>1124</v>
      </c>
      <c r="H3214" s="22" t="s">
        <v>1209</v>
      </c>
      <c r="I3214" s="22" t="s">
        <v>1208</v>
      </c>
      <c r="J3214" s="22" t="s">
        <v>4401</v>
      </c>
      <c r="K3214" s="22" t="s">
        <v>66</v>
      </c>
      <c r="L3214" s="22"/>
      <c r="M3214" s="22"/>
      <c r="N3214" s="22"/>
    </row>
    <row r="3215" spans="1:14" x14ac:dyDescent="0.25">
      <c r="A3215" s="22" t="s">
        <v>1206</v>
      </c>
      <c r="B3215" s="22" t="s">
        <v>39</v>
      </c>
      <c r="C3215" s="22" t="s">
        <v>113</v>
      </c>
      <c r="D3215" s="23">
        <v>-57025</v>
      </c>
      <c r="E3215" s="22" t="s">
        <v>45</v>
      </c>
      <c r="F3215" s="24">
        <v>44623</v>
      </c>
      <c r="G3215" s="22" t="s">
        <v>1124</v>
      </c>
      <c r="H3215" s="22" t="s">
        <v>1207</v>
      </c>
      <c r="I3215" s="22" t="s">
        <v>1205</v>
      </c>
      <c r="J3215" s="22" t="s">
        <v>4401</v>
      </c>
      <c r="K3215" s="22" t="s">
        <v>66</v>
      </c>
      <c r="L3215" s="22"/>
      <c r="M3215" s="22"/>
      <c r="N3215" s="22"/>
    </row>
    <row r="3216" spans="1:14" x14ac:dyDescent="0.25">
      <c r="A3216" s="22" t="s">
        <v>1203</v>
      </c>
      <c r="B3216" s="22" t="s">
        <v>39</v>
      </c>
      <c r="C3216" s="22" t="s">
        <v>7696</v>
      </c>
      <c r="D3216" s="23">
        <v>-24800</v>
      </c>
      <c r="E3216" s="22" t="s">
        <v>57</v>
      </c>
      <c r="F3216" s="24">
        <v>44616</v>
      </c>
      <c r="G3216" s="22" t="s">
        <v>1124</v>
      </c>
      <c r="H3216" s="22" t="s">
        <v>1204</v>
      </c>
      <c r="I3216" s="22" t="s">
        <v>1202</v>
      </c>
      <c r="J3216" s="22" t="s">
        <v>4401</v>
      </c>
      <c r="K3216" s="22" t="s">
        <v>66</v>
      </c>
      <c r="L3216" s="22"/>
      <c r="M3216" s="22"/>
      <c r="N3216" s="22"/>
    </row>
    <row r="3217" spans="1:14" x14ac:dyDescent="0.25">
      <c r="A3217" s="22" t="s">
        <v>1200</v>
      </c>
      <c r="B3217" s="22" t="s">
        <v>39</v>
      </c>
      <c r="C3217" s="22" t="s">
        <v>7696</v>
      </c>
      <c r="D3217" s="23">
        <v>-6705</v>
      </c>
      <c r="E3217" s="22" t="s">
        <v>45</v>
      </c>
      <c r="F3217" s="24">
        <v>44609</v>
      </c>
      <c r="G3217" s="22" t="s">
        <v>1124</v>
      </c>
      <c r="H3217" s="22" t="s">
        <v>1201</v>
      </c>
      <c r="I3217" s="22" t="s">
        <v>1199</v>
      </c>
      <c r="J3217" s="22" t="s">
        <v>4401</v>
      </c>
      <c r="K3217" s="22" t="s">
        <v>66</v>
      </c>
      <c r="L3217" s="22"/>
      <c r="M3217" s="22"/>
      <c r="N3217" s="22"/>
    </row>
    <row r="3218" spans="1:14" x14ac:dyDescent="0.25">
      <c r="A3218" s="22" t="s">
        <v>1174</v>
      </c>
      <c r="B3218" s="22" t="s">
        <v>39</v>
      </c>
      <c r="C3218" s="22" t="s">
        <v>7696</v>
      </c>
      <c r="D3218" s="23">
        <v>-3400</v>
      </c>
      <c r="E3218" s="22" t="s">
        <v>45</v>
      </c>
      <c r="F3218" s="24">
        <v>44615</v>
      </c>
      <c r="G3218" s="22" t="s">
        <v>1124</v>
      </c>
      <c r="H3218" s="22" t="s">
        <v>1198</v>
      </c>
      <c r="I3218" s="22" t="s">
        <v>1172</v>
      </c>
      <c r="J3218" s="22" t="s">
        <v>4401</v>
      </c>
      <c r="K3218" s="22" t="s">
        <v>66</v>
      </c>
      <c r="L3218" s="22"/>
      <c r="M3218" s="22"/>
      <c r="N3218" s="22"/>
    </row>
    <row r="3219" spans="1:14" x14ac:dyDescent="0.25">
      <c r="A3219" s="22" t="s">
        <v>121</v>
      </c>
      <c r="B3219" s="22" t="s">
        <v>39</v>
      </c>
      <c r="C3219" s="22" t="s">
        <v>120</v>
      </c>
      <c r="D3219" s="23">
        <v>-5303623</v>
      </c>
      <c r="E3219" s="22" t="s">
        <v>57</v>
      </c>
      <c r="F3219" s="24">
        <v>44590</v>
      </c>
      <c r="G3219" s="22" t="s">
        <v>1124</v>
      </c>
      <c r="H3219" s="22" t="s">
        <v>1197</v>
      </c>
      <c r="I3219" s="22" t="s">
        <v>123</v>
      </c>
      <c r="J3219" s="22" t="s">
        <v>4401</v>
      </c>
      <c r="K3219" s="22" t="s">
        <v>66</v>
      </c>
      <c r="L3219" s="22"/>
      <c r="M3219" s="22"/>
      <c r="N3219" s="22"/>
    </row>
    <row r="3220" spans="1:14" x14ac:dyDescent="0.25">
      <c r="A3220" s="22" t="s">
        <v>948</v>
      </c>
      <c r="B3220" s="22" t="s">
        <v>39</v>
      </c>
      <c r="C3220" s="22" t="s">
        <v>120</v>
      </c>
      <c r="D3220" s="23">
        <v>-15224</v>
      </c>
      <c r="E3220" s="22" t="s">
        <v>45</v>
      </c>
      <c r="F3220" s="24">
        <v>44588</v>
      </c>
      <c r="G3220" s="22" t="s">
        <v>1124</v>
      </c>
      <c r="H3220" s="22" t="s">
        <v>1196</v>
      </c>
      <c r="I3220" s="22" t="s">
        <v>1180</v>
      </c>
      <c r="J3220" s="22" t="s">
        <v>4401</v>
      </c>
      <c r="K3220" s="22" t="s">
        <v>66</v>
      </c>
      <c r="L3220" s="22"/>
      <c r="M3220" s="22"/>
      <c r="N3220" s="22"/>
    </row>
    <row r="3221" spans="1:14" x14ac:dyDescent="0.25">
      <c r="A3221" s="22" t="s">
        <v>44</v>
      </c>
      <c r="B3221" s="22" t="s">
        <v>39</v>
      </c>
      <c r="C3221" s="22" t="s">
        <v>40</v>
      </c>
      <c r="D3221" s="23">
        <v>21231809</v>
      </c>
      <c r="E3221" s="22" t="s">
        <v>42</v>
      </c>
      <c r="F3221" s="24">
        <v>44580</v>
      </c>
      <c r="G3221" s="22" t="s">
        <v>1124</v>
      </c>
      <c r="H3221" s="22" t="s">
        <v>49</v>
      </c>
      <c r="I3221" s="22" t="s">
        <v>1195</v>
      </c>
      <c r="J3221" s="22" t="s">
        <v>4401</v>
      </c>
      <c r="K3221" s="22" t="s">
        <v>292</v>
      </c>
      <c r="L3221" s="22"/>
      <c r="M3221" s="22"/>
      <c r="N3221" s="22"/>
    </row>
    <row r="3222" spans="1:14" x14ac:dyDescent="0.25">
      <c r="A3222" s="22" t="s">
        <v>50</v>
      </c>
      <c r="B3222" s="22" t="s">
        <v>39</v>
      </c>
      <c r="C3222" s="22" t="s">
        <v>7695</v>
      </c>
      <c r="D3222" s="23">
        <v>-38219087</v>
      </c>
      <c r="E3222" s="22" t="s">
        <v>45</v>
      </c>
      <c r="F3222" s="24">
        <v>44537</v>
      </c>
      <c r="G3222" s="22" t="s">
        <v>1193</v>
      </c>
      <c r="H3222" s="22"/>
      <c r="I3222" s="22" t="s">
        <v>1193</v>
      </c>
      <c r="J3222" s="22" t="s">
        <v>4401</v>
      </c>
      <c r="K3222" s="22" t="s">
        <v>292</v>
      </c>
      <c r="L3222" s="22"/>
      <c r="M3222" s="22"/>
      <c r="N3222" s="22"/>
    </row>
    <row r="3223" spans="1:14" x14ac:dyDescent="0.25">
      <c r="A3223" s="22" t="s">
        <v>117</v>
      </c>
      <c r="B3223" s="22" t="s">
        <v>39</v>
      </c>
      <c r="C3223" s="22" t="s">
        <v>113</v>
      </c>
      <c r="D3223" s="23">
        <v>-6881317</v>
      </c>
      <c r="E3223" s="22" t="s">
        <v>57</v>
      </c>
      <c r="F3223" s="24">
        <v>44618</v>
      </c>
      <c r="G3223" s="22" t="s">
        <v>1193</v>
      </c>
      <c r="H3223" s="22" t="s">
        <v>1194</v>
      </c>
      <c r="I3223" s="22" t="s">
        <v>119</v>
      </c>
      <c r="J3223" s="22" t="s">
        <v>4401</v>
      </c>
      <c r="K3223" s="22" t="s">
        <v>66</v>
      </c>
      <c r="L3223" s="22"/>
      <c r="M3223" s="22"/>
      <c r="N3223" s="22"/>
    </row>
    <row r="3224" spans="1:14" x14ac:dyDescent="0.25">
      <c r="A3224" s="22" t="s">
        <v>50</v>
      </c>
      <c r="B3224" s="22" t="s">
        <v>39</v>
      </c>
      <c r="C3224" s="22" t="s">
        <v>47</v>
      </c>
      <c r="D3224" s="23">
        <v>45100404</v>
      </c>
      <c r="E3224" s="22" t="s">
        <v>42</v>
      </c>
      <c r="F3224" s="24">
        <v>44537</v>
      </c>
      <c r="G3224" s="22" t="s">
        <v>1193</v>
      </c>
      <c r="H3224" s="22" t="s">
        <v>227</v>
      </c>
      <c r="I3224" s="22" t="s">
        <v>1192</v>
      </c>
      <c r="J3224" s="22" t="s">
        <v>4401</v>
      </c>
      <c r="K3224" s="22" t="s">
        <v>292</v>
      </c>
      <c r="L3224" s="22"/>
      <c r="M3224" s="22"/>
      <c r="N3224" s="22"/>
    </row>
    <row r="3225" spans="1:14" x14ac:dyDescent="0.25">
      <c r="A3225" s="22">
        <v>201363</v>
      </c>
      <c r="B3225" s="22" t="s">
        <v>39</v>
      </c>
      <c r="C3225" s="22" t="s">
        <v>7703</v>
      </c>
      <c r="D3225" s="23">
        <v>-1000000</v>
      </c>
      <c r="E3225" s="22" t="s">
        <v>7704</v>
      </c>
      <c r="F3225" s="24">
        <v>43159</v>
      </c>
      <c r="G3225" s="22" t="s">
        <v>7705</v>
      </c>
      <c r="H3225" s="22"/>
      <c r="I3225" s="22" t="s">
        <v>7705</v>
      </c>
      <c r="J3225" s="22" t="s">
        <v>4406</v>
      </c>
      <c r="K3225" s="22" t="s">
        <v>7706</v>
      </c>
      <c r="L3225" s="22"/>
      <c r="M3225" s="22"/>
      <c r="N3225" s="22"/>
    </row>
    <row r="3226" spans="1:14" x14ac:dyDescent="0.25">
      <c r="A3226" s="22" t="s">
        <v>7707</v>
      </c>
      <c r="B3226" s="22" t="s">
        <v>39</v>
      </c>
      <c r="C3226" s="22" t="s">
        <v>5081</v>
      </c>
      <c r="D3226" s="23">
        <v>1000000</v>
      </c>
      <c r="E3226" s="22" t="s">
        <v>42</v>
      </c>
      <c r="F3226" s="24">
        <v>43047</v>
      </c>
      <c r="G3226" s="22" t="s">
        <v>7705</v>
      </c>
      <c r="H3226" s="22" t="s">
        <v>7708</v>
      </c>
      <c r="I3226" s="22" t="s">
        <v>4408</v>
      </c>
      <c r="J3226" s="22" t="s">
        <v>4406</v>
      </c>
      <c r="K3226" s="22" t="s">
        <v>5081</v>
      </c>
      <c r="L3226" s="22"/>
      <c r="M3226" s="22"/>
      <c r="N3226" s="2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143"/>
  <sheetViews>
    <sheetView workbookViewId="0">
      <selection activeCell="H1" sqref="H1"/>
    </sheetView>
  </sheetViews>
  <sheetFormatPr baseColWidth="10" defaultRowHeight="15" x14ac:dyDescent="0.25"/>
  <sheetData>
    <row r="1" spans="1:11" x14ac:dyDescent="0.25">
      <c r="A1" s="21" t="s">
        <v>33</v>
      </c>
      <c r="B1" s="21" t="s">
        <v>198</v>
      </c>
      <c r="C1" s="21" t="s">
        <v>199</v>
      </c>
      <c r="D1" s="21" t="s">
        <v>52</v>
      </c>
      <c r="E1" s="21" t="s">
        <v>35</v>
      </c>
      <c r="F1" s="21" t="s">
        <v>200</v>
      </c>
      <c r="G1" s="21" t="s">
        <v>36</v>
      </c>
      <c r="H1" s="21" t="s">
        <v>37</v>
      </c>
      <c r="I1" s="21" t="s">
        <v>38</v>
      </c>
      <c r="J1" s="22"/>
      <c r="K1" s="22"/>
    </row>
    <row r="2" spans="1:11" x14ac:dyDescent="0.25">
      <c r="A2" s="22" t="s">
        <v>204</v>
      </c>
      <c r="B2" s="22" t="s">
        <v>201</v>
      </c>
      <c r="C2" s="22" t="s">
        <v>202</v>
      </c>
      <c r="D2" s="22" t="s">
        <v>203</v>
      </c>
      <c r="E2" s="22" t="s">
        <v>57</v>
      </c>
      <c r="F2" s="23">
        <v>-131807</v>
      </c>
      <c r="G2" s="24">
        <v>44512</v>
      </c>
      <c r="H2" s="22" t="s">
        <v>205</v>
      </c>
      <c r="I2" s="22" t="s">
        <v>206</v>
      </c>
      <c r="J2" s="22"/>
      <c r="K2" s="22"/>
    </row>
    <row r="3" spans="1:11" x14ac:dyDescent="0.25">
      <c r="A3" s="22" t="s">
        <v>208</v>
      </c>
      <c r="B3" s="22" t="s">
        <v>201</v>
      </c>
      <c r="C3" s="22" t="s">
        <v>202</v>
      </c>
      <c r="D3" s="22" t="s">
        <v>207</v>
      </c>
      <c r="E3" s="22" t="s">
        <v>57</v>
      </c>
      <c r="F3" s="23">
        <v>-100678</v>
      </c>
      <c r="G3" s="24">
        <v>44513</v>
      </c>
      <c r="H3" s="22" t="s">
        <v>205</v>
      </c>
      <c r="I3" s="22" t="s">
        <v>209</v>
      </c>
      <c r="J3" s="22"/>
      <c r="K3" s="22"/>
    </row>
    <row r="4" spans="1:11" x14ac:dyDescent="0.25">
      <c r="A4" s="22" t="s">
        <v>211</v>
      </c>
      <c r="B4" s="22" t="s">
        <v>201</v>
      </c>
      <c r="C4" s="22" t="s">
        <v>202</v>
      </c>
      <c r="D4" s="22" t="s">
        <v>210</v>
      </c>
      <c r="E4" s="22" t="s">
        <v>57</v>
      </c>
      <c r="F4" s="23">
        <v>-23700</v>
      </c>
      <c r="G4" s="24">
        <v>44505</v>
      </c>
      <c r="H4" s="22" t="s">
        <v>205</v>
      </c>
      <c r="I4" s="22" t="s">
        <v>212</v>
      </c>
      <c r="J4" s="22"/>
      <c r="K4" s="22"/>
    </row>
    <row r="5" spans="1:11" x14ac:dyDescent="0.25">
      <c r="A5" s="22" t="s">
        <v>214</v>
      </c>
      <c r="B5" s="22" t="s">
        <v>201</v>
      </c>
      <c r="C5" s="22" t="s">
        <v>202</v>
      </c>
      <c r="D5" s="22" t="s">
        <v>213</v>
      </c>
      <c r="E5" s="22" t="s">
        <v>57</v>
      </c>
      <c r="F5" s="23">
        <v>-1505364</v>
      </c>
      <c r="G5" s="24">
        <v>44526</v>
      </c>
      <c r="H5" s="22" t="s">
        <v>205</v>
      </c>
      <c r="I5" s="22" t="s">
        <v>212</v>
      </c>
      <c r="J5" s="22"/>
      <c r="K5" s="22"/>
    </row>
    <row r="6" spans="1:11" x14ac:dyDescent="0.25">
      <c r="A6" s="22" t="s">
        <v>216</v>
      </c>
      <c r="B6" s="22" t="s">
        <v>201</v>
      </c>
      <c r="C6" s="22" t="s">
        <v>202</v>
      </c>
      <c r="D6" s="22" t="s">
        <v>215</v>
      </c>
      <c r="E6" s="22" t="s">
        <v>57</v>
      </c>
      <c r="F6" s="23">
        <v>-55731</v>
      </c>
      <c r="G6" s="24">
        <v>44511</v>
      </c>
      <c r="H6" s="22" t="s">
        <v>205</v>
      </c>
      <c r="I6" s="22" t="s">
        <v>217</v>
      </c>
      <c r="J6" s="22"/>
      <c r="K6" s="22"/>
    </row>
    <row r="7" spans="1:11" x14ac:dyDescent="0.25">
      <c r="A7" s="22" t="s">
        <v>219</v>
      </c>
      <c r="B7" s="22" t="s">
        <v>201</v>
      </c>
      <c r="C7" s="22" t="s">
        <v>202</v>
      </c>
      <c r="D7" s="22" t="s">
        <v>218</v>
      </c>
      <c r="E7" s="22" t="s">
        <v>57</v>
      </c>
      <c r="F7" s="23">
        <v>-546396</v>
      </c>
      <c r="G7" s="24">
        <v>44511</v>
      </c>
      <c r="H7" s="22" t="s">
        <v>205</v>
      </c>
      <c r="I7" s="22" t="s">
        <v>220</v>
      </c>
      <c r="J7" s="22"/>
      <c r="K7" s="22"/>
    </row>
    <row r="8" spans="1:11" x14ac:dyDescent="0.25">
      <c r="A8" s="22" t="s">
        <v>222</v>
      </c>
      <c r="B8" s="22" t="s">
        <v>201</v>
      </c>
      <c r="C8" s="22" t="s">
        <v>202</v>
      </c>
      <c r="D8" s="22" t="s">
        <v>221</v>
      </c>
      <c r="E8" s="22" t="s">
        <v>57</v>
      </c>
      <c r="F8" s="23">
        <v>-47200</v>
      </c>
      <c r="G8" s="24">
        <v>44505</v>
      </c>
      <c r="H8" s="22" t="s">
        <v>205</v>
      </c>
      <c r="I8" s="22" t="s">
        <v>212</v>
      </c>
      <c r="J8" s="22"/>
      <c r="K8" s="22"/>
    </row>
    <row r="9" spans="1:11" x14ac:dyDescent="0.25">
      <c r="A9" s="22" t="s">
        <v>224</v>
      </c>
      <c r="B9" s="22" t="s">
        <v>201</v>
      </c>
      <c r="C9" s="22" t="s">
        <v>202</v>
      </c>
      <c r="D9" s="22" t="s">
        <v>223</v>
      </c>
      <c r="E9" s="22" t="s">
        <v>57</v>
      </c>
      <c r="F9" s="23">
        <v>-112100</v>
      </c>
      <c r="G9" s="24">
        <v>44505</v>
      </c>
      <c r="H9" s="22" t="s">
        <v>205</v>
      </c>
      <c r="I9" s="22" t="s">
        <v>212</v>
      </c>
      <c r="J9" s="22"/>
      <c r="K9" s="22"/>
    </row>
    <row r="10" spans="1:11" x14ac:dyDescent="0.25">
      <c r="A10" s="22" t="s">
        <v>219</v>
      </c>
      <c r="B10" s="22" t="s">
        <v>201</v>
      </c>
      <c r="C10" s="22" t="s">
        <v>202</v>
      </c>
      <c r="D10" s="22" t="s">
        <v>205</v>
      </c>
      <c r="E10" s="22" t="s">
        <v>45</v>
      </c>
      <c r="F10" s="23">
        <v>-2460849</v>
      </c>
      <c r="G10" s="24">
        <v>44511</v>
      </c>
      <c r="H10" s="22" t="s">
        <v>205</v>
      </c>
      <c r="I10" s="22"/>
      <c r="J10" s="22"/>
      <c r="K10" s="22"/>
    </row>
    <row r="11" spans="1:11" x14ac:dyDescent="0.25">
      <c r="A11" s="22" t="s">
        <v>229</v>
      </c>
      <c r="B11" s="22" t="s">
        <v>201</v>
      </c>
      <c r="C11" s="22" t="s">
        <v>202</v>
      </c>
      <c r="D11" s="22" t="s">
        <v>228</v>
      </c>
      <c r="E11" s="22" t="s">
        <v>45</v>
      </c>
      <c r="F11" s="23">
        <v>-53700</v>
      </c>
      <c r="G11" s="24">
        <v>44537</v>
      </c>
      <c r="H11" s="22" t="s">
        <v>228</v>
      </c>
      <c r="I11" s="22" t="s">
        <v>230</v>
      </c>
      <c r="J11" s="22"/>
      <c r="K11" s="22"/>
    </row>
    <row r="12" spans="1:11" x14ac:dyDescent="0.25">
      <c r="A12" s="22" t="s">
        <v>233</v>
      </c>
      <c r="B12" s="22" t="s">
        <v>201</v>
      </c>
      <c r="C12" s="22" t="s">
        <v>202</v>
      </c>
      <c r="D12" s="22" t="s">
        <v>232</v>
      </c>
      <c r="E12" s="22" t="s">
        <v>57</v>
      </c>
      <c r="F12" s="23">
        <v>-53700</v>
      </c>
      <c r="G12" s="24">
        <v>44504</v>
      </c>
      <c r="H12" s="22" t="s">
        <v>228</v>
      </c>
      <c r="I12" s="22" t="s">
        <v>234</v>
      </c>
      <c r="J12" s="22"/>
      <c r="K12" s="22"/>
    </row>
    <row r="13" spans="1:11" x14ac:dyDescent="0.25">
      <c r="A13" s="22" t="s">
        <v>238</v>
      </c>
      <c r="B13" s="22" t="s">
        <v>201</v>
      </c>
      <c r="C13" s="22" t="s">
        <v>202</v>
      </c>
      <c r="D13" s="22" t="s">
        <v>237</v>
      </c>
      <c r="E13" s="22" t="s">
        <v>45</v>
      </c>
      <c r="F13" s="23">
        <v>-325300</v>
      </c>
      <c r="G13" s="24">
        <v>44559</v>
      </c>
      <c r="H13" s="22" t="s">
        <v>237</v>
      </c>
      <c r="I13" s="22"/>
      <c r="J13" s="22"/>
      <c r="K13" s="22"/>
    </row>
    <row r="14" spans="1:11" x14ac:dyDescent="0.25">
      <c r="A14" s="22" t="s">
        <v>240</v>
      </c>
      <c r="B14" s="22" t="s">
        <v>201</v>
      </c>
      <c r="C14" s="22" t="s">
        <v>202</v>
      </c>
      <c r="D14" s="22" t="s">
        <v>239</v>
      </c>
      <c r="E14" s="22" t="s">
        <v>45</v>
      </c>
      <c r="F14" s="23">
        <v>-43100</v>
      </c>
      <c r="G14" s="24">
        <v>44505</v>
      </c>
      <c r="H14" s="22" t="s">
        <v>237</v>
      </c>
      <c r="I14" s="22" t="s">
        <v>241</v>
      </c>
      <c r="J14" s="22"/>
      <c r="K14" s="22"/>
    </row>
    <row r="15" spans="1:11" x14ac:dyDescent="0.25">
      <c r="A15" s="22" t="s">
        <v>238</v>
      </c>
      <c r="B15" s="22" t="s">
        <v>201</v>
      </c>
      <c r="C15" s="22" t="s">
        <v>202</v>
      </c>
      <c r="D15" s="22" t="s">
        <v>242</v>
      </c>
      <c r="E15" s="22" t="s">
        <v>57</v>
      </c>
      <c r="F15" s="23">
        <v>-310726</v>
      </c>
      <c r="G15" s="24">
        <v>44559</v>
      </c>
      <c r="H15" s="22" t="s">
        <v>237</v>
      </c>
      <c r="I15" s="22" t="s">
        <v>243</v>
      </c>
      <c r="J15" s="22"/>
      <c r="K15" s="22"/>
    </row>
    <row r="16" spans="1:11" x14ac:dyDescent="0.25">
      <c r="A16" s="22" t="s">
        <v>247</v>
      </c>
      <c r="B16" s="22" t="s">
        <v>201</v>
      </c>
      <c r="C16" s="22" t="s">
        <v>202</v>
      </c>
      <c r="D16" s="22" t="s">
        <v>246</v>
      </c>
      <c r="E16" s="22" t="s">
        <v>57</v>
      </c>
      <c r="F16" s="23">
        <v>-1461830</v>
      </c>
      <c r="G16" s="24">
        <v>44518</v>
      </c>
      <c r="H16" s="22" t="s">
        <v>248</v>
      </c>
      <c r="I16" s="22" t="s">
        <v>249</v>
      </c>
      <c r="J16" s="22"/>
      <c r="K16" s="22"/>
    </row>
    <row r="17" spans="1:11" x14ac:dyDescent="0.25">
      <c r="A17" s="22" t="s">
        <v>251</v>
      </c>
      <c r="B17" s="22" t="s">
        <v>201</v>
      </c>
      <c r="C17" s="22" t="s">
        <v>202</v>
      </c>
      <c r="D17" s="22" t="s">
        <v>250</v>
      </c>
      <c r="E17" s="22" t="s">
        <v>57</v>
      </c>
      <c r="F17" s="23">
        <v>-3094378</v>
      </c>
      <c r="G17" s="24">
        <v>44543</v>
      </c>
      <c r="H17" s="22" t="s">
        <v>248</v>
      </c>
      <c r="I17" s="22" t="s">
        <v>249</v>
      </c>
      <c r="J17" s="22"/>
      <c r="K17" s="22"/>
    </row>
    <row r="18" spans="1:11" x14ac:dyDescent="0.25">
      <c r="A18" s="22" t="s">
        <v>255</v>
      </c>
      <c r="B18" s="22" t="s">
        <v>201</v>
      </c>
      <c r="C18" s="22" t="s">
        <v>202</v>
      </c>
      <c r="D18" s="22" t="s">
        <v>254</v>
      </c>
      <c r="E18" s="22" t="s">
        <v>45</v>
      </c>
      <c r="F18" s="23">
        <v>-393853</v>
      </c>
      <c r="G18" s="24">
        <v>44530</v>
      </c>
      <c r="H18" s="22" t="s">
        <v>254</v>
      </c>
      <c r="I18" s="22"/>
      <c r="J18" s="22"/>
      <c r="K18" s="22"/>
    </row>
    <row r="19" spans="1:11" x14ac:dyDescent="0.25">
      <c r="A19" s="22" t="s">
        <v>255</v>
      </c>
      <c r="B19" s="22" t="s">
        <v>201</v>
      </c>
      <c r="C19" s="22" t="s">
        <v>202</v>
      </c>
      <c r="D19" s="22" t="s">
        <v>256</v>
      </c>
      <c r="E19" s="22" t="s">
        <v>45</v>
      </c>
      <c r="F19" s="23">
        <v>-979421</v>
      </c>
      <c r="G19" s="24">
        <v>44530</v>
      </c>
      <c r="H19" s="22" t="s">
        <v>254</v>
      </c>
      <c r="I19" s="22" t="s">
        <v>257</v>
      </c>
      <c r="J19" s="22"/>
      <c r="K19" s="22"/>
    </row>
    <row r="20" spans="1:11" x14ac:dyDescent="0.25">
      <c r="A20" s="22" t="s">
        <v>261</v>
      </c>
      <c r="B20" s="22" t="s">
        <v>201</v>
      </c>
      <c r="C20" s="22" t="s">
        <v>202</v>
      </c>
      <c r="D20" s="22" t="s">
        <v>260</v>
      </c>
      <c r="E20" s="22" t="s">
        <v>45</v>
      </c>
      <c r="F20" s="23">
        <v>-32700</v>
      </c>
      <c r="G20" s="24">
        <v>44564</v>
      </c>
      <c r="H20" s="22" t="s">
        <v>260</v>
      </c>
      <c r="I20" s="22"/>
      <c r="J20" s="22"/>
      <c r="K20" s="22"/>
    </row>
    <row r="21" spans="1:11" x14ac:dyDescent="0.25">
      <c r="A21" s="22" t="s">
        <v>261</v>
      </c>
      <c r="B21" s="22" t="s">
        <v>201</v>
      </c>
      <c r="C21" s="22" t="s">
        <v>202</v>
      </c>
      <c r="D21" s="22" t="s">
        <v>262</v>
      </c>
      <c r="E21" s="22" t="s">
        <v>57</v>
      </c>
      <c r="F21" s="23">
        <v>-1542692</v>
      </c>
      <c r="G21" s="24">
        <v>44564</v>
      </c>
      <c r="H21" s="22" t="s">
        <v>260</v>
      </c>
      <c r="I21" s="22" t="s">
        <v>263</v>
      </c>
      <c r="J21" s="22"/>
      <c r="K21" s="22"/>
    </row>
    <row r="22" spans="1:11" x14ac:dyDescent="0.25">
      <c r="A22" s="22" t="s">
        <v>267</v>
      </c>
      <c r="B22" s="22" t="s">
        <v>201</v>
      </c>
      <c r="C22" s="22" t="s">
        <v>202</v>
      </c>
      <c r="D22" s="22" t="s">
        <v>266</v>
      </c>
      <c r="E22" s="22" t="s">
        <v>45</v>
      </c>
      <c r="F22" s="23">
        <v>-2753690</v>
      </c>
      <c r="G22" s="24">
        <v>44541</v>
      </c>
      <c r="H22" s="22" t="s">
        <v>266</v>
      </c>
      <c r="I22" s="22"/>
      <c r="J22" s="22"/>
      <c r="K22" s="22"/>
    </row>
    <row r="23" spans="1:11" x14ac:dyDescent="0.25">
      <c r="A23" s="22" t="s">
        <v>269</v>
      </c>
      <c r="B23" s="22" t="s">
        <v>201</v>
      </c>
      <c r="C23" s="22" t="s">
        <v>202</v>
      </c>
      <c r="D23" s="22" t="s">
        <v>268</v>
      </c>
      <c r="E23" s="22" t="s">
        <v>57</v>
      </c>
      <c r="F23" s="23">
        <v>-419680</v>
      </c>
      <c r="G23" s="24">
        <v>44503</v>
      </c>
      <c r="H23" s="22" t="s">
        <v>266</v>
      </c>
      <c r="I23" s="22" t="s">
        <v>270</v>
      </c>
      <c r="J23" s="22"/>
      <c r="K23" s="22"/>
    </row>
    <row r="24" spans="1:11" x14ac:dyDescent="0.25">
      <c r="A24" s="22" t="s">
        <v>267</v>
      </c>
      <c r="B24" s="22" t="s">
        <v>201</v>
      </c>
      <c r="C24" s="22" t="s">
        <v>202</v>
      </c>
      <c r="D24" s="22" t="s">
        <v>271</v>
      </c>
      <c r="E24" s="22" t="s">
        <v>57</v>
      </c>
      <c r="F24" s="23">
        <v>-2681158</v>
      </c>
      <c r="G24" s="24">
        <v>44541</v>
      </c>
      <c r="H24" s="22" t="s">
        <v>266</v>
      </c>
      <c r="I24" s="22" t="s">
        <v>272</v>
      </c>
      <c r="J24" s="22"/>
      <c r="K24" s="22"/>
    </row>
    <row r="25" spans="1:11" x14ac:dyDescent="0.25">
      <c r="A25" s="22" t="s">
        <v>277</v>
      </c>
      <c r="B25" s="22" t="s">
        <v>201</v>
      </c>
      <c r="C25" s="22" t="s">
        <v>202</v>
      </c>
      <c r="D25" s="22" t="s">
        <v>275</v>
      </c>
      <c r="E25" s="22" t="s">
        <v>45</v>
      </c>
      <c r="F25" s="23">
        <v>-2320387</v>
      </c>
      <c r="G25" s="24">
        <v>44503</v>
      </c>
      <c r="H25" s="22" t="s">
        <v>275</v>
      </c>
      <c r="I25" s="22"/>
      <c r="J25" s="22"/>
      <c r="K25" s="22"/>
    </row>
    <row r="26" spans="1:11" x14ac:dyDescent="0.25">
      <c r="A26" s="22" t="s">
        <v>279</v>
      </c>
      <c r="B26" s="22" t="s">
        <v>201</v>
      </c>
      <c r="C26" s="22" t="s">
        <v>202</v>
      </c>
      <c r="D26" s="22" t="s">
        <v>278</v>
      </c>
      <c r="E26" s="22" t="s">
        <v>57</v>
      </c>
      <c r="F26" s="23">
        <v>-2062614</v>
      </c>
      <c r="G26" s="24">
        <v>44502</v>
      </c>
      <c r="H26" s="22" t="s">
        <v>275</v>
      </c>
      <c r="I26" s="22" t="s">
        <v>280</v>
      </c>
      <c r="J26" s="22"/>
      <c r="K26" s="22"/>
    </row>
    <row r="27" spans="1:11" x14ac:dyDescent="0.25">
      <c r="A27" s="22" t="s">
        <v>277</v>
      </c>
      <c r="B27" s="22" t="s">
        <v>201</v>
      </c>
      <c r="C27" s="22" t="s">
        <v>202</v>
      </c>
      <c r="D27" s="22" t="s">
        <v>281</v>
      </c>
      <c r="E27" s="22" t="s">
        <v>57</v>
      </c>
      <c r="F27" s="23">
        <v>-382600</v>
      </c>
      <c r="G27" s="24">
        <v>44503</v>
      </c>
      <c r="H27" s="22" t="s">
        <v>275</v>
      </c>
      <c r="I27" s="22" t="s">
        <v>282</v>
      </c>
      <c r="J27" s="22"/>
      <c r="K27" s="22"/>
    </row>
    <row r="28" spans="1:11" x14ac:dyDescent="0.25">
      <c r="A28" s="22" t="s">
        <v>286</v>
      </c>
      <c r="B28" s="22" t="s">
        <v>201</v>
      </c>
      <c r="C28" s="22" t="s">
        <v>202</v>
      </c>
      <c r="D28" s="22" t="s">
        <v>287</v>
      </c>
      <c r="E28" s="22" t="s">
        <v>57</v>
      </c>
      <c r="F28" s="23">
        <v>-666136</v>
      </c>
      <c r="G28" s="24">
        <v>44533</v>
      </c>
      <c r="H28" s="22" t="s">
        <v>285</v>
      </c>
      <c r="I28" s="22" t="s">
        <v>288</v>
      </c>
      <c r="J28" s="22"/>
      <c r="K28" s="22"/>
    </row>
    <row r="29" spans="1:11" x14ac:dyDescent="0.25">
      <c r="A29" s="22" t="s">
        <v>240</v>
      </c>
      <c r="B29" s="22" t="s">
        <v>201</v>
      </c>
      <c r="C29" s="22" t="s">
        <v>202</v>
      </c>
      <c r="D29" s="22" t="s">
        <v>239</v>
      </c>
      <c r="E29" s="22" t="s">
        <v>45</v>
      </c>
      <c r="F29" s="23">
        <v>-196200</v>
      </c>
      <c r="G29" s="24">
        <v>44505</v>
      </c>
      <c r="H29" s="22" t="s">
        <v>239</v>
      </c>
      <c r="I29" s="22"/>
      <c r="J29" s="22"/>
      <c r="K29" s="22"/>
    </row>
    <row r="30" spans="1:11" x14ac:dyDescent="0.25">
      <c r="A30" s="22" t="s">
        <v>293</v>
      </c>
      <c r="B30" s="22" t="s">
        <v>201</v>
      </c>
      <c r="C30" s="22" t="s">
        <v>202</v>
      </c>
      <c r="D30" s="22" t="s">
        <v>291</v>
      </c>
      <c r="E30" s="22" t="s">
        <v>45</v>
      </c>
      <c r="F30" s="23">
        <v>-56289</v>
      </c>
      <c r="G30" s="24">
        <v>44364</v>
      </c>
      <c r="H30" s="22" t="s">
        <v>291</v>
      </c>
      <c r="I30" s="22"/>
      <c r="J30" s="22"/>
      <c r="K30" s="22"/>
    </row>
    <row r="31" spans="1:11" x14ac:dyDescent="0.25">
      <c r="A31" s="22" t="s">
        <v>295</v>
      </c>
      <c r="B31" s="22" t="s">
        <v>201</v>
      </c>
      <c r="C31" s="22" t="s">
        <v>202</v>
      </c>
      <c r="D31" s="22" t="s">
        <v>294</v>
      </c>
      <c r="E31" s="22" t="s">
        <v>45</v>
      </c>
      <c r="F31" s="23">
        <v>-39300</v>
      </c>
      <c r="G31" s="24">
        <v>44377</v>
      </c>
      <c r="H31" s="22" t="s">
        <v>291</v>
      </c>
      <c r="I31" s="22" t="s">
        <v>296</v>
      </c>
      <c r="J31" s="22"/>
      <c r="K31" s="22"/>
    </row>
    <row r="32" spans="1:11" x14ac:dyDescent="0.25">
      <c r="A32" s="22" t="s">
        <v>293</v>
      </c>
      <c r="B32" s="22" t="s">
        <v>201</v>
      </c>
      <c r="C32" s="22" t="s">
        <v>202</v>
      </c>
      <c r="D32" s="22" t="s">
        <v>297</v>
      </c>
      <c r="E32" s="22" t="s">
        <v>57</v>
      </c>
      <c r="F32" s="23">
        <v>-32700</v>
      </c>
      <c r="G32" s="24">
        <v>44364</v>
      </c>
      <c r="H32" s="22" t="s">
        <v>291</v>
      </c>
      <c r="I32" s="22" t="s">
        <v>298</v>
      </c>
      <c r="J32" s="22"/>
      <c r="K32" s="22"/>
    </row>
    <row r="33" spans="1:11" x14ac:dyDescent="0.25">
      <c r="A33" s="22" t="s">
        <v>302</v>
      </c>
      <c r="B33" s="22" t="s">
        <v>201</v>
      </c>
      <c r="C33" s="22" t="s">
        <v>202</v>
      </c>
      <c r="D33" s="22" t="s">
        <v>301</v>
      </c>
      <c r="E33" s="22" t="s">
        <v>45</v>
      </c>
      <c r="F33" s="23">
        <v>-345272</v>
      </c>
      <c r="G33" s="24">
        <v>44383</v>
      </c>
      <c r="H33" s="22" t="s">
        <v>301</v>
      </c>
      <c r="I33" s="22"/>
      <c r="J33" s="22"/>
      <c r="K33" s="22"/>
    </row>
    <row r="34" spans="1:11" x14ac:dyDescent="0.25">
      <c r="A34" s="22" t="s">
        <v>302</v>
      </c>
      <c r="B34" s="22" t="s">
        <v>201</v>
      </c>
      <c r="C34" s="22" t="s">
        <v>202</v>
      </c>
      <c r="D34" s="22" t="s">
        <v>303</v>
      </c>
      <c r="E34" s="22" t="s">
        <v>57</v>
      </c>
      <c r="F34" s="23">
        <v>-582972</v>
      </c>
      <c r="G34" s="24">
        <v>44383</v>
      </c>
      <c r="H34" s="22" t="s">
        <v>301</v>
      </c>
      <c r="I34" s="22" t="s">
        <v>304</v>
      </c>
      <c r="J34" s="22"/>
      <c r="K34" s="22"/>
    </row>
    <row r="35" spans="1:11" x14ac:dyDescent="0.25">
      <c r="A35" s="22" t="s">
        <v>295</v>
      </c>
      <c r="B35" s="22" t="s">
        <v>201</v>
      </c>
      <c r="C35" s="22" t="s">
        <v>202</v>
      </c>
      <c r="D35" s="22" t="s">
        <v>294</v>
      </c>
      <c r="E35" s="22" t="s">
        <v>45</v>
      </c>
      <c r="F35" s="23">
        <v>-53700</v>
      </c>
      <c r="G35" s="24">
        <v>44377</v>
      </c>
      <c r="H35" s="22" t="s">
        <v>294</v>
      </c>
      <c r="I35" s="22"/>
      <c r="J35" s="22"/>
      <c r="K35" s="22"/>
    </row>
    <row r="36" spans="1:11" x14ac:dyDescent="0.25">
      <c r="A36" s="22" t="s">
        <v>308</v>
      </c>
      <c r="B36" s="22" t="s">
        <v>201</v>
      </c>
      <c r="C36" s="22" t="s">
        <v>202</v>
      </c>
      <c r="D36" s="22" t="s">
        <v>307</v>
      </c>
      <c r="E36" s="22" t="s">
        <v>57</v>
      </c>
      <c r="F36" s="23">
        <v>-43700</v>
      </c>
      <c r="G36" s="24">
        <v>44376</v>
      </c>
      <c r="H36" s="22" t="s">
        <v>294</v>
      </c>
      <c r="I36" s="22" t="s">
        <v>309</v>
      </c>
      <c r="J36" s="22"/>
      <c r="K36" s="22"/>
    </row>
    <row r="37" spans="1:11" x14ac:dyDescent="0.25">
      <c r="A37" s="22" t="s">
        <v>295</v>
      </c>
      <c r="B37" s="22" t="s">
        <v>201</v>
      </c>
      <c r="C37" s="22" t="s">
        <v>202</v>
      </c>
      <c r="D37" s="22" t="s">
        <v>310</v>
      </c>
      <c r="E37" s="22" t="s">
        <v>57</v>
      </c>
      <c r="F37" s="23">
        <v>-49300</v>
      </c>
      <c r="G37" s="24">
        <v>44377</v>
      </c>
      <c r="H37" s="22" t="s">
        <v>294</v>
      </c>
      <c r="I37" s="22" t="s">
        <v>311</v>
      </c>
      <c r="J37" s="22"/>
      <c r="K37" s="22"/>
    </row>
    <row r="38" spans="1:11" x14ac:dyDescent="0.25">
      <c r="A38" s="22" t="s">
        <v>315</v>
      </c>
      <c r="B38" s="22" t="s">
        <v>201</v>
      </c>
      <c r="C38" s="22" t="s">
        <v>202</v>
      </c>
      <c r="D38" s="22" t="s">
        <v>314</v>
      </c>
      <c r="E38" s="22" t="s">
        <v>45</v>
      </c>
      <c r="F38" s="23">
        <v>-325300</v>
      </c>
      <c r="G38" s="24">
        <v>44477</v>
      </c>
      <c r="H38" s="22" t="s">
        <v>314</v>
      </c>
      <c r="I38" s="22"/>
      <c r="J38" s="22"/>
      <c r="K38" s="22"/>
    </row>
    <row r="39" spans="1:11" x14ac:dyDescent="0.25">
      <c r="A39" s="22" t="s">
        <v>315</v>
      </c>
      <c r="B39" s="22" t="s">
        <v>201</v>
      </c>
      <c r="C39" s="22" t="s">
        <v>202</v>
      </c>
      <c r="D39" s="22" t="s">
        <v>316</v>
      </c>
      <c r="E39" s="22" t="s">
        <v>45</v>
      </c>
      <c r="F39" s="23">
        <v>-261700</v>
      </c>
      <c r="G39" s="24">
        <v>44477</v>
      </c>
      <c r="H39" s="22" t="s">
        <v>314</v>
      </c>
      <c r="I39" s="22" t="s">
        <v>241</v>
      </c>
      <c r="J39" s="22"/>
      <c r="K39" s="22"/>
    </row>
    <row r="40" spans="1:11" x14ac:dyDescent="0.25">
      <c r="A40" s="22" t="s">
        <v>318</v>
      </c>
      <c r="B40" s="22" t="s">
        <v>201</v>
      </c>
      <c r="C40" s="22" t="s">
        <v>202</v>
      </c>
      <c r="D40" s="22" t="s">
        <v>317</v>
      </c>
      <c r="E40" s="22" t="s">
        <v>57</v>
      </c>
      <c r="F40" s="23">
        <v>-106300</v>
      </c>
      <c r="G40" s="24">
        <v>44480</v>
      </c>
      <c r="H40" s="22" t="s">
        <v>314</v>
      </c>
      <c r="I40" s="22" t="s">
        <v>319</v>
      </c>
      <c r="J40" s="22"/>
      <c r="K40" s="22"/>
    </row>
    <row r="41" spans="1:11" x14ac:dyDescent="0.25">
      <c r="A41" s="22" t="s">
        <v>321</v>
      </c>
      <c r="B41" s="22" t="s">
        <v>201</v>
      </c>
      <c r="C41" s="22" t="s">
        <v>202</v>
      </c>
      <c r="D41" s="22" t="s">
        <v>320</v>
      </c>
      <c r="E41" s="22" t="s">
        <v>57</v>
      </c>
      <c r="F41" s="23">
        <v>-32700</v>
      </c>
      <c r="G41" s="24">
        <v>44477</v>
      </c>
      <c r="H41" s="22" t="s">
        <v>314</v>
      </c>
      <c r="I41" s="22" t="s">
        <v>212</v>
      </c>
      <c r="J41" s="22"/>
      <c r="K41" s="22"/>
    </row>
    <row r="42" spans="1:11" x14ac:dyDescent="0.25">
      <c r="A42" s="22" t="s">
        <v>323</v>
      </c>
      <c r="B42" s="22" t="s">
        <v>201</v>
      </c>
      <c r="C42" s="22" t="s">
        <v>202</v>
      </c>
      <c r="D42" s="22" t="s">
        <v>322</v>
      </c>
      <c r="E42" s="22" t="s">
        <v>57</v>
      </c>
      <c r="F42" s="23">
        <v>-42500</v>
      </c>
      <c r="G42" s="24">
        <v>44476</v>
      </c>
      <c r="H42" s="22" t="s">
        <v>314</v>
      </c>
      <c r="I42" s="22" t="s">
        <v>324</v>
      </c>
      <c r="J42" s="22"/>
      <c r="K42" s="22"/>
    </row>
    <row r="43" spans="1:11" x14ac:dyDescent="0.25">
      <c r="A43" s="22" t="s">
        <v>326</v>
      </c>
      <c r="B43" s="22" t="s">
        <v>201</v>
      </c>
      <c r="C43" s="22" t="s">
        <v>202</v>
      </c>
      <c r="D43" s="22" t="s">
        <v>325</v>
      </c>
      <c r="E43" s="22" t="s">
        <v>57</v>
      </c>
      <c r="F43" s="23">
        <v>-44200</v>
      </c>
      <c r="G43" s="24">
        <v>44475</v>
      </c>
      <c r="H43" s="22" t="s">
        <v>314</v>
      </c>
      <c r="I43" s="22" t="s">
        <v>212</v>
      </c>
      <c r="J43" s="22"/>
      <c r="K43" s="22"/>
    </row>
    <row r="44" spans="1:11" x14ac:dyDescent="0.25">
      <c r="A44" s="22" t="s">
        <v>328</v>
      </c>
      <c r="B44" s="22" t="s">
        <v>201</v>
      </c>
      <c r="C44" s="22" t="s">
        <v>202</v>
      </c>
      <c r="D44" s="22" t="s">
        <v>327</v>
      </c>
      <c r="E44" s="22" t="s">
        <v>57</v>
      </c>
      <c r="F44" s="23">
        <v>-32700</v>
      </c>
      <c r="G44" s="24">
        <v>44474</v>
      </c>
      <c r="H44" s="22" t="s">
        <v>314</v>
      </c>
      <c r="I44" s="22" t="s">
        <v>329</v>
      </c>
      <c r="J44" s="22"/>
      <c r="K44" s="22"/>
    </row>
    <row r="45" spans="1:11" x14ac:dyDescent="0.25">
      <c r="A45" s="22" t="s">
        <v>331</v>
      </c>
      <c r="B45" s="22" t="s">
        <v>201</v>
      </c>
      <c r="C45" s="22" t="s">
        <v>202</v>
      </c>
      <c r="D45" s="22" t="s">
        <v>330</v>
      </c>
      <c r="E45" s="22" t="s">
        <v>57</v>
      </c>
      <c r="F45" s="23">
        <v>-192100</v>
      </c>
      <c r="G45" s="24">
        <v>44516</v>
      </c>
      <c r="H45" s="22" t="s">
        <v>239</v>
      </c>
      <c r="I45" s="22" t="s">
        <v>332</v>
      </c>
      <c r="J45" s="22"/>
      <c r="K45" s="22"/>
    </row>
    <row r="46" spans="1:11" x14ac:dyDescent="0.25">
      <c r="A46" s="22" t="s">
        <v>240</v>
      </c>
      <c r="B46" s="22" t="s">
        <v>201</v>
      </c>
      <c r="C46" s="22" t="s">
        <v>202</v>
      </c>
      <c r="D46" s="22" t="s">
        <v>333</v>
      </c>
      <c r="E46" s="22" t="s">
        <v>57</v>
      </c>
      <c r="F46" s="23">
        <v>-47200</v>
      </c>
      <c r="G46" s="24">
        <v>44505</v>
      </c>
      <c r="H46" s="22" t="s">
        <v>239</v>
      </c>
      <c r="I46" s="22" t="s">
        <v>319</v>
      </c>
      <c r="J46" s="22"/>
      <c r="K46" s="22"/>
    </row>
    <row r="47" spans="1:11" x14ac:dyDescent="0.25">
      <c r="A47" s="22" t="s">
        <v>335</v>
      </c>
      <c r="B47" s="22" t="s">
        <v>201</v>
      </c>
      <c r="C47" s="22" t="s">
        <v>202</v>
      </c>
      <c r="D47" s="22" t="s">
        <v>334</v>
      </c>
      <c r="E47" s="22" t="s">
        <v>45</v>
      </c>
      <c r="F47" s="23">
        <v>-32700</v>
      </c>
      <c r="G47" s="24">
        <v>44508</v>
      </c>
      <c r="H47" s="22" t="s">
        <v>334</v>
      </c>
      <c r="I47" s="22" t="s">
        <v>230</v>
      </c>
      <c r="J47" s="22"/>
      <c r="K47" s="22"/>
    </row>
    <row r="48" spans="1:11" x14ac:dyDescent="0.25">
      <c r="A48" s="22" t="s">
        <v>338</v>
      </c>
      <c r="B48" s="22" t="s">
        <v>201</v>
      </c>
      <c r="C48" s="22" t="s">
        <v>202</v>
      </c>
      <c r="D48" s="22" t="s">
        <v>337</v>
      </c>
      <c r="E48" s="22" t="s">
        <v>57</v>
      </c>
      <c r="F48" s="23">
        <v>-32700</v>
      </c>
      <c r="G48" s="24">
        <v>44547</v>
      </c>
      <c r="H48" s="22" t="s">
        <v>334</v>
      </c>
      <c r="I48" s="22" t="s">
        <v>339</v>
      </c>
      <c r="J48" s="22"/>
      <c r="K48" s="22"/>
    </row>
    <row r="49" spans="1:11" x14ac:dyDescent="0.25">
      <c r="A49" s="22" t="s">
        <v>341</v>
      </c>
      <c r="B49" s="22" t="s">
        <v>201</v>
      </c>
      <c r="C49" s="22" t="s">
        <v>202</v>
      </c>
      <c r="D49" s="22" t="s">
        <v>342</v>
      </c>
      <c r="E49" s="22" t="s">
        <v>45</v>
      </c>
      <c r="F49" s="23">
        <v>-1974983</v>
      </c>
      <c r="G49" s="24">
        <v>44537</v>
      </c>
      <c r="H49" s="22" t="s">
        <v>342</v>
      </c>
      <c r="I49" s="22"/>
      <c r="J49" s="22"/>
      <c r="K49" s="22"/>
    </row>
    <row r="50" spans="1:11" x14ac:dyDescent="0.25">
      <c r="A50" s="22" t="s">
        <v>344</v>
      </c>
      <c r="B50" s="22" t="s">
        <v>201</v>
      </c>
      <c r="C50" s="22" t="s">
        <v>202</v>
      </c>
      <c r="D50" s="22" t="s">
        <v>343</v>
      </c>
      <c r="E50" s="22" t="s">
        <v>57</v>
      </c>
      <c r="F50" s="23">
        <v>-340570</v>
      </c>
      <c r="G50" s="24">
        <v>44491</v>
      </c>
      <c r="H50" s="22" t="s">
        <v>342</v>
      </c>
      <c r="I50" s="22" t="s">
        <v>345</v>
      </c>
      <c r="J50" s="22"/>
      <c r="K50" s="22"/>
    </row>
    <row r="51" spans="1:11" x14ac:dyDescent="0.25">
      <c r="A51" s="22" t="s">
        <v>349</v>
      </c>
      <c r="B51" s="22" t="s">
        <v>201</v>
      </c>
      <c r="C51" s="22" t="s">
        <v>202</v>
      </c>
      <c r="D51" s="22" t="s">
        <v>348</v>
      </c>
      <c r="E51" s="22" t="s">
        <v>45</v>
      </c>
      <c r="F51" s="23">
        <v>-56289</v>
      </c>
      <c r="G51" s="24">
        <v>44479</v>
      </c>
      <c r="H51" s="22" t="s">
        <v>348</v>
      </c>
      <c r="I51" s="22"/>
      <c r="J51" s="22"/>
      <c r="K51" s="22"/>
    </row>
    <row r="52" spans="1:11" x14ac:dyDescent="0.25">
      <c r="A52" s="22" t="s">
        <v>349</v>
      </c>
      <c r="B52" s="22" t="s">
        <v>201</v>
      </c>
      <c r="C52" s="22" t="s">
        <v>202</v>
      </c>
      <c r="D52" s="22" t="s">
        <v>350</v>
      </c>
      <c r="E52" s="22" t="s">
        <v>45</v>
      </c>
      <c r="F52" s="23">
        <v>-72146</v>
      </c>
      <c r="G52" s="24">
        <v>44479</v>
      </c>
      <c r="H52" s="22" t="s">
        <v>348</v>
      </c>
      <c r="I52" s="22" t="s">
        <v>351</v>
      </c>
      <c r="J52" s="22"/>
      <c r="K52" s="22"/>
    </row>
    <row r="53" spans="1:11" x14ac:dyDescent="0.25">
      <c r="A53" s="22" t="s">
        <v>355</v>
      </c>
      <c r="B53" s="22" t="s">
        <v>201</v>
      </c>
      <c r="C53" s="22" t="s">
        <v>202</v>
      </c>
      <c r="D53" s="22" t="s">
        <v>354</v>
      </c>
      <c r="E53" s="22" t="s">
        <v>45</v>
      </c>
      <c r="F53" s="23">
        <v>-2460849</v>
      </c>
      <c r="G53" s="24">
        <v>44375</v>
      </c>
      <c r="H53" s="22" t="s">
        <v>354</v>
      </c>
      <c r="I53" s="22"/>
      <c r="J53" s="22"/>
      <c r="K53" s="22"/>
    </row>
    <row r="54" spans="1:11" x14ac:dyDescent="0.25">
      <c r="A54" s="22" t="s">
        <v>355</v>
      </c>
      <c r="B54" s="22" t="s">
        <v>201</v>
      </c>
      <c r="C54" s="22" t="s">
        <v>202</v>
      </c>
      <c r="D54" s="22" t="s">
        <v>356</v>
      </c>
      <c r="E54" s="22" t="s">
        <v>45</v>
      </c>
      <c r="F54" s="23">
        <v>-3632998</v>
      </c>
      <c r="G54" s="24">
        <v>44375</v>
      </c>
      <c r="H54" s="22" t="s">
        <v>354</v>
      </c>
      <c r="I54" s="22" t="s">
        <v>357</v>
      </c>
      <c r="J54" s="22"/>
      <c r="K54" s="22"/>
    </row>
    <row r="55" spans="1:11" x14ac:dyDescent="0.25">
      <c r="A55" s="22" t="s">
        <v>355</v>
      </c>
      <c r="B55" s="22" t="s">
        <v>201</v>
      </c>
      <c r="C55" s="22" t="s">
        <v>202</v>
      </c>
      <c r="D55" s="22" t="s">
        <v>356</v>
      </c>
      <c r="E55" s="22" t="s">
        <v>45</v>
      </c>
      <c r="F55" s="23">
        <v>-2753690</v>
      </c>
      <c r="G55" s="24">
        <v>44375</v>
      </c>
      <c r="H55" s="22" t="s">
        <v>356</v>
      </c>
      <c r="I55" s="22"/>
      <c r="J55" s="22"/>
      <c r="K55" s="22"/>
    </row>
    <row r="56" spans="1:11" x14ac:dyDescent="0.25">
      <c r="A56" s="22" t="s">
        <v>361</v>
      </c>
      <c r="B56" s="22" t="s">
        <v>201</v>
      </c>
      <c r="C56" s="22" t="s">
        <v>202</v>
      </c>
      <c r="D56" s="22" t="s">
        <v>360</v>
      </c>
      <c r="E56" s="22" t="s">
        <v>45</v>
      </c>
      <c r="F56" s="23">
        <v>-1302886</v>
      </c>
      <c r="G56" s="24">
        <v>44389</v>
      </c>
      <c r="H56" s="22" t="s">
        <v>356</v>
      </c>
      <c r="I56" s="22" t="s">
        <v>362</v>
      </c>
      <c r="J56" s="22"/>
      <c r="K56" s="22"/>
    </row>
    <row r="57" spans="1:11" x14ac:dyDescent="0.25">
      <c r="A57" s="22" t="s">
        <v>302</v>
      </c>
      <c r="B57" s="22" t="s">
        <v>201</v>
      </c>
      <c r="C57" s="22" t="s">
        <v>202</v>
      </c>
      <c r="D57" s="22" t="s">
        <v>301</v>
      </c>
      <c r="E57" s="22" t="s">
        <v>45</v>
      </c>
      <c r="F57" s="23">
        <v>-237700</v>
      </c>
      <c r="G57" s="24">
        <v>44383</v>
      </c>
      <c r="H57" s="22" t="s">
        <v>356</v>
      </c>
      <c r="I57" s="22" t="s">
        <v>363</v>
      </c>
      <c r="J57" s="22"/>
      <c r="K57" s="22"/>
    </row>
    <row r="58" spans="1:11" x14ac:dyDescent="0.25">
      <c r="A58" s="22" t="s">
        <v>355</v>
      </c>
      <c r="B58" s="22" t="s">
        <v>201</v>
      </c>
      <c r="C58" s="22" t="s">
        <v>202</v>
      </c>
      <c r="D58" s="22" t="s">
        <v>364</v>
      </c>
      <c r="E58" s="22" t="s">
        <v>57</v>
      </c>
      <c r="F58" s="23">
        <v>-4846102</v>
      </c>
      <c r="G58" s="24">
        <v>44375</v>
      </c>
      <c r="H58" s="22" t="s">
        <v>356</v>
      </c>
      <c r="I58" s="22" t="s">
        <v>365</v>
      </c>
      <c r="J58" s="22"/>
      <c r="K58" s="22"/>
    </row>
    <row r="59" spans="1:11" x14ac:dyDescent="0.25">
      <c r="A59" s="22" t="s">
        <v>367</v>
      </c>
      <c r="B59" s="22" t="s">
        <v>201</v>
      </c>
      <c r="C59" s="22" t="s">
        <v>202</v>
      </c>
      <c r="D59" s="22" t="s">
        <v>366</v>
      </c>
      <c r="E59" s="22" t="s">
        <v>57</v>
      </c>
      <c r="F59" s="23">
        <v>-202124</v>
      </c>
      <c r="G59" s="24">
        <v>44512</v>
      </c>
      <c r="H59" s="22" t="s">
        <v>368</v>
      </c>
      <c r="I59" s="22" t="s">
        <v>369</v>
      </c>
      <c r="J59" s="22"/>
      <c r="K59" s="22"/>
    </row>
    <row r="60" spans="1:11" x14ac:dyDescent="0.25">
      <c r="A60" s="22" t="s">
        <v>371</v>
      </c>
      <c r="B60" s="22" t="s">
        <v>201</v>
      </c>
      <c r="C60" s="22" t="s">
        <v>202</v>
      </c>
      <c r="D60" s="22" t="s">
        <v>370</v>
      </c>
      <c r="E60" s="22" t="s">
        <v>57</v>
      </c>
      <c r="F60" s="23">
        <v>-239234</v>
      </c>
      <c r="G60" s="24">
        <v>44502</v>
      </c>
      <c r="H60" s="22" t="s">
        <v>368</v>
      </c>
      <c r="I60" s="22" t="s">
        <v>372</v>
      </c>
      <c r="J60" s="22"/>
      <c r="K60" s="22"/>
    </row>
    <row r="61" spans="1:11" x14ac:dyDescent="0.25">
      <c r="A61" s="22" t="s">
        <v>374</v>
      </c>
      <c r="B61" s="22" t="s">
        <v>201</v>
      </c>
      <c r="C61" s="22" t="s">
        <v>202</v>
      </c>
      <c r="D61" s="22" t="s">
        <v>373</v>
      </c>
      <c r="E61" s="22" t="s">
        <v>57</v>
      </c>
      <c r="F61" s="23">
        <v>-891000</v>
      </c>
      <c r="G61" s="24">
        <v>44503</v>
      </c>
      <c r="H61" s="22" t="s">
        <v>368</v>
      </c>
      <c r="I61" s="22" t="s">
        <v>375</v>
      </c>
      <c r="J61" s="22"/>
      <c r="K61" s="22"/>
    </row>
    <row r="62" spans="1:11" x14ac:dyDescent="0.25">
      <c r="A62" s="22" t="s">
        <v>377</v>
      </c>
      <c r="B62" s="22" t="s">
        <v>201</v>
      </c>
      <c r="C62" s="22" t="s">
        <v>202</v>
      </c>
      <c r="D62" s="22" t="s">
        <v>376</v>
      </c>
      <c r="E62" s="22" t="s">
        <v>57</v>
      </c>
      <c r="F62" s="23">
        <v>-18800</v>
      </c>
      <c r="G62" s="24">
        <v>44525</v>
      </c>
      <c r="H62" s="22" t="s">
        <v>368</v>
      </c>
      <c r="I62" s="22" t="s">
        <v>375</v>
      </c>
      <c r="J62" s="22"/>
      <c r="K62" s="22"/>
    </row>
    <row r="63" spans="1:11" x14ac:dyDescent="0.25">
      <c r="A63" s="22" t="s">
        <v>379</v>
      </c>
      <c r="B63" s="22" t="s">
        <v>201</v>
      </c>
      <c r="C63" s="22" t="s">
        <v>202</v>
      </c>
      <c r="D63" s="22" t="s">
        <v>378</v>
      </c>
      <c r="E63" s="22" t="s">
        <v>57</v>
      </c>
      <c r="F63" s="23">
        <v>-43700</v>
      </c>
      <c r="G63" s="24">
        <v>44524</v>
      </c>
      <c r="H63" s="22" t="s">
        <v>368</v>
      </c>
      <c r="I63" s="22" t="s">
        <v>375</v>
      </c>
      <c r="J63" s="22"/>
      <c r="K63" s="22"/>
    </row>
    <row r="64" spans="1:11" x14ac:dyDescent="0.25">
      <c r="A64" s="22" t="s">
        <v>381</v>
      </c>
      <c r="B64" s="22" t="s">
        <v>201</v>
      </c>
      <c r="C64" s="22" t="s">
        <v>202</v>
      </c>
      <c r="D64" s="22" t="s">
        <v>380</v>
      </c>
      <c r="E64" s="22" t="s">
        <v>57</v>
      </c>
      <c r="F64" s="23">
        <v>-28100</v>
      </c>
      <c r="G64" s="24">
        <v>44523</v>
      </c>
      <c r="H64" s="22" t="s">
        <v>368</v>
      </c>
      <c r="I64" s="22" t="s">
        <v>375</v>
      </c>
      <c r="J64" s="22"/>
      <c r="K64" s="22"/>
    </row>
    <row r="65" spans="1:11" x14ac:dyDescent="0.25">
      <c r="A65" s="22" t="s">
        <v>383</v>
      </c>
      <c r="B65" s="22" t="s">
        <v>201</v>
      </c>
      <c r="C65" s="22" t="s">
        <v>202</v>
      </c>
      <c r="D65" s="22" t="s">
        <v>382</v>
      </c>
      <c r="E65" s="22" t="s">
        <v>57</v>
      </c>
      <c r="F65" s="23">
        <v>-68100</v>
      </c>
      <c r="G65" s="24">
        <v>44522</v>
      </c>
      <c r="H65" s="22" t="s">
        <v>368</v>
      </c>
      <c r="I65" s="22" t="s">
        <v>375</v>
      </c>
      <c r="J65" s="22"/>
      <c r="K65" s="22"/>
    </row>
    <row r="66" spans="1:11" x14ac:dyDescent="0.25">
      <c r="A66" s="22" t="s">
        <v>385</v>
      </c>
      <c r="B66" s="22" t="s">
        <v>201</v>
      </c>
      <c r="C66" s="22" t="s">
        <v>202</v>
      </c>
      <c r="D66" s="22" t="s">
        <v>384</v>
      </c>
      <c r="E66" s="22" t="s">
        <v>57</v>
      </c>
      <c r="F66" s="23">
        <v>-20200</v>
      </c>
      <c r="G66" s="24">
        <v>44511</v>
      </c>
      <c r="H66" s="22" t="s">
        <v>368</v>
      </c>
      <c r="I66" s="22" t="s">
        <v>375</v>
      </c>
      <c r="J66" s="22"/>
      <c r="K66" s="22"/>
    </row>
    <row r="67" spans="1:11" x14ac:dyDescent="0.25">
      <c r="A67" s="22" t="s">
        <v>387</v>
      </c>
      <c r="B67" s="22" t="s">
        <v>201</v>
      </c>
      <c r="C67" s="22" t="s">
        <v>202</v>
      </c>
      <c r="D67" s="22" t="s">
        <v>386</v>
      </c>
      <c r="E67" s="22" t="s">
        <v>57</v>
      </c>
      <c r="F67" s="23">
        <v>-6600</v>
      </c>
      <c r="G67" s="24">
        <v>44502</v>
      </c>
      <c r="H67" s="22" t="s">
        <v>368</v>
      </c>
      <c r="I67" s="22" t="s">
        <v>375</v>
      </c>
      <c r="J67" s="22"/>
      <c r="K67" s="22"/>
    </row>
    <row r="68" spans="1:11" x14ac:dyDescent="0.25">
      <c r="A68" s="22" t="s">
        <v>389</v>
      </c>
      <c r="B68" s="22" t="s">
        <v>201</v>
      </c>
      <c r="C68" s="22" t="s">
        <v>202</v>
      </c>
      <c r="D68" s="22" t="s">
        <v>388</v>
      </c>
      <c r="E68" s="22" t="s">
        <v>57</v>
      </c>
      <c r="F68" s="23">
        <v>-29200</v>
      </c>
      <c r="G68" s="24">
        <v>44560</v>
      </c>
      <c r="H68" s="22" t="s">
        <v>368</v>
      </c>
      <c r="I68" s="22" t="s">
        <v>390</v>
      </c>
      <c r="J68" s="22"/>
      <c r="K68" s="22"/>
    </row>
    <row r="69" spans="1:11" x14ac:dyDescent="0.25">
      <c r="A69" s="22" t="s">
        <v>392</v>
      </c>
      <c r="B69" s="22" t="s">
        <v>201</v>
      </c>
      <c r="C69" s="22" t="s">
        <v>202</v>
      </c>
      <c r="D69" s="22" t="s">
        <v>391</v>
      </c>
      <c r="E69" s="22" t="s">
        <v>57</v>
      </c>
      <c r="F69" s="23">
        <v>-28100</v>
      </c>
      <c r="G69" s="24">
        <v>44553</v>
      </c>
      <c r="H69" s="22" t="s">
        <v>368</v>
      </c>
      <c r="I69" s="22" t="s">
        <v>375</v>
      </c>
      <c r="J69" s="22"/>
      <c r="K69" s="22"/>
    </row>
    <row r="70" spans="1:11" x14ac:dyDescent="0.25">
      <c r="A70" s="22" t="s">
        <v>394</v>
      </c>
      <c r="B70" s="22" t="s">
        <v>201</v>
      </c>
      <c r="C70" s="22" t="s">
        <v>202</v>
      </c>
      <c r="D70" s="22" t="s">
        <v>393</v>
      </c>
      <c r="E70" s="22" t="s">
        <v>57</v>
      </c>
      <c r="F70" s="23">
        <v>-43700</v>
      </c>
      <c r="G70" s="24">
        <v>44547</v>
      </c>
      <c r="H70" s="22" t="s">
        <v>368</v>
      </c>
      <c r="I70" s="22" t="s">
        <v>375</v>
      </c>
      <c r="J70" s="22"/>
      <c r="K70" s="22"/>
    </row>
    <row r="71" spans="1:11" x14ac:dyDescent="0.25">
      <c r="A71" s="22" t="s">
        <v>396</v>
      </c>
      <c r="B71" s="22" t="s">
        <v>201</v>
      </c>
      <c r="C71" s="22" t="s">
        <v>202</v>
      </c>
      <c r="D71" s="22" t="s">
        <v>395</v>
      </c>
      <c r="E71" s="22" t="s">
        <v>57</v>
      </c>
      <c r="F71" s="23">
        <v>-255200</v>
      </c>
      <c r="G71" s="24">
        <v>44546</v>
      </c>
      <c r="H71" s="22" t="s">
        <v>368</v>
      </c>
      <c r="I71" s="22" t="s">
        <v>375</v>
      </c>
      <c r="J71" s="22"/>
      <c r="K71" s="22"/>
    </row>
    <row r="72" spans="1:11" x14ac:dyDescent="0.25">
      <c r="A72" s="22" t="s">
        <v>398</v>
      </c>
      <c r="B72" s="22" t="s">
        <v>201</v>
      </c>
      <c r="C72" s="22" t="s">
        <v>202</v>
      </c>
      <c r="D72" s="22" t="s">
        <v>397</v>
      </c>
      <c r="E72" s="22" t="s">
        <v>57</v>
      </c>
      <c r="F72" s="23">
        <v>-47200</v>
      </c>
      <c r="G72" s="24">
        <v>44554</v>
      </c>
      <c r="H72" s="22" t="s">
        <v>368</v>
      </c>
      <c r="I72" s="22" t="s">
        <v>399</v>
      </c>
      <c r="J72" s="22"/>
      <c r="K72" s="22"/>
    </row>
    <row r="73" spans="1:11" x14ac:dyDescent="0.25">
      <c r="A73" s="22" t="s">
        <v>401</v>
      </c>
      <c r="B73" s="22" t="s">
        <v>201</v>
      </c>
      <c r="C73" s="22" t="s">
        <v>202</v>
      </c>
      <c r="D73" s="22" t="s">
        <v>400</v>
      </c>
      <c r="E73" s="22" t="s">
        <v>45</v>
      </c>
      <c r="F73" s="23">
        <v>-5521</v>
      </c>
      <c r="G73" s="24">
        <v>44532</v>
      </c>
      <c r="H73" s="22" t="s">
        <v>368</v>
      </c>
      <c r="I73" s="22" t="s">
        <v>402</v>
      </c>
      <c r="J73" s="22"/>
      <c r="K73" s="22"/>
    </row>
    <row r="74" spans="1:11" x14ac:dyDescent="0.25">
      <c r="A74" s="22" t="s">
        <v>267</v>
      </c>
      <c r="B74" s="22" t="s">
        <v>201</v>
      </c>
      <c r="C74" s="22" t="s">
        <v>202</v>
      </c>
      <c r="D74" s="22" t="s">
        <v>403</v>
      </c>
      <c r="E74" s="22" t="s">
        <v>45</v>
      </c>
      <c r="F74" s="23">
        <v>-293426</v>
      </c>
      <c r="G74" s="24">
        <v>44541</v>
      </c>
      <c r="H74" s="22" t="s">
        <v>368</v>
      </c>
      <c r="I74" s="22" t="s">
        <v>404</v>
      </c>
      <c r="J74" s="22"/>
      <c r="K74" s="22"/>
    </row>
    <row r="75" spans="1:11" x14ac:dyDescent="0.25">
      <c r="A75" s="22" t="s">
        <v>406</v>
      </c>
      <c r="B75" s="22" t="s">
        <v>201</v>
      </c>
      <c r="C75" s="22" t="s">
        <v>202</v>
      </c>
      <c r="D75" s="22" t="s">
        <v>405</v>
      </c>
      <c r="E75" s="22" t="s">
        <v>57</v>
      </c>
      <c r="F75" s="23">
        <v>-53700</v>
      </c>
      <c r="G75" s="24">
        <v>44561</v>
      </c>
      <c r="H75" s="22" t="s">
        <v>368</v>
      </c>
      <c r="I75" s="22" t="s">
        <v>375</v>
      </c>
      <c r="J75" s="22"/>
      <c r="K75" s="22"/>
    </row>
    <row r="76" spans="1:11" x14ac:dyDescent="0.25">
      <c r="A76" s="22" t="s">
        <v>408</v>
      </c>
      <c r="B76" s="22" t="s">
        <v>201</v>
      </c>
      <c r="C76" s="22" t="s">
        <v>202</v>
      </c>
      <c r="D76" s="22" t="s">
        <v>407</v>
      </c>
      <c r="E76" s="22" t="s">
        <v>57</v>
      </c>
      <c r="F76" s="23">
        <v>-55561</v>
      </c>
      <c r="G76" s="24">
        <v>44559</v>
      </c>
      <c r="H76" s="22" t="s">
        <v>368</v>
      </c>
      <c r="I76" s="22" t="s">
        <v>375</v>
      </c>
      <c r="J76" s="22"/>
      <c r="K76" s="22"/>
    </row>
    <row r="77" spans="1:11" x14ac:dyDescent="0.25">
      <c r="A77" s="22" t="s">
        <v>410</v>
      </c>
      <c r="B77" s="22" t="s">
        <v>201</v>
      </c>
      <c r="C77" s="22" t="s">
        <v>202</v>
      </c>
      <c r="D77" s="22" t="s">
        <v>409</v>
      </c>
      <c r="E77" s="22" t="s">
        <v>57</v>
      </c>
      <c r="F77" s="23">
        <v>-128135</v>
      </c>
      <c r="G77" s="24">
        <v>44556</v>
      </c>
      <c r="H77" s="22" t="s">
        <v>368</v>
      </c>
      <c r="I77" s="22" t="s">
        <v>390</v>
      </c>
      <c r="J77" s="22"/>
      <c r="K77" s="22"/>
    </row>
    <row r="78" spans="1:11" x14ac:dyDescent="0.25">
      <c r="A78" s="22" t="s">
        <v>412</v>
      </c>
      <c r="B78" s="22" t="s">
        <v>201</v>
      </c>
      <c r="C78" s="22" t="s">
        <v>202</v>
      </c>
      <c r="D78" s="22" t="s">
        <v>411</v>
      </c>
      <c r="E78" s="22" t="s">
        <v>57</v>
      </c>
      <c r="F78" s="23">
        <v>-1861844</v>
      </c>
      <c r="G78" s="24">
        <v>44552</v>
      </c>
      <c r="H78" s="22" t="s">
        <v>368</v>
      </c>
      <c r="I78" s="22" t="s">
        <v>413</v>
      </c>
      <c r="J78" s="22"/>
      <c r="K78" s="22"/>
    </row>
    <row r="79" spans="1:11" x14ac:dyDescent="0.25">
      <c r="A79" s="22" t="s">
        <v>415</v>
      </c>
      <c r="B79" s="22" t="s">
        <v>201</v>
      </c>
      <c r="C79" s="22" t="s">
        <v>202</v>
      </c>
      <c r="D79" s="22" t="s">
        <v>414</v>
      </c>
      <c r="E79" s="22" t="s">
        <v>57</v>
      </c>
      <c r="F79" s="23">
        <v>-55445</v>
      </c>
      <c r="G79" s="24">
        <v>44550</v>
      </c>
      <c r="H79" s="22" t="s">
        <v>368</v>
      </c>
      <c r="I79" s="22" t="s">
        <v>375</v>
      </c>
      <c r="J79" s="22"/>
      <c r="K79" s="22"/>
    </row>
    <row r="80" spans="1:11" x14ac:dyDescent="0.25">
      <c r="A80" s="22" t="s">
        <v>417</v>
      </c>
      <c r="B80" s="22" t="s">
        <v>201</v>
      </c>
      <c r="C80" s="22" t="s">
        <v>202</v>
      </c>
      <c r="D80" s="22" t="s">
        <v>416</v>
      </c>
      <c r="E80" s="22" t="s">
        <v>57</v>
      </c>
      <c r="F80" s="23">
        <v>-54578</v>
      </c>
      <c r="G80" s="24">
        <v>44547</v>
      </c>
      <c r="H80" s="22" t="s">
        <v>368</v>
      </c>
      <c r="I80" s="22" t="s">
        <v>375</v>
      </c>
      <c r="J80" s="22"/>
      <c r="K80" s="22"/>
    </row>
    <row r="81" spans="1:11" x14ac:dyDescent="0.25">
      <c r="A81" s="22" t="s">
        <v>419</v>
      </c>
      <c r="B81" s="22" t="s">
        <v>201</v>
      </c>
      <c r="C81" s="22" t="s">
        <v>202</v>
      </c>
      <c r="D81" s="22" t="s">
        <v>418</v>
      </c>
      <c r="E81" s="22" t="s">
        <v>57</v>
      </c>
      <c r="F81" s="23">
        <v>-217707</v>
      </c>
      <c r="G81" s="24">
        <v>44546</v>
      </c>
      <c r="H81" s="22" t="s">
        <v>368</v>
      </c>
      <c r="I81" s="22" t="s">
        <v>420</v>
      </c>
      <c r="J81" s="22"/>
      <c r="K81" s="22"/>
    </row>
    <row r="82" spans="1:11" x14ac:dyDescent="0.25">
      <c r="A82" s="22" t="s">
        <v>422</v>
      </c>
      <c r="B82" s="22" t="s">
        <v>201</v>
      </c>
      <c r="C82" s="22" t="s">
        <v>202</v>
      </c>
      <c r="D82" s="22" t="s">
        <v>421</v>
      </c>
      <c r="E82" s="22" t="s">
        <v>57</v>
      </c>
      <c r="F82" s="23">
        <v>-55561</v>
      </c>
      <c r="G82" s="24">
        <v>44540</v>
      </c>
      <c r="H82" s="22" t="s">
        <v>368</v>
      </c>
      <c r="I82" s="22" t="s">
        <v>375</v>
      </c>
      <c r="J82" s="22"/>
      <c r="K82" s="22"/>
    </row>
    <row r="83" spans="1:11" x14ac:dyDescent="0.25">
      <c r="A83" s="22" t="s">
        <v>424</v>
      </c>
      <c r="B83" s="22" t="s">
        <v>201</v>
      </c>
      <c r="C83" s="22" t="s">
        <v>202</v>
      </c>
      <c r="D83" s="22" t="s">
        <v>423</v>
      </c>
      <c r="E83" s="22" t="s">
        <v>45</v>
      </c>
      <c r="F83" s="23">
        <v>-102284</v>
      </c>
      <c r="G83" s="24">
        <v>44526</v>
      </c>
      <c r="H83" s="22" t="s">
        <v>423</v>
      </c>
      <c r="I83" s="22"/>
      <c r="J83" s="22"/>
      <c r="K83" s="22"/>
    </row>
    <row r="84" spans="1:11" x14ac:dyDescent="0.25">
      <c r="A84" s="22" t="s">
        <v>426</v>
      </c>
      <c r="B84" s="22" t="s">
        <v>201</v>
      </c>
      <c r="C84" s="22" t="s">
        <v>202</v>
      </c>
      <c r="D84" s="22" t="s">
        <v>425</v>
      </c>
      <c r="E84" s="22" t="s">
        <v>57</v>
      </c>
      <c r="F84" s="23">
        <v>-84600</v>
      </c>
      <c r="G84" s="24">
        <v>44525</v>
      </c>
      <c r="H84" s="22" t="s">
        <v>423</v>
      </c>
      <c r="I84" s="22" t="s">
        <v>427</v>
      </c>
      <c r="J84" s="22"/>
      <c r="K84" s="22"/>
    </row>
    <row r="85" spans="1:11" x14ac:dyDescent="0.25">
      <c r="A85" s="22" t="s">
        <v>429</v>
      </c>
      <c r="B85" s="22" t="s">
        <v>201</v>
      </c>
      <c r="C85" s="22" t="s">
        <v>202</v>
      </c>
      <c r="D85" s="22" t="s">
        <v>428</v>
      </c>
      <c r="E85" s="22" t="s">
        <v>57</v>
      </c>
      <c r="F85" s="23">
        <v>-31600</v>
      </c>
      <c r="G85" s="24">
        <v>44523</v>
      </c>
      <c r="H85" s="22" t="s">
        <v>423</v>
      </c>
      <c r="I85" s="22" t="s">
        <v>427</v>
      </c>
      <c r="J85" s="22"/>
      <c r="K85" s="22"/>
    </row>
    <row r="86" spans="1:11" x14ac:dyDescent="0.25">
      <c r="A86" s="22" t="s">
        <v>424</v>
      </c>
      <c r="B86" s="22" t="s">
        <v>201</v>
      </c>
      <c r="C86" s="22" t="s">
        <v>202</v>
      </c>
      <c r="D86" s="22" t="s">
        <v>430</v>
      </c>
      <c r="E86" s="22" t="s">
        <v>57</v>
      </c>
      <c r="F86" s="23">
        <v>-1410675</v>
      </c>
      <c r="G86" s="24">
        <v>44526</v>
      </c>
      <c r="H86" s="22" t="s">
        <v>423</v>
      </c>
      <c r="I86" s="22" t="s">
        <v>431</v>
      </c>
      <c r="J86" s="22"/>
      <c r="K86" s="22"/>
    </row>
    <row r="87" spans="1:11" x14ac:dyDescent="0.25">
      <c r="A87" s="22" t="s">
        <v>433</v>
      </c>
      <c r="B87" s="22" t="s">
        <v>201</v>
      </c>
      <c r="C87" s="22" t="s">
        <v>202</v>
      </c>
      <c r="D87" s="22" t="s">
        <v>432</v>
      </c>
      <c r="E87" s="22" t="s">
        <v>57</v>
      </c>
      <c r="F87" s="23">
        <v>-126200</v>
      </c>
      <c r="G87" s="24">
        <v>44516</v>
      </c>
      <c r="H87" s="22" t="s">
        <v>423</v>
      </c>
      <c r="I87" s="22" t="s">
        <v>434</v>
      </c>
      <c r="J87" s="22"/>
      <c r="K87" s="22"/>
    </row>
    <row r="88" spans="1:11" x14ac:dyDescent="0.25">
      <c r="A88" s="22" t="s">
        <v>419</v>
      </c>
      <c r="B88" s="22" t="s">
        <v>201</v>
      </c>
      <c r="C88" s="22" t="s">
        <v>202</v>
      </c>
      <c r="D88" s="22" t="s">
        <v>368</v>
      </c>
      <c r="E88" s="22" t="s">
        <v>45</v>
      </c>
      <c r="F88" s="23">
        <v>-11072004</v>
      </c>
      <c r="G88" s="24">
        <v>44546</v>
      </c>
      <c r="H88" s="22" t="s">
        <v>368</v>
      </c>
      <c r="I88" s="22"/>
      <c r="J88" s="22"/>
      <c r="K88" s="22"/>
    </row>
    <row r="89" spans="1:11" x14ac:dyDescent="0.25">
      <c r="A89" s="22" t="s">
        <v>438</v>
      </c>
      <c r="B89" s="22" t="s">
        <v>201</v>
      </c>
      <c r="C89" s="22" t="s">
        <v>202</v>
      </c>
      <c r="D89" s="22" t="s">
        <v>437</v>
      </c>
      <c r="E89" s="22" t="s">
        <v>57</v>
      </c>
      <c r="F89" s="23">
        <v>-557900</v>
      </c>
      <c r="G89" s="24">
        <v>44510</v>
      </c>
      <c r="H89" s="22" t="s">
        <v>368</v>
      </c>
      <c r="I89" s="22" t="s">
        <v>439</v>
      </c>
      <c r="J89" s="22"/>
      <c r="K89" s="22"/>
    </row>
    <row r="90" spans="1:11" x14ac:dyDescent="0.25">
      <c r="A90" s="22" t="s">
        <v>441</v>
      </c>
      <c r="B90" s="22" t="s">
        <v>201</v>
      </c>
      <c r="C90" s="22" t="s">
        <v>202</v>
      </c>
      <c r="D90" s="22" t="s">
        <v>440</v>
      </c>
      <c r="E90" s="22" t="s">
        <v>57</v>
      </c>
      <c r="F90" s="23">
        <v>-256400</v>
      </c>
      <c r="G90" s="24">
        <v>44509</v>
      </c>
      <c r="H90" s="22" t="s">
        <v>368</v>
      </c>
      <c r="I90" s="22" t="s">
        <v>249</v>
      </c>
      <c r="J90" s="22"/>
      <c r="K90" s="22"/>
    </row>
    <row r="91" spans="1:11" x14ac:dyDescent="0.25">
      <c r="A91" s="22" t="s">
        <v>443</v>
      </c>
      <c r="B91" s="22" t="s">
        <v>201</v>
      </c>
      <c r="C91" s="22" t="s">
        <v>202</v>
      </c>
      <c r="D91" s="22" t="s">
        <v>442</v>
      </c>
      <c r="E91" s="22" t="s">
        <v>57</v>
      </c>
      <c r="F91" s="23">
        <v>-24600</v>
      </c>
      <c r="G91" s="24">
        <v>44508</v>
      </c>
      <c r="H91" s="22" t="s">
        <v>368</v>
      </c>
      <c r="I91" s="22" t="s">
        <v>249</v>
      </c>
      <c r="J91" s="22"/>
      <c r="K91" s="22"/>
    </row>
    <row r="92" spans="1:11" x14ac:dyDescent="0.25">
      <c r="A92" s="22" t="s">
        <v>445</v>
      </c>
      <c r="B92" s="22" t="s">
        <v>201</v>
      </c>
      <c r="C92" s="22" t="s">
        <v>202</v>
      </c>
      <c r="D92" s="22" t="s">
        <v>444</v>
      </c>
      <c r="E92" s="22" t="s">
        <v>57</v>
      </c>
      <c r="F92" s="23">
        <v>-31600</v>
      </c>
      <c r="G92" s="24">
        <v>44505</v>
      </c>
      <c r="H92" s="22" t="s">
        <v>368</v>
      </c>
      <c r="I92" s="22" t="s">
        <v>249</v>
      </c>
      <c r="J92" s="22"/>
      <c r="K92" s="22"/>
    </row>
    <row r="93" spans="1:11" x14ac:dyDescent="0.25">
      <c r="A93" s="22" t="s">
        <v>447</v>
      </c>
      <c r="B93" s="22" t="s">
        <v>201</v>
      </c>
      <c r="C93" s="22" t="s">
        <v>202</v>
      </c>
      <c r="D93" s="22" t="s">
        <v>446</v>
      </c>
      <c r="E93" s="22" t="s">
        <v>57</v>
      </c>
      <c r="F93" s="23">
        <v>-103580</v>
      </c>
      <c r="G93" s="24">
        <v>44527</v>
      </c>
      <c r="H93" s="22" t="s">
        <v>368</v>
      </c>
      <c r="I93" s="22" t="s">
        <v>375</v>
      </c>
      <c r="J93" s="22"/>
      <c r="K93" s="22"/>
    </row>
    <row r="94" spans="1:11" x14ac:dyDescent="0.25">
      <c r="A94" s="22" t="s">
        <v>449</v>
      </c>
      <c r="B94" s="22" t="s">
        <v>201</v>
      </c>
      <c r="C94" s="22" t="s">
        <v>202</v>
      </c>
      <c r="D94" s="22" t="s">
        <v>448</v>
      </c>
      <c r="E94" s="22" t="s">
        <v>57</v>
      </c>
      <c r="F94" s="23">
        <v>-121524</v>
      </c>
      <c r="G94" s="24">
        <v>44522</v>
      </c>
      <c r="H94" s="22" t="s">
        <v>368</v>
      </c>
      <c r="I94" s="22" t="s">
        <v>450</v>
      </c>
      <c r="J94" s="22"/>
      <c r="K94" s="22"/>
    </row>
    <row r="95" spans="1:11" x14ac:dyDescent="0.25">
      <c r="A95" s="22" t="s">
        <v>452</v>
      </c>
      <c r="B95" s="22" t="s">
        <v>201</v>
      </c>
      <c r="C95" s="22" t="s">
        <v>202</v>
      </c>
      <c r="D95" s="22" t="s">
        <v>451</v>
      </c>
      <c r="E95" s="22" t="s">
        <v>57</v>
      </c>
      <c r="F95" s="23">
        <v>-165800</v>
      </c>
      <c r="G95" s="24">
        <v>44522</v>
      </c>
      <c r="H95" s="22" t="s">
        <v>368</v>
      </c>
      <c r="I95" s="22" t="s">
        <v>453</v>
      </c>
      <c r="J95" s="22"/>
      <c r="K95" s="22"/>
    </row>
    <row r="96" spans="1:11" x14ac:dyDescent="0.25">
      <c r="A96" s="22" t="s">
        <v>455</v>
      </c>
      <c r="B96" s="22" t="s">
        <v>201</v>
      </c>
      <c r="C96" s="22" t="s">
        <v>202</v>
      </c>
      <c r="D96" s="22" t="s">
        <v>454</v>
      </c>
      <c r="E96" s="22" t="s">
        <v>57</v>
      </c>
      <c r="F96" s="23">
        <v>-1226207</v>
      </c>
      <c r="G96" s="24">
        <v>44519</v>
      </c>
      <c r="H96" s="22" t="s">
        <v>368</v>
      </c>
      <c r="I96" s="22" t="s">
        <v>456</v>
      </c>
      <c r="J96" s="22"/>
      <c r="K96" s="22"/>
    </row>
    <row r="97" spans="1:11" x14ac:dyDescent="0.25">
      <c r="A97" s="22" t="s">
        <v>458</v>
      </c>
      <c r="B97" s="22" t="s">
        <v>201</v>
      </c>
      <c r="C97" s="22" t="s">
        <v>202</v>
      </c>
      <c r="D97" s="22" t="s">
        <v>457</v>
      </c>
      <c r="E97" s="22" t="s">
        <v>57</v>
      </c>
      <c r="F97" s="23">
        <v>-227532</v>
      </c>
      <c r="G97" s="24">
        <v>44519</v>
      </c>
      <c r="H97" s="22" t="s">
        <v>368</v>
      </c>
      <c r="I97" s="22" t="s">
        <v>453</v>
      </c>
      <c r="J97" s="22"/>
      <c r="K97" s="22"/>
    </row>
    <row r="98" spans="1:11" x14ac:dyDescent="0.25">
      <c r="A98" s="22" t="s">
        <v>460</v>
      </c>
      <c r="B98" s="22" t="s">
        <v>201</v>
      </c>
      <c r="C98" s="22" t="s">
        <v>202</v>
      </c>
      <c r="D98" s="22" t="s">
        <v>459</v>
      </c>
      <c r="E98" s="22" t="s">
        <v>57</v>
      </c>
      <c r="F98" s="23">
        <v>-103600</v>
      </c>
      <c r="G98" s="24">
        <v>44516</v>
      </c>
      <c r="H98" s="22" t="s">
        <v>368</v>
      </c>
      <c r="I98" s="22" t="s">
        <v>453</v>
      </c>
      <c r="J98" s="22"/>
      <c r="K98" s="22"/>
    </row>
    <row r="99" spans="1:11" x14ac:dyDescent="0.25">
      <c r="A99" s="22" t="s">
        <v>462</v>
      </c>
      <c r="B99" s="22" t="s">
        <v>201</v>
      </c>
      <c r="C99" s="22" t="s">
        <v>202</v>
      </c>
      <c r="D99" s="22" t="s">
        <v>461</v>
      </c>
      <c r="E99" s="22" t="s">
        <v>57</v>
      </c>
      <c r="F99" s="23">
        <v>-105461</v>
      </c>
      <c r="G99" s="24">
        <v>44512</v>
      </c>
      <c r="H99" s="22" t="s">
        <v>368</v>
      </c>
      <c r="I99" s="22" t="s">
        <v>453</v>
      </c>
      <c r="J99" s="22"/>
      <c r="K99" s="22"/>
    </row>
    <row r="100" spans="1:11" x14ac:dyDescent="0.25">
      <c r="A100" s="22" t="s">
        <v>464</v>
      </c>
      <c r="B100" s="22" t="s">
        <v>201</v>
      </c>
      <c r="C100" s="22" t="s">
        <v>202</v>
      </c>
      <c r="D100" s="22" t="s">
        <v>463</v>
      </c>
      <c r="E100" s="22" t="s">
        <v>57</v>
      </c>
      <c r="F100" s="23">
        <v>-54780</v>
      </c>
      <c r="G100" s="24">
        <v>44510</v>
      </c>
      <c r="H100" s="22" t="s">
        <v>368</v>
      </c>
      <c r="I100" s="22" t="s">
        <v>375</v>
      </c>
      <c r="J100" s="22"/>
      <c r="K100" s="22"/>
    </row>
    <row r="101" spans="1:11" x14ac:dyDescent="0.25">
      <c r="A101" s="22" t="s">
        <v>466</v>
      </c>
      <c r="B101" s="22" t="s">
        <v>201</v>
      </c>
      <c r="C101" s="22" t="s">
        <v>202</v>
      </c>
      <c r="D101" s="22" t="s">
        <v>465</v>
      </c>
      <c r="E101" s="22" t="s">
        <v>57</v>
      </c>
      <c r="F101" s="23">
        <v>-126200</v>
      </c>
      <c r="G101" s="24">
        <v>44508</v>
      </c>
      <c r="H101" s="22" t="s">
        <v>368</v>
      </c>
      <c r="I101" s="22" t="s">
        <v>453</v>
      </c>
      <c r="J101" s="22"/>
      <c r="K101" s="22"/>
    </row>
    <row r="102" spans="1:11" x14ac:dyDescent="0.25">
      <c r="A102" s="22" t="s">
        <v>468</v>
      </c>
      <c r="B102" s="22" t="s">
        <v>201</v>
      </c>
      <c r="C102" s="22" t="s">
        <v>202</v>
      </c>
      <c r="D102" s="22" t="s">
        <v>467</v>
      </c>
      <c r="E102" s="22" t="s">
        <v>45</v>
      </c>
      <c r="F102" s="23">
        <v>-858456</v>
      </c>
      <c r="G102" s="24">
        <v>44526</v>
      </c>
      <c r="H102" s="22" t="s">
        <v>368</v>
      </c>
      <c r="I102" s="22" t="s">
        <v>469</v>
      </c>
      <c r="J102" s="22"/>
      <c r="K102" s="22"/>
    </row>
    <row r="103" spans="1:11" x14ac:dyDescent="0.25">
      <c r="A103" s="22" t="s">
        <v>471</v>
      </c>
      <c r="B103" s="22" t="s">
        <v>201</v>
      </c>
      <c r="C103" s="22" t="s">
        <v>202</v>
      </c>
      <c r="D103" s="22" t="s">
        <v>470</v>
      </c>
      <c r="E103" s="22" t="s">
        <v>57</v>
      </c>
      <c r="F103" s="23">
        <v>-2279772</v>
      </c>
      <c r="G103" s="24">
        <v>44514</v>
      </c>
      <c r="H103" s="22" t="s">
        <v>368</v>
      </c>
      <c r="I103" s="22" t="s">
        <v>472</v>
      </c>
      <c r="J103" s="22"/>
      <c r="K103" s="22"/>
    </row>
    <row r="104" spans="1:11" x14ac:dyDescent="0.25">
      <c r="A104" s="22" t="s">
        <v>474</v>
      </c>
      <c r="B104" s="22" t="s">
        <v>201</v>
      </c>
      <c r="C104" s="22" t="s">
        <v>202</v>
      </c>
      <c r="D104" s="22" t="s">
        <v>473</v>
      </c>
      <c r="E104" s="22" t="s">
        <v>57</v>
      </c>
      <c r="F104" s="23">
        <v>-92139</v>
      </c>
      <c r="G104" s="24">
        <v>44559</v>
      </c>
      <c r="H104" s="22" t="s">
        <v>368</v>
      </c>
      <c r="I104" s="22" t="s">
        <v>475</v>
      </c>
      <c r="J104" s="22"/>
      <c r="K104" s="22"/>
    </row>
    <row r="105" spans="1:11" x14ac:dyDescent="0.25">
      <c r="A105" s="22" t="s">
        <v>477</v>
      </c>
      <c r="B105" s="22" t="s">
        <v>201</v>
      </c>
      <c r="C105" s="22" t="s">
        <v>202</v>
      </c>
      <c r="D105" s="22" t="s">
        <v>476</v>
      </c>
      <c r="E105" s="22" t="s">
        <v>57</v>
      </c>
      <c r="F105" s="23">
        <v>-10039</v>
      </c>
      <c r="G105" s="24">
        <v>44523</v>
      </c>
      <c r="H105" s="22" t="s">
        <v>400</v>
      </c>
      <c r="I105" s="22" t="s">
        <v>478</v>
      </c>
      <c r="J105" s="22"/>
      <c r="K105" s="22"/>
    </row>
    <row r="106" spans="1:11" x14ac:dyDescent="0.25">
      <c r="A106" s="22" t="s">
        <v>480</v>
      </c>
      <c r="B106" s="22" t="s">
        <v>201</v>
      </c>
      <c r="C106" s="22" t="s">
        <v>202</v>
      </c>
      <c r="D106" s="22" t="s">
        <v>479</v>
      </c>
      <c r="E106" s="22" t="s">
        <v>57</v>
      </c>
      <c r="F106" s="23">
        <v>-43700</v>
      </c>
      <c r="G106" s="24">
        <v>44519</v>
      </c>
      <c r="H106" s="22" t="s">
        <v>400</v>
      </c>
      <c r="I106" s="22" t="s">
        <v>280</v>
      </c>
      <c r="J106" s="22"/>
      <c r="K106" s="22"/>
    </row>
    <row r="107" spans="1:11" x14ac:dyDescent="0.25">
      <c r="A107" s="22" t="s">
        <v>482</v>
      </c>
      <c r="B107" s="22" t="s">
        <v>201</v>
      </c>
      <c r="C107" s="22" t="s">
        <v>202</v>
      </c>
      <c r="D107" s="22" t="s">
        <v>481</v>
      </c>
      <c r="E107" s="22" t="s">
        <v>57</v>
      </c>
      <c r="F107" s="23">
        <v>-29200</v>
      </c>
      <c r="G107" s="24">
        <v>44519</v>
      </c>
      <c r="H107" s="22" t="s">
        <v>400</v>
      </c>
      <c r="I107" s="22" t="s">
        <v>483</v>
      </c>
      <c r="J107" s="22"/>
      <c r="K107" s="22"/>
    </row>
    <row r="108" spans="1:11" x14ac:dyDescent="0.25">
      <c r="A108" s="22" t="s">
        <v>485</v>
      </c>
      <c r="B108" s="22" t="s">
        <v>201</v>
      </c>
      <c r="C108" s="22" t="s">
        <v>202</v>
      </c>
      <c r="D108" s="22" t="s">
        <v>484</v>
      </c>
      <c r="E108" s="22" t="s">
        <v>57</v>
      </c>
      <c r="F108" s="23">
        <v>-43700</v>
      </c>
      <c r="G108" s="24">
        <v>44511</v>
      </c>
      <c r="H108" s="22" t="s">
        <v>400</v>
      </c>
      <c r="I108" s="22" t="s">
        <v>486</v>
      </c>
      <c r="J108" s="22"/>
      <c r="K108" s="22"/>
    </row>
    <row r="109" spans="1:11" x14ac:dyDescent="0.25">
      <c r="A109" s="22" t="s">
        <v>488</v>
      </c>
      <c r="B109" s="22" t="s">
        <v>201</v>
      </c>
      <c r="C109" s="22" t="s">
        <v>202</v>
      </c>
      <c r="D109" s="22" t="s">
        <v>487</v>
      </c>
      <c r="E109" s="22" t="s">
        <v>57</v>
      </c>
      <c r="F109" s="23">
        <v>-33200</v>
      </c>
      <c r="G109" s="24">
        <v>44509</v>
      </c>
      <c r="H109" s="22" t="s">
        <v>400</v>
      </c>
      <c r="I109" s="22" t="s">
        <v>478</v>
      </c>
      <c r="J109" s="22"/>
      <c r="K109" s="22"/>
    </row>
    <row r="110" spans="1:11" x14ac:dyDescent="0.25">
      <c r="A110" s="22" t="s">
        <v>490</v>
      </c>
      <c r="B110" s="22" t="s">
        <v>201</v>
      </c>
      <c r="C110" s="22" t="s">
        <v>202</v>
      </c>
      <c r="D110" s="22" t="s">
        <v>489</v>
      </c>
      <c r="E110" s="22" t="s">
        <v>57</v>
      </c>
      <c r="F110" s="23">
        <v>-18800</v>
      </c>
      <c r="G110" s="24">
        <v>44543</v>
      </c>
      <c r="H110" s="22" t="s">
        <v>400</v>
      </c>
      <c r="I110" s="22" t="s">
        <v>491</v>
      </c>
      <c r="J110" s="22"/>
      <c r="K110" s="22"/>
    </row>
    <row r="111" spans="1:11" x14ac:dyDescent="0.25">
      <c r="A111" s="22" t="s">
        <v>493</v>
      </c>
      <c r="B111" s="22" t="s">
        <v>201</v>
      </c>
      <c r="C111" s="22" t="s">
        <v>202</v>
      </c>
      <c r="D111" s="22" t="s">
        <v>492</v>
      </c>
      <c r="E111" s="22" t="s">
        <v>57</v>
      </c>
      <c r="F111" s="23">
        <v>-20200</v>
      </c>
      <c r="G111" s="24">
        <v>44543</v>
      </c>
      <c r="H111" s="22" t="s">
        <v>400</v>
      </c>
      <c r="I111" s="22" t="s">
        <v>494</v>
      </c>
      <c r="J111" s="22"/>
      <c r="K111" s="22"/>
    </row>
    <row r="112" spans="1:11" x14ac:dyDescent="0.25">
      <c r="A112" s="22" t="s">
        <v>496</v>
      </c>
      <c r="B112" s="22" t="s">
        <v>201</v>
      </c>
      <c r="C112" s="22" t="s">
        <v>202</v>
      </c>
      <c r="D112" s="22" t="s">
        <v>495</v>
      </c>
      <c r="E112" s="22" t="s">
        <v>57</v>
      </c>
      <c r="F112" s="23">
        <v>-75500</v>
      </c>
      <c r="G112" s="24">
        <v>44543</v>
      </c>
      <c r="H112" s="22" t="s">
        <v>400</v>
      </c>
      <c r="I112" s="22" t="s">
        <v>494</v>
      </c>
      <c r="J112" s="22"/>
      <c r="K112" s="22"/>
    </row>
    <row r="113" spans="1:11" x14ac:dyDescent="0.25">
      <c r="A113" s="22" t="s">
        <v>498</v>
      </c>
      <c r="B113" s="22" t="s">
        <v>201</v>
      </c>
      <c r="C113" s="22" t="s">
        <v>202</v>
      </c>
      <c r="D113" s="22" t="s">
        <v>497</v>
      </c>
      <c r="E113" s="22" t="s">
        <v>57</v>
      </c>
      <c r="F113" s="23">
        <v>-29200</v>
      </c>
      <c r="G113" s="24">
        <v>44540</v>
      </c>
      <c r="H113" s="22" t="s">
        <v>400</v>
      </c>
      <c r="I113" s="22" t="s">
        <v>483</v>
      </c>
      <c r="J113" s="22"/>
      <c r="K113" s="22"/>
    </row>
    <row r="114" spans="1:11" x14ac:dyDescent="0.25">
      <c r="A114" s="22" t="s">
        <v>500</v>
      </c>
      <c r="B114" s="22" t="s">
        <v>201</v>
      </c>
      <c r="C114" s="22" t="s">
        <v>202</v>
      </c>
      <c r="D114" s="22" t="s">
        <v>499</v>
      </c>
      <c r="E114" s="22" t="s">
        <v>57</v>
      </c>
      <c r="F114" s="23">
        <v>-19400</v>
      </c>
      <c r="G114" s="24">
        <v>44537</v>
      </c>
      <c r="H114" s="22" t="s">
        <v>400</v>
      </c>
      <c r="I114" s="22" t="s">
        <v>494</v>
      </c>
      <c r="J114" s="22"/>
      <c r="K114" s="22"/>
    </row>
    <row r="115" spans="1:11" x14ac:dyDescent="0.25">
      <c r="A115" s="22" t="s">
        <v>502</v>
      </c>
      <c r="B115" s="22" t="s">
        <v>201</v>
      </c>
      <c r="C115" s="22" t="s">
        <v>202</v>
      </c>
      <c r="D115" s="22" t="s">
        <v>501</v>
      </c>
      <c r="E115" s="22" t="s">
        <v>57</v>
      </c>
      <c r="F115" s="23">
        <v>-29200</v>
      </c>
      <c r="G115" s="24">
        <v>44532</v>
      </c>
      <c r="H115" s="22" t="s">
        <v>400</v>
      </c>
      <c r="I115" s="22" t="s">
        <v>494</v>
      </c>
      <c r="J115" s="22"/>
      <c r="K115" s="22"/>
    </row>
    <row r="116" spans="1:11" x14ac:dyDescent="0.25">
      <c r="A116" s="22" t="s">
        <v>504</v>
      </c>
      <c r="B116" s="22" t="s">
        <v>201</v>
      </c>
      <c r="C116" s="22" t="s">
        <v>202</v>
      </c>
      <c r="D116" s="22" t="s">
        <v>503</v>
      </c>
      <c r="E116" s="22" t="s">
        <v>57</v>
      </c>
      <c r="F116" s="23">
        <v>-47200</v>
      </c>
      <c r="G116" s="24">
        <v>44536</v>
      </c>
      <c r="H116" s="22" t="s">
        <v>400</v>
      </c>
      <c r="I116" s="22" t="s">
        <v>505</v>
      </c>
      <c r="J116" s="22"/>
      <c r="K116" s="22"/>
    </row>
    <row r="117" spans="1:11" x14ac:dyDescent="0.25">
      <c r="A117" s="22" t="s">
        <v>507</v>
      </c>
      <c r="B117" s="22" t="s">
        <v>201</v>
      </c>
      <c r="C117" s="22" t="s">
        <v>202</v>
      </c>
      <c r="D117" s="22" t="s">
        <v>506</v>
      </c>
      <c r="E117" s="22" t="s">
        <v>57</v>
      </c>
      <c r="F117" s="23">
        <v>-53700</v>
      </c>
      <c r="G117" s="24">
        <v>44539</v>
      </c>
      <c r="H117" s="22" t="s">
        <v>400</v>
      </c>
      <c r="I117" s="22" t="s">
        <v>494</v>
      </c>
      <c r="J117" s="22"/>
      <c r="K117" s="22"/>
    </row>
    <row r="118" spans="1:11" x14ac:dyDescent="0.25">
      <c r="A118" s="22" t="s">
        <v>509</v>
      </c>
      <c r="B118" s="22" t="s">
        <v>201</v>
      </c>
      <c r="C118" s="22" t="s">
        <v>202</v>
      </c>
      <c r="D118" s="22" t="s">
        <v>508</v>
      </c>
      <c r="E118" s="22" t="s">
        <v>57</v>
      </c>
      <c r="F118" s="23">
        <v>-176400</v>
      </c>
      <c r="G118" s="24">
        <v>44532</v>
      </c>
      <c r="H118" s="22" t="s">
        <v>400</v>
      </c>
      <c r="I118" s="22" t="s">
        <v>494</v>
      </c>
      <c r="J118" s="22"/>
      <c r="K118" s="22"/>
    </row>
    <row r="119" spans="1:11" x14ac:dyDescent="0.25">
      <c r="A119" s="22" t="s">
        <v>401</v>
      </c>
      <c r="B119" s="22" t="s">
        <v>201</v>
      </c>
      <c r="C119" s="22" t="s">
        <v>202</v>
      </c>
      <c r="D119" s="22" t="s">
        <v>510</v>
      </c>
      <c r="E119" s="22" t="s">
        <v>57</v>
      </c>
      <c r="F119" s="23">
        <v>-154724</v>
      </c>
      <c r="G119" s="24">
        <v>44532</v>
      </c>
      <c r="H119" s="22" t="s">
        <v>400</v>
      </c>
      <c r="I119" s="22" t="s">
        <v>511</v>
      </c>
      <c r="J119" s="22"/>
      <c r="K119" s="22"/>
    </row>
    <row r="120" spans="1:11" x14ac:dyDescent="0.25">
      <c r="A120" s="22" t="s">
        <v>513</v>
      </c>
      <c r="B120" s="22" t="s">
        <v>201</v>
      </c>
      <c r="C120" s="22" t="s">
        <v>202</v>
      </c>
      <c r="D120" s="22" t="s">
        <v>512</v>
      </c>
      <c r="E120" s="22" t="s">
        <v>57</v>
      </c>
      <c r="F120" s="23">
        <v>-79148</v>
      </c>
      <c r="G120" s="24">
        <v>44542</v>
      </c>
      <c r="H120" s="22" t="s">
        <v>400</v>
      </c>
      <c r="I120" s="22" t="s">
        <v>505</v>
      </c>
      <c r="J120" s="22"/>
      <c r="K120" s="22"/>
    </row>
    <row r="121" spans="1:11" x14ac:dyDescent="0.25">
      <c r="A121" s="22" t="s">
        <v>468</v>
      </c>
      <c r="B121" s="22" t="s">
        <v>201</v>
      </c>
      <c r="C121" s="22" t="s">
        <v>202</v>
      </c>
      <c r="D121" s="22" t="s">
        <v>467</v>
      </c>
      <c r="E121" s="22" t="s">
        <v>45</v>
      </c>
      <c r="F121" s="23">
        <v>-6032217</v>
      </c>
      <c r="G121" s="24">
        <v>44526</v>
      </c>
      <c r="H121" s="22" t="s">
        <v>467</v>
      </c>
      <c r="I121" s="22"/>
      <c r="J121" s="22"/>
      <c r="K121" s="22"/>
    </row>
    <row r="122" spans="1:11" x14ac:dyDescent="0.25">
      <c r="A122" s="22" t="s">
        <v>468</v>
      </c>
      <c r="B122" s="22" t="s">
        <v>201</v>
      </c>
      <c r="C122" s="22" t="s">
        <v>202</v>
      </c>
      <c r="D122" s="22" t="s">
        <v>517</v>
      </c>
      <c r="E122" s="22" t="s">
        <v>57</v>
      </c>
      <c r="F122" s="23">
        <v>-6890673</v>
      </c>
      <c r="G122" s="24">
        <v>44526</v>
      </c>
      <c r="H122" s="22" t="s">
        <v>467</v>
      </c>
      <c r="I122" s="22" t="s">
        <v>399</v>
      </c>
      <c r="J122" s="22"/>
      <c r="K122" s="22"/>
    </row>
    <row r="123" spans="1:11" x14ac:dyDescent="0.25">
      <c r="A123" s="22" t="s">
        <v>251</v>
      </c>
      <c r="B123" s="22" t="s">
        <v>201</v>
      </c>
      <c r="C123" s="22" t="s">
        <v>202</v>
      </c>
      <c r="D123" s="22" t="s">
        <v>248</v>
      </c>
      <c r="E123" s="22" t="s">
        <v>45</v>
      </c>
      <c r="F123" s="23">
        <v>-4641207</v>
      </c>
      <c r="G123" s="24">
        <v>44543</v>
      </c>
      <c r="H123" s="22" t="s">
        <v>248</v>
      </c>
      <c r="I123" s="22"/>
      <c r="J123" s="22"/>
      <c r="K123" s="22"/>
    </row>
    <row r="124" spans="1:11" x14ac:dyDescent="0.25">
      <c r="A124" s="22" t="s">
        <v>522</v>
      </c>
      <c r="B124" s="22" t="s">
        <v>201</v>
      </c>
      <c r="C124" s="22" t="s">
        <v>202</v>
      </c>
      <c r="D124" s="22" t="s">
        <v>521</v>
      </c>
      <c r="E124" s="22" t="s">
        <v>57</v>
      </c>
      <c r="F124" s="23">
        <v>-217519</v>
      </c>
      <c r="G124" s="24">
        <v>44531</v>
      </c>
      <c r="H124" s="22" t="s">
        <v>248</v>
      </c>
      <c r="I124" s="22" t="s">
        <v>249</v>
      </c>
      <c r="J124" s="22"/>
      <c r="K124" s="22"/>
    </row>
    <row r="125" spans="1:11" x14ac:dyDescent="0.25">
      <c r="A125" s="22" t="s">
        <v>524</v>
      </c>
      <c r="B125" s="22" t="s">
        <v>201</v>
      </c>
      <c r="C125" s="22" t="s">
        <v>202</v>
      </c>
      <c r="D125" s="22" t="s">
        <v>523</v>
      </c>
      <c r="E125" s="22" t="s">
        <v>57</v>
      </c>
      <c r="F125" s="23">
        <v>-53700</v>
      </c>
      <c r="G125" s="24">
        <v>44548</v>
      </c>
      <c r="H125" s="22" t="s">
        <v>368</v>
      </c>
      <c r="I125" s="22" t="s">
        <v>525</v>
      </c>
      <c r="J125" s="22"/>
      <c r="K125" s="22"/>
    </row>
    <row r="126" spans="1:11" x14ac:dyDescent="0.25">
      <c r="A126" s="22" t="s">
        <v>527</v>
      </c>
      <c r="B126" s="22" t="s">
        <v>201</v>
      </c>
      <c r="C126" s="22" t="s">
        <v>202</v>
      </c>
      <c r="D126" s="22" t="s">
        <v>526</v>
      </c>
      <c r="E126" s="22" t="s">
        <v>57</v>
      </c>
      <c r="F126" s="23">
        <v>-54578</v>
      </c>
      <c r="G126" s="24">
        <v>44533</v>
      </c>
      <c r="H126" s="22" t="s">
        <v>368</v>
      </c>
      <c r="I126" s="22" t="s">
        <v>249</v>
      </c>
      <c r="J126" s="22"/>
      <c r="K126" s="22"/>
    </row>
    <row r="127" spans="1:11" x14ac:dyDescent="0.25">
      <c r="A127" s="22" t="s">
        <v>401</v>
      </c>
      <c r="B127" s="22" t="s">
        <v>201</v>
      </c>
      <c r="C127" s="22" t="s">
        <v>202</v>
      </c>
      <c r="D127" s="22" t="s">
        <v>400</v>
      </c>
      <c r="E127" s="22" t="s">
        <v>45</v>
      </c>
      <c r="F127" s="23">
        <v>-9325896</v>
      </c>
      <c r="G127" s="24">
        <v>44532</v>
      </c>
      <c r="H127" s="22" t="s">
        <v>400</v>
      </c>
      <c r="I127" s="22"/>
      <c r="J127" s="22"/>
      <c r="K127" s="22"/>
    </row>
    <row r="128" spans="1:11" x14ac:dyDescent="0.25">
      <c r="A128" s="22" t="s">
        <v>531</v>
      </c>
      <c r="B128" s="22" t="s">
        <v>201</v>
      </c>
      <c r="C128" s="22" t="s">
        <v>202</v>
      </c>
      <c r="D128" s="22" t="s">
        <v>530</v>
      </c>
      <c r="E128" s="22" t="s">
        <v>57</v>
      </c>
      <c r="F128" s="23">
        <v>-14500</v>
      </c>
      <c r="G128" s="24">
        <v>44530</v>
      </c>
      <c r="H128" s="22" t="s">
        <v>400</v>
      </c>
      <c r="I128" s="22" t="s">
        <v>532</v>
      </c>
      <c r="J128" s="22"/>
      <c r="K128" s="22"/>
    </row>
    <row r="129" spans="1:11" x14ac:dyDescent="0.25">
      <c r="A129" s="22" t="s">
        <v>534</v>
      </c>
      <c r="B129" s="22" t="s">
        <v>201</v>
      </c>
      <c r="C129" s="22" t="s">
        <v>202</v>
      </c>
      <c r="D129" s="22" t="s">
        <v>533</v>
      </c>
      <c r="E129" s="22" t="s">
        <v>57</v>
      </c>
      <c r="F129" s="23">
        <v>-47200</v>
      </c>
      <c r="G129" s="24">
        <v>44524</v>
      </c>
      <c r="H129" s="22" t="s">
        <v>400</v>
      </c>
      <c r="I129" s="22" t="s">
        <v>505</v>
      </c>
      <c r="J129" s="22"/>
      <c r="K129" s="22"/>
    </row>
    <row r="130" spans="1:11" x14ac:dyDescent="0.25">
      <c r="A130" s="22" t="s">
        <v>536</v>
      </c>
      <c r="B130" s="22" t="s">
        <v>201</v>
      </c>
      <c r="C130" s="22" t="s">
        <v>202</v>
      </c>
      <c r="D130" s="22" t="s">
        <v>535</v>
      </c>
      <c r="E130" s="22" t="s">
        <v>57</v>
      </c>
      <c r="F130" s="23">
        <v>-31600</v>
      </c>
      <c r="G130" s="24">
        <v>44522</v>
      </c>
      <c r="H130" s="22" t="s">
        <v>400</v>
      </c>
      <c r="I130" s="22" t="s">
        <v>537</v>
      </c>
      <c r="J130" s="22"/>
      <c r="K130" s="22"/>
    </row>
    <row r="131" spans="1:11" x14ac:dyDescent="0.25">
      <c r="A131" s="22" t="s">
        <v>539</v>
      </c>
      <c r="B131" s="22" t="s">
        <v>201</v>
      </c>
      <c r="C131" s="22" t="s">
        <v>202</v>
      </c>
      <c r="D131" s="22" t="s">
        <v>538</v>
      </c>
      <c r="E131" s="22" t="s">
        <v>57</v>
      </c>
      <c r="F131" s="23">
        <v>-32700</v>
      </c>
      <c r="G131" s="24">
        <v>44519</v>
      </c>
      <c r="H131" s="22" t="s">
        <v>400</v>
      </c>
      <c r="I131" s="22" t="s">
        <v>532</v>
      </c>
      <c r="J131" s="22"/>
      <c r="K131" s="22"/>
    </row>
    <row r="132" spans="1:11" x14ac:dyDescent="0.25">
      <c r="A132" s="22" t="s">
        <v>541</v>
      </c>
      <c r="B132" s="22" t="s">
        <v>201</v>
      </c>
      <c r="C132" s="22" t="s">
        <v>202</v>
      </c>
      <c r="D132" s="22" t="s">
        <v>540</v>
      </c>
      <c r="E132" s="22" t="s">
        <v>57</v>
      </c>
      <c r="F132" s="23">
        <v>-76100</v>
      </c>
      <c r="G132" s="24">
        <v>44518</v>
      </c>
      <c r="H132" s="22" t="s">
        <v>400</v>
      </c>
      <c r="I132" s="22" t="s">
        <v>542</v>
      </c>
      <c r="J132" s="22"/>
      <c r="K132" s="22"/>
    </row>
    <row r="133" spans="1:11" x14ac:dyDescent="0.25">
      <c r="A133" s="22" t="s">
        <v>544</v>
      </c>
      <c r="B133" s="22" t="s">
        <v>201</v>
      </c>
      <c r="C133" s="22" t="s">
        <v>202</v>
      </c>
      <c r="D133" s="22" t="s">
        <v>543</v>
      </c>
      <c r="E133" s="22" t="s">
        <v>57</v>
      </c>
      <c r="F133" s="23">
        <v>-13600</v>
      </c>
      <c r="G133" s="24">
        <v>44516</v>
      </c>
      <c r="H133" s="22" t="s">
        <v>400</v>
      </c>
      <c r="I133" s="22" t="s">
        <v>427</v>
      </c>
      <c r="J133" s="22"/>
      <c r="K133" s="22"/>
    </row>
    <row r="134" spans="1:11" x14ac:dyDescent="0.25">
      <c r="A134" s="22" t="s">
        <v>546</v>
      </c>
      <c r="B134" s="22" t="s">
        <v>201</v>
      </c>
      <c r="C134" s="22" t="s">
        <v>202</v>
      </c>
      <c r="D134" s="22" t="s">
        <v>545</v>
      </c>
      <c r="E134" s="22" t="s">
        <v>57</v>
      </c>
      <c r="F134" s="23">
        <v>-54724</v>
      </c>
      <c r="G134" s="24">
        <v>44527</v>
      </c>
      <c r="H134" s="22" t="s">
        <v>400</v>
      </c>
      <c r="I134" s="22" t="s">
        <v>547</v>
      </c>
      <c r="J134" s="22"/>
      <c r="K134" s="22"/>
    </row>
    <row r="135" spans="1:11" x14ac:dyDescent="0.25">
      <c r="A135" s="22" t="s">
        <v>549</v>
      </c>
      <c r="B135" s="22" t="s">
        <v>201</v>
      </c>
      <c r="C135" s="22" t="s">
        <v>202</v>
      </c>
      <c r="D135" s="22" t="s">
        <v>548</v>
      </c>
      <c r="E135" s="22" t="s">
        <v>57</v>
      </c>
      <c r="F135" s="23">
        <v>-215700</v>
      </c>
      <c r="G135" s="24">
        <v>44528</v>
      </c>
      <c r="H135" s="22" t="s">
        <v>400</v>
      </c>
      <c r="I135" s="22" t="s">
        <v>550</v>
      </c>
      <c r="J135" s="22"/>
      <c r="K135" s="22"/>
    </row>
    <row r="136" spans="1:11" x14ac:dyDescent="0.25">
      <c r="A136" s="22" t="s">
        <v>552</v>
      </c>
      <c r="B136" s="22" t="s">
        <v>201</v>
      </c>
      <c r="C136" s="22" t="s">
        <v>202</v>
      </c>
      <c r="D136" s="22" t="s">
        <v>551</v>
      </c>
      <c r="E136" s="22" t="s">
        <v>57</v>
      </c>
      <c r="F136" s="23">
        <v>-81907</v>
      </c>
      <c r="G136" s="24">
        <v>44525</v>
      </c>
      <c r="H136" s="22" t="s">
        <v>400</v>
      </c>
      <c r="I136" s="22" t="s">
        <v>550</v>
      </c>
      <c r="J136" s="22"/>
      <c r="K136" s="22"/>
    </row>
    <row r="137" spans="1:11" x14ac:dyDescent="0.25">
      <c r="A137" s="22" t="s">
        <v>554</v>
      </c>
      <c r="B137" s="22" t="s">
        <v>201</v>
      </c>
      <c r="C137" s="22" t="s">
        <v>202</v>
      </c>
      <c r="D137" s="22" t="s">
        <v>553</v>
      </c>
      <c r="E137" s="22" t="s">
        <v>57</v>
      </c>
      <c r="F137" s="23">
        <v>-106308</v>
      </c>
      <c r="G137" s="24">
        <v>44521</v>
      </c>
      <c r="H137" s="22" t="s">
        <v>400</v>
      </c>
      <c r="I137" s="22" t="s">
        <v>550</v>
      </c>
      <c r="J137" s="22"/>
      <c r="K137" s="22"/>
    </row>
    <row r="138" spans="1:11" x14ac:dyDescent="0.25">
      <c r="A138" s="22" t="s">
        <v>97</v>
      </c>
      <c r="B138" s="22" t="s">
        <v>201</v>
      </c>
      <c r="C138" s="22" t="s">
        <v>202</v>
      </c>
      <c r="D138" s="22" t="s">
        <v>99</v>
      </c>
      <c r="E138" s="22" t="s">
        <v>57</v>
      </c>
      <c r="F138" s="23">
        <v>-7605391</v>
      </c>
      <c r="G138" s="24">
        <v>44512</v>
      </c>
      <c r="H138" s="22" t="s">
        <v>400</v>
      </c>
      <c r="I138" s="22" t="s">
        <v>427</v>
      </c>
      <c r="J138" s="22"/>
      <c r="K138" s="22"/>
    </row>
    <row r="139" spans="1:11" x14ac:dyDescent="0.25">
      <c r="A139" s="22" t="s">
        <v>556</v>
      </c>
      <c r="B139" s="22" t="s">
        <v>201</v>
      </c>
      <c r="C139" s="22" t="s">
        <v>202</v>
      </c>
      <c r="D139" s="22" t="s">
        <v>555</v>
      </c>
      <c r="E139" s="22" t="s">
        <v>57</v>
      </c>
      <c r="F139" s="23">
        <v>-19400</v>
      </c>
      <c r="G139" s="24">
        <v>44530</v>
      </c>
      <c r="H139" s="22" t="s">
        <v>400</v>
      </c>
      <c r="I139" s="22" t="s">
        <v>494</v>
      </c>
      <c r="J139" s="22"/>
      <c r="K139" s="22"/>
    </row>
    <row r="140" spans="1:11" x14ac:dyDescent="0.25">
      <c r="A140" s="22" t="s">
        <v>558</v>
      </c>
      <c r="B140" s="22" t="s">
        <v>201</v>
      </c>
      <c r="C140" s="22" t="s">
        <v>202</v>
      </c>
      <c r="D140" s="22" t="s">
        <v>557</v>
      </c>
      <c r="E140" s="22" t="s">
        <v>57</v>
      </c>
      <c r="F140" s="23">
        <v>-29200</v>
      </c>
      <c r="G140" s="24">
        <v>44530</v>
      </c>
      <c r="H140" s="22" t="s">
        <v>400</v>
      </c>
      <c r="I140" s="22" t="s">
        <v>559</v>
      </c>
      <c r="J140" s="22"/>
      <c r="K140" s="22"/>
    </row>
    <row r="141" spans="1:11" x14ac:dyDescent="0.25">
      <c r="A141" s="22" t="s">
        <v>561</v>
      </c>
      <c r="B141" s="22" t="s">
        <v>201</v>
      </c>
      <c r="C141" s="22" t="s">
        <v>202</v>
      </c>
      <c r="D141" s="22" t="s">
        <v>560</v>
      </c>
      <c r="E141" s="22" t="s">
        <v>57</v>
      </c>
      <c r="F141" s="23">
        <v>-18800</v>
      </c>
      <c r="G141" s="24">
        <v>44529</v>
      </c>
      <c r="H141" s="22" t="s">
        <v>400</v>
      </c>
      <c r="I141" s="22" t="s">
        <v>494</v>
      </c>
      <c r="J141" s="22"/>
      <c r="K141" s="22"/>
    </row>
    <row r="142" spans="1:11" x14ac:dyDescent="0.25">
      <c r="A142" s="22" t="s">
        <v>563</v>
      </c>
      <c r="B142" s="22" t="s">
        <v>201</v>
      </c>
      <c r="C142" s="22" t="s">
        <v>202</v>
      </c>
      <c r="D142" s="22" t="s">
        <v>562</v>
      </c>
      <c r="E142" s="22" t="s">
        <v>57</v>
      </c>
      <c r="F142" s="23">
        <v>-20200</v>
      </c>
      <c r="G142" s="24">
        <v>44526</v>
      </c>
      <c r="H142" s="22" t="s">
        <v>400</v>
      </c>
      <c r="I142" s="22" t="s">
        <v>494</v>
      </c>
      <c r="J142" s="22"/>
      <c r="K142" s="22"/>
    </row>
    <row r="143" spans="1:11" x14ac:dyDescent="0.25">
      <c r="A143" s="22" t="s">
        <v>565</v>
      </c>
      <c r="B143" s="22" t="s">
        <v>201</v>
      </c>
      <c r="C143" s="22" t="s">
        <v>202</v>
      </c>
      <c r="D143" s="22" t="s">
        <v>564</v>
      </c>
      <c r="E143" s="22" t="s">
        <v>57</v>
      </c>
      <c r="F143" s="23">
        <v>-68100</v>
      </c>
      <c r="G143" s="24">
        <v>44524</v>
      </c>
      <c r="H143" s="22" t="s">
        <v>400</v>
      </c>
      <c r="I143" s="22" t="s">
        <v>491</v>
      </c>
      <c r="J143" s="22"/>
      <c r="K143" s="22"/>
    </row>
    <row r="144" spans="1:11" x14ac:dyDescent="0.25">
      <c r="A144" s="22" t="s">
        <v>567</v>
      </c>
      <c r="B144" s="22" t="s">
        <v>201</v>
      </c>
      <c r="C144" s="22" t="s">
        <v>202</v>
      </c>
      <c r="D144" s="22" t="s">
        <v>566</v>
      </c>
      <c r="E144" s="22" t="s">
        <v>57</v>
      </c>
      <c r="F144" s="23">
        <v>-43700</v>
      </c>
      <c r="G144" s="24">
        <v>44524</v>
      </c>
      <c r="H144" s="22" t="s">
        <v>400</v>
      </c>
      <c r="I144" s="22" t="s">
        <v>486</v>
      </c>
      <c r="J144" s="22"/>
      <c r="K144" s="22"/>
    </row>
    <row r="145" spans="1:11" x14ac:dyDescent="0.25">
      <c r="A145" s="22" t="s">
        <v>569</v>
      </c>
      <c r="B145" s="22" t="s">
        <v>201</v>
      </c>
      <c r="C145" s="22" t="s">
        <v>202</v>
      </c>
      <c r="D145" s="22" t="s">
        <v>568</v>
      </c>
      <c r="E145" s="22" t="s">
        <v>57</v>
      </c>
      <c r="F145" s="23">
        <v>-43700</v>
      </c>
      <c r="G145" s="24">
        <v>44524</v>
      </c>
      <c r="H145" s="22" t="s">
        <v>400</v>
      </c>
      <c r="I145" s="22" t="s">
        <v>282</v>
      </c>
      <c r="J145" s="22"/>
      <c r="K145" s="22"/>
    </row>
    <row r="146" spans="1:11" x14ac:dyDescent="0.25">
      <c r="A146" s="22" t="s">
        <v>571</v>
      </c>
      <c r="B146" s="22" t="s">
        <v>201</v>
      </c>
      <c r="C146" s="22" t="s">
        <v>202</v>
      </c>
      <c r="D146" s="22" t="s">
        <v>570</v>
      </c>
      <c r="E146" s="22" t="s">
        <v>57</v>
      </c>
      <c r="F146" s="23">
        <v>-90988</v>
      </c>
      <c r="G146" s="24">
        <v>44420</v>
      </c>
      <c r="H146" s="22" t="s">
        <v>572</v>
      </c>
      <c r="I146" s="22" t="s">
        <v>573</v>
      </c>
      <c r="J146" s="22"/>
      <c r="K146" s="22"/>
    </row>
    <row r="147" spans="1:11" x14ac:dyDescent="0.25">
      <c r="A147" s="22" t="s">
        <v>571</v>
      </c>
      <c r="B147" s="22" t="s">
        <v>201</v>
      </c>
      <c r="C147" s="22" t="s">
        <v>202</v>
      </c>
      <c r="D147" s="22" t="s">
        <v>572</v>
      </c>
      <c r="E147" s="22" t="s">
        <v>45</v>
      </c>
      <c r="F147" s="23">
        <v>-164450</v>
      </c>
      <c r="G147" s="24">
        <v>44420</v>
      </c>
      <c r="H147" s="22" t="s">
        <v>572</v>
      </c>
      <c r="I147" s="22"/>
      <c r="J147" s="22"/>
      <c r="K147" s="22"/>
    </row>
    <row r="148" spans="1:11" x14ac:dyDescent="0.25">
      <c r="A148" s="22" t="s">
        <v>579</v>
      </c>
      <c r="B148" s="22" t="s">
        <v>201</v>
      </c>
      <c r="C148" s="22" t="s">
        <v>202</v>
      </c>
      <c r="D148" s="22" t="s">
        <v>578</v>
      </c>
      <c r="E148" s="22" t="s">
        <v>57</v>
      </c>
      <c r="F148" s="23">
        <v>-55097</v>
      </c>
      <c r="G148" s="24">
        <v>44417</v>
      </c>
      <c r="H148" s="22" t="s">
        <v>576</v>
      </c>
      <c r="I148" s="22" t="s">
        <v>580</v>
      </c>
      <c r="J148" s="22"/>
      <c r="K148" s="22"/>
    </row>
    <row r="149" spans="1:11" x14ac:dyDescent="0.25">
      <c r="A149" s="22" t="s">
        <v>579</v>
      </c>
      <c r="B149" s="22" t="s">
        <v>201</v>
      </c>
      <c r="C149" s="22" t="s">
        <v>202</v>
      </c>
      <c r="D149" s="22" t="s">
        <v>576</v>
      </c>
      <c r="E149" s="22" t="s">
        <v>45</v>
      </c>
      <c r="F149" s="23">
        <v>-27549</v>
      </c>
      <c r="G149" s="24">
        <v>44417</v>
      </c>
      <c r="H149" s="22" t="s">
        <v>576</v>
      </c>
      <c r="I149" s="22"/>
      <c r="J149" s="22"/>
      <c r="K149" s="22"/>
    </row>
    <row r="150" spans="1:11" x14ac:dyDescent="0.25">
      <c r="A150" s="22" t="s">
        <v>584</v>
      </c>
      <c r="B150" s="22" t="s">
        <v>201</v>
      </c>
      <c r="C150" s="22" t="s">
        <v>202</v>
      </c>
      <c r="D150" s="22" t="s">
        <v>583</v>
      </c>
      <c r="E150" s="22" t="s">
        <v>45</v>
      </c>
      <c r="F150" s="23">
        <v>-57800</v>
      </c>
      <c r="G150" s="24">
        <v>44461</v>
      </c>
      <c r="H150" s="22" t="s">
        <v>583</v>
      </c>
      <c r="I150" s="22"/>
      <c r="J150" s="22"/>
      <c r="K150" s="22"/>
    </row>
    <row r="151" spans="1:11" x14ac:dyDescent="0.25">
      <c r="A151" s="22" t="s">
        <v>584</v>
      </c>
      <c r="B151" s="22" t="s">
        <v>201</v>
      </c>
      <c r="C151" s="22" t="s">
        <v>202</v>
      </c>
      <c r="D151" s="22" t="s">
        <v>585</v>
      </c>
      <c r="E151" s="22" t="s">
        <v>45</v>
      </c>
      <c r="F151" s="23">
        <v>-75498</v>
      </c>
      <c r="G151" s="24">
        <v>44461</v>
      </c>
      <c r="H151" s="22" t="s">
        <v>583</v>
      </c>
      <c r="I151" s="22" t="s">
        <v>586</v>
      </c>
      <c r="J151" s="22"/>
      <c r="K151" s="22"/>
    </row>
    <row r="152" spans="1:11" x14ac:dyDescent="0.25">
      <c r="A152" s="22" t="s">
        <v>589</v>
      </c>
      <c r="B152" s="22" t="s">
        <v>201</v>
      </c>
      <c r="C152" s="22" t="s">
        <v>202</v>
      </c>
      <c r="D152" s="22" t="s">
        <v>587</v>
      </c>
      <c r="E152" s="22" t="s">
        <v>588</v>
      </c>
      <c r="F152" s="23">
        <v>-39163</v>
      </c>
      <c r="G152" s="24">
        <v>44322</v>
      </c>
      <c r="H152" s="22" t="s">
        <v>590</v>
      </c>
      <c r="I152" s="22" t="s">
        <v>591</v>
      </c>
      <c r="J152" s="22"/>
      <c r="K152" s="22"/>
    </row>
    <row r="153" spans="1:11" x14ac:dyDescent="0.25">
      <c r="A153" s="22" t="s">
        <v>589</v>
      </c>
      <c r="B153" s="22" t="s">
        <v>201</v>
      </c>
      <c r="C153" s="22" t="s">
        <v>202</v>
      </c>
      <c r="D153" s="22" t="s">
        <v>590</v>
      </c>
      <c r="E153" s="22" t="s">
        <v>45</v>
      </c>
      <c r="F153" s="23">
        <v>-21850</v>
      </c>
      <c r="G153" s="24">
        <v>44322</v>
      </c>
      <c r="H153" s="22" t="s">
        <v>590</v>
      </c>
      <c r="I153" s="22"/>
      <c r="J153" s="22"/>
      <c r="K153" s="22"/>
    </row>
    <row r="154" spans="1:11" x14ac:dyDescent="0.25">
      <c r="A154" s="22" t="s">
        <v>595</v>
      </c>
      <c r="B154" s="22" t="s">
        <v>201</v>
      </c>
      <c r="C154" s="22" t="s">
        <v>202</v>
      </c>
      <c r="D154" s="22" t="s">
        <v>594</v>
      </c>
      <c r="E154" s="22" t="s">
        <v>45</v>
      </c>
      <c r="F154" s="23">
        <v>-11157</v>
      </c>
      <c r="G154" s="24">
        <v>44467</v>
      </c>
      <c r="H154" s="22" t="s">
        <v>590</v>
      </c>
      <c r="I154" s="22" t="s">
        <v>596</v>
      </c>
      <c r="J154" s="22"/>
      <c r="K154" s="22"/>
    </row>
    <row r="155" spans="1:11" x14ac:dyDescent="0.25">
      <c r="A155" s="22" t="s">
        <v>600</v>
      </c>
      <c r="B155" s="22" t="s">
        <v>201</v>
      </c>
      <c r="C155" s="22" t="s">
        <v>202</v>
      </c>
      <c r="D155" s="22" t="s">
        <v>599</v>
      </c>
      <c r="E155" s="22" t="s">
        <v>45</v>
      </c>
      <c r="F155" s="23">
        <v>-2005007</v>
      </c>
      <c r="G155" s="24">
        <v>44449</v>
      </c>
      <c r="H155" s="22" t="s">
        <v>599</v>
      </c>
      <c r="I155" s="22"/>
      <c r="J155" s="22"/>
      <c r="K155" s="22"/>
    </row>
    <row r="156" spans="1:11" x14ac:dyDescent="0.25">
      <c r="A156" s="22" t="s">
        <v>600</v>
      </c>
      <c r="B156" s="22" t="s">
        <v>201</v>
      </c>
      <c r="C156" s="22" t="s">
        <v>202</v>
      </c>
      <c r="D156" s="22" t="s">
        <v>601</v>
      </c>
      <c r="E156" s="22" t="s">
        <v>57</v>
      </c>
      <c r="F156" s="23">
        <v>-6274997</v>
      </c>
      <c r="G156" s="24">
        <v>44449</v>
      </c>
      <c r="H156" s="22" t="s">
        <v>599</v>
      </c>
      <c r="I156" s="22" t="s">
        <v>365</v>
      </c>
      <c r="J156" s="22"/>
      <c r="K156" s="22"/>
    </row>
    <row r="157" spans="1:11" x14ac:dyDescent="0.25">
      <c r="A157" s="22" t="s">
        <v>607</v>
      </c>
      <c r="B157" s="22" t="s">
        <v>201</v>
      </c>
      <c r="C157" s="22" t="s">
        <v>202</v>
      </c>
      <c r="D157" s="22" t="s">
        <v>606</v>
      </c>
      <c r="E157" s="22" t="s">
        <v>57</v>
      </c>
      <c r="F157" s="23">
        <v>-40300</v>
      </c>
      <c r="G157" s="24">
        <v>44432</v>
      </c>
      <c r="H157" s="22" t="s">
        <v>604</v>
      </c>
      <c r="I157" s="22" t="s">
        <v>608</v>
      </c>
      <c r="J157" s="22"/>
      <c r="K157" s="22"/>
    </row>
    <row r="158" spans="1:11" x14ac:dyDescent="0.25">
      <c r="A158" s="22" t="s">
        <v>610</v>
      </c>
      <c r="B158" s="22" t="s">
        <v>201</v>
      </c>
      <c r="C158" s="22" t="s">
        <v>202</v>
      </c>
      <c r="D158" s="22" t="s">
        <v>609</v>
      </c>
      <c r="E158" s="22" t="s">
        <v>57</v>
      </c>
      <c r="F158" s="23">
        <v>-47200</v>
      </c>
      <c r="G158" s="24">
        <v>44432</v>
      </c>
      <c r="H158" s="22" t="s">
        <v>604</v>
      </c>
      <c r="I158" s="22" t="s">
        <v>611</v>
      </c>
      <c r="J158" s="22"/>
      <c r="K158" s="22"/>
    </row>
    <row r="159" spans="1:11" x14ac:dyDescent="0.25">
      <c r="A159" s="22" t="s">
        <v>613</v>
      </c>
      <c r="B159" s="22" t="s">
        <v>201</v>
      </c>
      <c r="C159" s="22" t="s">
        <v>202</v>
      </c>
      <c r="D159" s="22" t="s">
        <v>612</v>
      </c>
      <c r="E159" s="22" t="s">
        <v>45</v>
      </c>
      <c r="F159" s="23">
        <v>-510376</v>
      </c>
      <c r="G159" s="24">
        <v>44433</v>
      </c>
      <c r="H159" s="22" t="s">
        <v>604</v>
      </c>
      <c r="I159" s="22" t="s">
        <v>614</v>
      </c>
      <c r="J159" s="22"/>
      <c r="K159" s="22"/>
    </row>
    <row r="160" spans="1:11" x14ac:dyDescent="0.25">
      <c r="A160" s="22" t="s">
        <v>571</v>
      </c>
      <c r="B160" s="22" t="s">
        <v>201</v>
      </c>
      <c r="C160" s="22" t="s">
        <v>202</v>
      </c>
      <c r="D160" s="22" t="s">
        <v>572</v>
      </c>
      <c r="E160" s="22" t="s">
        <v>45</v>
      </c>
      <c r="F160" s="23">
        <v>-62200</v>
      </c>
      <c r="G160" s="24">
        <v>44420</v>
      </c>
      <c r="H160" s="22" t="s">
        <v>615</v>
      </c>
      <c r="I160" s="22" t="s">
        <v>614</v>
      </c>
      <c r="J160" s="22"/>
      <c r="K160" s="22"/>
    </row>
    <row r="161" spans="1:11" x14ac:dyDescent="0.25">
      <c r="A161" s="22" t="s">
        <v>613</v>
      </c>
      <c r="B161" s="22" t="s">
        <v>201</v>
      </c>
      <c r="C161" s="22" t="s">
        <v>202</v>
      </c>
      <c r="D161" s="22" t="s">
        <v>604</v>
      </c>
      <c r="E161" s="22" t="s">
        <v>45</v>
      </c>
      <c r="F161" s="23">
        <v>-90326</v>
      </c>
      <c r="G161" s="24">
        <v>44433</v>
      </c>
      <c r="H161" s="22" t="s">
        <v>615</v>
      </c>
      <c r="I161" s="22" t="s">
        <v>616</v>
      </c>
      <c r="J161" s="22"/>
      <c r="K161" s="22"/>
    </row>
    <row r="162" spans="1:11" x14ac:dyDescent="0.25">
      <c r="A162" s="22" t="s">
        <v>618</v>
      </c>
      <c r="B162" s="22" t="s">
        <v>201</v>
      </c>
      <c r="C162" s="22" t="s">
        <v>202</v>
      </c>
      <c r="D162" s="22" t="s">
        <v>617</v>
      </c>
      <c r="E162" s="22" t="s">
        <v>45</v>
      </c>
      <c r="F162" s="23">
        <v>-19534</v>
      </c>
      <c r="G162" s="24">
        <v>44439</v>
      </c>
      <c r="H162" s="22" t="s">
        <v>615</v>
      </c>
      <c r="I162" s="22" t="s">
        <v>619</v>
      </c>
      <c r="J162" s="22"/>
      <c r="K162" s="22"/>
    </row>
    <row r="163" spans="1:11" x14ac:dyDescent="0.25">
      <c r="A163" s="22" t="s">
        <v>621</v>
      </c>
      <c r="B163" s="22" t="s">
        <v>201</v>
      </c>
      <c r="C163" s="22" t="s">
        <v>202</v>
      </c>
      <c r="D163" s="22" t="s">
        <v>620</v>
      </c>
      <c r="E163" s="22" t="s">
        <v>45</v>
      </c>
      <c r="F163" s="23">
        <v>-587340</v>
      </c>
      <c r="G163" s="24">
        <v>44438</v>
      </c>
      <c r="H163" s="22" t="s">
        <v>615</v>
      </c>
      <c r="I163" s="22" t="s">
        <v>622</v>
      </c>
      <c r="J163" s="22"/>
      <c r="K163" s="22"/>
    </row>
    <row r="164" spans="1:11" x14ac:dyDescent="0.25">
      <c r="A164" s="22" t="s">
        <v>624</v>
      </c>
      <c r="B164" s="22" t="s">
        <v>201</v>
      </c>
      <c r="C164" s="22" t="s">
        <v>202</v>
      </c>
      <c r="D164" s="22" t="s">
        <v>623</v>
      </c>
      <c r="E164" s="22" t="s">
        <v>57</v>
      </c>
      <c r="F164" s="23">
        <v>-53700</v>
      </c>
      <c r="G164" s="24">
        <v>44419</v>
      </c>
      <c r="H164" s="22" t="s">
        <v>615</v>
      </c>
      <c r="I164" s="22" t="s">
        <v>625</v>
      </c>
      <c r="J164" s="22"/>
      <c r="K164" s="22"/>
    </row>
    <row r="165" spans="1:11" x14ac:dyDescent="0.25">
      <c r="A165" s="22" t="s">
        <v>627</v>
      </c>
      <c r="B165" s="22" t="s">
        <v>201</v>
      </c>
      <c r="C165" s="22" t="s">
        <v>202</v>
      </c>
      <c r="D165" s="22" t="s">
        <v>626</v>
      </c>
      <c r="E165" s="22" t="s">
        <v>57</v>
      </c>
      <c r="F165" s="23">
        <v>-64900</v>
      </c>
      <c r="G165" s="24">
        <v>44436</v>
      </c>
      <c r="H165" s="22" t="s">
        <v>615</v>
      </c>
      <c r="I165" s="22" t="s">
        <v>628</v>
      </c>
      <c r="J165" s="22"/>
      <c r="K165" s="22"/>
    </row>
    <row r="166" spans="1:11" x14ac:dyDescent="0.25">
      <c r="A166" s="22" t="s">
        <v>579</v>
      </c>
      <c r="B166" s="22" t="s">
        <v>201</v>
      </c>
      <c r="C166" s="22" t="s">
        <v>202</v>
      </c>
      <c r="D166" s="22" t="s">
        <v>576</v>
      </c>
      <c r="E166" s="22" t="s">
        <v>45</v>
      </c>
      <c r="F166" s="23">
        <v>-27548</v>
      </c>
      <c r="G166" s="24">
        <v>44417</v>
      </c>
      <c r="H166" s="22" t="s">
        <v>615</v>
      </c>
      <c r="I166" s="22" t="s">
        <v>629</v>
      </c>
      <c r="J166" s="22"/>
      <c r="K166" s="22"/>
    </row>
    <row r="167" spans="1:11" x14ac:dyDescent="0.25">
      <c r="A167" s="22" t="s">
        <v>630</v>
      </c>
      <c r="B167" s="22" t="s">
        <v>201</v>
      </c>
      <c r="C167" s="22" t="s">
        <v>202</v>
      </c>
      <c r="D167" s="22" t="s">
        <v>615</v>
      </c>
      <c r="E167" s="22" t="s">
        <v>45</v>
      </c>
      <c r="F167" s="23">
        <v>-3805296</v>
      </c>
      <c r="G167" s="24">
        <v>44451</v>
      </c>
      <c r="H167" s="22" t="s">
        <v>615</v>
      </c>
      <c r="I167" s="22"/>
      <c r="J167" s="22"/>
      <c r="K167" s="22"/>
    </row>
    <row r="168" spans="1:11" x14ac:dyDescent="0.25">
      <c r="A168" s="22" t="s">
        <v>632</v>
      </c>
      <c r="B168" s="22" t="s">
        <v>201</v>
      </c>
      <c r="C168" s="22" t="s">
        <v>202</v>
      </c>
      <c r="D168" s="22" t="s">
        <v>631</v>
      </c>
      <c r="E168" s="22" t="s">
        <v>57</v>
      </c>
      <c r="F168" s="23">
        <v>-32700</v>
      </c>
      <c r="G168" s="24">
        <v>44469</v>
      </c>
      <c r="H168" s="22" t="s">
        <v>615</v>
      </c>
      <c r="I168" s="22" t="s">
        <v>633</v>
      </c>
      <c r="J168" s="22"/>
      <c r="K168" s="22"/>
    </row>
    <row r="169" spans="1:11" x14ac:dyDescent="0.25">
      <c r="A169" s="22" t="s">
        <v>630</v>
      </c>
      <c r="B169" s="22" t="s">
        <v>201</v>
      </c>
      <c r="C169" s="22" t="s">
        <v>202</v>
      </c>
      <c r="D169" s="22" t="s">
        <v>634</v>
      </c>
      <c r="E169" s="22" t="s">
        <v>57</v>
      </c>
      <c r="F169" s="23">
        <v>-2009198</v>
      </c>
      <c r="G169" s="24">
        <v>44451</v>
      </c>
      <c r="H169" s="22" t="s">
        <v>615</v>
      </c>
      <c r="I169" s="22" t="s">
        <v>628</v>
      </c>
      <c r="J169" s="22"/>
      <c r="K169" s="22"/>
    </row>
    <row r="170" spans="1:11" x14ac:dyDescent="0.25">
      <c r="A170" s="22" t="s">
        <v>636</v>
      </c>
      <c r="B170" s="22" t="s">
        <v>201</v>
      </c>
      <c r="C170" s="22" t="s">
        <v>202</v>
      </c>
      <c r="D170" s="22" t="s">
        <v>635</v>
      </c>
      <c r="E170" s="22" t="s">
        <v>57</v>
      </c>
      <c r="F170" s="23">
        <v>-175543</v>
      </c>
      <c r="G170" s="24">
        <v>44468</v>
      </c>
      <c r="H170" s="22" t="s">
        <v>615</v>
      </c>
      <c r="I170" s="22" t="s">
        <v>637</v>
      </c>
      <c r="J170" s="22"/>
      <c r="K170" s="22"/>
    </row>
    <row r="171" spans="1:11" x14ac:dyDescent="0.25">
      <c r="A171" s="22" t="s">
        <v>639</v>
      </c>
      <c r="B171" s="22" t="s">
        <v>201</v>
      </c>
      <c r="C171" s="22" t="s">
        <v>202</v>
      </c>
      <c r="D171" s="22" t="s">
        <v>638</v>
      </c>
      <c r="E171" s="22" t="s">
        <v>57</v>
      </c>
      <c r="F171" s="23">
        <v>-152400</v>
      </c>
      <c r="G171" s="24">
        <v>44467</v>
      </c>
      <c r="H171" s="22" t="s">
        <v>615</v>
      </c>
      <c r="I171" s="22" t="s">
        <v>375</v>
      </c>
      <c r="J171" s="22"/>
      <c r="K171" s="22"/>
    </row>
    <row r="172" spans="1:11" x14ac:dyDescent="0.25">
      <c r="A172" s="22" t="s">
        <v>641</v>
      </c>
      <c r="B172" s="22" t="s">
        <v>201</v>
      </c>
      <c r="C172" s="22" t="s">
        <v>202</v>
      </c>
      <c r="D172" s="22" t="s">
        <v>640</v>
      </c>
      <c r="E172" s="22" t="s">
        <v>57</v>
      </c>
      <c r="F172" s="23">
        <v>-110524</v>
      </c>
      <c r="G172" s="24">
        <v>44464</v>
      </c>
      <c r="H172" s="22" t="s">
        <v>615</v>
      </c>
      <c r="I172" s="22" t="s">
        <v>642</v>
      </c>
      <c r="J172" s="22"/>
      <c r="K172" s="22"/>
    </row>
    <row r="173" spans="1:11" x14ac:dyDescent="0.25">
      <c r="A173" s="22" t="s">
        <v>644</v>
      </c>
      <c r="B173" s="22" t="s">
        <v>201</v>
      </c>
      <c r="C173" s="22" t="s">
        <v>202</v>
      </c>
      <c r="D173" s="22" t="s">
        <v>643</v>
      </c>
      <c r="E173" s="22" t="s">
        <v>57</v>
      </c>
      <c r="F173" s="23">
        <v>-54780</v>
      </c>
      <c r="G173" s="24">
        <v>44440</v>
      </c>
      <c r="H173" s="22" t="s">
        <v>615</v>
      </c>
      <c r="I173" s="22" t="s">
        <v>249</v>
      </c>
      <c r="J173" s="22"/>
      <c r="K173" s="22"/>
    </row>
    <row r="174" spans="1:11" x14ac:dyDescent="0.25">
      <c r="A174" s="22" t="s">
        <v>584</v>
      </c>
      <c r="B174" s="22" t="s">
        <v>201</v>
      </c>
      <c r="C174" s="22" t="s">
        <v>202</v>
      </c>
      <c r="D174" s="22" t="s">
        <v>583</v>
      </c>
      <c r="E174" s="22" t="s">
        <v>45</v>
      </c>
      <c r="F174" s="23">
        <v>-17698</v>
      </c>
      <c r="G174" s="24">
        <v>44461</v>
      </c>
      <c r="H174" s="22" t="s">
        <v>615</v>
      </c>
      <c r="I174" s="22" t="s">
        <v>645</v>
      </c>
      <c r="J174" s="22"/>
      <c r="K174" s="22"/>
    </row>
    <row r="175" spans="1:11" x14ac:dyDescent="0.25">
      <c r="A175" s="22" t="s">
        <v>647</v>
      </c>
      <c r="B175" s="22" t="s">
        <v>201</v>
      </c>
      <c r="C175" s="22" t="s">
        <v>202</v>
      </c>
      <c r="D175" s="22" t="s">
        <v>646</v>
      </c>
      <c r="E175" s="22" t="s">
        <v>45</v>
      </c>
      <c r="F175" s="23">
        <v>-277</v>
      </c>
      <c r="G175" s="24">
        <v>44452</v>
      </c>
      <c r="H175" s="22" t="s">
        <v>615</v>
      </c>
      <c r="I175" s="22" t="s">
        <v>648</v>
      </c>
      <c r="J175" s="22"/>
      <c r="K175" s="22"/>
    </row>
    <row r="176" spans="1:11" x14ac:dyDescent="0.25">
      <c r="A176" s="22" t="s">
        <v>650</v>
      </c>
      <c r="B176" s="22" t="s">
        <v>201</v>
      </c>
      <c r="C176" s="22" t="s">
        <v>202</v>
      </c>
      <c r="D176" s="22" t="s">
        <v>649</v>
      </c>
      <c r="E176" s="22" t="s">
        <v>57</v>
      </c>
      <c r="F176" s="23">
        <v>-56289</v>
      </c>
      <c r="G176" s="24">
        <v>44450</v>
      </c>
      <c r="H176" s="22" t="s">
        <v>615</v>
      </c>
      <c r="I176" s="22" t="s">
        <v>651</v>
      </c>
      <c r="J176" s="22"/>
      <c r="K176" s="22"/>
    </row>
    <row r="177" spans="1:11" x14ac:dyDescent="0.25">
      <c r="A177" s="22" t="s">
        <v>653</v>
      </c>
      <c r="B177" s="22" t="s">
        <v>201</v>
      </c>
      <c r="C177" s="22" t="s">
        <v>202</v>
      </c>
      <c r="D177" s="22" t="s">
        <v>652</v>
      </c>
      <c r="E177" s="22" t="s">
        <v>57</v>
      </c>
      <c r="F177" s="23">
        <v>-99800</v>
      </c>
      <c r="G177" s="24">
        <v>44443</v>
      </c>
      <c r="H177" s="22" t="s">
        <v>615</v>
      </c>
      <c r="I177" s="22" t="s">
        <v>654</v>
      </c>
      <c r="J177" s="22"/>
      <c r="K177" s="22"/>
    </row>
    <row r="178" spans="1:11" x14ac:dyDescent="0.25">
      <c r="A178" s="22" t="s">
        <v>589</v>
      </c>
      <c r="B178" s="22" t="s">
        <v>201</v>
      </c>
      <c r="C178" s="22" t="s">
        <v>202</v>
      </c>
      <c r="D178" s="22" t="s">
        <v>590</v>
      </c>
      <c r="E178" s="22" t="s">
        <v>45</v>
      </c>
      <c r="F178" s="23">
        <v>-28470</v>
      </c>
      <c r="G178" s="24">
        <v>44322</v>
      </c>
      <c r="H178" s="22" t="s">
        <v>572</v>
      </c>
      <c r="I178" s="22" t="s">
        <v>657</v>
      </c>
      <c r="J178" s="22"/>
      <c r="K178" s="22"/>
    </row>
    <row r="179" spans="1:11" x14ac:dyDescent="0.25">
      <c r="A179" s="22" t="s">
        <v>659</v>
      </c>
      <c r="B179" s="22" t="s">
        <v>201</v>
      </c>
      <c r="C179" s="22" t="s">
        <v>202</v>
      </c>
      <c r="D179" s="22" t="s">
        <v>658</v>
      </c>
      <c r="E179" s="22" t="s">
        <v>588</v>
      </c>
      <c r="F179" s="23">
        <v>-68029</v>
      </c>
      <c r="G179" s="24">
        <v>44322</v>
      </c>
      <c r="H179" s="22" t="s">
        <v>572</v>
      </c>
      <c r="I179" s="22" t="s">
        <v>660</v>
      </c>
      <c r="J179" s="22"/>
      <c r="K179" s="22"/>
    </row>
    <row r="180" spans="1:11" x14ac:dyDescent="0.25">
      <c r="A180" s="22" t="s">
        <v>662</v>
      </c>
      <c r="B180" s="22" t="s">
        <v>201</v>
      </c>
      <c r="C180" s="22" t="s">
        <v>202</v>
      </c>
      <c r="D180" s="22" t="s">
        <v>661</v>
      </c>
      <c r="E180" s="22" t="s">
        <v>588</v>
      </c>
      <c r="F180" s="23">
        <v>-39163</v>
      </c>
      <c r="G180" s="24">
        <v>44322</v>
      </c>
      <c r="H180" s="22" t="s">
        <v>572</v>
      </c>
      <c r="I180" s="22" t="s">
        <v>663</v>
      </c>
      <c r="J180" s="22"/>
      <c r="K180" s="22"/>
    </row>
    <row r="181" spans="1:11" x14ac:dyDescent="0.25">
      <c r="A181" s="22" t="s">
        <v>665</v>
      </c>
      <c r="B181" s="22" t="s">
        <v>201</v>
      </c>
      <c r="C181" s="22" t="s">
        <v>202</v>
      </c>
      <c r="D181" s="22" t="s">
        <v>664</v>
      </c>
      <c r="E181" s="22" t="s">
        <v>57</v>
      </c>
      <c r="F181" s="23">
        <v>-18800</v>
      </c>
      <c r="G181" s="24">
        <v>44462</v>
      </c>
      <c r="H181" s="22" t="s">
        <v>585</v>
      </c>
      <c r="I181" s="22" t="s">
        <v>494</v>
      </c>
      <c r="J181" s="22"/>
      <c r="K181" s="22"/>
    </row>
    <row r="182" spans="1:11" x14ac:dyDescent="0.25">
      <c r="A182" s="22" t="s">
        <v>584</v>
      </c>
      <c r="B182" s="22" t="s">
        <v>201</v>
      </c>
      <c r="C182" s="22" t="s">
        <v>202</v>
      </c>
      <c r="D182" s="22" t="s">
        <v>666</v>
      </c>
      <c r="E182" s="22" t="s">
        <v>57</v>
      </c>
      <c r="F182" s="23">
        <v>-108600</v>
      </c>
      <c r="G182" s="24">
        <v>44461</v>
      </c>
      <c r="H182" s="22" t="s">
        <v>585</v>
      </c>
      <c r="I182" s="22" t="s">
        <v>667</v>
      </c>
      <c r="J182" s="22"/>
      <c r="K182" s="22"/>
    </row>
    <row r="183" spans="1:11" x14ac:dyDescent="0.25">
      <c r="A183" s="22" t="s">
        <v>669</v>
      </c>
      <c r="B183" s="22" t="s">
        <v>201</v>
      </c>
      <c r="C183" s="22" t="s">
        <v>202</v>
      </c>
      <c r="D183" s="22" t="s">
        <v>668</v>
      </c>
      <c r="E183" s="22" t="s">
        <v>57</v>
      </c>
      <c r="F183" s="23">
        <v>-108600</v>
      </c>
      <c r="G183" s="24">
        <v>44459</v>
      </c>
      <c r="H183" s="22" t="s">
        <v>585</v>
      </c>
      <c r="I183" s="22" t="s">
        <v>494</v>
      </c>
      <c r="J183" s="22"/>
      <c r="K183" s="22"/>
    </row>
    <row r="184" spans="1:11" x14ac:dyDescent="0.25">
      <c r="A184" s="22" t="s">
        <v>671</v>
      </c>
      <c r="B184" s="22" t="s">
        <v>201</v>
      </c>
      <c r="C184" s="22" t="s">
        <v>202</v>
      </c>
      <c r="D184" s="22" t="s">
        <v>670</v>
      </c>
      <c r="E184" s="22" t="s">
        <v>57</v>
      </c>
      <c r="F184" s="23">
        <v>-29200</v>
      </c>
      <c r="G184" s="24">
        <v>44459</v>
      </c>
      <c r="H184" s="22" t="s">
        <v>585</v>
      </c>
      <c r="I184" s="22" t="s">
        <v>667</v>
      </c>
      <c r="J184" s="22"/>
      <c r="K184" s="22"/>
    </row>
    <row r="185" spans="1:11" x14ac:dyDescent="0.25">
      <c r="A185" s="22" t="s">
        <v>673</v>
      </c>
      <c r="B185" s="22" t="s">
        <v>201</v>
      </c>
      <c r="C185" s="22" t="s">
        <v>202</v>
      </c>
      <c r="D185" s="22" t="s">
        <v>672</v>
      </c>
      <c r="E185" s="22" t="s">
        <v>57</v>
      </c>
      <c r="F185" s="23">
        <v>-29200</v>
      </c>
      <c r="G185" s="24">
        <v>44459</v>
      </c>
      <c r="H185" s="22" t="s">
        <v>585</v>
      </c>
      <c r="I185" s="22" t="s">
        <v>667</v>
      </c>
      <c r="J185" s="22"/>
      <c r="K185" s="22"/>
    </row>
    <row r="186" spans="1:11" x14ac:dyDescent="0.25">
      <c r="A186" s="22" t="s">
        <v>675</v>
      </c>
      <c r="B186" s="22" t="s">
        <v>201</v>
      </c>
      <c r="C186" s="22" t="s">
        <v>202</v>
      </c>
      <c r="D186" s="22" t="s">
        <v>674</v>
      </c>
      <c r="E186" s="22" t="s">
        <v>57</v>
      </c>
      <c r="F186" s="23">
        <v>-29200</v>
      </c>
      <c r="G186" s="24">
        <v>44459</v>
      </c>
      <c r="H186" s="22" t="s">
        <v>585</v>
      </c>
      <c r="I186" s="22" t="s">
        <v>667</v>
      </c>
      <c r="J186" s="22"/>
      <c r="K186" s="22"/>
    </row>
    <row r="187" spans="1:11" x14ac:dyDescent="0.25">
      <c r="A187" s="22" t="s">
        <v>677</v>
      </c>
      <c r="B187" s="22" t="s">
        <v>201</v>
      </c>
      <c r="C187" s="22" t="s">
        <v>202</v>
      </c>
      <c r="D187" s="22" t="s">
        <v>676</v>
      </c>
      <c r="E187" s="22" t="s">
        <v>57</v>
      </c>
      <c r="F187" s="23">
        <v>-6600</v>
      </c>
      <c r="G187" s="24">
        <v>44456</v>
      </c>
      <c r="H187" s="22" t="s">
        <v>585</v>
      </c>
      <c r="I187" s="22" t="s">
        <v>494</v>
      </c>
      <c r="J187" s="22"/>
      <c r="K187" s="22"/>
    </row>
    <row r="188" spans="1:11" x14ac:dyDescent="0.25">
      <c r="A188" s="22" t="s">
        <v>679</v>
      </c>
      <c r="B188" s="22" t="s">
        <v>201</v>
      </c>
      <c r="C188" s="22" t="s">
        <v>202</v>
      </c>
      <c r="D188" s="22" t="s">
        <v>678</v>
      </c>
      <c r="E188" s="22" t="s">
        <v>57</v>
      </c>
      <c r="F188" s="23">
        <v>-32700</v>
      </c>
      <c r="G188" s="24">
        <v>44448</v>
      </c>
      <c r="H188" s="22" t="s">
        <v>585</v>
      </c>
      <c r="I188" s="22" t="s">
        <v>494</v>
      </c>
      <c r="J188" s="22"/>
      <c r="K188" s="22"/>
    </row>
    <row r="189" spans="1:11" x14ac:dyDescent="0.25">
      <c r="A189" s="22" t="s">
        <v>681</v>
      </c>
      <c r="B189" s="22" t="s">
        <v>201</v>
      </c>
      <c r="C189" s="22" t="s">
        <v>202</v>
      </c>
      <c r="D189" s="22" t="s">
        <v>680</v>
      </c>
      <c r="E189" s="22" t="s">
        <v>57</v>
      </c>
      <c r="F189" s="23">
        <v>-148024</v>
      </c>
      <c r="G189" s="24">
        <v>44449</v>
      </c>
      <c r="H189" s="22" t="s">
        <v>585</v>
      </c>
      <c r="I189" s="22" t="s">
        <v>494</v>
      </c>
      <c r="J189" s="22"/>
      <c r="K189" s="22"/>
    </row>
    <row r="190" spans="1:11" x14ac:dyDescent="0.25">
      <c r="A190" s="22" t="s">
        <v>683</v>
      </c>
      <c r="B190" s="22" t="s">
        <v>201</v>
      </c>
      <c r="C190" s="22" t="s">
        <v>202</v>
      </c>
      <c r="D190" s="22" t="s">
        <v>682</v>
      </c>
      <c r="E190" s="22" t="s">
        <v>57</v>
      </c>
      <c r="F190" s="23">
        <v>-56554</v>
      </c>
      <c r="G190" s="24">
        <v>44441</v>
      </c>
      <c r="H190" s="22" t="s">
        <v>585</v>
      </c>
      <c r="I190" s="22" t="s">
        <v>494</v>
      </c>
      <c r="J190" s="22"/>
      <c r="K190" s="22"/>
    </row>
    <row r="191" spans="1:11" x14ac:dyDescent="0.25">
      <c r="A191" s="22" t="s">
        <v>685</v>
      </c>
      <c r="B191" s="22" t="s">
        <v>201</v>
      </c>
      <c r="C191" s="22" t="s">
        <v>202</v>
      </c>
      <c r="D191" s="22" t="s">
        <v>684</v>
      </c>
      <c r="E191" s="22" t="s">
        <v>45</v>
      </c>
      <c r="F191" s="23">
        <v>-575858</v>
      </c>
      <c r="G191" s="24">
        <v>44322</v>
      </c>
      <c r="H191" s="22" t="s">
        <v>646</v>
      </c>
      <c r="I191" s="22" t="s">
        <v>686</v>
      </c>
      <c r="J191" s="22"/>
      <c r="K191" s="22"/>
    </row>
    <row r="192" spans="1:11" x14ac:dyDescent="0.25">
      <c r="A192" s="22" t="s">
        <v>690</v>
      </c>
      <c r="B192" s="22" t="s">
        <v>201</v>
      </c>
      <c r="C192" s="22" t="s">
        <v>202</v>
      </c>
      <c r="D192" s="22" t="s">
        <v>689</v>
      </c>
      <c r="E192" s="22" t="s">
        <v>57</v>
      </c>
      <c r="F192" s="23">
        <v>-31600</v>
      </c>
      <c r="G192" s="24">
        <v>44421</v>
      </c>
      <c r="H192" s="22" t="s">
        <v>646</v>
      </c>
      <c r="I192" s="22" t="s">
        <v>637</v>
      </c>
      <c r="J192" s="22"/>
      <c r="K192" s="22"/>
    </row>
    <row r="193" spans="1:11" x14ac:dyDescent="0.25">
      <c r="A193" s="22" t="s">
        <v>647</v>
      </c>
      <c r="B193" s="22" t="s">
        <v>201</v>
      </c>
      <c r="C193" s="22" t="s">
        <v>202</v>
      </c>
      <c r="D193" s="22" t="s">
        <v>646</v>
      </c>
      <c r="E193" s="22" t="s">
        <v>45</v>
      </c>
      <c r="F193" s="23">
        <v>-955911</v>
      </c>
      <c r="G193" s="24">
        <v>44452</v>
      </c>
      <c r="H193" s="22" t="s">
        <v>646</v>
      </c>
      <c r="I193" s="22"/>
      <c r="J193" s="22"/>
      <c r="K193" s="22"/>
    </row>
    <row r="194" spans="1:11" x14ac:dyDescent="0.25">
      <c r="A194" s="22" t="s">
        <v>647</v>
      </c>
      <c r="B194" s="22" t="s">
        <v>201</v>
      </c>
      <c r="C194" s="22" t="s">
        <v>202</v>
      </c>
      <c r="D194" s="22" t="s">
        <v>691</v>
      </c>
      <c r="E194" s="22" t="s">
        <v>45</v>
      </c>
      <c r="F194" s="23">
        <v>-23769</v>
      </c>
      <c r="G194" s="24">
        <v>44452</v>
      </c>
      <c r="H194" s="22" t="s">
        <v>646</v>
      </c>
      <c r="I194" s="22" t="s">
        <v>692</v>
      </c>
      <c r="J194" s="22"/>
      <c r="K194" s="22"/>
    </row>
    <row r="195" spans="1:11" x14ac:dyDescent="0.25">
      <c r="A195" s="22" t="s">
        <v>694</v>
      </c>
      <c r="B195" s="22" t="s">
        <v>201</v>
      </c>
      <c r="C195" s="22" t="s">
        <v>202</v>
      </c>
      <c r="D195" s="22" t="s">
        <v>693</v>
      </c>
      <c r="E195" s="22" t="s">
        <v>57</v>
      </c>
      <c r="F195" s="23">
        <v>-53700</v>
      </c>
      <c r="G195" s="24">
        <v>44460</v>
      </c>
      <c r="H195" s="22" t="s">
        <v>646</v>
      </c>
      <c r="I195" s="22" t="s">
        <v>695</v>
      </c>
      <c r="J195" s="22"/>
      <c r="K195" s="22"/>
    </row>
    <row r="196" spans="1:11" x14ac:dyDescent="0.25">
      <c r="A196" s="22" t="s">
        <v>697</v>
      </c>
      <c r="B196" s="22" t="s">
        <v>201</v>
      </c>
      <c r="C196" s="22" t="s">
        <v>202</v>
      </c>
      <c r="D196" s="22" t="s">
        <v>696</v>
      </c>
      <c r="E196" s="22" t="s">
        <v>57</v>
      </c>
      <c r="F196" s="23">
        <v>-53700</v>
      </c>
      <c r="G196" s="24">
        <v>44460</v>
      </c>
      <c r="H196" s="22" t="s">
        <v>646</v>
      </c>
      <c r="I196" s="22" t="s">
        <v>698</v>
      </c>
      <c r="J196" s="22"/>
      <c r="K196" s="22"/>
    </row>
    <row r="197" spans="1:11" x14ac:dyDescent="0.25">
      <c r="A197" s="22" t="s">
        <v>700</v>
      </c>
      <c r="B197" s="22" t="s">
        <v>201</v>
      </c>
      <c r="C197" s="22" t="s">
        <v>202</v>
      </c>
      <c r="D197" s="22" t="s">
        <v>699</v>
      </c>
      <c r="E197" s="22" t="s">
        <v>57</v>
      </c>
      <c r="F197" s="23">
        <v>-217561</v>
      </c>
      <c r="G197" s="24">
        <v>44448</v>
      </c>
      <c r="H197" s="22" t="s">
        <v>646</v>
      </c>
      <c r="I197" s="22" t="s">
        <v>695</v>
      </c>
      <c r="J197" s="22"/>
      <c r="K197" s="22"/>
    </row>
    <row r="198" spans="1:11" x14ac:dyDescent="0.25">
      <c r="A198" s="22" t="s">
        <v>702</v>
      </c>
      <c r="B198" s="22" t="s">
        <v>201</v>
      </c>
      <c r="C198" s="22" t="s">
        <v>202</v>
      </c>
      <c r="D198" s="22" t="s">
        <v>701</v>
      </c>
      <c r="E198" s="22" t="s">
        <v>588</v>
      </c>
      <c r="F198" s="23">
        <v>-2127690</v>
      </c>
      <c r="G198" s="24">
        <v>44322</v>
      </c>
      <c r="H198" s="22" t="s">
        <v>703</v>
      </c>
      <c r="I198" s="22" t="s">
        <v>704</v>
      </c>
      <c r="J198" s="22"/>
      <c r="K198" s="22"/>
    </row>
    <row r="199" spans="1:11" x14ac:dyDescent="0.25">
      <c r="A199" s="22" t="s">
        <v>30</v>
      </c>
      <c r="B199" s="22" t="s">
        <v>201</v>
      </c>
      <c r="C199" s="22" t="s">
        <v>202</v>
      </c>
      <c r="D199" s="22" t="s">
        <v>705</v>
      </c>
      <c r="E199" s="22" t="s">
        <v>588</v>
      </c>
      <c r="F199" s="23">
        <v>-462000</v>
      </c>
      <c r="G199" s="24">
        <v>43531</v>
      </c>
      <c r="H199" s="22" t="s">
        <v>703</v>
      </c>
      <c r="I199" s="22" t="s">
        <v>706</v>
      </c>
      <c r="J199" s="22"/>
      <c r="K199" s="22"/>
    </row>
    <row r="200" spans="1:11" x14ac:dyDescent="0.25">
      <c r="A200" s="22" t="s">
        <v>710</v>
      </c>
      <c r="B200" s="22" t="s">
        <v>201</v>
      </c>
      <c r="C200" s="22" t="s">
        <v>202</v>
      </c>
      <c r="D200" s="22" t="s">
        <v>709</v>
      </c>
      <c r="E200" s="22" t="s">
        <v>57</v>
      </c>
      <c r="F200" s="23">
        <v>-6200</v>
      </c>
      <c r="G200" s="24">
        <v>44412</v>
      </c>
      <c r="H200" s="22" t="s">
        <v>703</v>
      </c>
      <c r="I200" s="22" t="s">
        <v>711</v>
      </c>
      <c r="J200" s="22"/>
      <c r="K200" s="22"/>
    </row>
    <row r="201" spans="1:11" x14ac:dyDescent="0.25">
      <c r="A201" s="22" t="s">
        <v>613</v>
      </c>
      <c r="B201" s="22" t="s">
        <v>201</v>
      </c>
      <c r="C201" s="22" t="s">
        <v>202</v>
      </c>
      <c r="D201" s="22" t="s">
        <v>604</v>
      </c>
      <c r="E201" s="22" t="s">
        <v>45</v>
      </c>
      <c r="F201" s="23">
        <v>-507550</v>
      </c>
      <c r="G201" s="24">
        <v>44433</v>
      </c>
      <c r="H201" s="22" t="s">
        <v>604</v>
      </c>
      <c r="I201" s="22"/>
      <c r="J201" s="22"/>
      <c r="K201" s="22"/>
    </row>
    <row r="202" spans="1:11" x14ac:dyDescent="0.25">
      <c r="A202" s="22" t="s">
        <v>63</v>
      </c>
      <c r="B202" s="22" t="s">
        <v>201</v>
      </c>
      <c r="C202" s="22" t="s">
        <v>202</v>
      </c>
      <c r="D202" s="22" t="s">
        <v>714</v>
      </c>
      <c r="E202" s="22" t="s">
        <v>45</v>
      </c>
      <c r="F202" s="23">
        <v>-9761877</v>
      </c>
      <c r="G202" s="24">
        <v>44474</v>
      </c>
      <c r="H202" s="22" t="s">
        <v>714</v>
      </c>
      <c r="I202" s="22"/>
      <c r="J202" s="22"/>
      <c r="K202" s="22"/>
    </row>
    <row r="203" spans="1:11" x14ac:dyDescent="0.25">
      <c r="A203" s="22" t="s">
        <v>63</v>
      </c>
      <c r="B203" s="22" t="s">
        <v>201</v>
      </c>
      <c r="C203" s="22" t="s">
        <v>202</v>
      </c>
      <c r="D203" s="22" t="s">
        <v>65</v>
      </c>
      <c r="E203" s="22" t="s">
        <v>57</v>
      </c>
      <c r="F203" s="23">
        <v>-14048453</v>
      </c>
      <c r="G203" s="24">
        <v>44474</v>
      </c>
      <c r="H203" s="22" t="s">
        <v>714</v>
      </c>
      <c r="I203" s="22" t="s">
        <v>715</v>
      </c>
      <c r="J203" s="22"/>
      <c r="K203" s="22"/>
    </row>
    <row r="204" spans="1:11" x14ac:dyDescent="0.25">
      <c r="A204" s="22" t="s">
        <v>719</v>
      </c>
      <c r="B204" s="22" t="s">
        <v>201</v>
      </c>
      <c r="C204" s="22" t="s">
        <v>202</v>
      </c>
      <c r="D204" s="22" t="s">
        <v>718</v>
      </c>
      <c r="E204" s="22" t="s">
        <v>45</v>
      </c>
      <c r="F204" s="23">
        <v>-4033</v>
      </c>
      <c r="G204" s="24">
        <v>44322</v>
      </c>
      <c r="H204" s="22" t="s">
        <v>617</v>
      </c>
      <c r="I204" s="22" t="s">
        <v>720</v>
      </c>
      <c r="J204" s="22"/>
      <c r="K204" s="22"/>
    </row>
    <row r="205" spans="1:11" x14ac:dyDescent="0.25">
      <c r="A205" s="22" t="s">
        <v>722</v>
      </c>
      <c r="B205" s="22" t="s">
        <v>201</v>
      </c>
      <c r="C205" s="22" t="s">
        <v>202</v>
      </c>
      <c r="D205" s="22" t="s">
        <v>721</v>
      </c>
      <c r="E205" s="22" t="s">
        <v>57</v>
      </c>
      <c r="F205" s="23">
        <v>-30800</v>
      </c>
      <c r="G205" s="24">
        <v>44410</v>
      </c>
      <c r="H205" s="22" t="s">
        <v>617</v>
      </c>
      <c r="I205" s="22" t="s">
        <v>723</v>
      </c>
      <c r="J205" s="22"/>
      <c r="K205" s="22"/>
    </row>
    <row r="206" spans="1:11" x14ac:dyDescent="0.25">
      <c r="A206" s="22" t="s">
        <v>618</v>
      </c>
      <c r="B206" s="22" t="s">
        <v>201</v>
      </c>
      <c r="C206" s="22" t="s">
        <v>202</v>
      </c>
      <c r="D206" s="22" t="s">
        <v>724</v>
      </c>
      <c r="E206" s="22" t="s">
        <v>45</v>
      </c>
      <c r="F206" s="23">
        <v>-484333</v>
      </c>
      <c r="G206" s="24">
        <v>44439</v>
      </c>
      <c r="H206" s="22" t="s">
        <v>617</v>
      </c>
      <c r="I206" s="22" t="s">
        <v>725</v>
      </c>
      <c r="J206" s="22"/>
      <c r="K206" s="22"/>
    </row>
    <row r="207" spans="1:11" x14ac:dyDescent="0.25">
      <c r="A207" s="22" t="s">
        <v>618</v>
      </c>
      <c r="B207" s="22" t="s">
        <v>201</v>
      </c>
      <c r="C207" s="22" t="s">
        <v>202</v>
      </c>
      <c r="D207" s="22" t="s">
        <v>617</v>
      </c>
      <c r="E207" s="22" t="s">
        <v>45</v>
      </c>
      <c r="F207" s="23">
        <v>-495599</v>
      </c>
      <c r="G207" s="24">
        <v>44439</v>
      </c>
      <c r="H207" s="22" t="s">
        <v>617</v>
      </c>
      <c r="I207" s="22"/>
      <c r="J207" s="22"/>
      <c r="K207" s="22"/>
    </row>
    <row r="208" spans="1:11" x14ac:dyDescent="0.25">
      <c r="A208" s="22" t="s">
        <v>702</v>
      </c>
      <c r="B208" s="22" t="s">
        <v>201</v>
      </c>
      <c r="C208" s="22" t="s">
        <v>202</v>
      </c>
      <c r="D208" s="22" t="s">
        <v>703</v>
      </c>
      <c r="E208" s="22" t="s">
        <v>45</v>
      </c>
      <c r="F208" s="23">
        <v>-1825461</v>
      </c>
      <c r="G208" s="24">
        <v>44322</v>
      </c>
      <c r="H208" s="22" t="s">
        <v>585</v>
      </c>
      <c r="I208" s="22" t="s">
        <v>726</v>
      </c>
      <c r="J208" s="22"/>
      <c r="K208" s="22"/>
    </row>
    <row r="209" spans="1:11" x14ac:dyDescent="0.25">
      <c r="A209" s="22" t="s">
        <v>728</v>
      </c>
      <c r="B209" s="22" t="s">
        <v>201</v>
      </c>
      <c r="C209" s="22" t="s">
        <v>202</v>
      </c>
      <c r="D209" s="22" t="s">
        <v>727</v>
      </c>
      <c r="E209" s="22" t="s">
        <v>588</v>
      </c>
      <c r="F209" s="23">
        <v>-102400</v>
      </c>
      <c r="G209" s="24">
        <v>44322</v>
      </c>
      <c r="H209" s="22" t="s">
        <v>585</v>
      </c>
      <c r="I209" s="22" t="s">
        <v>729</v>
      </c>
      <c r="J209" s="22"/>
      <c r="K209" s="22"/>
    </row>
    <row r="210" spans="1:11" x14ac:dyDescent="0.25">
      <c r="A210" s="22" t="s">
        <v>733</v>
      </c>
      <c r="B210" s="22" t="s">
        <v>201</v>
      </c>
      <c r="C210" s="22" t="s">
        <v>202</v>
      </c>
      <c r="D210" s="22" t="s">
        <v>732</v>
      </c>
      <c r="E210" s="22" t="s">
        <v>57</v>
      </c>
      <c r="F210" s="23">
        <v>-29200</v>
      </c>
      <c r="G210" s="24">
        <v>44434</v>
      </c>
      <c r="H210" s="22" t="s">
        <v>585</v>
      </c>
      <c r="I210" s="22" t="s">
        <v>667</v>
      </c>
      <c r="J210" s="22"/>
      <c r="K210" s="22"/>
    </row>
    <row r="211" spans="1:11" x14ac:dyDescent="0.25">
      <c r="A211" s="22" t="s">
        <v>735</v>
      </c>
      <c r="B211" s="22" t="s">
        <v>201</v>
      </c>
      <c r="C211" s="22" t="s">
        <v>202</v>
      </c>
      <c r="D211" s="22" t="s">
        <v>734</v>
      </c>
      <c r="E211" s="22" t="s">
        <v>57</v>
      </c>
      <c r="F211" s="23">
        <v>-68100</v>
      </c>
      <c r="G211" s="24">
        <v>44426</v>
      </c>
      <c r="H211" s="22" t="s">
        <v>585</v>
      </c>
      <c r="I211" s="22" t="s">
        <v>280</v>
      </c>
      <c r="J211" s="22"/>
      <c r="K211" s="22"/>
    </row>
    <row r="212" spans="1:11" x14ac:dyDescent="0.25">
      <c r="A212" s="22" t="s">
        <v>737</v>
      </c>
      <c r="B212" s="22" t="s">
        <v>201</v>
      </c>
      <c r="C212" s="22" t="s">
        <v>202</v>
      </c>
      <c r="D212" s="22" t="s">
        <v>736</v>
      </c>
      <c r="E212" s="22" t="s">
        <v>57</v>
      </c>
      <c r="F212" s="23">
        <v>-90700</v>
      </c>
      <c r="G212" s="24">
        <v>44410</v>
      </c>
      <c r="H212" s="22" t="s">
        <v>585</v>
      </c>
      <c r="I212" s="22" t="s">
        <v>280</v>
      </c>
      <c r="J212" s="22"/>
      <c r="K212" s="22"/>
    </row>
    <row r="213" spans="1:11" x14ac:dyDescent="0.25">
      <c r="A213" s="22" t="s">
        <v>739</v>
      </c>
      <c r="B213" s="22" t="s">
        <v>201</v>
      </c>
      <c r="C213" s="22" t="s">
        <v>202</v>
      </c>
      <c r="D213" s="22" t="s">
        <v>738</v>
      </c>
      <c r="E213" s="22" t="s">
        <v>57</v>
      </c>
      <c r="F213" s="23">
        <v>-31600</v>
      </c>
      <c r="G213" s="24">
        <v>44435</v>
      </c>
      <c r="H213" s="22" t="s">
        <v>585</v>
      </c>
      <c r="I213" s="22" t="s">
        <v>740</v>
      </c>
      <c r="J213" s="22"/>
      <c r="K213" s="22"/>
    </row>
    <row r="214" spans="1:11" x14ac:dyDescent="0.25">
      <c r="A214" s="22" t="s">
        <v>742</v>
      </c>
      <c r="B214" s="22" t="s">
        <v>201</v>
      </c>
      <c r="C214" s="22" t="s">
        <v>202</v>
      </c>
      <c r="D214" s="22" t="s">
        <v>741</v>
      </c>
      <c r="E214" s="22" t="s">
        <v>57</v>
      </c>
      <c r="F214" s="23">
        <v>-40300</v>
      </c>
      <c r="G214" s="24">
        <v>44432</v>
      </c>
      <c r="H214" s="22" t="s">
        <v>585</v>
      </c>
      <c r="I214" s="22" t="s">
        <v>743</v>
      </c>
      <c r="J214" s="22"/>
      <c r="K214" s="22"/>
    </row>
    <row r="215" spans="1:11" x14ac:dyDescent="0.25">
      <c r="A215" s="22" t="s">
        <v>584</v>
      </c>
      <c r="B215" s="22" t="s">
        <v>201</v>
      </c>
      <c r="C215" s="22" t="s">
        <v>202</v>
      </c>
      <c r="D215" s="22" t="s">
        <v>585</v>
      </c>
      <c r="E215" s="22" t="s">
        <v>45</v>
      </c>
      <c r="F215" s="23">
        <v>-2695263</v>
      </c>
      <c r="G215" s="24">
        <v>44461</v>
      </c>
      <c r="H215" s="22" t="s">
        <v>585</v>
      </c>
      <c r="I215" s="22"/>
      <c r="J215" s="22"/>
      <c r="K215" s="22"/>
    </row>
    <row r="216" spans="1:11" x14ac:dyDescent="0.25">
      <c r="A216" s="22" t="s">
        <v>745</v>
      </c>
      <c r="B216" s="22" t="s">
        <v>201</v>
      </c>
      <c r="C216" s="22" t="s">
        <v>202</v>
      </c>
      <c r="D216" s="22" t="s">
        <v>744</v>
      </c>
      <c r="E216" s="22" t="s">
        <v>45</v>
      </c>
      <c r="F216" s="23">
        <v>-15522</v>
      </c>
      <c r="G216" s="24">
        <v>44459</v>
      </c>
      <c r="H216" s="22" t="s">
        <v>585</v>
      </c>
      <c r="I216" s="22" t="s">
        <v>746</v>
      </c>
      <c r="J216" s="22"/>
      <c r="K216" s="22"/>
    </row>
    <row r="217" spans="1:11" x14ac:dyDescent="0.25">
      <c r="A217" s="22" t="s">
        <v>748</v>
      </c>
      <c r="B217" s="22" t="s">
        <v>201</v>
      </c>
      <c r="C217" s="22" t="s">
        <v>202</v>
      </c>
      <c r="D217" s="22" t="s">
        <v>747</v>
      </c>
      <c r="E217" s="22" t="s">
        <v>57</v>
      </c>
      <c r="F217" s="23">
        <v>-125300</v>
      </c>
      <c r="G217" s="24">
        <v>44358</v>
      </c>
      <c r="H217" s="22" t="s">
        <v>360</v>
      </c>
      <c r="I217" s="22" t="s">
        <v>749</v>
      </c>
      <c r="J217" s="22"/>
      <c r="K217" s="22"/>
    </row>
    <row r="218" spans="1:11" x14ac:dyDescent="0.25">
      <c r="A218" s="22" t="s">
        <v>751</v>
      </c>
      <c r="B218" s="22" t="s">
        <v>201</v>
      </c>
      <c r="C218" s="22" t="s">
        <v>202</v>
      </c>
      <c r="D218" s="22" t="s">
        <v>750</v>
      </c>
      <c r="E218" s="22" t="s">
        <v>57</v>
      </c>
      <c r="F218" s="23">
        <v>-129507</v>
      </c>
      <c r="G218" s="24">
        <v>44353</v>
      </c>
      <c r="H218" s="22" t="s">
        <v>360</v>
      </c>
      <c r="I218" s="22" t="s">
        <v>752</v>
      </c>
      <c r="J218" s="22"/>
      <c r="K218" s="22"/>
    </row>
    <row r="219" spans="1:11" x14ac:dyDescent="0.25">
      <c r="A219" s="22" t="s">
        <v>754</v>
      </c>
      <c r="B219" s="22" t="s">
        <v>201</v>
      </c>
      <c r="C219" s="22" t="s">
        <v>202</v>
      </c>
      <c r="D219" s="22" t="s">
        <v>753</v>
      </c>
      <c r="E219" s="22" t="s">
        <v>57</v>
      </c>
      <c r="F219" s="23">
        <v>-32700</v>
      </c>
      <c r="G219" s="24">
        <v>44377</v>
      </c>
      <c r="H219" s="22" t="s">
        <v>360</v>
      </c>
      <c r="I219" s="22" t="s">
        <v>723</v>
      </c>
      <c r="J219" s="22"/>
      <c r="K219" s="22"/>
    </row>
    <row r="220" spans="1:11" x14ac:dyDescent="0.25">
      <c r="A220" s="22" t="s">
        <v>756</v>
      </c>
      <c r="B220" s="22" t="s">
        <v>201</v>
      </c>
      <c r="C220" s="22" t="s">
        <v>202</v>
      </c>
      <c r="D220" s="22" t="s">
        <v>755</v>
      </c>
      <c r="E220" s="22" t="s">
        <v>57</v>
      </c>
      <c r="F220" s="23">
        <v>-32700</v>
      </c>
      <c r="G220" s="24">
        <v>44376</v>
      </c>
      <c r="H220" s="22" t="s">
        <v>360</v>
      </c>
      <c r="I220" s="22" t="s">
        <v>757</v>
      </c>
      <c r="J220" s="22"/>
      <c r="K220" s="22"/>
    </row>
    <row r="221" spans="1:11" x14ac:dyDescent="0.25">
      <c r="A221" s="22" t="s">
        <v>759</v>
      </c>
      <c r="B221" s="22" t="s">
        <v>201</v>
      </c>
      <c r="C221" s="22" t="s">
        <v>202</v>
      </c>
      <c r="D221" s="22" t="s">
        <v>758</v>
      </c>
      <c r="E221" s="22" t="s">
        <v>57</v>
      </c>
      <c r="F221" s="23">
        <v>-47200</v>
      </c>
      <c r="G221" s="24">
        <v>44376</v>
      </c>
      <c r="H221" s="22" t="s">
        <v>360</v>
      </c>
      <c r="I221" s="22" t="s">
        <v>311</v>
      </c>
      <c r="J221" s="22"/>
      <c r="K221" s="22"/>
    </row>
    <row r="222" spans="1:11" x14ac:dyDescent="0.25">
      <c r="A222" s="22" t="s">
        <v>761</v>
      </c>
      <c r="B222" s="22" t="s">
        <v>201</v>
      </c>
      <c r="C222" s="22" t="s">
        <v>202</v>
      </c>
      <c r="D222" s="22" t="s">
        <v>760</v>
      </c>
      <c r="E222" s="22" t="s">
        <v>57</v>
      </c>
      <c r="F222" s="23">
        <v>-161400</v>
      </c>
      <c r="G222" s="24">
        <v>44372</v>
      </c>
      <c r="H222" s="22" t="s">
        <v>360</v>
      </c>
      <c r="I222" s="22" t="s">
        <v>542</v>
      </c>
      <c r="J222" s="22"/>
      <c r="K222" s="22"/>
    </row>
    <row r="223" spans="1:11" x14ac:dyDescent="0.25">
      <c r="A223" s="22" t="s">
        <v>763</v>
      </c>
      <c r="B223" s="22" t="s">
        <v>201</v>
      </c>
      <c r="C223" s="22" t="s">
        <v>202</v>
      </c>
      <c r="D223" s="22" t="s">
        <v>762</v>
      </c>
      <c r="E223" s="22" t="s">
        <v>57</v>
      </c>
      <c r="F223" s="23">
        <v>-32700</v>
      </c>
      <c r="G223" s="24">
        <v>44372</v>
      </c>
      <c r="H223" s="22" t="s">
        <v>360</v>
      </c>
      <c r="I223" s="22" t="s">
        <v>764</v>
      </c>
      <c r="J223" s="22"/>
      <c r="K223" s="22"/>
    </row>
    <row r="224" spans="1:11" x14ac:dyDescent="0.25">
      <c r="A224" s="22" t="s">
        <v>766</v>
      </c>
      <c r="B224" s="22" t="s">
        <v>201</v>
      </c>
      <c r="C224" s="22" t="s">
        <v>202</v>
      </c>
      <c r="D224" s="22" t="s">
        <v>765</v>
      </c>
      <c r="E224" s="22" t="s">
        <v>57</v>
      </c>
      <c r="F224" s="23">
        <v>-32700</v>
      </c>
      <c r="G224" s="24">
        <v>44372</v>
      </c>
      <c r="H224" s="22" t="s">
        <v>360</v>
      </c>
      <c r="I224" s="22" t="s">
        <v>637</v>
      </c>
      <c r="J224" s="22"/>
      <c r="K224" s="22"/>
    </row>
    <row r="225" spans="1:11" x14ac:dyDescent="0.25">
      <c r="A225" s="22" t="s">
        <v>768</v>
      </c>
      <c r="B225" s="22" t="s">
        <v>201</v>
      </c>
      <c r="C225" s="22" t="s">
        <v>202</v>
      </c>
      <c r="D225" s="22" t="s">
        <v>767</v>
      </c>
      <c r="E225" s="22" t="s">
        <v>57</v>
      </c>
      <c r="F225" s="23">
        <v>-267400</v>
      </c>
      <c r="G225" s="24">
        <v>44372</v>
      </c>
      <c r="H225" s="22" t="s">
        <v>360</v>
      </c>
      <c r="I225" s="22" t="s">
        <v>542</v>
      </c>
      <c r="J225" s="22"/>
      <c r="K225" s="22"/>
    </row>
    <row r="226" spans="1:11" x14ac:dyDescent="0.25">
      <c r="A226" s="22" t="s">
        <v>770</v>
      </c>
      <c r="B226" s="22" t="s">
        <v>201</v>
      </c>
      <c r="C226" s="22" t="s">
        <v>202</v>
      </c>
      <c r="D226" s="22" t="s">
        <v>769</v>
      </c>
      <c r="E226" s="22" t="s">
        <v>57</v>
      </c>
      <c r="F226" s="23">
        <v>-47200</v>
      </c>
      <c r="G226" s="24">
        <v>44371</v>
      </c>
      <c r="H226" s="22" t="s">
        <v>360</v>
      </c>
      <c r="I226" s="22" t="s">
        <v>637</v>
      </c>
      <c r="J226" s="22"/>
      <c r="K226" s="22"/>
    </row>
    <row r="227" spans="1:11" x14ac:dyDescent="0.25">
      <c r="A227" s="22" t="s">
        <v>772</v>
      </c>
      <c r="B227" s="22" t="s">
        <v>201</v>
      </c>
      <c r="C227" s="22" t="s">
        <v>202</v>
      </c>
      <c r="D227" s="22" t="s">
        <v>771</v>
      </c>
      <c r="E227" s="22" t="s">
        <v>57</v>
      </c>
      <c r="F227" s="23">
        <v>-457900</v>
      </c>
      <c r="G227" s="24">
        <v>44371</v>
      </c>
      <c r="H227" s="22" t="s">
        <v>360</v>
      </c>
      <c r="I227" s="22" t="s">
        <v>542</v>
      </c>
      <c r="J227" s="22"/>
      <c r="K227" s="22"/>
    </row>
    <row r="228" spans="1:11" x14ac:dyDescent="0.25">
      <c r="A228" s="22" t="s">
        <v>774</v>
      </c>
      <c r="B228" s="22" t="s">
        <v>201</v>
      </c>
      <c r="C228" s="22" t="s">
        <v>202</v>
      </c>
      <c r="D228" s="22" t="s">
        <v>773</v>
      </c>
      <c r="E228" s="22" t="s">
        <v>57</v>
      </c>
      <c r="F228" s="23">
        <v>-32700</v>
      </c>
      <c r="G228" s="24">
        <v>44371</v>
      </c>
      <c r="H228" s="22" t="s">
        <v>360</v>
      </c>
      <c r="I228" s="22" t="s">
        <v>249</v>
      </c>
      <c r="J228" s="22"/>
      <c r="K228" s="22"/>
    </row>
    <row r="229" spans="1:11" x14ac:dyDescent="0.25">
      <c r="A229" s="22" t="s">
        <v>776</v>
      </c>
      <c r="B229" s="22" t="s">
        <v>201</v>
      </c>
      <c r="C229" s="22" t="s">
        <v>202</v>
      </c>
      <c r="D229" s="22" t="s">
        <v>775</v>
      </c>
      <c r="E229" s="22" t="s">
        <v>57</v>
      </c>
      <c r="F229" s="23">
        <v>-47200</v>
      </c>
      <c r="G229" s="24">
        <v>44370</v>
      </c>
      <c r="H229" s="22" t="s">
        <v>360</v>
      </c>
      <c r="I229" s="22" t="s">
        <v>740</v>
      </c>
      <c r="J229" s="22"/>
      <c r="K229" s="22"/>
    </row>
    <row r="230" spans="1:11" x14ac:dyDescent="0.25">
      <c r="A230" s="22" t="s">
        <v>778</v>
      </c>
      <c r="B230" s="22" t="s">
        <v>201</v>
      </c>
      <c r="C230" s="22" t="s">
        <v>202</v>
      </c>
      <c r="D230" s="22" t="s">
        <v>777</v>
      </c>
      <c r="E230" s="22" t="s">
        <v>57</v>
      </c>
      <c r="F230" s="23">
        <v>-23700</v>
      </c>
      <c r="G230" s="24">
        <v>44369</v>
      </c>
      <c r="H230" s="22" t="s">
        <v>360</v>
      </c>
      <c r="I230" s="22" t="s">
        <v>764</v>
      </c>
      <c r="J230" s="22"/>
      <c r="K230" s="22"/>
    </row>
    <row r="231" spans="1:11" x14ac:dyDescent="0.25">
      <c r="A231" s="22" t="s">
        <v>780</v>
      </c>
      <c r="B231" s="22" t="s">
        <v>201</v>
      </c>
      <c r="C231" s="22" t="s">
        <v>202</v>
      </c>
      <c r="D231" s="22" t="s">
        <v>779</v>
      </c>
      <c r="E231" s="22" t="s">
        <v>57</v>
      </c>
      <c r="F231" s="23">
        <v>-47200</v>
      </c>
      <c r="G231" s="24">
        <v>44368</v>
      </c>
      <c r="H231" s="22" t="s">
        <v>360</v>
      </c>
      <c r="I231" s="22" t="s">
        <v>764</v>
      </c>
      <c r="J231" s="22"/>
      <c r="K231" s="22"/>
    </row>
    <row r="232" spans="1:11" x14ac:dyDescent="0.25">
      <c r="A232" s="22" t="s">
        <v>782</v>
      </c>
      <c r="B232" s="22" t="s">
        <v>201</v>
      </c>
      <c r="C232" s="22" t="s">
        <v>202</v>
      </c>
      <c r="D232" s="22" t="s">
        <v>781</v>
      </c>
      <c r="E232" s="22" t="s">
        <v>57</v>
      </c>
      <c r="F232" s="23">
        <v>-46100</v>
      </c>
      <c r="G232" s="24">
        <v>44365</v>
      </c>
      <c r="H232" s="22" t="s">
        <v>360</v>
      </c>
      <c r="I232" s="22" t="s">
        <v>608</v>
      </c>
      <c r="J232" s="22"/>
      <c r="K232" s="22"/>
    </row>
    <row r="233" spans="1:11" x14ac:dyDescent="0.25">
      <c r="A233" s="22" t="s">
        <v>784</v>
      </c>
      <c r="B233" s="22" t="s">
        <v>201</v>
      </c>
      <c r="C233" s="22" t="s">
        <v>202</v>
      </c>
      <c r="D233" s="22" t="s">
        <v>783</v>
      </c>
      <c r="E233" s="22" t="s">
        <v>57</v>
      </c>
      <c r="F233" s="23">
        <v>-354864</v>
      </c>
      <c r="G233" s="24">
        <v>44350</v>
      </c>
      <c r="H233" s="22" t="s">
        <v>360</v>
      </c>
      <c r="I233" s="22" t="s">
        <v>785</v>
      </c>
      <c r="J233" s="22"/>
      <c r="K233" s="22"/>
    </row>
    <row r="234" spans="1:11" x14ac:dyDescent="0.25">
      <c r="A234" s="22" t="s">
        <v>787</v>
      </c>
      <c r="B234" s="22" t="s">
        <v>201</v>
      </c>
      <c r="C234" s="22" t="s">
        <v>202</v>
      </c>
      <c r="D234" s="22" t="s">
        <v>786</v>
      </c>
      <c r="E234" s="22" t="s">
        <v>57</v>
      </c>
      <c r="F234" s="23">
        <v>-186000</v>
      </c>
      <c r="G234" s="24">
        <v>44496</v>
      </c>
      <c r="H234" s="22" t="s">
        <v>360</v>
      </c>
      <c r="I234" s="22" t="s">
        <v>788</v>
      </c>
      <c r="J234" s="22"/>
      <c r="K234" s="22"/>
    </row>
    <row r="235" spans="1:11" x14ac:dyDescent="0.25">
      <c r="A235" s="22" t="s">
        <v>790</v>
      </c>
      <c r="B235" s="22" t="s">
        <v>201</v>
      </c>
      <c r="C235" s="22" t="s">
        <v>202</v>
      </c>
      <c r="D235" s="22" t="s">
        <v>789</v>
      </c>
      <c r="E235" s="22" t="s">
        <v>57</v>
      </c>
      <c r="F235" s="23">
        <v>-311500</v>
      </c>
      <c r="G235" s="24">
        <v>44495</v>
      </c>
      <c r="H235" s="22" t="s">
        <v>360</v>
      </c>
      <c r="I235" s="22" t="s">
        <v>550</v>
      </c>
      <c r="J235" s="22"/>
      <c r="K235" s="22"/>
    </row>
    <row r="236" spans="1:11" x14ac:dyDescent="0.25">
      <c r="A236" s="22" t="s">
        <v>792</v>
      </c>
      <c r="B236" s="22" t="s">
        <v>201</v>
      </c>
      <c r="C236" s="22" t="s">
        <v>202</v>
      </c>
      <c r="D236" s="22" t="s">
        <v>791</v>
      </c>
      <c r="E236" s="22" t="s">
        <v>57</v>
      </c>
      <c r="F236" s="23">
        <v>-29200</v>
      </c>
      <c r="G236" s="24">
        <v>44495</v>
      </c>
      <c r="H236" s="22" t="s">
        <v>360</v>
      </c>
      <c r="I236" s="22" t="s">
        <v>375</v>
      </c>
      <c r="J236" s="22"/>
      <c r="K236" s="22"/>
    </row>
    <row r="237" spans="1:11" x14ac:dyDescent="0.25">
      <c r="A237" s="22" t="s">
        <v>794</v>
      </c>
      <c r="B237" s="22" t="s">
        <v>201</v>
      </c>
      <c r="C237" s="22" t="s">
        <v>202</v>
      </c>
      <c r="D237" s="22" t="s">
        <v>793</v>
      </c>
      <c r="E237" s="22" t="s">
        <v>57</v>
      </c>
      <c r="F237" s="23">
        <v>-33200</v>
      </c>
      <c r="G237" s="24">
        <v>44494</v>
      </c>
      <c r="H237" s="22" t="s">
        <v>360</v>
      </c>
      <c r="I237" s="22" t="s">
        <v>478</v>
      </c>
      <c r="J237" s="22"/>
      <c r="K237" s="22"/>
    </row>
    <row r="238" spans="1:11" x14ac:dyDescent="0.25">
      <c r="A238" s="22" t="s">
        <v>796</v>
      </c>
      <c r="B238" s="22" t="s">
        <v>201</v>
      </c>
      <c r="C238" s="22" t="s">
        <v>202</v>
      </c>
      <c r="D238" s="22" t="s">
        <v>795</v>
      </c>
      <c r="E238" s="22" t="s">
        <v>57</v>
      </c>
      <c r="F238" s="23">
        <v>-92700</v>
      </c>
      <c r="G238" s="24">
        <v>44494</v>
      </c>
      <c r="H238" s="22" t="s">
        <v>360</v>
      </c>
      <c r="I238" s="22" t="s">
        <v>478</v>
      </c>
      <c r="J238" s="22"/>
      <c r="K238" s="22"/>
    </row>
    <row r="239" spans="1:11" x14ac:dyDescent="0.25">
      <c r="A239" s="22" t="s">
        <v>798</v>
      </c>
      <c r="B239" s="22" t="s">
        <v>201</v>
      </c>
      <c r="C239" s="22" t="s">
        <v>202</v>
      </c>
      <c r="D239" s="22" t="s">
        <v>797</v>
      </c>
      <c r="E239" s="22" t="s">
        <v>57</v>
      </c>
      <c r="F239" s="23">
        <v>-43700</v>
      </c>
      <c r="G239" s="24">
        <v>44491</v>
      </c>
      <c r="H239" s="22" t="s">
        <v>360</v>
      </c>
      <c r="I239" s="22" t="s">
        <v>799</v>
      </c>
      <c r="J239" s="22"/>
      <c r="K239" s="22"/>
    </row>
    <row r="240" spans="1:11" x14ac:dyDescent="0.25">
      <c r="A240" s="22" t="s">
        <v>801</v>
      </c>
      <c r="B240" s="22" t="s">
        <v>201</v>
      </c>
      <c r="C240" s="22" t="s">
        <v>202</v>
      </c>
      <c r="D240" s="22" t="s">
        <v>800</v>
      </c>
      <c r="E240" s="22" t="s">
        <v>57</v>
      </c>
      <c r="F240" s="23">
        <v>-33200</v>
      </c>
      <c r="G240" s="24">
        <v>44491</v>
      </c>
      <c r="H240" s="22" t="s">
        <v>360</v>
      </c>
      <c r="I240" s="22" t="s">
        <v>802</v>
      </c>
      <c r="J240" s="22"/>
      <c r="K240" s="22"/>
    </row>
    <row r="241" spans="1:11" x14ac:dyDescent="0.25">
      <c r="A241" s="22" t="s">
        <v>804</v>
      </c>
      <c r="B241" s="22" t="s">
        <v>201</v>
      </c>
      <c r="C241" s="22" t="s">
        <v>202</v>
      </c>
      <c r="D241" s="22" t="s">
        <v>803</v>
      </c>
      <c r="E241" s="22" t="s">
        <v>57</v>
      </c>
      <c r="F241" s="23">
        <v>-10100</v>
      </c>
      <c r="G241" s="24">
        <v>44474</v>
      </c>
      <c r="H241" s="22" t="s">
        <v>314</v>
      </c>
      <c r="I241" s="22" t="s">
        <v>249</v>
      </c>
      <c r="J241" s="22"/>
      <c r="K241" s="22"/>
    </row>
    <row r="242" spans="1:11" x14ac:dyDescent="0.25">
      <c r="A242" s="22" t="s">
        <v>315</v>
      </c>
      <c r="B242" s="22" t="s">
        <v>201</v>
      </c>
      <c r="C242" s="22" t="s">
        <v>202</v>
      </c>
      <c r="D242" s="22" t="s">
        <v>316</v>
      </c>
      <c r="E242" s="22" t="s">
        <v>45</v>
      </c>
      <c r="F242" s="23">
        <v>-196200</v>
      </c>
      <c r="G242" s="24">
        <v>44477</v>
      </c>
      <c r="H242" s="22" t="s">
        <v>316</v>
      </c>
      <c r="I242" s="22"/>
      <c r="J242" s="22"/>
      <c r="K242" s="22"/>
    </row>
    <row r="243" spans="1:11" x14ac:dyDescent="0.25">
      <c r="A243" s="22" t="s">
        <v>315</v>
      </c>
      <c r="B243" s="22" t="s">
        <v>201</v>
      </c>
      <c r="C243" s="22" t="s">
        <v>202</v>
      </c>
      <c r="D243" s="22" t="s">
        <v>807</v>
      </c>
      <c r="E243" s="22" t="s">
        <v>57</v>
      </c>
      <c r="F243" s="23">
        <v>-457900</v>
      </c>
      <c r="G243" s="24">
        <v>44477</v>
      </c>
      <c r="H243" s="22" t="s">
        <v>316</v>
      </c>
      <c r="I243" s="22" t="s">
        <v>319</v>
      </c>
      <c r="J243" s="22"/>
      <c r="K243" s="22"/>
    </row>
    <row r="244" spans="1:11" x14ac:dyDescent="0.25">
      <c r="A244" s="22" t="s">
        <v>361</v>
      </c>
      <c r="B244" s="22" t="s">
        <v>201</v>
      </c>
      <c r="C244" s="22" t="s">
        <v>202</v>
      </c>
      <c r="D244" s="22" t="s">
        <v>360</v>
      </c>
      <c r="E244" s="22" t="s">
        <v>45</v>
      </c>
      <c r="F244" s="23">
        <v>-5830185</v>
      </c>
      <c r="G244" s="24">
        <v>44389</v>
      </c>
      <c r="H244" s="22" t="s">
        <v>360</v>
      </c>
      <c r="I244" s="22"/>
      <c r="J244" s="22"/>
      <c r="K244" s="22"/>
    </row>
    <row r="245" spans="1:11" x14ac:dyDescent="0.25">
      <c r="A245" s="22" t="s">
        <v>811</v>
      </c>
      <c r="B245" s="22" t="s">
        <v>201</v>
      </c>
      <c r="C245" s="22" t="s">
        <v>202</v>
      </c>
      <c r="D245" s="22" t="s">
        <v>810</v>
      </c>
      <c r="E245" s="22" t="s">
        <v>57</v>
      </c>
      <c r="F245" s="23">
        <v>-143100</v>
      </c>
      <c r="G245" s="24">
        <v>44376</v>
      </c>
      <c r="H245" s="22" t="s">
        <v>360</v>
      </c>
      <c r="I245" s="22" t="s">
        <v>280</v>
      </c>
      <c r="J245" s="22"/>
      <c r="K245" s="22"/>
    </row>
    <row r="246" spans="1:11" x14ac:dyDescent="0.25">
      <c r="A246" s="22" t="s">
        <v>813</v>
      </c>
      <c r="B246" s="22" t="s">
        <v>201</v>
      </c>
      <c r="C246" s="22" t="s">
        <v>202</v>
      </c>
      <c r="D246" s="22" t="s">
        <v>812</v>
      </c>
      <c r="E246" s="22" t="s">
        <v>57</v>
      </c>
      <c r="F246" s="23">
        <v>-105500</v>
      </c>
      <c r="G246" s="24">
        <v>44372</v>
      </c>
      <c r="H246" s="22" t="s">
        <v>360</v>
      </c>
      <c r="I246" s="22" t="s">
        <v>550</v>
      </c>
      <c r="J246" s="22"/>
      <c r="K246" s="22"/>
    </row>
    <row r="247" spans="1:11" x14ac:dyDescent="0.25">
      <c r="A247" s="22" t="s">
        <v>815</v>
      </c>
      <c r="B247" s="22" t="s">
        <v>201</v>
      </c>
      <c r="C247" s="22" t="s">
        <v>202</v>
      </c>
      <c r="D247" s="22" t="s">
        <v>814</v>
      </c>
      <c r="E247" s="22" t="s">
        <v>57</v>
      </c>
      <c r="F247" s="23">
        <v>-122600</v>
      </c>
      <c r="G247" s="24">
        <v>44370</v>
      </c>
      <c r="H247" s="22" t="s">
        <v>360</v>
      </c>
      <c r="I247" s="22" t="s">
        <v>550</v>
      </c>
      <c r="J247" s="22"/>
      <c r="K247" s="22"/>
    </row>
    <row r="248" spans="1:11" x14ac:dyDescent="0.25">
      <c r="A248" s="22" t="s">
        <v>817</v>
      </c>
      <c r="B248" s="22" t="s">
        <v>201</v>
      </c>
      <c r="C248" s="22" t="s">
        <v>202</v>
      </c>
      <c r="D248" s="22" t="s">
        <v>816</v>
      </c>
      <c r="E248" s="22" t="s">
        <v>57</v>
      </c>
      <c r="F248" s="23">
        <v>-33600</v>
      </c>
      <c r="G248" s="24">
        <v>44370</v>
      </c>
      <c r="H248" s="22" t="s">
        <v>360</v>
      </c>
      <c r="I248" s="22" t="s">
        <v>550</v>
      </c>
      <c r="J248" s="22"/>
      <c r="K248" s="22"/>
    </row>
    <row r="249" spans="1:11" x14ac:dyDescent="0.25">
      <c r="A249" s="22" t="s">
        <v>819</v>
      </c>
      <c r="B249" s="22" t="s">
        <v>201</v>
      </c>
      <c r="C249" s="22" t="s">
        <v>202</v>
      </c>
      <c r="D249" s="22" t="s">
        <v>818</v>
      </c>
      <c r="E249" s="22" t="s">
        <v>57</v>
      </c>
      <c r="F249" s="23">
        <v>-18800</v>
      </c>
      <c r="G249" s="24">
        <v>44369</v>
      </c>
      <c r="H249" s="22" t="s">
        <v>360</v>
      </c>
      <c r="I249" s="22" t="s">
        <v>820</v>
      </c>
      <c r="J249" s="22"/>
      <c r="K249" s="22"/>
    </row>
    <row r="250" spans="1:11" x14ac:dyDescent="0.25">
      <c r="A250" s="22" t="s">
        <v>822</v>
      </c>
      <c r="B250" s="22" t="s">
        <v>201</v>
      </c>
      <c r="C250" s="22" t="s">
        <v>202</v>
      </c>
      <c r="D250" s="22" t="s">
        <v>821</v>
      </c>
      <c r="E250" s="22" t="s">
        <v>57</v>
      </c>
      <c r="F250" s="23">
        <v>-452800</v>
      </c>
      <c r="G250" s="24">
        <v>44369</v>
      </c>
      <c r="H250" s="22" t="s">
        <v>360</v>
      </c>
      <c r="I250" s="22" t="s">
        <v>823</v>
      </c>
      <c r="J250" s="22"/>
      <c r="K250" s="22"/>
    </row>
    <row r="251" spans="1:11" x14ac:dyDescent="0.25">
      <c r="A251" s="22" t="s">
        <v>825</v>
      </c>
      <c r="B251" s="22" t="s">
        <v>201</v>
      </c>
      <c r="C251" s="22" t="s">
        <v>202</v>
      </c>
      <c r="D251" s="22" t="s">
        <v>824</v>
      </c>
      <c r="E251" s="22" t="s">
        <v>57</v>
      </c>
      <c r="F251" s="23">
        <v>-43700</v>
      </c>
      <c r="G251" s="24">
        <v>44368</v>
      </c>
      <c r="H251" s="22" t="s">
        <v>360</v>
      </c>
      <c r="I251" s="22" t="s">
        <v>559</v>
      </c>
      <c r="J251" s="22"/>
      <c r="K251" s="22"/>
    </row>
    <row r="252" spans="1:11" x14ac:dyDescent="0.25">
      <c r="A252" s="22" t="s">
        <v>827</v>
      </c>
      <c r="B252" s="22" t="s">
        <v>201</v>
      </c>
      <c r="C252" s="22" t="s">
        <v>202</v>
      </c>
      <c r="D252" s="22" t="s">
        <v>826</v>
      </c>
      <c r="E252" s="22" t="s">
        <v>57</v>
      </c>
      <c r="F252" s="23">
        <v>-41800</v>
      </c>
      <c r="G252" s="24">
        <v>44368</v>
      </c>
      <c r="H252" s="22" t="s">
        <v>360</v>
      </c>
      <c r="I252" s="22" t="s">
        <v>820</v>
      </c>
      <c r="J252" s="22"/>
      <c r="K252" s="22"/>
    </row>
    <row r="253" spans="1:11" x14ac:dyDescent="0.25">
      <c r="A253" s="22" t="s">
        <v>829</v>
      </c>
      <c r="B253" s="22" t="s">
        <v>201</v>
      </c>
      <c r="C253" s="22" t="s">
        <v>202</v>
      </c>
      <c r="D253" s="22" t="s">
        <v>828</v>
      </c>
      <c r="E253" s="22" t="s">
        <v>57</v>
      </c>
      <c r="F253" s="23">
        <v>-29200</v>
      </c>
      <c r="G253" s="24">
        <v>44364</v>
      </c>
      <c r="H253" s="22" t="s">
        <v>360</v>
      </c>
      <c r="I253" s="22" t="s">
        <v>280</v>
      </c>
      <c r="J253" s="22"/>
      <c r="K253" s="22"/>
    </row>
    <row r="254" spans="1:11" x14ac:dyDescent="0.25">
      <c r="A254" s="22" t="s">
        <v>831</v>
      </c>
      <c r="B254" s="22" t="s">
        <v>201</v>
      </c>
      <c r="C254" s="22" t="s">
        <v>202</v>
      </c>
      <c r="D254" s="22" t="s">
        <v>830</v>
      </c>
      <c r="E254" s="22" t="s">
        <v>57</v>
      </c>
      <c r="F254" s="23">
        <v>-105500</v>
      </c>
      <c r="G254" s="24">
        <v>44362</v>
      </c>
      <c r="H254" s="22" t="s">
        <v>360</v>
      </c>
      <c r="I254" s="22" t="s">
        <v>550</v>
      </c>
      <c r="J254" s="22"/>
      <c r="K254" s="22"/>
    </row>
    <row r="255" spans="1:11" x14ac:dyDescent="0.25">
      <c r="A255" s="22" t="s">
        <v>833</v>
      </c>
      <c r="B255" s="22" t="s">
        <v>201</v>
      </c>
      <c r="C255" s="22" t="s">
        <v>202</v>
      </c>
      <c r="D255" s="22" t="s">
        <v>832</v>
      </c>
      <c r="E255" s="22" t="s">
        <v>57</v>
      </c>
      <c r="F255" s="23">
        <v>-43700</v>
      </c>
      <c r="G255" s="24">
        <v>44358</v>
      </c>
      <c r="H255" s="22" t="s">
        <v>360</v>
      </c>
      <c r="I255" s="22" t="s">
        <v>550</v>
      </c>
      <c r="J255" s="22"/>
      <c r="K255" s="22"/>
    </row>
    <row r="256" spans="1:11" x14ac:dyDescent="0.25">
      <c r="A256" s="22" t="s">
        <v>835</v>
      </c>
      <c r="B256" s="22" t="s">
        <v>201</v>
      </c>
      <c r="C256" s="22" t="s">
        <v>202</v>
      </c>
      <c r="D256" s="22" t="s">
        <v>834</v>
      </c>
      <c r="E256" s="22" t="s">
        <v>57</v>
      </c>
      <c r="F256" s="23">
        <v>-43700</v>
      </c>
      <c r="G256" s="24">
        <v>44358</v>
      </c>
      <c r="H256" s="22" t="s">
        <v>360</v>
      </c>
      <c r="I256" s="22" t="s">
        <v>836</v>
      </c>
      <c r="J256" s="22"/>
      <c r="K256" s="22"/>
    </row>
    <row r="257" spans="1:11" x14ac:dyDescent="0.25">
      <c r="A257" s="22" t="s">
        <v>838</v>
      </c>
      <c r="B257" s="22" t="s">
        <v>201</v>
      </c>
      <c r="C257" s="22" t="s">
        <v>202</v>
      </c>
      <c r="D257" s="22" t="s">
        <v>837</v>
      </c>
      <c r="E257" s="22" t="s">
        <v>57</v>
      </c>
      <c r="F257" s="23">
        <v>-540400</v>
      </c>
      <c r="G257" s="24">
        <v>44357</v>
      </c>
      <c r="H257" s="22" t="s">
        <v>360</v>
      </c>
      <c r="I257" s="22" t="s">
        <v>839</v>
      </c>
      <c r="J257" s="22"/>
      <c r="K257" s="22"/>
    </row>
    <row r="258" spans="1:11" x14ac:dyDescent="0.25">
      <c r="A258" s="22" t="s">
        <v>841</v>
      </c>
      <c r="B258" s="22" t="s">
        <v>201</v>
      </c>
      <c r="C258" s="22" t="s">
        <v>202</v>
      </c>
      <c r="D258" s="22" t="s">
        <v>840</v>
      </c>
      <c r="E258" s="22" t="s">
        <v>57</v>
      </c>
      <c r="F258" s="23">
        <v>-29200</v>
      </c>
      <c r="G258" s="24">
        <v>44349</v>
      </c>
      <c r="H258" s="22" t="s">
        <v>360</v>
      </c>
      <c r="I258" s="22" t="s">
        <v>550</v>
      </c>
      <c r="J258" s="22"/>
      <c r="K258" s="22"/>
    </row>
    <row r="259" spans="1:11" x14ac:dyDescent="0.25">
      <c r="A259" s="22" t="s">
        <v>361</v>
      </c>
      <c r="B259" s="22" t="s">
        <v>201</v>
      </c>
      <c r="C259" s="22" t="s">
        <v>202</v>
      </c>
      <c r="D259" s="22" t="s">
        <v>842</v>
      </c>
      <c r="E259" s="22" t="s">
        <v>57</v>
      </c>
      <c r="F259" s="23">
        <v>-1587000</v>
      </c>
      <c r="G259" s="24">
        <v>44389</v>
      </c>
      <c r="H259" s="22" t="s">
        <v>360</v>
      </c>
      <c r="I259" s="22" t="s">
        <v>843</v>
      </c>
      <c r="J259" s="22"/>
      <c r="K259" s="22"/>
    </row>
    <row r="260" spans="1:11" x14ac:dyDescent="0.25">
      <c r="A260" s="22" t="s">
        <v>845</v>
      </c>
      <c r="B260" s="22" t="s">
        <v>201</v>
      </c>
      <c r="C260" s="22" t="s">
        <v>202</v>
      </c>
      <c r="D260" s="22" t="s">
        <v>844</v>
      </c>
      <c r="E260" s="22" t="s">
        <v>57</v>
      </c>
      <c r="F260" s="23">
        <v>-43700</v>
      </c>
      <c r="G260" s="24">
        <v>44490</v>
      </c>
      <c r="H260" s="22" t="s">
        <v>360</v>
      </c>
      <c r="I260" s="22" t="s">
        <v>282</v>
      </c>
      <c r="J260" s="22"/>
      <c r="K260" s="22"/>
    </row>
    <row r="261" spans="1:11" x14ac:dyDescent="0.25">
      <c r="A261" s="22" t="s">
        <v>847</v>
      </c>
      <c r="B261" s="22" t="s">
        <v>201</v>
      </c>
      <c r="C261" s="22" t="s">
        <v>202</v>
      </c>
      <c r="D261" s="22" t="s">
        <v>846</v>
      </c>
      <c r="E261" s="22" t="s">
        <v>57</v>
      </c>
      <c r="F261" s="23">
        <v>-32700</v>
      </c>
      <c r="G261" s="24">
        <v>44459</v>
      </c>
      <c r="H261" s="22" t="s">
        <v>848</v>
      </c>
      <c r="I261" s="22" t="s">
        <v>427</v>
      </c>
      <c r="J261" s="22"/>
      <c r="K261" s="22"/>
    </row>
    <row r="262" spans="1:11" x14ac:dyDescent="0.25">
      <c r="A262" s="22" t="s">
        <v>850</v>
      </c>
      <c r="B262" s="22" t="s">
        <v>201</v>
      </c>
      <c r="C262" s="22" t="s">
        <v>202</v>
      </c>
      <c r="D262" s="22" t="s">
        <v>849</v>
      </c>
      <c r="E262" s="22" t="s">
        <v>57</v>
      </c>
      <c r="F262" s="23">
        <v>-71600</v>
      </c>
      <c r="G262" s="24">
        <v>44466</v>
      </c>
      <c r="H262" s="22" t="s">
        <v>848</v>
      </c>
      <c r="I262" s="22" t="s">
        <v>637</v>
      </c>
      <c r="J262" s="22"/>
      <c r="K262" s="22"/>
    </row>
    <row r="263" spans="1:11" x14ac:dyDescent="0.25">
      <c r="A263" s="22" t="s">
        <v>852</v>
      </c>
      <c r="B263" s="22" t="s">
        <v>201</v>
      </c>
      <c r="C263" s="22" t="s">
        <v>202</v>
      </c>
      <c r="D263" s="22" t="s">
        <v>851</v>
      </c>
      <c r="E263" s="22" t="s">
        <v>57</v>
      </c>
      <c r="F263" s="23">
        <v>-38400</v>
      </c>
      <c r="G263" s="24">
        <v>44452</v>
      </c>
      <c r="H263" s="22" t="s">
        <v>848</v>
      </c>
      <c r="I263" s="22" t="s">
        <v>249</v>
      </c>
      <c r="J263" s="22"/>
      <c r="K263" s="22"/>
    </row>
    <row r="264" spans="1:11" x14ac:dyDescent="0.25">
      <c r="A264" s="22" t="s">
        <v>854</v>
      </c>
      <c r="B264" s="22" t="s">
        <v>201</v>
      </c>
      <c r="C264" s="22" t="s">
        <v>202</v>
      </c>
      <c r="D264" s="22" t="s">
        <v>853</v>
      </c>
      <c r="E264" s="22" t="s">
        <v>57</v>
      </c>
      <c r="F264" s="23">
        <v>-32700</v>
      </c>
      <c r="G264" s="24">
        <v>44455</v>
      </c>
      <c r="H264" s="22" t="s">
        <v>848</v>
      </c>
      <c r="I264" s="22" t="s">
        <v>249</v>
      </c>
      <c r="J264" s="22"/>
      <c r="K264" s="22"/>
    </row>
    <row r="265" spans="1:11" x14ac:dyDescent="0.25">
      <c r="A265" s="22" t="s">
        <v>856</v>
      </c>
      <c r="B265" s="22" t="s">
        <v>201</v>
      </c>
      <c r="C265" s="22" t="s">
        <v>202</v>
      </c>
      <c r="D265" s="22" t="s">
        <v>855</v>
      </c>
      <c r="E265" s="22" t="s">
        <v>45</v>
      </c>
      <c r="F265" s="23">
        <v>-397184</v>
      </c>
      <c r="G265" s="24">
        <v>44470</v>
      </c>
      <c r="H265" s="22" t="s">
        <v>848</v>
      </c>
      <c r="I265" s="22" t="s">
        <v>857</v>
      </c>
      <c r="J265" s="22"/>
      <c r="K265" s="22"/>
    </row>
    <row r="266" spans="1:11" x14ac:dyDescent="0.25">
      <c r="A266" s="22" t="s">
        <v>630</v>
      </c>
      <c r="B266" s="22" t="s">
        <v>201</v>
      </c>
      <c r="C266" s="22" t="s">
        <v>202</v>
      </c>
      <c r="D266" s="22" t="s">
        <v>615</v>
      </c>
      <c r="E266" s="22" t="s">
        <v>45</v>
      </c>
      <c r="F266" s="23">
        <v>-290411</v>
      </c>
      <c r="G266" s="24">
        <v>44451</v>
      </c>
      <c r="H266" s="22" t="s">
        <v>848</v>
      </c>
      <c r="I266" s="22" t="s">
        <v>858</v>
      </c>
      <c r="J266" s="22"/>
      <c r="K266" s="22"/>
    </row>
    <row r="267" spans="1:11" x14ac:dyDescent="0.25">
      <c r="A267" s="22" t="s">
        <v>600</v>
      </c>
      <c r="B267" s="22" t="s">
        <v>201</v>
      </c>
      <c r="C267" s="22" t="s">
        <v>202</v>
      </c>
      <c r="D267" s="22" t="s">
        <v>599</v>
      </c>
      <c r="E267" s="22" t="s">
        <v>45</v>
      </c>
      <c r="F267" s="23">
        <v>-4269990</v>
      </c>
      <c r="G267" s="24">
        <v>44449</v>
      </c>
      <c r="H267" s="22" t="s">
        <v>848</v>
      </c>
      <c r="I267" s="22" t="s">
        <v>357</v>
      </c>
      <c r="J267" s="22"/>
      <c r="K267" s="22"/>
    </row>
    <row r="268" spans="1:11" x14ac:dyDescent="0.25">
      <c r="A268" s="22" t="s">
        <v>63</v>
      </c>
      <c r="B268" s="22" t="s">
        <v>201</v>
      </c>
      <c r="C268" s="22" t="s">
        <v>202</v>
      </c>
      <c r="D268" s="22" t="s">
        <v>714</v>
      </c>
      <c r="E268" s="22" t="s">
        <v>45</v>
      </c>
      <c r="F268" s="23">
        <v>-4286576</v>
      </c>
      <c r="G268" s="24">
        <v>44474</v>
      </c>
      <c r="H268" s="22" t="s">
        <v>848</v>
      </c>
      <c r="I268" s="22" t="s">
        <v>859</v>
      </c>
      <c r="J268" s="22"/>
      <c r="K268" s="22"/>
    </row>
    <row r="269" spans="1:11" x14ac:dyDescent="0.25">
      <c r="A269" s="22" t="s">
        <v>856</v>
      </c>
      <c r="B269" s="22" t="s">
        <v>201</v>
      </c>
      <c r="C269" s="22" t="s">
        <v>202</v>
      </c>
      <c r="D269" s="22" t="s">
        <v>855</v>
      </c>
      <c r="E269" s="22" t="s">
        <v>45</v>
      </c>
      <c r="F269" s="23">
        <v>-1164827</v>
      </c>
      <c r="G269" s="24">
        <v>44470</v>
      </c>
      <c r="H269" s="22" t="s">
        <v>855</v>
      </c>
      <c r="I269" s="22"/>
      <c r="J269" s="22"/>
      <c r="K269" s="22"/>
    </row>
    <row r="270" spans="1:11" x14ac:dyDescent="0.25">
      <c r="A270" s="22" t="s">
        <v>856</v>
      </c>
      <c r="B270" s="22" t="s">
        <v>201</v>
      </c>
      <c r="C270" s="22" t="s">
        <v>202</v>
      </c>
      <c r="D270" s="22" t="s">
        <v>862</v>
      </c>
      <c r="E270" s="22" t="s">
        <v>45</v>
      </c>
      <c r="F270" s="23">
        <v>-1462415</v>
      </c>
      <c r="G270" s="24">
        <v>44470</v>
      </c>
      <c r="H270" s="22" t="s">
        <v>855</v>
      </c>
      <c r="I270" s="22" t="s">
        <v>863</v>
      </c>
      <c r="J270" s="22"/>
      <c r="K270" s="22"/>
    </row>
    <row r="271" spans="1:11" x14ac:dyDescent="0.25">
      <c r="A271" s="22" t="s">
        <v>865</v>
      </c>
      <c r="B271" s="22" t="s">
        <v>201</v>
      </c>
      <c r="C271" s="22" t="s">
        <v>202</v>
      </c>
      <c r="D271" s="22" t="s">
        <v>864</v>
      </c>
      <c r="E271" s="22" t="s">
        <v>45</v>
      </c>
      <c r="F271" s="23">
        <v>-99596</v>
      </c>
      <c r="G271" s="24">
        <v>44449</v>
      </c>
      <c r="H271" s="22" t="s">
        <v>855</v>
      </c>
      <c r="I271" s="22" t="s">
        <v>866</v>
      </c>
      <c r="J271" s="22"/>
      <c r="K271" s="22"/>
    </row>
    <row r="272" spans="1:11" x14ac:dyDescent="0.25">
      <c r="A272" s="22" t="s">
        <v>870</v>
      </c>
      <c r="B272" s="22" t="s">
        <v>201</v>
      </c>
      <c r="C272" s="22" t="s">
        <v>202</v>
      </c>
      <c r="D272" s="22" t="s">
        <v>869</v>
      </c>
      <c r="E272" s="22" t="s">
        <v>45</v>
      </c>
      <c r="F272" s="23">
        <v>-12750</v>
      </c>
      <c r="G272" s="24">
        <v>44446</v>
      </c>
      <c r="H272" s="22" t="s">
        <v>615</v>
      </c>
      <c r="I272" s="22" t="s">
        <v>871</v>
      </c>
      <c r="J272" s="22"/>
      <c r="K272" s="22"/>
    </row>
    <row r="273" spans="1:11" x14ac:dyDescent="0.25">
      <c r="A273" s="22" t="s">
        <v>873</v>
      </c>
      <c r="B273" s="22" t="s">
        <v>201</v>
      </c>
      <c r="C273" s="22" t="s">
        <v>202</v>
      </c>
      <c r="D273" s="22" t="s">
        <v>872</v>
      </c>
      <c r="E273" s="22" t="s">
        <v>45</v>
      </c>
      <c r="F273" s="23">
        <v>-13800</v>
      </c>
      <c r="G273" s="24">
        <v>44427</v>
      </c>
      <c r="H273" s="22" t="s">
        <v>615</v>
      </c>
      <c r="I273" s="22" t="s">
        <v>874</v>
      </c>
      <c r="J273" s="22"/>
      <c r="K273" s="22"/>
    </row>
    <row r="274" spans="1:11" x14ac:dyDescent="0.25">
      <c r="A274" s="22" t="s">
        <v>876</v>
      </c>
      <c r="B274" s="22" t="s">
        <v>201</v>
      </c>
      <c r="C274" s="22" t="s">
        <v>202</v>
      </c>
      <c r="D274" s="22" t="s">
        <v>875</v>
      </c>
      <c r="E274" s="22" t="s">
        <v>45</v>
      </c>
      <c r="F274" s="23">
        <v>-14800</v>
      </c>
      <c r="G274" s="24">
        <v>44426</v>
      </c>
      <c r="H274" s="22" t="s">
        <v>615</v>
      </c>
      <c r="I274" s="22" t="s">
        <v>596</v>
      </c>
      <c r="J274" s="22"/>
      <c r="K274" s="22"/>
    </row>
    <row r="275" spans="1:11" x14ac:dyDescent="0.25">
      <c r="A275" s="22" t="s">
        <v>878</v>
      </c>
      <c r="B275" s="22" t="s">
        <v>201</v>
      </c>
      <c r="C275" s="22" t="s">
        <v>202</v>
      </c>
      <c r="D275" s="22" t="s">
        <v>877</v>
      </c>
      <c r="E275" s="22" t="s">
        <v>45</v>
      </c>
      <c r="F275" s="23">
        <v>-21700</v>
      </c>
      <c r="G275" s="24">
        <v>44410</v>
      </c>
      <c r="H275" s="22" t="s">
        <v>615</v>
      </c>
      <c r="I275" s="22" t="s">
        <v>879</v>
      </c>
      <c r="J275" s="22"/>
      <c r="K275" s="22"/>
    </row>
    <row r="276" spans="1:11" x14ac:dyDescent="0.25">
      <c r="A276" s="22" t="s">
        <v>881</v>
      </c>
      <c r="B276" s="22" t="s">
        <v>201</v>
      </c>
      <c r="C276" s="22" t="s">
        <v>202</v>
      </c>
      <c r="D276" s="22" t="s">
        <v>880</v>
      </c>
      <c r="E276" s="22" t="s">
        <v>57</v>
      </c>
      <c r="F276" s="23">
        <v>-47200</v>
      </c>
      <c r="G276" s="24">
        <v>44433</v>
      </c>
      <c r="H276" s="22" t="s">
        <v>615</v>
      </c>
      <c r="I276" s="22" t="s">
        <v>637</v>
      </c>
      <c r="J276" s="22"/>
      <c r="K276" s="22"/>
    </row>
    <row r="277" spans="1:11" x14ac:dyDescent="0.25">
      <c r="A277" s="22" t="s">
        <v>883</v>
      </c>
      <c r="B277" s="22" t="s">
        <v>201</v>
      </c>
      <c r="C277" s="22" t="s">
        <v>202</v>
      </c>
      <c r="D277" s="22" t="s">
        <v>882</v>
      </c>
      <c r="E277" s="22" t="s">
        <v>57</v>
      </c>
      <c r="F277" s="23">
        <v>-23700</v>
      </c>
      <c r="G277" s="24">
        <v>44427</v>
      </c>
      <c r="H277" s="22" t="s">
        <v>615</v>
      </c>
      <c r="I277" s="22" t="s">
        <v>637</v>
      </c>
      <c r="J277" s="22"/>
      <c r="K277" s="22"/>
    </row>
    <row r="278" spans="1:11" x14ac:dyDescent="0.25">
      <c r="A278" s="22" t="s">
        <v>885</v>
      </c>
      <c r="B278" s="22" t="s">
        <v>201</v>
      </c>
      <c r="C278" s="22" t="s">
        <v>202</v>
      </c>
      <c r="D278" s="22" t="s">
        <v>884</v>
      </c>
      <c r="E278" s="22" t="s">
        <v>57</v>
      </c>
      <c r="F278" s="23">
        <v>-47200</v>
      </c>
      <c r="G278" s="24">
        <v>44417</v>
      </c>
      <c r="H278" s="22" t="s">
        <v>615</v>
      </c>
      <c r="I278" s="22" t="s">
        <v>637</v>
      </c>
      <c r="J278" s="22"/>
      <c r="K278" s="22"/>
    </row>
    <row r="279" spans="1:11" x14ac:dyDescent="0.25">
      <c r="A279" s="22" t="s">
        <v>887</v>
      </c>
      <c r="B279" s="22" t="s">
        <v>201</v>
      </c>
      <c r="C279" s="22" t="s">
        <v>202</v>
      </c>
      <c r="D279" s="22" t="s">
        <v>886</v>
      </c>
      <c r="E279" s="22" t="s">
        <v>57</v>
      </c>
      <c r="F279" s="23">
        <v>-47200</v>
      </c>
      <c r="G279" s="24">
        <v>44412</v>
      </c>
      <c r="H279" s="22" t="s">
        <v>615</v>
      </c>
      <c r="I279" s="22" t="s">
        <v>637</v>
      </c>
      <c r="J279" s="22"/>
      <c r="K279" s="22"/>
    </row>
    <row r="280" spans="1:11" x14ac:dyDescent="0.25">
      <c r="A280" s="22" t="s">
        <v>889</v>
      </c>
      <c r="B280" s="22" t="s">
        <v>201</v>
      </c>
      <c r="C280" s="22" t="s">
        <v>202</v>
      </c>
      <c r="D280" s="22" t="s">
        <v>888</v>
      </c>
      <c r="E280" s="22" t="s">
        <v>57</v>
      </c>
      <c r="F280" s="23">
        <v>-87500</v>
      </c>
      <c r="G280" s="24">
        <v>44412</v>
      </c>
      <c r="H280" s="22" t="s">
        <v>615</v>
      </c>
      <c r="I280" s="22" t="s">
        <v>890</v>
      </c>
      <c r="J280" s="22"/>
      <c r="K280" s="22"/>
    </row>
    <row r="281" spans="1:11" x14ac:dyDescent="0.25">
      <c r="A281" s="22" t="s">
        <v>892</v>
      </c>
      <c r="B281" s="22" t="s">
        <v>201</v>
      </c>
      <c r="C281" s="22" t="s">
        <v>202</v>
      </c>
      <c r="D281" s="22" t="s">
        <v>891</v>
      </c>
      <c r="E281" s="22" t="s">
        <v>57</v>
      </c>
      <c r="F281" s="23">
        <v>-165100</v>
      </c>
      <c r="G281" s="24">
        <v>44398</v>
      </c>
      <c r="H281" s="22" t="s">
        <v>615</v>
      </c>
      <c r="I281" s="22" t="s">
        <v>637</v>
      </c>
      <c r="J281" s="22"/>
      <c r="K281" s="22"/>
    </row>
    <row r="282" spans="1:11" x14ac:dyDescent="0.25">
      <c r="A282" s="22" t="s">
        <v>894</v>
      </c>
      <c r="B282" s="22" t="s">
        <v>201</v>
      </c>
      <c r="C282" s="22" t="s">
        <v>202</v>
      </c>
      <c r="D282" s="22" t="s">
        <v>893</v>
      </c>
      <c r="E282" s="22" t="s">
        <v>57</v>
      </c>
      <c r="F282" s="23">
        <v>-29200</v>
      </c>
      <c r="G282" s="24">
        <v>44489</v>
      </c>
      <c r="H282" s="22" t="s">
        <v>360</v>
      </c>
      <c r="I282" s="22" t="s">
        <v>491</v>
      </c>
      <c r="J282" s="22"/>
      <c r="K282" s="22"/>
    </row>
    <row r="283" spans="1:11" x14ac:dyDescent="0.25">
      <c r="A283" s="22" t="s">
        <v>896</v>
      </c>
      <c r="B283" s="22" t="s">
        <v>201</v>
      </c>
      <c r="C283" s="22" t="s">
        <v>202</v>
      </c>
      <c r="D283" s="22" t="s">
        <v>895</v>
      </c>
      <c r="E283" s="22" t="s">
        <v>57</v>
      </c>
      <c r="F283" s="23">
        <v>-36800</v>
      </c>
      <c r="G283" s="24">
        <v>44488</v>
      </c>
      <c r="H283" s="22" t="s">
        <v>360</v>
      </c>
      <c r="I283" s="22" t="s">
        <v>897</v>
      </c>
      <c r="J283" s="22"/>
      <c r="K283" s="22"/>
    </row>
    <row r="284" spans="1:11" x14ac:dyDescent="0.25">
      <c r="A284" s="22" t="s">
        <v>899</v>
      </c>
      <c r="B284" s="22" t="s">
        <v>201</v>
      </c>
      <c r="C284" s="22" t="s">
        <v>202</v>
      </c>
      <c r="D284" s="22" t="s">
        <v>898</v>
      </c>
      <c r="E284" s="22" t="s">
        <v>57</v>
      </c>
      <c r="F284" s="23">
        <v>-151600</v>
      </c>
      <c r="G284" s="24">
        <v>44488</v>
      </c>
      <c r="H284" s="22" t="s">
        <v>360</v>
      </c>
      <c r="I284" s="22" t="s">
        <v>280</v>
      </c>
      <c r="J284" s="22"/>
      <c r="K284" s="22"/>
    </row>
    <row r="285" spans="1:11" x14ac:dyDescent="0.25">
      <c r="A285" s="22" t="s">
        <v>901</v>
      </c>
      <c r="B285" s="22" t="s">
        <v>201</v>
      </c>
      <c r="C285" s="22" t="s">
        <v>202</v>
      </c>
      <c r="D285" s="22" t="s">
        <v>900</v>
      </c>
      <c r="E285" s="22" t="s">
        <v>57</v>
      </c>
      <c r="F285" s="23">
        <v>-43700</v>
      </c>
      <c r="G285" s="24">
        <v>44488</v>
      </c>
      <c r="H285" s="22" t="s">
        <v>360</v>
      </c>
      <c r="I285" s="22" t="s">
        <v>550</v>
      </c>
      <c r="J285" s="22"/>
      <c r="K285" s="22"/>
    </row>
    <row r="286" spans="1:11" x14ac:dyDescent="0.25">
      <c r="A286" s="22" t="s">
        <v>903</v>
      </c>
      <c r="B286" s="22" t="s">
        <v>201</v>
      </c>
      <c r="C286" s="22" t="s">
        <v>202</v>
      </c>
      <c r="D286" s="22" t="s">
        <v>902</v>
      </c>
      <c r="E286" s="22" t="s">
        <v>57</v>
      </c>
      <c r="F286" s="23">
        <v>-41800</v>
      </c>
      <c r="G286" s="24">
        <v>44484</v>
      </c>
      <c r="H286" s="22" t="s">
        <v>360</v>
      </c>
      <c r="I286" s="22" t="s">
        <v>282</v>
      </c>
      <c r="J286" s="22"/>
      <c r="K286" s="22"/>
    </row>
    <row r="287" spans="1:11" x14ac:dyDescent="0.25">
      <c r="A287" s="22" t="s">
        <v>905</v>
      </c>
      <c r="B287" s="22" t="s">
        <v>201</v>
      </c>
      <c r="C287" s="22" t="s">
        <v>202</v>
      </c>
      <c r="D287" s="22" t="s">
        <v>904</v>
      </c>
      <c r="E287" s="22" t="s">
        <v>57</v>
      </c>
      <c r="F287" s="23">
        <v>-24600</v>
      </c>
      <c r="G287" s="24">
        <v>44484</v>
      </c>
      <c r="H287" s="22" t="s">
        <v>360</v>
      </c>
      <c r="I287" s="22" t="s">
        <v>280</v>
      </c>
      <c r="J287" s="22"/>
      <c r="K287" s="22"/>
    </row>
    <row r="288" spans="1:11" x14ac:dyDescent="0.25">
      <c r="A288" s="22" t="s">
        <v>907</v>
      </c>
      <c r="B288" s="22" t="s">
        <v>201</v>
      </c>
      <c r="C288" s="22" t="s">
        <v>202</v>
      </c>
      <c r="D288" s="22" t="s">
        <v>906</v>
      </c>
      <c r="E288" s="22" t="s">
        <v>57</v>
      </c>
      <c r="F288" s="23">
        <v>-28100</v>
      </c>
      <c r="G288" s="24">
        <v>44483</v>
      </c>
      <c r="H288" s="22" t="s">
        <v>360</v>
      </c>
      <c r="I288" s="22" t="s">
        <v>280</v>
      </c>
      <c r="J288" s="22"/>
      <c r="K288" s="22"/>
    </row>
    <row r="289" spans="1:11" x14ac:dyDescent="0.25">
      <c r="A289" s="22" t="s">
        <v>909</v>
      </c>
      <c r="B289" s="22" t="s">
        <v>201</v>
      </c>
      <c r="C289" s="22" t="s">
        <v>202</v>
      </c>
      <c r="D289" s="22" t="s">
        <v>908</v>
      </c>
      <c r="E289" s="22" t="s">
        <v>57</v>
      </c>
      <c r="F289" s="23">
        <v>-43700</v>
      </c>
      <c r="G289" s="24">
        <v>44483</v>
      </c>
      <c r="H289" s="22" t="s">
        <v>360</v>
      </c>
      <c r="I289" s="22" t="s">
        <v>280</v>
      </c>
      <c r="J289" s="22"/>
      <c r="K289" s="22"/>
    </row>
    <row r="290" spans="1:11" x14ac:dyDescent="0.25">
      <c r="A290" s="22" t="s">
        <v>911</v>
      </c>
      <c r="B290" s="22" t="s">
        <v>201</v>
      </c>
      <c r="C290" s="22" t="s">
        <v>202</v>
      </c>
      <c r="D290" s="22" t="s">
        <v>910</v>
      </c>
      <c r="E290" s="22" t="s">
        <v>57</v>
      </c>
      <c r="F290" s="23">
        <v>-43700</v>
      </c>
      <c r="G290" s="24">
        <v>44483</v>
      </c>
      <c r="H290" s="22" t="s">
        <v>360</v>
      </c>
      <c r="I290" s="22" t="s">
        <v>912</v>
      </c>
      <c r="J290" s="22"/>
      <c r="K290" s="22"/>
    </row>
    <row r="291" spans="1:11" x14ac:dyDescent="0.25">
      <c r="A291" s="22" t="s">
        <v>914</v>
      </c>
      <c r="B291" s="22" t="s">
        <v>201</v>
      </c>
      <c r="C291" s="22" t="s">
        <v>202</v>
      </c>
      <c r="D291" s="22" t="s">
        <v>913</v>
      </c>
      <c r="E291" s="22" t="s">
        <v>57</v>
      </c>
      <c r="F291" s="23">
        <v>-29200</v>
      </c>
      <c r="G291" s="24">
        <v>44481</v>
      </c>
      <c r="H291" s="22" t="s">
        <v>360</v>
      </c>
      <c r="I291" s="22" t="s">
        <v>912</v>
      </c>
      <c r="J291" s="22"/>
      <c r="K291" s="22"/>
    </row>
    <row r="292" spans="1:11" x14ac:dyDescent="0.25">
      <c r="A292" s="22" t="s">
        <v>916</v>
      </c>
      <c r="B292" s="22" t="s">
        <v>201</v>
      </c>
      <c r="C292" s="22" t="s">
        <v>202</v>
      </c>
      <c r="D292" s="22" t="s">
        <v>915</v>
      </c>
      <c r="E292" s="22" t="s">
        <v>57</v>
      </c>
      <c r="F292" s="23">
        <v>-29200</v>
      </c>
      <c r="G292" s="24">
        <v>44476</v>
      </c>
      <c r="H292" s="22" t="s">
        <v>360</v>
      </c>
      <c r="I292" s="22" t="s">
        <v>483</v>
      </c>
      <c r="J292" s="22"/>
      <c r="K292" s="22"/>
    </row>
    <row r="293" spans="1:11" x14ac:dyDescent="0.25">
      <c r="A293" s="22" t="s">
        <v>918</v>
      </c>
      <c r="B293" s="22" t="s">
        <v>201</v>
      </c>
      <c r="C293" s="22" t="s">
        <v>202</v>
      </c>
      <c r="D293" s="22" t="s">
        <v>917</v>
      </c>
      <c r="E293" s="22" t="s">
        <v>57</v>
      </c>
      <c r="F293" s="23">
        <v>-43700</v>
      </c>
      <c r="G293" s="24">
        <v>44475</v>
      </c>
      <c r="H293" s="22" t="s">
        <v>360</v>
      </c>
      <c r="I293" s="22" t="s">
        <v>919</v>
      </c>
      <c r="J293" s="22"/>
      <c r="K293" s="22"/>
    </row>
    <row r="294" spans="1:11" x14ac:dyDescent="0.25">
      <c r="A294" s="22" t="s">
        <v>921</v>
      </c>
      <c r="B294" s="22" t="s">
        <v>201</v>
      </c>
      <c r="C294" s="22" t="s">
        <v>202</v>
      </c>
      <c r="D294" s="22" t="s">
        <v>920</v>
      </c>
      <c r="E294" s="22" t="s">
        <v>57</v>
      </c>
      <c r="F294" s="23">
        <v>-33600</v>
      </c>
      <c r="G294" s="24">
        <v>44475</v>
      </c>
      <c r="H294" s="22" t="s">
        <v>360</v>
      </c>
      <c r="I294" s="22" t="s">
        <v>667</v>
      </c>
      <c r="J294" s="22"/>
      <c r="K294" s="22"/>
    </row>
    <row r="295" spans="1:11" x14ac:dyDescent="0.25">
      <c r="A295" s="22" t="s">
        <v>923</v>
      </c>
      <c r="B295" s="22" t="s">
        <v>201</v>
      </c>
      <c r="C295" s="22" t="s">
        <v>202</v>
      </c>
      <c r="D295" s="22" t="s">
        <v>922</v>
      </c>
      <c r="E295" s="22" t="s">
        <v>57</v>
      </c>
      <c r="F295" s="23">
        <v>-33600</v>
      </c>
      <c r="G295" s="24">
        <v>44474</v>
      </c>
      <c r="H295" s="22" t="s">
        <v>360</v>
      </c>
      <c r="I295" s="22" t="s">
        <v>550</v>
      </c>
      <c r="J295" s="22"/>
      <c r="K295" s="22"/>
    </row>
    <row r="296" spans="1:11" x14ac:dyDescent="0.25">
      <c r="A296" s="22" t="s">
        <v>925</v>
      </c>
      <c r="B296" s="22" t="s">
        <v>201</v>
      </c>
      <c r="C296" s="22" t="s">
        <v>202</v>
      </c>
      <c r="D296" s="22" t="s">
        <v>924</v>
      </c>
      <c r="E296" s="22" t="s">
        <v>57</v>
      </c>
      <c r="F296" s="23">
        <v>-29200</v>
      </c>
      <c r="G296" s="24">
        <v>44473</v>
      </c>
      <c r="H296" s="22" t="s">
        <v>360</v>
      </c>
      <c r="I296" s="22" t="s">
        <v>550</v>
      </c>
      <c r="J296" s="22"/>
      <c r="K296" s="22"/>
    </row>
    <row r="297" spans="1:11" x14ac:dyDescent="0.25">
      <c r="A297" s="22" t="s">
        <v>927</v>
      </c>
      <c r="B297" s="22" t="s">
        <v>201</v>
      </c>
      <c r="C297" s="22" t="s">
        <v>202</v>
      </c>
      <c r="D297" s="22" t="s">
        <v>926</v>
      </c>
      <c r="E297" s="22" t="s">
        <v>57</v>
      </c>
      <c r="F297" s="23">
        <v>-459100</v>
      </c>
      <c r="G297" s="24">
        <v>44473</v>
      </c>
      <c r="H297" s="22" t="s">
        <v>360</v>
      </c>
      <c r="I297" s="22" t="s">
        <v>280</v>
      </c>
      <c r="J297" s="22"/>
      <c r="K297" s="22"/>
    </row>
    <row r="298" spans="1:11" x14ac:dyDescent="0.25">
      <c r="A298" s="22" t="s">
        <v>929</v>
      </c>
      <c r="B298" s="22" t="s">
        <v>201</v>
      </c>
      <c r="C298" s="22" t="s">
        <v>202</v>
      </c>
      <c r="D298" s="22" t="s">
        <v>848</v>
      </c>
      <c r="E298" s="22" t="s">
        <v>45</v>
      </c>
      <c r="F298" s="23">
        <v>-30151571</v>
      </c>
      <c r="G298" s="24">
        <v>44446</v>
      </c>
      <c r="H298" s="22" t="s">
        <v>848</v>
      </c>
      <c r="I298" s="22"/>
      <c r="J298" s="22"/>
      <c r="K298" s="22"/>
    </row>
    <row r="299" spans="1:11" x14ac:dyDescent="0.25">
      <c r="A299" s="22" t="s">
        <v>931</v>
      </c>
      <c r="B299" s="22" t="s">
        <v>201</v>
      </c>
      <c r="C299" s="22" t="s">
        <v>202</v>
      </c>
      <c r="D299" s="22" t="s">
        <v>930</v>
      </c>
      <c r="E299" s="22" t="s">
        <v>57</v>
      </c>
      <c r="F299" s="23">
        <v>-198200</v>
      </c>
      <c r="G299" s="24">
        <v>44468</v>
      </c>
      <c r="H299" s="22" t="s">
        <v>848</v>
      </c>
      <c r="I299" s="22" t="s">
        <v>427</v>
      </c>
      <c r="J299" s="22"/>
      <c r="K299" s="22"/>
    </row>
    <row r="300" spans="1:11" x14ac:dyDescent="0.25">
      <c r="A300" s="22" t="s">
        <v>933</v>
      </c>
      <c r="B300" s="22" t="s">
        <v>201</v>
      </c>
      <c r="C300" s="22" t="s">
        <v>202</v>
      </c>
      <c r="D300" s="22" t="s">
        <v>932</v>
      </c>
      <c r="E300" s="22" t="s">
        <v>57</v>
      </c>
      <c r="F300" s="23">
        <v>-47200</v>
      </c>
      <c r="G300" s="24">
        <v>44469</v>
      </c>
      <c r="H300" s="22" t="s">
        <v>848</v>
      </c>
      <c r="I300" s="22" t="s">
        <v>637</v>
      </c>
      <c r="J300" s="22"/>
      <c r="K300" s="22"/>
    </row>
    <row r="301" spans="1:11" x14ac:dyDescent="0.25">
      <c r="A301" s="22" t="s">
        <v>935</v>
      </c>
      <c r="B301" s="22" t="s">
        <v>201</v>
      </c>
      <c r="C301" s="22" t="s">
        <v>202</v>
      </c>
      <c r="D301" s="22" t="s">
        <v>934</v>
      </c>
      <c r="E301" s="22" t="s">
        <v>57</v>
      </c>
      <c r="F301" s="23">
        <v>-31600</v>
      </c>
      <c r="G301" s="24">
        <v>44469</v>
      </c>
      <c r="H301" s="22" t="s">
        <v>848</v>
      </c>
      <c r="I301" s="22" t="s">
        <v>637</v>
      </c>
      <c r="J301" s="22"/>
      <c r="K301" s="22"/>
    </row>
    <row r="302" spans="1:11" x14ac:dyDescent="0.25">
      <c r="A302" s="22" t="s">
        <v>937</v>
      </c>
      <c r="B302" s="22" t="s">
        <v>201</v>
      </c>
      <c r="C302" s="22" t="s">
        <v>202</v>
      </c>
      <c r="D302" s="22" t="s">
        <v>936</v>
      </c>
      <c r="E302" s="22" t="s">
        <v>57</v>
      </c>
      <c r="F302" s="23">
        <v>-32700</v>
      </c>
      <c r="G302" s="24">
        <v>44461</v>
      </c>
      <c r="H302" s="22" t="s">
        <v>848</v>
      </c>
      <c r="I302" s="22" t="s">
        <v>938</v>
      </c>
      <c r="J302" s="22"/>
      <c r="K302" s="22"/>
    </row>
    <row r="303" spans="1:11" x14ac:dyDescent="0.25">
      <c r="A303" s="22" t="s">
        <v>940</v>
      </c>
      <c r="B303" s="22" t="s">
        <v>201</v>
      </c>
      <c r="C303" s="22" t="s">
        <v>202</v>
      </c>
      <c r="D303" s="22" t="s">
        <v>939</v>
      </c>
      <c r="E303" s="22" t="s">
        <v>57</v>
      </c>
      <c r="F303" s="23">
        <v>-22300</v>
      </c>
      <c r="G303" s="24">
        <v>44466</v>
      </c>
      <c r="H303" s="22" t="s">
        <v>848</v>
      </c>
      <c r="I303" s="22" t="s">
        <v>941</v>
      </c>
      <c r="J303" s="22"/>
      <c r="K303" s="22"/>
    </row>
    <row r="304" spans="1:11" x14ac:dyDescent="0.25">
      <c r="A304" s="22" t="s">
        <v>114</v>
      </c>
      <c r="B304" s="22" t="s">
        <v>201</v>
      </c>
      <c r="C304" s="22" t="s">
        <v>202</v>
      </c>
      <c r="D304" s="22" t="s">
        <v>942</v>
      </c>
      <c r="E304" s="22" t="s">
        <v>45</v>
      </c>
      <c r="F304" s="23">
        <v>-3000000</v>
      </c>
      <c r="G304" s="24">
        <v>44621</v>
      </c>
      <c r="H304" s="22" t="s">
        <v>942</v>
      </c>
      <c r="I304" s="22"/>
      <c r="J304" s="22"/>
      <c r="K304" s="22"/>
    </row>
    <row r="305" spans="1:11" x14ac:dyDescent="0.25">
      <c r="A305" s="22" t="s">
        <v>114</v>
      </c>
      <c r="B305" s="22" t="s">
        <v>201</v>
      </c>
      <c r="C305" s="22" t="s">
        <v>202</v>
      </c>
      <c r="D305" s="22" t="s">
        <v>116</v>
      </c>
      <c r="E305" s="22" t="s">
        <v>57</v>
      </c>
      <c r="F305" s="23">
        <v>-6976803</v>
      </c>
      <c r="G305" s="24">
        <v>44621</v>
      </c>
      <c r="H305" s="22" t="s">
        <v>942</v>
      </c>
      <c r="I305" s="22" t="s">
        <v>943</v>
      </c>
      <c r="J305" s="22"/>
      <c r="K305" s="22"/>
    </row>
    <row r="306" spans="1:11" x14ac:dyDescent="0.25">
      <c r="A306" s="22" t="s">
        <v>948</v>
      </c>
      <c r="B306" s="22" t="s">
        <v>201</v>
      </c>
      <c r="C306" s="22" t="s">
        <v>202</v>
      </c>
      <c r="D306" s="22" t="s">
        <v>947</v>
      </c>
      <c r="E306" s="22" t="s">
        <v>57</v>
      </c>
      <c r="F306" s="23">
        <v>-1711266</v>
      </c>
      <c r="G306" s="24">
        <v>44588</v>
      </c>
      <c r="H306" s="22" t="s">
        <v>946</v>
      </c>
      <c r="I306" s="22" t="s">
        <v>212</v>
      </c>
      <c r="J306" s="22"/>
      <c r="K306" s="22"/>
    </row>
    <row r="307" spans="1:11" x14ac:dyDescent="0.25">
      <c r="A307" s="22" t="s">
        <v>950</v>
      </c>
      <c r="B307" s="22" t="s">
        <v>201</v>
      </c>
      <c r="C307" s="22" t="s">
        <v>202</v>
      </c>
      <c r="D307" s="22" t="s">
        <v>949</v>
      </c>
      <c r="E307" s="22" t="s">
        <v>57</v>
      </c>
      <c r="F307" s="23">
        <v>-23000</v>
      </c>
      <c r="G307" s="24">
        <v>44615</v>
      </c>
      <c r="H307" s="22" t="s">
        <v>946</v>
      </c>
      <c r="I307" s="22" t="s">
        <v>951</v>
      </c>
      <c r="J307" s="22"/>
      <c r="K307" s="22"/>
    </row>
    <row r="308" spans="1:11" x14ac:dyDescent="0.25">
      <c r="A308" s="22" t="s">
        <v>114</v>
      </c>
      <c r="B308" s="22" t="s">
        <v>201</v>
      </c>
      <c r="C308" s="22" t="s">
        <v>202</v>
      </c>
      <c r="D308" s="22" t="s">
        <v>942</v>
      </c>
      <c r="E308" s="22" t="s">
        <v>45</v>
      </c>
      <c r="F308" s="23">
        <v>-3976803</v>
      </c>
      <c r="G308" s="24">
        <v>44621</v>
      </c>
      <c r="H308" s="22" t="s">
        <v>954</v>
      </c>
      <c r="I308" s="22" t="s">
        <v>955</v>
      </c>
      <c r="J308" s="22"/>
      <c r="K308" s="22"/>
    </row>
    <row r="309" spans="1:11" x14ac:dyDescent="0.25">
      <c r="A309" s="22" t="s">
        <v>959</v>
      </c>
      <c r="B309" s="22" t="s">
        <v>201</v>
      </c>
      <c r="C309" s="22" t="s">
        <v>202</v>
      </c>
      <c r="D309" s="22" t="s">
        <v>960</v>
      </c>
      <c r="E309" s="22" t="s">
        <v>57</v>
      </c>
      <c r="F309" s="23">
        <v>-1983095</v>
      </c>
      <c r="G309" s="24">
        <v>44606</v>
      </c>
      <c r="H309" s="22" t="s">
        <v>958</v>
      </c>
      <c r="I309" s="22" t="s">
        <v>961</v>
      </c>
      <c r="J309" s="22"/>
      <c r="K309" s="22"/>
    </row>
    <row r="310" spans="1:11" x14ac:dyDescent="0.25">
      <c r="A310" s="22" t="s">
        <v>963</v>
      </c>
      <c r="B310" s="22" t="s">
        <v>201</v>
      </c>
      <c r="C310" s="22" t="s">
        <v>202</v>
      </c>
      <c r="D310" s="22" t="s">
        <v>962</v>
      </c>
      <c r="E310" s="22" t="s">
        <v>57</v>
      </c>
      <c r="F310" s="23">
        <v>-51900</v>
      </c>
      <c r="G310" s="24">
        <v>44603</v>
      </c>
      <c r="H310" s="22" t="s">
        <v>946</v>
      </c>
      <c r="I310" s="22" t="s">
        <v>951</v>
      </c>
      <c r="J310" s="22"/>
      <c r="K310" s="22"/>
    </row>
    <row r="311" spans="1:11" x14ac:dyDescent="0.25">
      <c r="A311" s="22" t="s">
        <v>965</v>
      </c>
      <c r="B311" s="22" t="s">
        <v>201</v>
      </c>
      <c r="C311" s="22" t="s">
        <v>202</v>
      </c>
      <c r="D311" s="22" t="s">
        <v>964</v>
      </c>
      <c r="E311" s="22" t="s">
        <v>45</v>
      </c>
      <c r="F311" s="23">
        <v>-14145</v>
      </c>
      <c r="G311" s="24">
        <v>44569</v>
      </c>
      <c r="H311" s="22" t="s">
        <v>946</v>
      </c>
      <c r="I311" s="22" t="s">
        <v>966</v>
      </c>
      <c r="J311" s="22"/>
      <c r="K311" s="22"/>
    </row>
    <row r="312" spans="1:11" x14ac:dyDescent="0.25">
      <c r="A312" s="22" t="s">
        <v>948</v>
      </c>
      <c r="B312" s="22" t="s">
        <v>201</v>
      </c>
      <c r="C312" s="22" t="s">
        <v>202</v>
      </c>
      <c r="D312" s="22" t="s">
        <v>946</v>
      </c>
      <c r="E312" s="22" t="s">
        <v>45</v>
      </c>
      <c r="F312" s="23">
        <v>-23000</v>
      </c>
      <c r="G312" s="24">
        <v>44588</v>
      </c>
      <c r="H312" s="22" t="s">
        <v>946</v>
      </c>
      <c r="I312" s="22"/>
      <c r="J312" s="22"/>
      <c r="K312" s="22"/>
    </row>
    <row r="313" spans="1:11" x14ac:dyDescent="0.25">
      <c r="A313" s="22" t="s">
        <v>968</v>
      </c>
      <c r="B313" s="22" t="s">
        <v>201</v>
      </c>
      <c r="C313" s="22" t="s">
        <v>202</v>
      </c>
      <c r="D313" s="22" t="s">
        <v>967</v>
      </c>
      <c r="E313" s="22" t="s">
        <v>45</v>
      </c>
      <c r="F313" s="23">
        <v>-237027</v>
      </c>
      <c r="G313" s="24">
        <v>44560</v>
      </c>
      <c r="H313" s="22" t="s">
        <v>946</v>
      </c>
      <c r="I313" s="22" t="s">
        <v>969</v>
      </c>
      <c r="J313" s="22"/>
      <c r="K313" s="22"/>
    </row>
    <row r="314" spans="1:11" x14ac:dyDescent="0.25">
      <c r="A314" s="22" t="s">
        <v>968</v>
      </c>
      <c r="B314" s="22" t="s">
        <v>201</v>
      </c>
      <c r="C314" s="22" t="s">
        <v>202</v>
      </c>
      <c r="D314" s="22" t="s">
        <v>967</v>
      </c>
      <c r="E314" s="22" t="s">
        <v>45</v>
      </c>
      <c r="F314" s="23">
        <v>-398362</v>
      </c>
      <c r="G314" s="24">
        <v>44560</v>
      </c>
      <c r="H314" s="22" t="s">
        <v>967</v>
      </c>
      <c r="I314" s="22"/>
      <c r="J314" s="22"/>
      <c r="K314" s="22"/>
    </row>
    <row r="315" spans="1:11" x14ac:dyDescent="0.25">
      <c r="A315" s="22" t="s">
        <v>968</v>
      </c>
      <c r="B315" s="22" t="s">
        <v>201</v>
      </c>
      <c r="C315" s="22" t="s">
        <v>202</v>
      </c>
      <c r="D315" s="22" t="s">
        <v>972</v>
      </c>
      <c r="E315" s="22" t="s">
        <v>45</v>
      </c>
      <c r="F315" s="23">
        <v>-635389</v>
      </c>
      <c r="G315" s="24">
        <v>44560</v>
      </c>
      <c r="H315" s="22" t="s">
        <v>967</v>
      </c>
      <c r="I315" s="22" t="s">
        <v>973</v>
      </c>
      <c r="J315" s="22"/>
      <c r="K315" s="22"/>
    </row>
    <row r="316" spans="1:11" x14ac:dyDescent="0.25">
      <c r="A316" s="22" t="s">
        <v>978</v>
      </c>
      <c r="B316" s="22" t="s">
        <v>201</v>
      </c>
      <c r="C316" s="22" t="s">
        <v>202</v>
      </c>
      <c r="D316" s="22" t="s">
        <v>977</v>
      </c>
      <c r="E316" s="22" t="s">
        <v>57</v>
      </c>
      <c r="F316" s="23">
        <v>-26100</v>
      </c>
      <c r="G316" s="24">
        <v>44601</v>
      </c>
      <c r="H316" s="22" t="s">
        <v>976</v>
      </c>
      <c r="I316" s="22" t="s">
        <v>979</v>
      </c>
      <c r="J316" s="22"/>
      <c r="K316" s="22"/>
    </row>
    <row r="317" spans="1:11" x14ac:dyDescent="0.25">
      <c r="A317" s="22" t="s">
        <v>981</v>
      </c>
      <c r="B317" s="22" t="s">
        <v>201</v>
      </c>
      <c r="C317" s="22" t="s">
        <v>202</v>
      </c>
      <c r="D317" s="22" t="s">
        <v>980</v>
      </c>
      <c r="E317" s="22" t="s">
        <v>57</v>
      </c>
      <c r="F317" s="23">
        <v>-662800</v>
      </c>
      <c r="G317" s="24">
        <v>44601</v>
      </c>
      <c r="H317" s="22" t="s">
        <v>976</v>
      </c>
      <c r="I317" s="22" t="s">
        <v>979</v>
      </c>
      <c r="J317" s="22"/>
      <c r="K317" s="22"/>
    </row>
    <row r="318" spans="1:11" x14ac:dyDescent="0.25">
      <c r="A318" s="22" t="s">
        <v>986</v>
      </c>
      <c r="B318" s="22" t="s">
        <v>201</v>
      </c>
      <c r="C318" s="22" t="s">
        <v>202</v>
      </c>
      <c r="D318" s="22" t="s">
        <v>985</v>
      </c>
      <c r="E318" s="22" t="s">
        <v>57</v>
      </c>
      <c r="F318" s="23">
        <v>-303700</v>
      </c>
      <c r="G318" s="24">
        <v>44614</v>
      </c>
      <c r="H318" s="22" t="s">
        <v>984</v>
      </c>
      <c r="I318" s="22" t="s">
        <v>550</v>
      </c>
      <c r="J318" s="22"/>
      <c r="K318" s="22"/>
    </row>
    <row r="319" spans="1:11" x14ac:dyDescent="0.25">
      <c r="A319" s="22" t="s">
        <v>988</v>
      </c>
      <c r="B319" s="22" t="s">
        <v>201</v>
      </c>
      <c r="C319" s="22" t="s">
        <v>202</v>
      </c>
      <c r="D319" s="22" t="s">
        <v>987</v>
      </c>
      <c r="E319" s="22" t="s">
        <v>57</v>
      </c>
      <c r="F319" s="23">
        <v>-34700</v>
      </c>
      <c r="G319" s="24">
        <v>44606</v>
      </c>
      <c r="H319" s="22" t="s">
        <v>984</v>
      </c>
      <c r="I319" s="22" t="s">
        <v>989</v>
      </c>
      <c r="J319" s="22"/>
      <c r="K319" s="22"/>
    </row>
    <row r="320" spans="1:11" x14ac:dyDescent="0.25">
      <c r="A320" s="22" t="s">
        <v>991</v>
      </c>
      <c r="B320" s="22" t="s">
        <v>201</v>
      </c>
      <c r="C320" s="22" t="s">
        <v>202</v>
      </c>
      <c r="D320" s="22" t="s">
        <v>990</v>
      </c>
      <c r="E320" s="22" t="s">
        <v>57</v>
      </c>
      <c r="F320" s="23">
        <v>-36000</v>
      </c>
      <c r="G320" s="24">
        <v>44603</v>
      </c>
      <c r="H320" s="22" t="s">
        <v>984</v>
      </c>
      <c r="I320" s="22" t="s">
        <v>992</v>
      </c>
      <c r="J320" s="22"/>
      <c r="K320" s="22"/>
    </row>
    <row r="321" spans="1:11" x14ac:dyDescent="0.25">
      <c r="A321" s="22" t="s">
        <v>994</v>
      </c>
      <c r="B321" s="22" t="s">
        <v>201</v>
      </c>
      <c r="C321" s="22" t="s">
        <v>202</v>
      </c>
      <c r="D321" s="22" t="s">
        <v>993</v>
      </c>
      <c r="E321" s="22" t="s">
        <v>57</v>
      </c>
      <c r="F321" s="23">
        <v>-125100</v>
      </c>
      <c r="G321" s="24">
        <v>44614</v>
      </c>
      <c r="H321" s="22" t="s">
        <v>984</v>
      </c>
      <c r="I321" s="22" t="s">
        <v>995</v>
      </c>
      <c r="J321" s="22"/>
      <c r="K321" s="22"/>
    </row>
    <row r="322" spans="1:11" x14ac:dyDescent="0.25">
      <c r="A322" s="22" t="s">
        <v>997</v>
      </c>
      <c r="B322" s="22" t="s">
        <v>201</v>
      </c>
      <c r="C322" s="22" t="s">
        <v>202</v>
      </c>
      <c r="D322" s="22" t="s">
        <v>996</v>
      </c>
      <c r="E322" s="22" t="s">
        <v>57</v>
      </c>
      <c r="F322" s="23">
        <v>-103500</v>
      </c>
      <c r="G322" s="24">
        <v>44609</v>
      </c>
      <c r="H322" s="22" t="s">
        <v>984</v>
      </c>
      <c r="I322" s="22" t="s">
        <v>998</v>
      </c>
      <c r="J322" s="22"/>
      <c r="K322" s="22"/>
    </row>
    <row r="323" spans="1:11" x14ac:dyDescent="0.25">
      <c r="A323" s="22" t="s">
        <v>1000</v>
      </c>
      <c r="B323" s="22" t="s">
        <v>201</v>
      </c>
      <c r="C323" s="22" t="s">
        <v>202</v>
      </c>
      <c r="D323" s="22" t="s">
        <v>999</v>
      </c>
      <c r="E323" s="22" t="s">
        <v>57</v>
      </c>
      <c r="F323" s="23">
        <v>-230000</v>
      </c>
      <c r="G323" s="24">
        <v>44600</v>
      </c>
      <c r="H323" s="22" t="s">
        <v>984</v>
      </c>
      <c r="I323" s="22" t="s">
        <v>298</v>
      </c>
      <c r="J323" s="22"/>
      <c r="K323" s="22"/>
    </row>
    <row r="324" spans="1:11" x14ac:dyDescent="0.25">
      <c r="A324" s="22" t="s">
        <v>1002</v>
      </c>
      <c r="B324" s="22" t="s">
        <v>201</v>
      </c>
      <c r="C324" s="22" t="s">
        <v>202</v>
      </c>
      <c r="D324" s="22" t="s">
        <v>1001</v>
      </c>
      <c r="E324" s="22" t="s">
        <v>57</v>
      </c>
      <c r="F324" s="23">
        <v>-78399</v>
      </c>
      <c r="G324" s="24">
        <v>44600</v>
      </c>
      <c r="H324" s="22" t="s">
        <v>984</v>
      </c>
      <c r="I324" s="22" t="s">
        <v>1003</v>
      </c>
      <c r="J324" s="22"/>
      <c r="K324" s="22"/>
    </row>
    <row r="325" spans="1:11" x14ac:dyDescent="0.25">
      <c r="A325" s="22" t="s">
        <v>1005</v>
      </c>
      <c r="B325" s="22" t="s">
        <v>201</v>
      </c>
      <c r="C325" s="22" t="s">
        <v>202</v>
      </c>
      <c r="D325" s="22" t="s">
        <v>1004</v>
      </c>
      <c r="E325" s="22" t="s">
        <v>57</v>
      </c>
      <c r="F325" s="23">
        <v>-279920</v>
      </c>
      <c r="G325" s="24">
        <v>44607</v>
      </c>
      <c r="H325" s="22" t="s">
        <v>984</v>
      </c>
      <c r="I325" s="22" t="s">
        <v>1006</v>
      </c>
      <c r="J325" s="22"/>
      <c r="K325" s="22"/>
    </row>
    <row r="326" spans="1:11" x14ac:dyDescent="0.25">
      <c r="A326" s="22" t="s">
        <v>1008</v>
      </c>
      <c r="B326" s="22" t="s">
        <v>201</v>
      </c>
      <c r="C326" s="22" t="s">
        <v>202</v>
      </c>
      <c r="D326" s="22" t="s">
        <v>1007</v>
      </c>
      <c r="E326" s="22" t="s">
        <v>57</v>
      </c>
      <c r="F326" s="23">
        <v>-104457</v>
      </c>
      <c r="G326" s="24">
        <v>44597</v>
      </c>
      <c r="H326" s="22" t="s">
        <v>984</v>
      </c>
      <c r="I326" s="22" t="s">
        <v>1009</v>
      </c>
      <c r="J326" s="22"/>
      <c r="K326" s="22"/>
    </row>
    <row r="327" spans="1:11" x14ac:dyDescent="0.25">
      <c r="A327" s="22" t="s">
        <v>1011</v>
      </c>
      <c r="B327" s="22" t="s">
        <v>201</v>
      </c>
      <c r="C327" s="22" t="s">
        <v>202</v>
      </c>
      <c r="D327" s="22" t="s">
        <v>1010</v>
      </c>
      <c r="E327" s="22" t="s">
        <v>57</v>
      </c>
      <c r="F327" s="23">
        <v>-59100</v>
      </c>
      <c r="G327" s="24">
        <v>44595</v>
      </c>
      <c r="H327" s="22" t="s">
        <v>984</v>
      </c>
      <c r="I327" s="22" t="s">
        <v>1012</v>
      </c>
      <c r="J327" s="22"/>
      <c r="K327" s="22"/>
    </row>
    <row r="328" spans="1:11" x14ac:dyDescent="0.25">
      <c r="A328" s="22" t="s">
        <v>1014</v>
      </c>
      <c r="B328" s="22" t="s">
        <v>201</v>
      </c>
      <c r="C328" s="22" t="s">
        <v>202</v>
      </c>
      <c r="D328" s="22" t="s">
        <v>1013</v>
      </c>
      <c r="E328" s="22" t="s">
        <v>57</v>
      </c>
      <c r="F328" s="23">
        <v>-307226</v>
      </c>
      <c r="G328" s="24">
        <v>44595</v>
      </c>
      <c r="H328" s="22" t="s">
        <v>984</v>
      </c>
      <c r="I328" s="22" t="s">
        <v>1015</v>
      </c>
      <c r="J328" s="22"/>
      <c r="K328" s="22"/>
    </row>
    <row r="329" spans="1:11" x14ac:dyDescent="0.25">
      <c r="A329" s="22" t="s">
        <v>1017</v>
      </c>
      <c r="B329" s="22" t="s">
        <v>201</v>
      </c>
      <c r="C329" s="22" t="s">
        <v>202</v>
      </c>
      <c r="D329" s="22" t="s">
        <v>1016</v>
      </c>
      <c r="E329" s="22" t="s">
        <v>57</v>
      </c>
      <c r="F329" s="23">
        <v>-127700</v>
      </c>
      <c r="G329" s="24">
        <v>44608</v>
      </c>
      <c r="H329" s="22" t="s">
        <v>984</v>
      </c>
      <c r="I329" s="22" t="s">
        <v>919</v>
      </c>
      <c r="J329" s="22"/>
      <c r="K329" s="22"/>
    </row>
    <row r="330" spans="1:11" x14ac:dyDescent="0.25">
      <c r="A330" s="22" t="s">
        <v>1019</v>
      </c>
      <c r="B330" s="22" t="s">
        <v>201</v>
      </c>
      <c r="C330" s="22" t="s">
        <v>202</v>
      </c>
      <c r="D330" s="22" t="s">
        <v>1018</v>
      </c>
      <c r="E330" s="22" t="s">
        <v>57</v>
      </c>
      <c r="F330" s="23">
        <v>-32300</v>
      </c>
      <c r="G330" s="24">
        <v>44606</v>
      </c>
      <c r="H330" s="22" t="s">
        <v>984</v>
      </c>
      <c r="I330" s="22" t="s">
        <v>1020</v>
      </c>
      <c r="J330" s="22"/>
      <c r="K330" s="22"/>
    </row>
    <row r="331" spans="1:11" x14ac:dyDescent="0.25">
      <c r="A331" s="22" t="s">
        <v>983</v>
      </c>
      <c r="B331" s="22" t="s">
        <v>201</v>
      </c>
      <c r="C331" s="22" t="s">
        <v>202</v>
      </c>
      <c r="D331" s="22" t="s">
        <v>984</v>
      </c>
      <c r="E331" s="22" t="s">
        <v>45</v>
      </c>
      <c r="F331" s="23">
        <v>-1390734</v>
      </c>
      <c r="G331" s="24">
        <v>44670</v>
      </c>
      <c r="H331" s="22" t="s">
        <v>984</v>
      </c>
      <c r="I331" s="22"/>
      <c r="J331" s="22"/>
      <c r="K331" s="22"/>
    </row>
    <row r="332" spans="1:11" x14ac:dyDescent="0.25">
      <c r="A332" s="22" t="s">
        <v>1025</v>
      </c>
      <c r="B332" s="22" t="s">
        <v>201</v>
      </c>
      <c r="C332" s="22" t="s">
        <v>202</v>
      </c>
      <c r="D332" s="22" t="s">
        <v>1024</v>
      </c>
      <c r="E332" s="22" t="s">
        <v>57</v>
      </c>
      <c r="F332" s="23">
        <v>-5088525</v>
      </c>
      <c r="G332" s="24">
        <v>44614</v>
      </c>
      <c r="H332" s="22" t="s">
        <v>1023</v>
      </c>
      <c r="I332" s="22" t="s">
        <v>1026</v>
      </c>
      <c r="J332" s="22"/>
      <c r="K332" s="22"/>
    </row>
    <row r="333" spans="1:11" x14ac:dyDescent="0.25">
      <c r="A333" s="22" t="s">
        <v>959</v>
      </c>
      <c r="B333" s="22" t="s">
        <v>201</v>
      </c>
      <c r="C333" s="22" t="s">
        <v>202</v>
      </c>
      <c r="D333" s="22" t="s">
        <v>958</v>
      </c>
      <c r="E333" s="22" t="s">
        <v>45</v>
      </c>
      <c r="F333" s="23">
        <v>-1388295</v>
      </c>
      <c r="G333" s="24">
        <v>44606</v>
      </c>
      <c r="H333" s="22" t="s">
        <v>1029</v>
      </c>
      <c r="I333" s="22" t="s">
        <v>1030</v>
      </c>
      <c r="J333" s="22"/>
      <c r="K333" s="22"/>
    </row>
    <row r="334" spans="1:11" x14ac:dyDescent="0.25">
      <c r="A334" s="22" t="s">
        <v>959</v>
      </c>
      <c r="B334" s="22" t="s">
        <v>201</v>
      </c>
      <c r="C334" s="22" t="s">
        <v>202</v>
      </c>
      <c r="D334" s="22" t="s">
        <v>1029</v>
      </c>
      <c r="E334" s="22" t="s">
        <v>45</v>
      </c>
      <c r="F334" s="23">
        <v>-669452</v>
      </c>
      <c r="G334" s="24">
        <v>44606</v>
      </c>
      <c r="H334" s="22" t="s">
        <v>1029</v>
      </c>
      <c r="I334" s="22"/>
      <c r="J334" s="22"/>
      <c r="K334" s="22"/>
    </row>
    <row r="335" spans="1:11" x14ac:dyDescent="0.25">
      <c r="A335" s="22" t="s">
        <v>1034</v>
      </c>
      <c r="B335" s="22" t="s">
        <v>201</v>
      </c>
      <c r="C335" s="22" t="s">
        <v>202</v>
      </c>
      <c r="D335" s="22" t="s">
        <v>1033</v>
      </c>
      <c r="E335" s="22" t="s">
        <v>57</v>
      </c>
      <c r="F335" s="23">
        <v>-85500</v>
      </c>
      <c r="G335" s="24">
        <v>44596</v>
      </c>
      <c r="H335" s="22" t="s">
        <v>976</v>
      </c>
      <c r="I335" s="22" t="s">
        <v>715</v>
      </c>
      <c r="J335" s="22"/>
      <c r="K335" s="22"/>
    </row>
    <row r="336" spans="1:11" x14ac:dyDescent="0.25">
      <c r="A336" s="22" t="s">
        <v>1039</v>
      </c>
      <c r="B336" s="22" t="s">
        <v>201</v>
      </c>
      <c r="C336" s="22" t="s">
        <v>202</v>
      </c>
      <c r="D336" s="22" t="s">
        <v>1038</v>
      </c>
      <c r="E336" s="22" t="s">
        <v>45</v>
      </c>
      <c r="F336" s="23">
        <v>-705551</v>
      </c>
      <c r="G336" s="24">
        <v>44609</v>
      </c>
      <c r="H336" s="22" t="s">
        <v>1037</v>
      </c>
      <c r="I336" s="22" t="s">
        <v>1040</v>
      </c>
      <c r="J336" s="22"/>
      <c r="K336" s="22"/>
    </row>
    <row r="337" spans="1:11" x14ac:dyDescent="0.25">
      <c r="A337" s="22" t="s">
        <v>1042</v>
      </c>
      <c r="B337" s="22" t="s">
        <v>201</v>
      </c>
      <c r="C337" s="22" t="s">
        <v>202</v>
      </c>
      <c r="D337" s="22" t="s">
        <v>1041</v>
      </c>
      <c r="E337" s="22" t="s">
        <v>57</v>
      </c>
      <c r="F337" s="23">
        <v>-67735</v>
      </c>
      <c r="G337" s="24">
        <v>44618</v>
      </c>
      <c r="H337" s="22" t="s">
        <v>1037</v>
      </c>
      <c r="I337" s="22" t="s">
        <v>375</v>
      </c>
      <c r="J337" s="22"/>
      <c r="K337" s="22"/>
    </row>
    <row r="338" spans="1:11" x14ac:dyDescent="0.25">
      <c r="A338" s="22" t="s">
        <v>1044</v>
      </c>
      <c r="B338" s="22" t="s">
        <v>201</v>
      </c>
      <c r="C338" s="22" t="s">
        <v>202</v>
      </c>
      <c r="D338" s="22" t="s">
        <v>1043</v>
      </c>
      <c r="E338" s="22" t="s">
        <v>57</v>
      </c>
      <c r="F338" s="23">
        <v>-60961</v>
      </c>
      <c r="G338" s="24">
        <v>44615</v>
      </c>
      <c r="H338" s="22" t="s">
        <v>1037</v>
      </c>
      <c r="I338" s="22" t="s">
        <v>375</v>
      </c>
      <c r="J338" s="22"/>
      <c r="K338" s="22"/>
    </row>
    <row r="339" spans="1:11" x14ac:dyDescent="0.25">
      <c r="A339" s="22" t="s">
        <v>1046</v>
      </c>
      <c r="B339" s="22" t="s">
        <v>201</v>
      </c>
      <c r="C339" s="22" t="s">
        <v>202</v>
      </c>
      <c r="D339" s="22" t="s">
        <v>1045</v>
      </c>
      <c r="E339" s="22" t="s">
        <v>57</v>
      </c>
      <c r="F339" s="23">
        <v>-204334</v>
      </c>
      <c r="G339" s="24">
        <v>44607</v>
      </c>
      <c r="H339" s="22" t="s">
        <v>1037</v>
      </c>
      <c r="I339" s="22" t="s">
        <v>375</v>
      </c>
      <c r="J339" s="22"/>
      <c r="K339" s="22"/>
    </row>
    <row r="340" spans="1:11" x14ac:dyDescent="0.25">
      <c r="A340" s="22" t="s">
        <v>1048</v>
      </c>
      <c r="B340" s="22" t="s">
        <v>201</v>
      </c>
      <c r="C340" s="22" t="s">
        <v>202</v>
      </c>
      <c r="D340" s="22" t="s">
        <v>1047</v>
      </c>
      <c r="E340" s="22" t="s">
        <v>57</v>
      </c>
      <c r="F340" s="23">
        <v>-60961</v>
      </c>
      <c r="G340" s="24">
        <v>44601</v>
      </c>
      <c r="H340" s="22" t="s">
        <v>1037</v>
      </c>
      <c r="I340" s="22" t="s">
        <v>375</v>
      </c>
      <c r="J340" s="22"/>
      <c r="K340" s="22"/>
    </row>
    <row r="341" spans="1:11" x14ac:dyDescent="0.25">
      <c r="A341" s="22" t="s">
        <v>1050</v>
      </c>
      <c r="B341" s="22" t="s">
        <v>201</v>
      </c>
      <c r="C341" s="22" t="s">
        <v>202</v>
      </c>
      <c r="D341" s="22" t="s">
        <v>1049</v>
      </c>
      <c r="E341" s="22" t="s">
        <v>57</v>
      </c>
      <c r="F341" s="23">
        <v>-521090</v>
      </c>
      <c r="G341" s="24">
        <v>44601</v>
      </c>
      <c r="H341" s="22" t="s">
        <v>1037</v>
      </c>
      <c r="I341" s="22" t="s">
        <v>375</v>
      </c>
      <c r="J341" s="22"/>
      <c r="K341" s="22"/>
    </row>
    <row r="342" spans="1:11" x14ac:dyDescent="0.25">
      <c r="A342" s="22" t="s">
        <v>1052</v>
      </c>
      <c r="B342" s="22" t="s">
        <v>201</v>
      </c>
      <c r="C342" s="22" t="s">
        <v>202</v>
      </c>
      <c r="D342" s="22" t="s">
        <v>1051</v>
      </c>
      <c r="E342" s="22" t="s">
        <v>57</v>
      </c>
      <c r="F342" s="23">
        <v>-206064</v>
      </c>
      <c r="G342" s="24">
        <v>44597</v>
      </c>
      <c r="H342" s="22" t="s">
        <v>1037</v>
      </c>
      <c r="I342" s="22" t="s">
        <v>1053</v>
      </c>
      <c r="J342" s="22"/>
      <c r="K342" s="22"/>
    </row>
    <row r="343" spans="1:11" x14ac:dyDescent="0.25">
      <c r="A343" s="22" t="s">
        <v>1055</v>
      </c>
      <c r="B343" s="22" t="s">
        <v>201</v>
      </c>
      <c r="C343" s="22" t="s">
        <v>202</v>
      </c>
      <c r="D343" s="22" t="s">
        <v>1054</v>
      </c>
      <c r="E343" s="22" t="s">
        <v>57</v>
      </c>
      <c r="F343" s="23">
        <v>-285764</v>
      </c>
      <c r="G343" s="24">
        <v>44593</v>
      </c>
      <c r="H343" s="22" t="s">
        <v>1037</v>
      </c>
      <c r="I343" s="22" t="s">
        <v>1053</v>
      </c>
      <c r="J343" s="22"/>
      <c r="K343" s="22"/>
    </row>
    <row r="344" spans="1:11" x14ac:dyDescent="0.25">
      <c r="A344" s="22" t="s">
        <v>1057</v>
      </c>
      <c r="B344" s="22" t="s">
        <v>201</v>
      </c>
      <c r="C344" s="22" t="s">
        <v>202</v>
      </c>
      <c r="D344" s="22" t="s">
        <v>1056</v>
      </c>
      <c r="E344" s="22" t="s">
        <v>57</v>
      </c>
      <c r="F344" s="23">
        <v>-50400</v>
      </c>
      <c r="G344" s="24">
        <v>44614</v>
      </c>
      <c r="H344" s="22" t="s">
        <v>1037</v>
      </c>
      <c r="I344" s="22" t="s">
        <v>375</v>
      </c>
      <c r="J344" s="22"/>
      <c r="K344" s="22"/>
    </row>
    <row r="345" spans="1:11" x14ac:dyDescent="0.25">
      <c r="A345" s="22" t="s">
        <v>1059</v>
      </c>
      <c r="B345" s="22" t="s">
        <v>201</v>
      </c>
      <c r="C345" s="22" t="s">
        <v>202</v>
      </c>
      <c r="D345" s="22" t="s">
        <v>1058</v>
      </c>
      <c r="E345" s="22" t="s">
        <v>57</v>
      </c>
      <c r="F345" s="23">
        <v>-48200</v>
      </c>
      <c r="G345" s="24">
        <v>44608</v>
      </c>
      <c r="H345" s="22" t="s">
        <v>1037</v>
      </c>
      <c r="I345" s="22" t="s">
        <v>375</v>
      </c>
      <c r="J345" s="22"/>
      <c r="K345" s="22"/>
    </row>
    <row r="346" spans="1:11" x14ac:dyDescent="0.25">
      <c r="A346" s="22" t="s">
        <v>1061</v>
      </c>
      <c r="B346" s="22" t="s">
        <v>201</v>
      </c>
      <c r="C346" s="22" t="s">
        <v>202</v>
      </c>
      <c r="D346" s="22" t="s">
        <v>1060</v>
      </c>
      <c r="E346" s="22" t="s">
        <v>57</v>
      </c>
      <c r="F346" s="23">
        <v>-83200</v>
      </c>
      <c r="G346" s="24">
        <v>44586</v>
      </c>
      <c r="H346" s="22" t="s">
        <v>1037</v>
      </c>
      <c r="I346" s="22" t="s">
        <v>375</v>
      </c>
      <c r="J346" s="22"/>
      <c r="K346" s="22"/>
    </row>
    <row r="347" spans="1:11" x14ac:dyDescent="0.25">
      <c r="A347" s="22" t="s">
        <v>1063</v>
      </c>
      <c r="B347" s="22" t="s">
        <v>201</v>
      </c>
      <c r="C347" s="22" t="s">
        <v>202</v>
      </c>
      <c r="D347" s="22" t="s">
        <v>1062</v>
      </c>
      <c r="E347" s="22" t="s">
        <v>57</v>
      </c>
      <c r="F347" s="23">
        <v>-7400</v>
      </c>
      <c r="G347" s="24">
        <v>44586</v>
      </c>
      <c r="H347" s="22" t="s">
        <v>1037</v>
      </c>
      <c r="I347" s="22" t="s">
        <v>375</v>
      </c>
      <c r="J347" s="22"/>
      <c r="K347" s="22"/>
    </row>
    <row r="348" spans="1:11" x14ac:dyDescent="0.25">
      <c r="A348" s="22" t="s">
        <v>1055</v>
      </c>
      <c r="B348" s="22" t="s">
        <v>201</v>
      </c>
      <c r="C348" s="22" t="s">
        <v>202</v>
      </c>
      <c r="D348" s="22" t="s">
        <v>1037</v>
      </c>
      <c r="E348" s="22" t="s">
        <v>45</v>
      </c>
      <c r="F348" s="23">
        <v>-2243360</v>
      </c>
      <c r="G348" s="24">
        <v>44593</v>
      </c>
      <c r="H348" s="22" t="s">
        <v>1037</v>
      </c>
      <c r="I348" s="22"/>
      <c r="J348" s="22"/>
      <c r="K348" s="22"/>
    </row>
    <row r="349" spans="1:11" x14ac:dyDescent="0.25">
      <c r="A349" s="22" t="s">
        <v>1067</v>
      </c>
      <c r="B349" s="22" t="s">
        <v>201</v>
      </c>
      <c r="C349" s="22" t="s">
        <v>202</v>
      </c>
      <c r="D349" s="22" t="s">
        <v>1066</v>
      </c>
      <c r="E349" s="22" t="s">
        <v>57</v>
      </c>
      <c r="F349" s="23">
        <v>-2243360</v>
      </c>
      <c r="G349" s="24">
        <v>44606</v>
      </c>
      <c r="H349" s="22" t="s">
        <v>1038</v>
      </c>
      <c r="I349" s="22" t="s">
        <v>1068</v>
      </c>
      <c r="J349" s="22"/>
      <c r="K349" s="22"/>
    </row>
    <row r="350" spans="1:11" x14ac:dyDescent="0.25">
      <c r="A350" s="22" t="s">
        <v>1070</v>
      </c>
      <c r="B350" s="22" t="s">
        <v>201</v>
      </c>
      <c r="C350" s="22" t="s">
        <v>202</v>
      </c>
      <c r="D350" s="22" t="s">
        <v>1069</v>
      </c>
      <c r="E350" s="22" t="s">
        <v>57</v>
      </c>
      <c r="F350" s="23">
        <v>-140807</v>
      </c>
      <c r="G350" s="24">
        <v>44620</v>
      </c>
      <c r="H350" s="22" t="s">
        <v>1038</v>
      </c>
      <c r="I350" s="22" t="s">
        <v>1071</v>
      </c>
      <c r="J350" s="22"/>
      <c r="K350" s="22"/>
    </row>
    <row r="351" spans="1:11" x14ac:dyDescent="0.25">
      <c r="A351" s="22" t="s">
        <v>1039</v>
      </c>
      <c r="B351" s="22" t="s">
        <v>201</v>
      </c>
      <c r="C351" s="22" t="s">
        <v>202</v>
      </c>
      <c r="D351" s="22" t="s">
        <v>1072</v>
      </c>
      <c r="E351" s="22" t="s">
        <v>57</v>
      </c>
      <c r="F351" s="23">
        <v>-849432</v>
      </c>
      <c r="G351" s="24">
        <v>44609</v>
      </c>
      <c r="H351" s="22" t="s">
        <v>1038</v>
      </c>
      <c r="I351" s="22" t="s">
        <v>1053</v>
      </c>
      <c r="J351" s="22"/>
      <c r="K351" s="22"/>
    </row>
    <row r="352" spans="1:11" x14ac:dyDescent="0.25">
      <c r="A352" s="22" t="s">
        <v>1074</v>
      </c>
      <c r="B352" s="22" t="s">
        <v>201</v>
      </c>
      <c r="C352" s="22" t="s">
        <v>202</v>
      </c>
      <c r="D352" s="22" t="s">
        <v>1073</v>
      </c>
      <c r="E352" s="22" t="s">
        <v>57</v>
      </c>
      <c r="F352" s="23">
        <v>-206064</v>
      </c>
      <c r="G352" s="24">
        <v>44602</v>
      </c>
      <c r="H352" s="22" t="s">
        <v>1038</v>
      </c>
      <c r="I352" s="22" t="s">
        <v>1053</v>
      </c>
      <c r="J352" s="22"/>
      <c r="K352" s="22"/>
    </row>
    <row r="353" spans="1:11" x14ac:dyDescent="0.25">
      <c r="A353" s="22" t="s">
        <v>1076</v>
      </c>
      <c r="B353" s="22" t="s">
        <v>201</v>
      </c>
      <c r="C353" s="22" t="s">
        <v>202</v>
      </c>
      <c r="D353" s="22" t="s">
        <v>1075</v>
      </c>
      <c r="E353" s="22" t="s">
        <v>57</v>
      </c>
      <c r="F353" s="23">
        <v>-32300</v>
      </c>
      <c r="G353" s="24">
        <v>44617</v>
      </c>
      <c r="H353" s="22" t="s">
        <v>1038</v>
      </c>
      <c r="I353" s="22" t="s">
        <v>1077</v>
      </c>
      <c r="J353" s="22"/>
      <c r="K353" s="22"/>
    </row>
    <row r="354" spans="1:11" x14ac:dyDescent="0.25">
      <c r="A354" s="22" t="s">
        <v>1039</v>
      </c>
      <c r="B354" s="22" t="s">
        <v>201</v>
      </c>
      <c r="C354" s="22" t="s">
        <v>202</v>
      </c>
      <c r="D354" s="22" t="s">
        <v>1038</v>
      </c>
      <c r="E354" s="22" t="s">
        <v>45</v>
      </c>
      <c r="F354" s="23">
        <v>-523052</v>
      </c>
      <c r="G354" s="24">
        <v>44609</v>
      </c>
      <c r="H354" s="22" t="s">
        <v>1038</v>
      </c>
      <c r="I354" s="22"/>
      <c r="J354" s="22"/>
      <c r="K354" s="22"/>
    </row>
    <row r="355" spans="1:11" x14ac:dyDescent="0.25">
      <c r="A355" s="22" t="s">
        <v>1079</v>
      </c>
      <c r="B355" s="22" t="s">
        <v>201</v>
      </c>
      <c r="C355" s="22" t="s">
        <v>202</v>
      </c>
      <c r="D355" s="22" t="s">
        <v>1078</v>
      </c>
      <c r="E355" s="22" t="s">
        <v>57</v>
      </c>
      <c r="F355" s="23">
        <v>-51900</v>
      </c>
      <c r="G355" s="24">
        <v>44593</v>
      </c>
      <c r="H355" s="22" t="s">
        <v>976</v>
      </c>
      <c r="I355" s="22" t="s">
        <v>979</v>
      </c>
      <c r="J355" s="22"/>
      <c r="K355" s="22"/>
    </row>
    <row r="356" spans="1:11" x14ac:dyDescent="0.25">
      <c r="A356" s="22" t="s">
        <v>1081</v>
      </c>
      <c r="B356" s="22" t="s">
        <v>201</v>
      </c>
      <c r="C356" s="22" t="s">
        <v>202</v>
      </c>
      <c r="D356" s="22" t="s">
        <v>1080</v>
      </c>
      <c r="E356" s="22" t="s">
        <v>57</v>
      </c>
      <c r="F356" s="23">
        <v>-78800</v>
      </c>
      <c r="G356" s="24">
        <v>44593</v>
      </c>
      <c r="H356" s="22" t="s">
        <v>976</v>
      </c>
      <c r="I356" s="22" t="s">
        <v>979</v>
      </c>
      <c r="J356" s="22"/>
      <c r="K356" s="22"/>
    </row>
    <row r="357" spans="1:11" x14ac:dyDescent="0.25">
      <c r="A357" s="22" t="s">
        <v>1083</v>
      </c>
      <c r="B357" s="22" t="s">
        <v>201</v>
      </c>
      <c r="C357" s="22" t="s">
        <v>202</v>
      </c>
      <c r="D357" s="22" t="s">
        <v>1082</v>
      </c>
      <c r="E357" s="22" t="s">
        <v>57</v>
      </c>
      <c r="F357" s="23">
        <v>-125100</v>
      </c>
      <c r="G357" s="24">
        <v>44595</v>
      </c>
      <c r="H357" s="22" t="s">
        <v>976</v>
      </c>
      <c r="I357" s="22" t="s">
        <v>1084</v>
      </c>
      <c r="J357" s="22"/>
      <c r="K357" s="22"/>
    </row>
    <row r="358" spans="1:11" x14ac:dyDescent="0.25">
      <c r="A358" s="22" t="s">
        <v>1086</v>
      </c>
      <c r="B358" s="22" t="s">
        <v>201</v>
      </c>
      <c r="C358" s="22" t="s">
        <v>202</v>
      </c>
      <c r="D358" s="22" t="s">
        <v>1085</v>
      </c>
      <c r="E358" s="22" t="s">
        <v>57</v>
      </c>
      <c r="F358" s="23">
        <v>-59100</v>
      </c>
      <c r="G358" s="24">
        <v>44593</v>
      </c>
      <c r="H358" s="22" t="s">
        <v>976</v>
      </c>
      <c r="I358" s="22" t="s">
        <v>1087</v>
      </c>
      <c r="J358" s="22"/>
      <c r="K358" s="22"/>
    </row>
    <row r="359" spans="1:11" x14ac:dyDescent="0.25">
      <c r="A359" s="22" t="s">
        <v>1081</v>
      </c>
      <c r="B359" s="22" t="s">
        <v>201</v>
      </c>
      <c r="C359" s="22" t="s">
        <v>202</v>
      </c>
      <c r="D359" s="22" t="s">
        <v>976</v>
      </c>
      <c r="E359" s="22" t="s">
        <v>45</v>
      </c>
      <c r="F359" s="23">
        <v>-1040771</v>
      </c>
      <c r="G359" s="24">
        <v>44593</v>
      </c>
      <c r="H359" s="22" t="s">
        <v>976</v>
      </c>
      <c r="I359" s="22"/>
      <c r="J359" s="22"/>
      <c r="K359" s="22"/>
    </row>
    <row r="360" spans="1:11" x14ac:dyDescent="0.25">
      <c r="A360" s="22" t="s">
        <v>1089</v>
      </c>
      <c r="B360" s="22" t="s">
        <v>201</v>
      </c>
      <c r="C360" s="22" t="s">
        <v>202</v>
      </c>
      <c r="D360" s="22" t="s">
        <v>1088</v>
      </c>
      <c r="E360" s="22" t="s">
        <v>45</v>
      </c>
      <c r="F360" s="23">
        <v>-2254759</v>
      </c>
      <c r="G360" s="24">
        <v>44670</v>
      </c>
      <c r="H360" s="22" t="s">
        <v>1088</v>
      </c>
      <c r="I360" s="22" t="s">
        <v>230</v>
      </c>
      <c r="J360" s="22"/>
      <c r="K360" s="22"/>
    </row>
    <row r="361" spans="1:11" x14ac:dyDescent="0.25">
      <c r="A361" s="22" t="s">
        <v>1092</v>
      </c>
      <c r="B361" s="22" t="s">
        <v>201</v>
      </c>
      <c r="C361" s="22" t="s">
        <v>202</v>
      </c>
      <c r="D361" s="22" t="s">
        <v>1091</v>
      </c>
      <c r="E361" s="22" t="s">
        <v>57</v>
      </c>
      <c r="F361" s="23">
        <v>-254263</v>
      </c>
      <c r="G361" s="24">
        <v>44596</v>
      </c>
      <c r="H361" s="22" t="s">
        <v>1088</v>
      </c>
      <c r="I361" s="22" t="s">
        <v>1093</v>
      </c>
      <c r="J361" s="22"/>
      <c r="K361" s="22"/>
    </row>
    <row r="362" spans="1:11" x14ac:dyDescent="0.25">
      <c r="A362" s="22" t="s">
        <v>1095</v>
      </c>
      <c r="B362" s="22" t="s">
        <v>201</v>
      </c>
      <c r="C362" s="22" t="s">
        <v>202</v>
      </c>
      <c r="D362" s="22" t="s">
        <v>1094</v>
      </c>
      <c r="E362" s="22" t="s">
        <v>57</v>
      </c>
      <c r="F362" s="23">
        <v>-1862596</v>
      </c>
      <c r="G362" s="24">
        <v>44615</v>
      </c>
      <c r="H362" s="22" t="s">
        <v>1088</v>
      </c>
      <c r="I362" s="22" t="s">
        <v>1096</v>
      </c>
      <c r="J362" s="22"/>
      <c r="K362" s="22"/>
    </row>
    <row r="363" spans="1:11" x14ac:dyDescent="0.25">
      <c r="A363" s="22" t="s">
        <v>1098</v>
      </c>
      <c r="B363" s="22" t="s">
        <v>201</v>
      </c>
      <c r="C363" s="22" t="s">
        <v>202</v>
      </c>
      <c r="D363" s="22" t="s">
        <v>1097</v>
      </c>
      <c r="E363" s="22" t="s">
        <v>57</v>
      </c>
      <c r="F363" s="23">
        <v>-137900</v>
      </c>
      <c r="G363" s="24">
        <v>44601</v>
      </c>
      <c r="H363" s="22" t="s">
        <v>1088</v>
      </c>
      <c r="I363" s="22" t="s">
        <v>1099</v>
      </c>
      <c r="J363" s="22"/>
      <c r="K363" s="22"/>
    </row>
    <row r="364" spans="1:11" x14ac:dyDescent="0.25">
      <c r="A364" s="22" t="s">
        <v>1101</v>
      </c>
      <c r="B364" s="22" t="s">
        <v>201</v>
      </c>
      <c r="C364" s="22" t="s">
        <v>202</v>
      </c>
      <c r="D364" s="22" t="s">
        <v>1100</v>
      </c>
      <c r="E364" s="22" t="s">
        <v>45</v>
      </c>
      <c r="F364" s="23">
        <v>-59994</v>
      </c>
      <c r="G364" s="24">
        <v>44670</v>
      </c>
      <c r="H364" s="22" t="s">
        <v>1100</v>
      </c>
      <c r="I364" s="22" t="s">
        <v>230</v>
      </c>
      <c r="J364" s="22"/>
      <c r="K364" s="22"/>
    </row>
    <row r="365" spans="1:11" x14ac:dyDescent="0.25">
      <c r="A365" s="22" t="s">
        <v>1104</v>
      </c>
      <c r="B365" s="22" t="s">
        <v>201</v>
      </c>
      <c r="C365" s="22" t="s">
        <v>202</v>
      </c>
      <c r="D365" s="22" t="s">
        <v>1103</v>
      </c>
      <c r="E365" s="22" t="s">
        <v>57</v>
      </c>
      <c r="F365" s="23">
        <v>-59163</v>
      </c>
      <c r="G365" s="24">
        <v>44594</v>
      </c>
      <c r="H365" s="22" t="s">
        <v>1100</v>
      </c>
      <c r="I365" s="22" t="s">
        <v>1105</v>
      </c>
      <c r="J365" s="22"/>
      <c r="K365" s="22"/>
    </row>
    <row r="366" spans="1:11" x14ac:dyDescent="0.25">
      <c r="A366" s="22" t="s">
        <v>1107</v>
      </c>
      <c r="B366" s="22" t="s">
        <v>201</v>
      </c>
      <c r="C366" s="22" t="s">
        <v>202</v>
      </c>
      <c r="D366" s="22" t="s">
        <v>1106</v>
      </c>
      <c r="E366" s="22" t="s">
        <v>45</v>
      </c>
      <c r="F366" s="23">
        <v>-894</v>
      </c>
      <c r="G366" s="24">
        <v>44609</v>
      </c>
      <c r="H366" s="22" t="s">
        <v>1100</v>
      </c>
      <c r="I366" s="22" t="s">
        <v>1108</v>
      </c>
      <c r="J366" s="22"/>
      <c r="K366" s="22"/>
    </row>
    <row r="367" spans="1:11" x14ac:dyDescent="0.25">
      <c r="A367" s="22" t="s">
        <v>1110</v>
      </c>
      <c r="B367" s="22" t="s">
        <v>201</v>
      </c>
      <c r="C367" s="22" t="s">
        <v>202</v>
      </c>
      <c r="D367" s="22" t="s">
        <v>1109</v>
      </c>
      <c r="E367" s="22" t="s">
        <v>57</v>
      </c>
      <c r="F367" s="23">
        <v>-59100</v>
      </c>
      <c r="G367" s="24">
        <v>44596</v>
      </c>
      <c r="H367" s="22" t="s">
        <v>1100</v>
      </c>
      <c r="I367" s="22" t="s">
        <v>1111</v>
      </c>
      <c r="J367" s="22"/>
      <c r="K367" s="22"/>
    </row>
    <row r="368" spans="1:11" x14ac:dyDescent="0.25">
      <c r="A368" s="22" t="s">
        <v>1115</v>
      </c>
      <c r="B368" s="22" t="s">
        <v>201</v>
      </c>
      <c r="C368" s="22" t="s">
        <v>202</v>
      </c>
      <c r="D368" s="22" t="s">
        <v>1114</v>
      </c>
      <c r="E368" s="22" t="s">
        <v>57</v>
      </c>
      <c r="F368" s="23">
        <v>-59100</v>
      </c>
      <c r="G368" s="24">
        <v>44618</v>
      </c>
      <c r="H368" s="22" t="s">
        <v>1106</v>
      </c>
      <c r="I368" s="22" t="s">
        <v>1116</v>
      </c>
      <c r="J368" s="22"/>
      <c r="K368" s="22"/>
    </row>
    <row r="369" spans="1:11" x14ac:dyDescent="0.25">
      <c r="A369" s="22" t="s">
        <v>1118</v>
      </c>
      <c r="B369" s="22" t="s">
        <v>201</v>
      </c>
      <c r="C369" s="22" t="s">
        <v>202</v>
      </c>
      <c r="D369" s="22" t="s">
        <v>1117</v>
      </c>
      <c r="E369" s="22" t="s">
        <v>57</v>
      </c>
      <c r="F369" s="23">
        <v>-261837</v>
      </c>
      <c r="G369" s="24">
        <v>44602</v>
      </c>
      <c r="H369" s="22" t="s">
        <v>1106</v>
      </c>
      <c r="I369" s="22" t="s">
        <v>1119</v>
      </c>
      <c r="J369" s="22"/>
      <c r="K369" s="22"/>
    </row>
    <row r="370" spans="1:11" x14ac:dyDescent="0.25">
      <c r="A370" s="22" t="s">
        <v>1107</v>
      </c>
      <c r="B370" s="22" t="s">
        <v>201</v>
      </c>
      <c r="C370" s="22" t="s">
        <v>202</v>
      </c>
      <c r="D370" s="22" t="s">
        <v>1120</v>
      </c>
      <c r="E370" s="22" t="s">
        <v>57</v>
      </c>
      <c r="F370" s="23">
        <v>-60057</v>
      </c>
      <c r="G370" s="24">
        <v>44609</v>
      </c>
      <c r="H370" s="22" t="s">
        <v>1106</v>
      </c>
      <c r="I370" s="22" t="s">
        <v>1121</v>
      </c>
      <c r="J370" s="22"/>
      <c r="K370" s="22"/>
    </row>
    <row r="371" spans="1:11" x14ac:dyDescent="0.25">
      <c r="A371" s="22" t="s">
        <v>1107</v>
      </c>
      <c r="B371" s="22" t="s">
        <v>201</v>
      </c>
      <c r="C371" s="22" t="s">
        <v>202</v>
      </c>
      <c r="D371" s="22" t="s">
        <v>1106</v>
      </c>
      <c r="E371" s="22" t="s">
        <v>45</v>
      </c>
      <c r="F371" s="23">
        <v>-59163</v>
      </c>
      <c r="G371" s="24">
        <v>44609</v>
      </c>
      <c r="H371" s="22" t="s">
        <v>1106</v>
      </c>
      <c r="I371" s="22"/>
      <c r="J371" s="22"/>
      <c r="K371" s="22"/>
    </row>
    <row r="372" spans="1:11" x14ac:dyDescent="0.25">
      <c r="A372" s="22" t="s">
        <v>1123</v>
      </c>
      <c r="B372" s="22" t="s">
        <v>201</v>
      </c>
      <c r="C372" s="22" t="s">
        <v>202</v>
      </c>
      <c r="D372" s="22" t="s">
        <v>1122</v>
      </c>
      <c r="E372" s="22" t="s">
        <v>57</v>
      </c>
      <c r="F372" s="23">
        <v>-113724</v>
      </c>
      <c r="G372" s="24">
        <v>44620</v>
      </c>
      <c r="H372" s="22" t="s">
        <v>1124</v>
      </c>
      <c r="I372" s="22" t="s">
        <v>1125</v>
      </c>
      <c r="J372" s="22"/>
      <c r="K372" s="22"/>
    </row>
    <row r="373" spans="1:11" x14ac:dyDescent="0.25">
      <c r="A373" s="22" t="s">
        <v>1127</v>
      </c>
      <c r="B373" s="22" t="s">
        <v>201</v>
      </c>
      <c r="C373" s="22" t="s">
        <v>202</v>
      </c>
      <c r="D373" s="22" t="s">
        <v>1126</v>
      </c>
      <c r="E373" s="22" t="s">
        <v>57</v>
      </c>
      <c r="F373" s="23">
        <v>-1000455</v>
      </c>
      <c r="G373" s="24">
        <v>44619</v>
      </c>
      <c r="H373" s="22" t="s">
        <v>1124</v>
      </c>
      <c r="I373" s="22" t="s">
        <v>1128</v>
      </c>
      <c r="J373" s="22"/>
      <c r="K373" s="22"/>
    </row>
    <row r="374" spans="1:11" x14ac:dyDescent="0.25">
      <c r="A374" s="22" t="s">
        <v>1130</v>
      </c>
      <c r="B374" s="22" t="s">
        <v>201</v>
      </c>
      <c r="C374" s="22" t="s">
        <v>202</v>
      </c>
      <c r="D374" s="22" t="s">
        <v>1129</v>
      </c>
      <c r="E374" s="22" t="s">
        <v>57</v>
      </c>
      <c r="F374" s="23">
        <v>-59978</v>
      </c>
      <c r="G374" s="24">
        <v>44618</v>
      </c>
      <c r="H374" s="22" t="s">
        <v>1124</v>
      </c>
      <c r="I374" s="22" t="s">
        <v>1131</v>
      </c>
      <c r="J374" s="22"/>
      <c r="K374" s="22"/>
    </row>
    <row r="375" spans="1:11" x14ac:dyDescent="0.25">
      <c r="A375" s="22" t="s">
        <v>1133</v>
      </c>
      <c r="B375" s="22" t="s">
        <v>201</v>
      </c>
      <c r="C375" s="22" t="s">
        <v>202</v>
      </c>
      <c r="D375" s="22" t="s">
        <v>1132</v>
      </c>
      <c r="E375" s="22" t="s">
        <v>57</v>
      </c>
      <c r="F375" s="23">
        <v>-747494</v>
      </c>
      <c r="G375" s="24">
        <v>44613</v>
      </c>
      <c r="H375" s="22" t="s">
        <v>1124</v>
      </c>
      <c r="I375" s="22" t="s">
        <v>1134</v>
      </c>
      <c r="J375" s="22"/>
      <c r="K375" s="22"/>
    </row>
    <row r="376" spans="1:11" x14ac:dyDescent="0.25">
      <c r="A376" s="22" t="s">
        <v>1136</v>
      </c>
      <c r="B376" s="22" t="s">
        <v>201</v>
      </c>
      <c r="C376" s="22" t="s">
        <v>202</v>
      </c>
      <c r="D376" s="22" t="s">
        <v>1135</v>
      </c>
      <c r="E376" s="22" t="s">
        <v>45</v>
      </c>
      <c r="F376" s="23">
        <v>-94662</v>
      </c>
      <c r="G376" s="24">
        <v>44615</v>
      </c>
      <c r="H376" s="22" t="s">
        <v>1124</v>
      </c>
      <c r="I376" s="22" t="s">
        <v>1137</v>
      </c>
      <c r="J376" s="22"/>
      <c r="K376" s="22"/>
    </row>
    <row r="377" spans="1:11" x14ac:dyDescent="0.25">
      <c r="A377" s="22" t="s">
        <v>1139</v>
      </c>
      <c r="B377" s="22" t="s">
        <v>201</v>
      </c>
      <c r="C377" s="22" t="s">
        <v>202</v>
      </c>
      <c r="D377" s="22" t="s">
        <v>1138</v>
      </c>
      <c r="E377" s="22" t="s">
        <v>45</v>
      </c>
      <c r="F377" s="23">
        <v>-48485</v>
      </c>
      <c r="G377" s="24">
        <v>44611</v>
      </c>
      <c r="H377" s="22" t="s">
        <v>1124</v>
      </c>
      <c r="I377" s="22" t="s">
        <v>1140</v>
      </c>
      <c r="J377" s="22"/>
      <c r="K377" s="22"/>
    </row>
    <row r="378" spans="1:11" x14ac:dyDescent="0.25">
      <c r="A378" s="22" t="s">
        <v>1142</v>
      </c>
      <c r="B378" s="22" t="s">
        <v>201</v>
      </c>
      <c r="C378" s="22" t="s">
        <v>202</v>
      </c>
      <c r="D378" s="22" t="s">
        <v>1141</v>
      </c>
      <c r="E378" s="22" t="s">
        <v>45</v>
      </c>
      <c r="F378" s="23">
        <v>-80117</v>
      </c>
      <c r="G378" s="24">
        <v>44610</v>
      </c>
      <c r="H378" s="22" t="s">
        <v>1124</v>
      </c>
      <c r="I378" s="22" t="s">
        <v>1143</v>
      </c>
      <c r="J378" s="22"/>
      <c r="K378" s="22"/>
    </row>
    <row r="379" spans="1:11" x14ac:dyDescent="0.25">
      <c r="A379" s="22" t="s">
        <v>1145</v>
      </c>
      <c r="B379" s="22" t="s">
        <v>201</v>
      </c>
      <c r="C379" s="22" t="s">
        <v>202</v>
      </c>
      <c r="D379" s="22" t="s">
        <v>1144</v>
      </c>
      <c r="E379" s="22" t="s">
        <v>45</v>
      </c>
      <c r="F379" s="23">
        <v>-46851</v>
      </c>
      <c r="G379" s="24">
        <v>44606</v>
      </c>
      <c r="H379" s="22" t="s">
        <v>1124</v>
      </c>
      <c r="I379" s="22" t="s">
        <v>1146</v>
      </c>
      <c r="J379" s="22"/>
      <c r="K379" s="22"/>
    </row>
    <row r="380" spans="1:11" x14ac:dyDescent="0.25">
      <c r="A380" s="22" t="s">
        <v>1148</v>
      </c>
      <c r="B380" s="22" t="s">
        <v>201</v>
      </c>
      <c r="C380" s="22" t="s">
        <v>202</v>
      </c>
      <c r="D380" s="22" t="s">
        <v>1147</v>
      </c>
      <c r="E380" s="22" t="s">
        <v>45</v>
      </c>
      <c r="F380" s="23">
        <v>-10821</v>
      </c>
      <c r="G380" s="24">
        <v>44593</v>
      </c>
      <c r="H380" s="22" t="s">
        <v>1124</v>
      </c>
      <c r="I380" s="22" t="s">
        <v>1149</v>
      </c>
      <c r="J380" s="22"/>
      <c r="K380" s="22"/>
    </row>
    <row r="381" spans="1:11" x14ac:dyDescent="0.25">
      <c r="A381" s="22" t="s">
        <v>1151</v>
      </c>
      <c r="B381" s="22" t="s">
        <v>201</v>
      </c>
      <c r="C381" s="22" t="s">
        <v>202</v>
      </c>
      <c r="D381" s="22" t="s">
        <v>1150</v>
      </c>
      <c r="E381" s="22" t="s">
        <v>57</v>
      </c>
      <c r="F381" s="23">
        <v>-858211</v>
      </c>
      <c r="G381" s="24">
        <v>44620</v>
      </c>
      <c r="H381" s="22" t="s">
        <v>1124</v>
      </c>
      <c r="I381" s="22" t="s">
        <v>1015</v>
      </c>
      <c r="J381" s="22"/>
      <c r="K381" s="22"/>
    </row>
    <row r="382" spans="1:11" x14ac:dyDescent="0.25">
      <c r="A382" s="22" t="s">
        <v>1153</v>
      </c>
      <c r="B382" s="22" t="s">
        <v>201</v>
      </c>
      <c r="C382" s="22" t="s">
        <v>202</v>
      </c>
      <c r="D382" s="22" t="s">
        <v>1152</v>
      </c>
      <c r="E382" s="22" t="s">
        <v>57</v>
      </c>
      <c r="F382" s="23">
        <v>-59978</v>
      </c>
      <c r="G382" s="24">
        <v>44617</v>
      </c>
      <c r="H382" s="22" t="s">
        <v>1124</v>
      </c>
      <c r="I382" s="22" t="s">
        <v>1154</v>
      </c>
      <c r="J382" s="22"/>
      <c r="K382" s="22"/>
    </row>
    <row r="383" spans="1:11" x14ac:dyDescent="0.25">
      <c r="A383" s="22" t="s">
        <v>1156</v>
      </c>
      <c r="B383" s="22" t="s">
        <v>201</v>
      </c>
      <c r="C383" s="22" t="s">
        <v>202</v>
      </c>
      <c r="D383" s="22" t="s">
        <v>1155</v>
      </c>
      <c r="E383" s="22" t="s">
        <v>57</v>
      </c>
      <c r="F383" s="23">
        <v>-103500</v>
      </c>
      <c r="G383" s="24">
        <v>44616</v>
      </c>
      <c r="H383" s="22" t="s">
        <v>1124</v>
      </c>
      <c r="I383" s="22" t="s">
        <v>785</v>
      </c>
      <c r="J383" s="22"/>
      <c r="K383" s="22"/>
    </row>
    <row r="384" spans="1:11" x14ac:dyDescent="0.25">
      <c r="A384" s="22" t="s">
        <v>1158</v>
      </c>
      <c r="B384" s="22" t="s">
        <v>201</v>
      </c>
      <c r="C384" s="22" t="s">
        <v>202</v>
      </c>
      <c r="D384" s="22" t="s">
        <v>1157</v>
      </c>
      <c r="E384" s="22" t="s">
        <v>57</v>
      </c>
      <c r="F384" s="23">
        <v>-681928</v>
      </c>
      <c r="G384" s="24">
        <v>44599</v>
      </c>
      <c r="H384" s="22" t="s">
        <v>1124</v>
      </c>
      <c r="I384" s="22" t="s">
        <v>1159</v>
      </c>
      <c r="J384" s="22"/>
      <c r="K384" s="22"/>
    </row>
    <row r="385" spans="1:11" x14ac:dyDescent="0.25">
      <c r="A385" s="22" t="s">
        <v>1161</v>
      </c>
      <c r="B385" s="22" t="s">
        <v>201</v>
      </c>
      <c r="C385" s="22" t="s">
        <v>202</v>
      </c>
      <c r="D385" s="22" t="s">
        <v>1160</v>
      </c>
      <c r="E385" s="22" t="s">
        <v>57</v>
      </c>
      <c r="F385" s="23">
        <v>-32300</v>
      </c>
      <c r="G385" s="24">
        <v>44620</v>
      </c>
      <c r="H385" s="22" t="s">
        <v>1124</v>
      </c>
      <c r="I385" s="22" t="s">
        <v>280</v>
      </c>
      <c r="J385" s="22"/>
      <c r="K385" s="22"/>
    </row>
    <row r="386" spans="1:11" x14ac:dyDescent="0.25">
      <c r="A386" s="22" t="s">
        <v>1163</v>
      </c>
      <c r="B386" s="22" t="s">
        <v>201</v>
      </c>
      <c r="C386" s="22" t="s">
        <v>202</v>
      </c>
      <c r="D386" s="22" t="s">
        <v>1162</v>
      </c>
      <c r="E386" s="22" t="s">
        <v>57</v>
      </c>
      <c r="F386" s="23">
        <v>-32300</v>
      </c>
      <c r="G386" s="24">
        <v>44620</v>
      </c>
      <c r="H386" s="22" t="s">
        <v>1124</v>
      </c>
      <c r="I386" s="22" t="s">
        <v>1164</v>
      </c>
      <c r="J386" s="22"/>
      <c r="K386" s="22"/>
    </row>
    <row r="387" spans="1:11" x14ac:dyDescent="0.25">
      <c r="A387" s="22" t="s">
        <v>1166</v>
      </c>
      <c r="B387" s="22" t="s">
        <v>201</v>
      </c>
      <c r="C387" s="22" t="s">
        <v>202</v>
      </c>
      <c r="D387" s="22" t="s">
        <v>1165</v>
      </c>
      <c r="E387" s="22" t="s">
        <v>57</v>
      </c>
      <c r="F387" s="23">
        <v>-49900</v>
      </c>
      <c r="G387" s="24">
        <v>44616</v>
      </c>
      <c r="H387" s="22" t="s">
        <v>1124</v>
      </c>
      <c r="I387" s="22" t="s">
        <v>1167</v>
      </c>
      <c r="J387" s="22"/>
      <c r="K387" s="22"/>
    </row>
    <row r="388" spans="1:11" x14ac:dyDescent="0.25">
      <c r="A388" s="22" t="s">
        <v>1169</v>
      </c>
      <c r="B388" s="22" t="s">
        <v>201</v>
      </c>
      <c r="C388" s="22" t="s">
        <v>202</v>
      </c>
      <c r="D388" s="22" t="s">
        <v>1168</v>
      </c>
      <c r="E388" s="22" t="s">
        <v>57</v>
      </c>
      <c r="F388" s="23">
        <v>-48200</v>
      </c>
      <c r="G388" s="24">
        <v>44615</v>
      </c>
      <c r="H388" s="22" t="s">
        <v>1124</v>
      </c>
      <c r="I388" s="22" t="s">
        <v>919</v>
      </c>
      <c r="J388" s="22"/>
      <c r="K388" s="22"/>
    </row>
    <row r="389" spans="1:11" x14ac:dyDescent="0.25">
      <c r="A389" s="22" t="s">
        <v>44</v>
      </c>
      <c r="B389" s="22" t="s">
        <v>201</v>
      </c>
      <c r="C389" s="22" t="s">
        <v>202</v>
      </c>
      <c r="D389" s="22" t="s">
        <v>1124</v>
      </c>
      <c r="E389" s="22" t="s">
        <v>45</v>
      </c>
      <c r="F389" s="23">
        <v>-6075292</v>
      </c>
      <c r="G389" s="24">
        <v>44580</v>
      </c>
      <c r="H389" s="22" t="s">
        <v>1124</v>
      </c>
      <c r="I389" s="22"/>
      <c r="J389" s="22"/>
      <c r="K389" s="22"/>
    </row>
    <row r="390" spans="1:11" x14ac:dyDescent="0.25">
      <c r="A390" s="22" t="s">
        <v>1174</v>
      </c>
      <c r="B390" s="22" t="s">
        <v>201</v>
      </c>
      <c r="C390" s="22" t="s">
        <v>202</v>
      </c>
      <c r="D390" s="22" t="s">
        <v>1173</v>
      </c>
      <c r="E390" s="22" t="s">
        <v>57</v>
      </c>
      <c r="F390" s="23">
        <v>-36000</v>
      </c>
      <c r="G390" s="24">
        <v>44615</v>
      </c>
      <c r="H390" s="22" t="s">
        <v>1172</v>
      </c>
      <c r="I390" s="22" t="s">
        <v>1175</v>
      </c>
      <c r="J390" s="22"/>
      <c r="K390" s="22"/>
    </row>
    <row r="391" spans="1:11" x14ac:dyDescent="0.25">
      <c r="A391" s="22" t="s">
        <v>1177</v>
      </c>
      <c r="B391" s="22" t="s">
        <v>201</v>
      </c>
      <c r="C391" s="22" t="s">
        <v>202</v>
      </c>
      <c r="D391" s="22" t="s">
        <v>1176</v>
      </c>
      <c r="E391" s="22" t="s">
        <v>57</v>
      </c>
      <c r="F391" s="23">
        <v>-19300</v>
      </c>
      <c r="G391" s="24">
        <v>44615</v>
      </c>
      <c r="H391" s="22" t="s">
        <v>1172</v>
      </c>
      <c r="I391" s="22" t="s">
        <v>919</v>
      </c>
      <c r="J391" s="22"/>
      <c r="K391" s="22"/>
    </row>
    <row r="392" spans="1:11" x14ac:dyDescent="0.25">
      <c r="A392" s="22" t="s">
        <v>1174</v>
      </c>
      <c r="B392" s="22" t="s">
        <v>201</v>
      </c>
      <c r="C392" s="22" t="s">
        <v>202</v>
      </c>
      <c r="D392" s="22" t="s">
        <v>1172</v>
      </c>
      <c r="E392" s="22" t="s">
        <v>45</v>
      </c>
      <c r="F392" s="23">
        <v>-15900</v>
      </c>
      <c r="G392" s="24">
        <v>44615</v>
      </c>
      <c r="H392" s="22" t="s">
        <v>1172</v>
      </c>
      <c r="I392" s="22"/>
      <c r="J392" s="22"/>
      <c r="K392" s="22"/>
    </row>
    <row r="393" spans="1:11" x14ac:dyDescent="0.25">
      <c r="A393" s="22" t="s">
        <v>948</v>
      </c>
      <c r="B393" s="22" t="s">
        <v>201</v>
      </c>
      <c r="C393" s="22" t="s">
        <v>202</v>
      </c>
      <c r="D393" s="22" t="s">
        <v>946</v>
      </c>
      <c r="E393" s="22" t="s">
        <v>45</v>
      </c>
      <c r="F393" s="23">
        <v>-228172</v>
      </c>
      <c r="G393" s="24">
        <v>44588</v>
      </c>
      <c r="H393" s="22" t="s">
        <v>1180</v>
      </c>
      <c r="I393" s="22" t="s">
        <v>1181</v>
      </c>
      <c r="J393" s="22"/>
      <c r="K393" s="22"/>
    </row>
    <row r="394" spans="1:11" x14ac:dyDescent="0.25">
      <c r="A394" s="22" t="s">
        <v>1183</v>
      </c>
      <c r="B394" s="22" t="s">
        <v>201</v>
      </c>
      <c r="C394" s="22" t="s">
        <v>202</v>
      </c>
      <c r="D394" s="22" t="s">
        <v>1182</v>
      </c>
      <c r="E394" s="22" t="s">
        <v>45</v>
      </c>
      <c r="F394" s="23">
        <v>-17814</v>
      </c>
      <c r="G394" s="24">
        <v>44614</v>
      </c>
      <c r="H394" s="22" t="s">
        <v>1180</v>
      </c>
      <c r="I394" s="22" t="s">
        <v>1184</v>
      </c>
      <c r="J394" s="22"/>
      <c r="K394" s="22"/>
    </row>
    <row r="395" spans="1:11" x14ac:dyDescent="0.25">
      <c r="A395" s="22" t="s">
        <v>1186</v>
      </c>
      <c r="B395" s="22" t="s">
        <v>201</v>
      </c>
      <c r="C395" s="22" t="s">
        <v>202</v>
      </c>
      <c r="D395" s="22" t="s">
        <v>1185</v>
      </c>
      <c r="E395" s="22" t="s">
        <v>45</v>
      </c>
      <c r="F395" s="23">
        <v>-75913</v>
      </c>
      <c r="G395" s="24">
        <v>44609</v>
      </c>
      <c r="H395" s="22" t="s">
        <v>1180</v>
      </c>
      <c r="I395" s="22" t="s">
        <v>1187</v>
      </c>
      <c r="J395" s="22"/>
      <c r="K395" s="22"/>
    </row>
    <row r="396" spans="1:11" x14ac:dyDescent="0.25">
      <c r="A396" s="22" t="s">
        <v>948</v>
      </c>
      <c r="B396" s="22" t="s">
        <v>201</v>
      </c>
      <c r="C396" s="22" t="s">
        <v>202</v>
      </c>
      <c r="D396" s="22" t="s">
        <v>1180</v>
      </c>
      <c r="E396" s="22" t="s">
        <v>45</v>
      </c>
      <c r="F396" s="23">
        <v>-78503</v>
      </c>
      <c r="G396" s="24">
        <v>44588</v>
      </c>
      <c r="H396" s="22" t="s">
        <v>1180</v>
      </c>
      <c r="I396" s="22"/>
      <c r="J396" s="22"/>
      <c r="K396" s="22"/>
    </row>
    <row r="397" spans="1:11" x14ac:dyDescent="0.25">
      <c r="A397" s="22" t="s">
        <v>1186</v>
      </c>
      <c r="B397" s="22" t="s">
        <v>201</v>
      </c>
      <c r="C397" s="22" t="s">
        <v>202</v>
      </c>
      <c r="D397" s="22" t="s">
        <v>1190</v>
      </c>
      <c r="E397" s="22" t="s">
        <v>57</v>
      </c>
      <c r="F397" s="23">
        <v>-136500</v>
      </c>
      <c r="G397" s="24">
        <v>44609</v>
      </c>
      <c r="H397" s="22" t="s">
        <v>1185</v>
      </c>
      <c r="I397" s="22" t="s">
        <v>1191</v>
      </c>
      <c r="J397" s="22"/>
      <c r="K397" s="22"/>
    </row>
    <row r="398" spans="1:11" x14ac:dyDescent="0.25">
      <c r="A398" s="22" t="s">
        <v>1186</v>
      </c>
      <c r="B398" s="22" t="s">
        <v>201</v>
      </c>
      <c r="C398" s="22" t="s">
        <v>202</v>
      </c>
      <c r="D398" s="22" t="s">
        <v>1185</v>
      </c>
      <c r="E398" s="22" t="s">
        <v>45</v>
      </c>
      <c r="F398" s="23">
        <v>-60587</v>
      </c>
      <c r="G398" s="24">
        <v>44609</v>
      </c>
      <c r="H398" s="22" t="s">
        <v>1185</v>
      </c>
      <c r="I398" s="22"/>
      <c r="J398" s="22"/>
      <c r="K398" s="22"/>
    </row>
    <row r="399" spans="1:11" x14ac:dyDescent="0.25">
      <c r="A399" s="22" t="s">
        <v>117</v>
      </c>
      <c r="B399" s="22" t="s">
        <v>201</v>
      </c>
      <c r="C399" s="22" t="s">
        <v>202</v>
      </c>
      <c r="D399" s="22" t="s">
        <v>119</v>
      </c>
      <c r="E399" s="22" t="s">
        <v>57</v>
      </c>
      <c r="F399" s="23">
        <v>-6881317</v>
      </c>
      <c r="G399" s="24">
        <v>44618</v>
      </c>
      <c r="H399" s="22" t="s">
        <v>1193</v>
      </c>
      <c r="I399" s="22" t="s">
        <v>1194</v>
      </c>
      <c r="J399" s="22"/>
      <c r="K399" s="22"/>
    </row>
    <row r="400" spans="1:11" x14ac:dyDescent="0.25">
      <c r="A400" s="22" t="s">
        <v>50</v>
      </c>
      <c r="B400" s="22" t="s">
        <v>201</v>
      </c>
      <c r="C400" s="22" t="s">
        <v>202</v>
      </c>
      <c r="D400" s="22" t="s">
        <v>1193</v>
      </c>
      <c r="E400" s="22" t="s">
        <v>45</v>
      </c>
      <c r="F400" s="23">
        <v>-38219087</v>
      </c>
      <c r="G400" s="24">
        <v>44537</v>
      </c>
      <c r="H400" s="22" t="s">
        <v>1193</v>
      </c>
      <c r="I400" s="22"/>
      <c r="J400" s="22"/>
      <c r="K400" s="22"/>
    </row>
    <row r="401" spans="1:11" x14ac:dyDescent="0.25">
      <c r="A401" s="22" t="s">
        <v>948</v>
      </c>
      <c r="B401" s="22" t="s">
        <v>201</v>
      </c>
      <c r="C401" s="22" t="s">
        <v>202</v>
      </c>
      <c r="D401" s="22" t="s">
        <v>1180</v>
      </c>
      <c r="E401" s="22" t="s">
        <v>45</v>
      </c>
      <c r="F401" s="23">
        <v>-15224</v>
      </c>
      <c r="G401" s="24">
        <v>44588</v>
      </c>
      <c r="H401" s="22" t="s">
        <v>1124</v>
      </c>
      <c r="I401" s="22" t="s">
        <v>1196</v>
      </c>
      <c r="J401" s="22"/>
      <c r="K401" s="22"/>
    </row>
    <row r="402" spans="1:11" x14ac:dyDescent="0.25">
      <c r="A402" s="22" t="s">
        <v>121</v>
      </c>
      <c r="B402" s="22" t="s">
        <v>201</v>
      </c>
      <c r="C402" s="22" t="s">
        <v>202</v>
      </c>
      <c r="D402" s="22" t="s">
        <v>123</v>
      </c>
      <c r="E402" s="22" t="s">
        <v>57</v>
      </c>
      <c r="F402" s="23">
        <v>-5303623</v>
      </c>
      <c r="G402" s="24">
        <v>44590</v>
      </c>
      <c r="H402" s="22" t="s">
        <v>1124</v>
      </c>
      <c r="I402" s="22" t="s">
        <v>1197</v>
      </c>
      <c r="J402" s="22"/>
      <c r="K402" s="22"/>
    </row>
    <row r="403" spans="1:11" x14ac:dyDescent="0.25">
      <c r="A403" s="22" t="s">
        <v>1174</v>
      </c>
      <c r="B403" s="22" t="s">
        <v>201</v>
      </c>
      <c r="C403" s="22" t="s">
        <v>202</v>
      </c>
      <c r="D403" s="22" t="s">
        <v>1172</v>
      </c>
      <c r="E403" s="22" t="s">
        <v>45</v>
      </c>
      <c r="F403" s="23">
        <v>-3400</v>
      </c>
      <c r="G403" s="24">
        <v>44615</v>
      </c>
      <c r="H403" s="22" t="s">
        <v>1124</v>
      </c>
      <c r="I403" s="22" t="s">
        <v>1198</v>
      </c>
      <c r="J403" s="22"/>
      <c r="K403" s="22"/>
    </row>
    <row r="404" spans="1:11" x14ac:dyDescent="0.25">
      <c r="A404" s="22" t="s">
        <v>1200</v>
      </c>
      <c r="B404" s="22" t="s">
        <v>201</v>
      </c>
      <c r="C404" s="22" t="s">
        <v>202</v>
      </c>
      <c r="D404" s="22" t="s">
        <v>1199</v>
      </c>
      <c r="E404" s="22" t="s">
        <v>45</v>
      </c>
      <c r="F404" s="23">
        <v>-6705</v>
      </c>
      <c r="G404" s="24">
        <v>44609</v>
      </c>
      <c r="H404" s="22" t="s">
        <v>1124</v>
      </c>
      <c r="I404" s="22" t="s">
        <v>1201</v>
      </c>
      <c r="J404" s="22"/>
      <c r="K404" s="22"/>
    </row>
    <row r="405" spans="1:11" x14ac:dyDescent="0.25">
      <c r="A405" s="22" t="s">
        <v>1203</v>
      </c>
      <c r="B405" s="22" t="s">
        <v>201</v>
      </c>
      <c r="C405" s="22" t="s">
        <v>202</v>
      </c>
      <c r="D405" s="22" t="s">
        <v>1202</v>
      </c>
      <c r="E405" s="22" t="s">
        <v>57</v>
      </c>
      <c r="F405" s="23">
        <v>-24800</v>
      </c>
      <c r="G405" s="24">
        <v>44616</v>
      </c>
      <c r="H405" s="22" t="s">
        <v>1124</v>
      </c>
      <c r="I405" s="22" t="s">
        <v>1204</v>
      </c>
      <c r="J405" s="22"/>
      <c r="K405" s="22"/>
    </row>
    <row r="406" spans="1:11" x14ac:dyDescent="0.25">
      <c r="A406" s="22" t="s">
        <v>1206</v>
      </c>
      <c r="B406" s="22" t="s">
        <v>201</v>
      </c>
      <c r="C406" s="22" t="s">
        <v>202</v>
      </c>
      <c r="D406" s="22" t="s">
        <v>1205</v>
      </c>
      <c r="E406" s="22" t="s">
        <v>45</v>
      </c>
      <c r="F406" s="23">
        <v>-57025</v>
      </c>
      <c r="G406" s="24">
        <v>44623</v>
      </c>
      <c r="H406" s="22" t="s">
        <v>1124</v>
      </c>
      <c r="I406" s="22" t="s">
        <v>1207</v>
      </c>
      <c r="J406" s="22"/>
      <c r="K406" s="22"/>
    </row>
    <row r="407" spans="1:11" x14ac:dyDescent="0.25">
      <c r="A407" s="22" t="s">
        <v>114</v>
      </c>
      <c r="B407" s="22" t="s">
        <v>201</v>
      </c>
      <c r="C407" s="22" t="s">
        <v>202</v>
      </c>
      <c r="D407" s="22" t="s">
        <v>1208</v>
      </c>
      <c r="E407" s="22" t="s">
        <v>45</v>
      </c>
      <c r="F407" s="23">
        <v>-87592</v>
      </c>
      <c r="G407" s="24">
        <v>44621</v>
      </c>
      <c r="H407" s="22" t="s">
        <v>1124</v>
      </c>
      <c r="I407" s="22" t="s">
        <v>1209</v>
      </c>
      <c r="J407" s="22"/>
      <c r="K407" s="22"/>
    </row>
    <row r="408" spans="1:11" x14ac:dyDescent="0.25">
      <c r="A408" s="22" t="s">
        <v>959</v>
      </c>
      <c r="B408" s="22" t="s">
        <v>201</v>
      </c>
      <c r="C408" s="22" t="s">
        <v>202</v>
      </c>
      <c r="D408" s="22" t="s">
        <v>1210</v>
      </c>
      <c r="E408" s="22" t="s">
        <v>45</v>
      </c>
      <c r="F408" s="23">
        <v>-574985</v>
      </c>
      <c r="G408" s="24">
        <v>44606</v>
      </c>
      <c r="H408" s="22" t="s">
        <v>1124</v>
      </c>
      <c r="I408" s="22" t="s">
        <v>1211</v>
      </c>
      <c r="J408" s="22"/>
      <c r="K408" s="22"/>
    </row>
    <row r="409" spans="1:11" x14ac:dyDescent="0.25">
      <c r="A409" s="22" t="s">
        <v>1025</v>
      </c>
      <c r="B409" s="22" t="s">
        <v>201</v>
      </c>
      <c r="C409" s="22" t="s">
        <v>202</v>
      </c>
      <c r="D409" s="22" t="s">
        <v>1023</v>
      </c>
      <c r="E409" s="22" t="s">
        <v>45</v>
      </c>
      <c r="F409" s="23">
        <v>-4767661</v>
      </c>
      <c r="G409" s="24">
        <v>44614</v>
      </c>
      <c r="H409" s="22" t="s">
        <v>1124</v>
      </c>
      <c r="I409" s="22" t="s">
        <v>1212</v>
      </c>
      <c r="J409" s="22"/>
      <c r="K409" s="22"/>
    </row>
    <row r="410" spans="1:11" x14ac:dyDescent="0.25">
      <c r="A410" s="22" t="s">
        <v>1214</v>
      </c>
      <c r="B410" s="22" t="s">
        <v>201</v>
      </c>
      <c r="C410" s="22" t="s">
        <v>202</v>
      </c>
      <c r="D410" s="22" t="s">
        <v>1213</v>
      </c>
      <c r="E410" s="22" t="s">
        <v>57</v>
      </c>
      <c r="F410" s="23">
        <v>-2393851</v>
      </c>
      <c r="G410" s="24">
        <v>44621</v>
      </c>
      <c r="H410" s="22" t="s">
        <v>1124</v>
      </c>
      <c r="I410" s="22" t="s">
        <v>979</v>
      </c>
      <c r="J410" s="22"/>
      <c r="K410" s="22"/>
    </row>
    <row r="411" spans="1:11" x14ac:dyDescent="0.25">
      <c r="A411" s="22" t="s">
        <v>1220</v>
      </c>
      <c r="B411" s="22" t="s">
        <v>201</v>
      </c>
      <c r="C411" s="22" t="s">
        <v>202</v>
      </c>
      <c r="D411" s="22" t="s">
        <v>1219</v>
      </c>
      <c r="E411" s="22" t="s">
        <v>57</v>
      </c>
      <c r="F411" s="23">
        <v>-860349</v>
      </c>
      <c r="G411" s="24">
        <v>44603</v>
      </c>
      <c r="H411" s="22" t="s">
        <v>1147</v>
      </c>
      <c r="I411" s="22" t="s">
        <v>1221</v>
      </c>
      <c r="J411" s="22"/>
      <c r="K411" s="22"/>
    </row>
    <row r="412" spans="1:11" x14ac:dyDescent="0.25">
      <c r="A412" s="22" t="s">
        <v>1148</v>
      </c>
      <c r="B412" s="22" t="s">
        <v>201</v>
      </c>
      <c r="C412" s="22" t="s">
        <v>202</v>
      </c>
      <c r="D412" s="22" t="s">
        <v>1222</v>
      </c>
      <c r="E412" s="22" t="s">
        <v>57</v>
      </c>
      <c r="F412" s="23">
        <v>-103500</v>
      </c>
      <c r="G412" s="24">
        <v>44593</v>
      </c>
      <c r="H412" s="22" t="s">
        <v>1147</v>
      </c>
      <c r="I412" s="22" t="s">
        <v>1223</v>
      </c>
      <c r="J412" s="22"/>
      <c r="K412" s="22"/>
    </row>
    <row r="413" spans="1:11" x14ac:dyDescent="0.25">
      <c r="A413" s="22" t="s">
        <v>1148</v>
      </c>
      <c r="B413" s="22" t="s">
        <v>201</v>
      </c>
      <c r="C413" s="22" t="s">
        <v>202</v>
      </c>
      <c r="D413" s="22" t="s">
        <v>1147</v>
      </c>
      <c r="E413" s="22" t="s">
        <v>45</v>
      </c>
      <c r="F413" s="23">
        <v>-92679</v>
      </c>
      <c r="G413" s="24">
        <v>44593</v>
      </c>
      <c r="H413" s="22" t="s">
        <v>1147</v>
      </c>
      <c r="I413" s="22"/>
      <c r="J413" s="22"/>
      <c r="K413" s="22"/>
    </row>
    <row r="414" spans="1:11" x14ac:dyDescent="0.25">
      <c r="A414" s="22" t="s">
        <v>114</v>
      </c>
      <c r="B414" s="22" t="s">
        <v>201</v>
      </c>
      <c r="C414" s="22" t="s">
        <v>202</v>
      </c>
      <c r="D414" s="22" t="s">
        <v>1226</v>
      </c>
      <c r="E414" s="22" t="s">
        <v>45</v>
      </c>
      <c r="F414" s="23">
        <v>-242183</v>
      </c>
      <c r="G414" s="24">
        <v>44621</v>
      </c>
      <c r="H414" s="22" t="s">
        <v>1208</v>
      </c>
      <c r="I414" s="22" t="s">
        <v>1227</v>
      </c>
      <c r="J414" s="22"/>
      <c r="K414" s="22"/>
    </row>
    <row r="415" spans="1:11" x14ac:dyDescent="0.25">
      <c r="A415" s="22" t="s">
        <v>114</v>
      </c>
      <c r="B415" s="22" t="s">
        <v>201</v>
      </c>
      <c r="C415" s="22" t="s">
        <v>202</v>
      </c>
      <c r="D415" s="22" t="s">
        <v>1208</v>
      </c>
      <c r="E415" s="22" t="s">
        <v>45</v>
      </c>
      <c r="F415" s="23">
        <v>-154591</v>
      </c>
      <c r="G415" s="24">
        <v>44621</v>
      </c>
      <c r="H415" s="22" t="s">
        <v>1208</v>
      </c>
      <c r="I415" s="22"/>
      <c r="J415" s="22"/>
      <c r="K415" s="22"/>
    </row>
    <row r="416" spans="1:11" x14ac:dyDescent="0.25">
      <c r="A416" s="22" t="s">
        <v>114</v>
      </c>
      <c r="B416" s="22" t="s">
        <v>201</v>
      </c>
      <c r="C416" s="22" t="s">
        <v>202</v>
      </c>
      <c r="D416" s="22" t="s">
        <v>954</v>
      </c>
      <c r="E416" s="22" t="s">
        <v>45</v>
      </c>
      <c r="F416" s="23">
        <v>-976803</v>
      </c>
      <c r="G416" s="24">
        <v>44621</v>
      </c>
      <c r="H416" s="22" t="s">
        <v>1226</v>
      </c>
      <c r="I416" s="22" t="s">
        <v>1230</v>
      </c>
      <c r="J416" s="22"/>
      <c r="K416" s="22"/>
    </row>
    <row r="417" spans="1:11" x14ac:dyDescent="0.25">
      <c r="A417" s="22" t="s">
        <v>114</v>
      </c>
      <c r="B417" s="22" t="s">
        <v>201</v>
      </c>
      <c r="C417" s="22" t="s">
        <v>202</v>
      </c>
      <c r="D417" s="22" t="s">
        <v>1226</v>
      </c>
      <c r="E417" s="22" t="s">
        <v>45</v>
      </c>
      <c r="F417" s="23">
        <v>-734620</v>
      </c>
      <c r="G417" s="24">
        <v>44621</v>
      </c>
      <c r="H417" s="22" t="s">
        <v>1226</v>
      </c>
      <c r="I417" s="22"/>
      <c r="J417" s="22"/>
      <c r="K417" s="22"/>
    </row>
    <row r="418" spans="1:11" x14ac:dyDescent="0.25">
      <c r="A418" s="22" t="s">
        <v>1234</v>
      </c>
      <c r="B418" s="22" t="s">
        <v>201</v>
      </c>
      <c r="C418" s="22" t="s">
        <v>202</v>
      </c>
      <c r="D418" s="22" t="s">
        <v>1233</v>
      </c>
      <c r="E418" s="22" t="s">
        <v>45</v>
      </c>
      <c r="F418" s="23">
        <v>-1675454</v>
      </c>
      <c r="G418" s="24">
        <v>44605</v>
      </c>
      <c r="H418" s="22" t="s">
        <v>1210</v>
      </c>
      <c r="I418" s="22" t="s">
        <v>1235</v>
      </c>
      <c r="J418" s="22"/>
      <c r="K418" s="22"/>
    </row>
    <row r="419" spans="1:11" x14ac:dyDescent="0.25">
      <c r="A419" s="22" t="s">
        <v>959</v>
      </c>
      <c r="B419" s="22" t="s">
        <v>201</v>
      </c>
      <c r="C419" s="22" t="s">
        <v>202</v>
      </c>
      <c r="D419" s="22" t="s">
        <v>1029</v>
      </c>
      <c r="E419" s="22" t="s">
        <v>45</v>
      </c>
      <c r="F419" s="23">
        <v>-718843</v>
      </c>
      <c r="G419" s="24">
        <v>44606</v>
      </c>
      <c r="H419" s="22" t="s">
        <v>1210</v>
      </c>
      <c r="I419" s="22" t="s">
        <v>1236</v>
      </c>
      <c r="J419" s="22"/>
      <c r="K419" s="22"/>
    </row>
    <row r="420" spans="1:11" x14ac:dyDescent="0.25">
      <c r="A420" s="22" t="s">
        <v>959</v>
      </c>
      <c r="B420" s="22" t="s">
        <v>201</v>
      </c>
      <c r="C420" s="22" t="s">
        <v>202</v>
      </c>
      <c r="D420" s="22" t="s">
        <v>1210</v>
      </c>
      <c r="E420" s="22" t="s">
        <v>45</v>
      </c>
      <c r="F420" s="23">
        <v>-1819312</v>
      </c>
      <c r="G420" s="24">
        <v>44606</v>
      </c>
      <c r="H420" s="22" t="s">
        <v>1210</v>
      </c>
      <c r="I420" s="22"/>
      <c r="J420" s="22"/>
      <c r="K420" s="22"/>
    </row>
    <row r="421" spans="1:11" x14ac:dyDescent="0.25">
      <c r="A421" s="22" t="s">
        <v>1234</v>
      </c>
      <c r="B421" s="22" t="s">
        <v>201</v>
      </c>
      <c r="C421" s="22" t="s">
        <v>202</v>
      </c>
      <c r="D421" s="22" t="s">
        <v>1239</v>
      </c>
      <c r="E421" s="22" t="s">
        <v>57</v>
      </c>
      <c r="F421" s="23">
        <v>-2548953</v>
      </c>
      <c r="G421" s="24">
        <v>44605</v>
      </c>
      <c r="H421" s="22" t="s">
        <v>1233</v>
      </c>
      <c r="I421" s="22" t="s">
        <v>1240</v>
      </c>
      <c r="J421" s="22"/>
      <c r="K421" s="22"/>
    </row>
    <row r="422" spans="1:11" x14ac:dyDescent="0.25">
      <c r="A422" s="22" t="s">
        <v>1183</v>
      </c>
      <c r="B422" s="22" t="s">
        <v>201</v>
      </c>
      <c r="C422" s="22" t="s">
        <v>202</v>
      </c>
      <c r="D422" s="22" t="s">
        <v>1243</v>
      </c>
      <c r="E422" s="22" t="s">
        <v>57</v>
      </c>
      <c r="F422" s="23">
        <v>-92375</v>
      </c>
      <c r="G422" s="24">
        <v>44614</v>
      </c>
      <c r="H422" s="22" t="s">
        <v>1182</v>
      </c>
      <c r="I422" s="22" t="s">
        <v>1244</v>
      </c>
      <c r="J422" s="22"/>
      <c r="K422" s="22"/>
    </row>
    <row r="423" spans="1:11" x14ac:dyDescent="0.25">
      <c r="A423" s="22" t="s">
        <v>1136</v>
      </c>
      <c r="B423" s="22" t="s">
        <v>201</v>
      </c>
      <c r="C423" s="22" t="s">
        <v>202</v>
      </c>
      <c r="D423" s="22" t="s">
        <v>1245</v>
      </c>
      <c r="E423" s="22" t="s">
        <v>57</v>
      </c>
      <c r="F423" s="23">
        <v>-398362</v>
      </c>
      <c r="G423" s="24">
        <v>44615</v>
      </c>
      <c r="H423" s="22" t="s">
        <v>1135</v>
      </c>
      <c r="I423" s="22" t="s">
        <v>1246</v>
      </c>
      <c r="J423" s="22"/>
      <c r="K423" s="22"/>
    </row>
    <row r="424" spans="1:11" x14ac:dyDescent="0.25">
      <c r="A424" s="22" t="s">
        <v>1139</v>
      </c>
      <c r="B424" s="22" t="s">
        <v>201</v>
      </c>
      <c r="C424" s="22" t="s">
        <v>202</v>
      </c>
      <c r="D424" s="22" t="s">
        <v>1249</v>
      </c>
      <c r="E424" s="22" t="s">
        <v>57</v>
      </c>
      <c r="F424" s="23">
        <v>-167600</v>
      </c>
      <c r="G424" s="24">
        <v>44611</v>
      </c>
      <c r="H424" s="22" t="s">
        <v>1138</v>
      </c>
      <c r="I424" s="22" t="s">
        <v>1250</v>
      </c>
      <c r="J424" s="22"/>
      <c r="K424" s="22"/>
    </row>
    <row r="425" spans="1:11" x14ac:dyDescent="0.25">
      <c r="A425" s="22" t="s">
        <v>1252</v>
      </c>
      <c r="B425" s="22" t="s">
        <v>201</v>
      </c>
      <c r="C425" s="22" t="s">
        <v>202</v>
      </c>
      <c r="D425" s="22" t="s">
        <v>1251</v>
      </c>
      <c r="E425" s="22" t="s">
        <v>57</v>
      </c>
      <c r="F425" s="23">
        <v>-115778</v>
      </c>
      <c r="G425" s="24">
        <v>44610</v>
      </c>
      <c r="H425" s="22" t="s">
        <v>1138</v>
      </c>
      <c r="I425" s="22" t="s">
        <v>1253</v>
      </c>
      <c r="J425" s="22"/>
      <c r="K425" s="22"/>
    </row>
    <row r="426" spans="1:11" x14ac:dyDescent="0.25">
      <c r="A426" s="22" t="s">
        <v>1139</v>
      </c>
      <c r="B426" s="22" t="s">
        <v>201</v>
      </c>
      <c r="C426" s="22" t="s">
        <v>202</v>
      </c>
      <c r="D426" s="22" t="s">
        <v>1138</v>
      </c>
      <c r="E426" s="22" t="s">
        <v>45</v>
      </c>
      <c r="F426" s="23">
        <v>-234893</v>
      </c>
      <c r="G426" s="24">
        <v>44611</v>
      </c>
      <c r="H426" s="22" t="s">
        <v>1138</v>
      </c>
      <c r="I426" s="22"/>
      <c r="J426" s="22"/>
      <c r="K426" s="22"/>
    </row>
    <row r="427" spans="1:11" x14ac:dyDescent="0.25">
      <c r="A427" s="22" t="s">
        <v>1142</v>
      </c>
      <c r="B427" s="22" t="s">
        <v>201</v>
      </c>
      <c r="C427" s="22" t="s">
        <v>202</v>
      </c>
      <c r="D427" s="22" t="s">
        <v>1256</v>
      </c>
      <c r="E427" s="22" t="s">
        <v>57</v>
      </c>
      <c r="F427" s="23">
        <v>-154591</v>
      </c>
      <c r="G427" s="24">
        <v>44610</v>
      </c>
      <c r="H427" s="22" t="s">
        <v>1141</v>
      </c>
      <c r="I427" s="22" t="s">
        <v>711</v>
      </c>
      <c r="J427" s="22"/>
      <c r="K427" s="22"/>
    </row>
    <row r="428" spans="1:11" x14ac:dyDescent="0.25">
      <c r="A428" s="22" t="s">
        <v>1142</v>
      </c>
      <c r="B428" s="22" t="s">
        <v>201</v>
      </c>
      <c r="C428" s="22" t="s">
        <v>202</v>
      </c>
      <c r="D428" s="22" t="s">
        <v>1141</v>
      </c>
      <c r="E428" s="22" t="s">
        <v>45</v>
      </c>
      <c r="F428" s="23">
        <v>-74474</v>
      </c>
      <c r="G428" s="24">
        <v>44610</v>
      </c>
      <c r="H428" s="22" t="s">
        <v>1141</v>
      </c>
      <c r="I428" s="22"/>
      <c r="J428" s="22"/>
      <c r="K428" s="22"/>
    </row>
    <row r="429" spans="1:11" x14ac:dyDescent="0.25">
      <c r="A429" s="22" t="s">
        <v>1258</v>
      </c>
      <c r="B429" s="22" t="s">
        <v>201</v>
      </c>
      <c r="C429" s="22" t="s">
        <v>202</v>
      </c>
      <c r="D429" s="22" t="s">
        <v>1257</v>
      </c>
      <c r="E429" s="22" t="s">
        <v>45</v>
      </c>
      <c r="F429" s="23">
        <v>-59100</v>
      </c>
      <c r="G429" s="24">
        <v>44670</v>
      </c>
      <c r="H429" s="22" t="s">
        <v>1257</v>
      </c>
      <c r="I429" s="22" t="s">
        <v>230</v>
      </c>
      <c r="J429" s="22"/>
      <c r="K429" s="22"/>
    </row>
    <row r="430" spans="1:11" x14ac:dyDescent="0.25">
      <c r="A430" s="22" t="s">
        <v>1261</v>
      </c>
      <c r="B430" s="22" t="s">
        <v>201</v>
      </c>
      <c r="C430" s="22" t="s">
        <v>202</v>
      </c>
      <c r="D430" s="22" t="s">
        <v>1260</v>
      </c>
      <c r="E430" s="22" t="s">
        <v>57</v>
      </c>
      <c r="F430" s="23">
        <v>-59100</v>
      </c>
      <c r="G430" s="24">
        <v>44613</v>
      </c>
      <c r="H430" s="22" t="s">
        <v>1257</v>
      </c>
      <c r="I430" s="22" t="s">
        <v>1262</v>
      </c>
      <c r="J430" s="22"/>
      <c r="K430" s="22"/>
    </row>
    <row r="431" spans="1:11" x14ac:dyDescent="0.25">
      <c r="A431" s="22" t="s">
        <v>1200</v>
      </c>
      <c r="B431" s="22" t="s">
        <v>201</v>
      </c>
      <c r="C431" s="22" t="s">
        <v>202</v>
      </c>
      <c r="D431" s="22" t="s">
        <v>1265</v>
      </c>
      <c r="E431" s="22" t="s">
        <v>57</v>
      </c>
      <c r="F431" s="23">
        <v>-36000</v>
      </c>
      <c r="G431" s="24">
        <v>44609</v>
      </c>
      <c r="H431" s="22" t="s">
        <v>1199</v>
      </c>
      <c r="I431" s="22" t="s">
        <v>1204</v>
      </c>
      <c r="J431" s="22"/>
      <c r="K431" s="22"/>
    </row>
    <row r="432" spans="1:11" x14ac:dyDescent="0.25">
      <c r="A432" s="22" t="s">
        <v>1081</v>
      </c>
      <c r="B432" s="22" t="s">
        <v>201</v>
      </c>
      <c r="C432" s="22" t="s">
        <v>202</v>
      </c>
      <c r="D432" s="22" t="s">
        <v>976</v>
      </c>
      <c r="E432" s="22" t="s">
        <v>45</v>
      </c>
      <c r="F432" s="23">
        <v>-48529</v>
      </c>
      <c r="G432" s="24">
        <v>44593</v>
      </c>
      <c r="H432" s="22" t="s">
        <v>1144</v>
      </c>
      <c r="I432" s="22" t="s">
        <v>1207</v>
      </c>
      <c r="J432" s="22"/>
      <c r="K432" s="22"/>
    </row>
    <row r="433" spans="1:11" x14ac:dyDescent="0.25">
      <c r="A433" s="22" t="s">
        <v>1055</v>
      </c>
      <c r="B433" s="22" t="s">
        <v>201</v>
      </c>
      <c r="C433" s="22" t="s">
        <v>202</v>
      </c>
      <c r="D433" s="22" t="s">
        <v>1037</v>
      </c>
      <c r="E433" s="22" t="s">
        <v>45</v>
      </c>
      <c r="F433" s="23">
        <v>-58300</v>
      </c>
      <c r="G433" s="24">
        <v>44593</v>
      </c>
      <c r="H433" s="22" t="s">
        <v>1144</v>
      </c>
      <c r="I433" s="22" t="s">
        <v>1040</v>
      </c>
      <c r="J433" s="22"/>
      <c r="K433" s="22"/>
    </row>
    <row r="434" spans="1:11" x14ac:dyDescent="0.25">
      <c r="A434" s="22" t="s">
        <v>1145</v>
      </c>
      <c r="B434" s="22" t="s">
        <v>201</v>
      </c>
      <c r="C434" s="22" t="s">
        <v>202</v>
      </c>
      <c r="D434" s="22" t="s">
        <v>1268</v>
      </c>
      <c r="E434" s="22" t="s">
        <v>57</v>
      </c>
      <c r="F434" s="23">
        <v>-60643</v>
      </c>
      <c r="G434" s="24">
        <v>44606</v>
      </c>
      <c r="H434" s="22" t="s">
        <v>1144</v>
      </c>
      <c r="I434" s="22" t="s">
        <v>1269</v>
      </c>
      <c r="J434" s="22"/>
      <c r="K434" s="22"/>
    </row>
    <row r="435" spans="1:11" x14ac:dyDescent="0.25">
      <c r="A435" s="22" t="s">
        <v>1145</v>
      </c>
      <c r="B435" s="22" t="s">
        <v>201</v>
      </c>
      <c r="C435" s="22" t="s">
        <v>202</v>
      </c>
      <c r="D435" s="22" t="s">
        <v>1144</v>
      </c>
      <c r="E435" s="22" t="s">
        <v>45</v>
      </c>
      <c r="F435" s="23">
        <v>-1678</v>
      </c>
      <c r="G435" s="24">
        <v>44606</v>
      </c>
      <c r="H435" s="22" t="s">
        <v>1144</v>
      </c>
      <c r="I435" s="22"/>
      <c r="J435" s="22"/>
      <c r="K435" s="22"/>
    </row>
    <row r="436" spans="1:11" x14ac:dyDescent="0.25">
      <c r="A436" s="22" t="s">
        <v>1271</v>
      </c>
      <c r="B436" s="22" t="s">
        <v>201</v>
      </c>
      <c r="C436" s="22" t="s">
        <v>202</v>
      </c>
      <c r="D436" s="22" t="s">
        <v>1270</v>
      </c>
      <c r="E436" s="22" t="s">
        <v>57</v>
      </c>
      <c r="F436" s="23">
        <v>-156800</v>
      </c>
      <c r="G436" s="24">
        <v>44537</v>
      </c>
      <c r="H436" s="22" t="s">
        <v>1272</v>
      </c>
      <c r="I436" s="22" t="s">
        <v>941</v>
      </c>
      <c r="J436" s="22"/>
      <c r="K436" s="22"/>
    </row>
    <row r="437" spans="1:11" x14ac:dyDescent="0.25">
      <c r="A437" s="22" t="s">
        <v>1274</v>
      </c>
      <c r="B437" s="22" t="s">
        <v>201</v>
      </c>
      <c r="C437" s="22" t="s">
        <v>202</v>
      </c>
      <c r="D437" s="22" t="s">
        <v>1273</v>
      </c>
      <c r="E437" s="22" t="s">
        <v>57</v>
      </c>
      <c r="F437" s="23">
        <v>-31600</v>
      </c>
      <c r="G437" s="24">
        <v>44531</v>
      </c>
      <c r="H437" s="22" t="s">
        <v>1272</v>
      </c>
      <c r="I437" s="22" t="s">
        <v>979</v>
      </c>
      <c r="J437" s="22"/>
      <c r="K437" s="22"/>
    </row>
    <row r="438" spans="1:11" x14ac:dyDescent="0.25">
      <c r="A438" s="22" t="s">
        <v>1276</v>
      </c>
      <c r="B438" s="22" t="s">
        <v>201</v>
      </c>
      <c r="C438" s="22" t="s">
        <v>202</v>
      </c>
      <c r="D438" s="22" t="s">
        <v>1275</v>
      </c>
      <c r="E438" s="22" t="s">
        <v>57</v>
      </c>
      <c r="F438" s="23">
        <v>-47200</v>
      </c>
      <c r="G438" s="24">
        <v>44531</v>
      </c>
      <c r="H438" s="22" t="s">
        <v>1272</v>
      </c>
      <c r="I438" s="22" t="s">
        <v>979</v>
      </c>
      <c r="J438" s="22"/>
      <c r="K438" s="22"/>
    </row>
    <row r="439" spans="1:11" x14ac:dyDescent="0.25">
      <c r="A439" s="22" t="s">
        <v>1278</v>
      </c>
      <c r="B439" s="22" t="s">
        <v>201</v>
      </c>
      <c r="C439" s="22" t="s">
        <v>202</v>
      </c>
      <c r="D439" s="22" t="s">
        <v>1277</v>
      </c>
      <c r="E439" s="22" t="s">
        <v>57</v>
      </c>
      <c r="F439" s="23">
        <v>-23700</v>
      </c>
      <c r="G439" s="24">
        <v>44531</v>
      </c>
      <c r="H439" s="22" t="s">
        <v>1272</v>
      </c>
      <c r="I439" s="22" t="s">
        <v>979</v>
      </c>
      <c r="J439" s="22"/>
      <c r="K439" s="22"/>
    </row>
    <row r="440" spans="1:11" x14ac:dyDescent="0.25">
      <c r="A440" s="22" t="s">
        <v>419</v>
      </c>
      <c r="B440" s="22" t="s">
        <v>201</v>
      </c>
      <c r="C440" s="22" t="s">
        <v>202</v>
      </c>
      <c r="D440" s="22" t="s">
        <v>368</v>
      </c>
      <c r="E440" s="22" t="s">
        <v>45</v>
      </c>
      <c r="F440" s="23">
        <v>-74561</v>
      </c>
      <c r="G440" s="24">
        <v>44546</v>
      </c>
      <c r="H440" s="22" t="s">
        <v>1272</v>
      </c>
      <c r="I440" s="22" t="s">
        <v>1279</v>
      </c>
      <c r="J440" s="22"/>
      <c r="K440" s="22"/>
    </row>
    <row r="441" spans="1:11" x14ac:dyDescent="0.25">
      <c r="A441" s="22" t="s">
        <v>1281</v>
      </c>
      <c r="B441" s="22" t="s">
        <v>201</v>
      </c>
      <c r="C441" s="22" t="s">
        <v>202</v>
      </c>
      <c r="D441" s="22" t="s">
        <v>1280</v>
      </c>
      <c r="E441" s="22" t="s">
        <v>57</v>
      </c>
      <c r="F441" s="23">
        <v>-53700</v>
      </c>
      <c r="G441" s="24">
        <v>44564</v>
      </c>
      <c r="H441" s="22" t="s">
        <v>1272</v>
      </c>
      <c r="I441" s="22" t="s">
        <v>1282</v>
      </c>
      <c r="J441" s="22"/>
      <c r="K441" s="22"/>
    </row>
    <row r="442" spans="1:11" x14ac:dyDescent="0.25">
      <c r="A442" s="22" t="s">
        <v>1284</v>
      </c>
      <c r="B442" s="22" t="s">
        <v>201</v>
      </c>
      <c r="C442" s="22" t="s">
        <v>202</v>
      </c>
      <c r="D442" s="22" t="s">
        <v>1283</v>
      </c>
      <c r="E442" s="22" t="s">
        <v>57</v>
      </c>
      <c r="F442" s="23">
        <v>-195400</v>
      </c>
      <c r="G442" s="24">
        <v>44561</v>
      </c>
      <c r="H442" s="22" t="s">
        <v>1272</v>
      </c>
      <c r="I442" s="22" t="s">
        <v>1285</v>
      </c>
      <c r="J442" s="22"/>
      <c r="K442" s="22"/>
    </row>
    <row r="443" spans="1:11" x14ac:dyDescent="0.25">
      <c r="A443" s="22" t="s">
        <v>1287</v>
      </c>
      <c r="B443" s="22" t="s">
        <v>201</v>
      </c>
      <c r="C443" s="22" t="s">
        <v>202</v>
      </c>
      <c r="D443" s="22" t="s">
        <v>1286</v>
      </c>
      <c r="E443" s="22" t="s">
        <v>57</v>
      </c>
      <c r="F443" s="23">
        <v>-147186</v>
      </c>
      <c r="G443" s="24">
        <v>44561</v>
      </c>
      <c r="H443" s="22" t="s">
        <v>1272</v>
      </c>
      <c r="I443" s="22" t="s">
        <v>1288</v>
      </c>
      <c r="J443" s="22"/>
      <c r="K443" s="22"/>
    </row>
    <row r="444" spans="1:11" x14ac:dyDescent="0.25">
      <c r="A444" s="22" t="s">
        <v>1290</v>
      </c>
      <c r="B444" s="22" t="s">
        <v>201</v>
      </c>
      <c r="C444" s="22" t="s">
        <v>202</v>
      </c>
      <c r="D444" s="22" t="s">
        <v>1289</v>
      </c>
      <c r="E444" s="22" t="s">
        <v>57</v>
      </c>
      <c r="F444" s="23">
        <v>-55132</v>
      </c>
      <c r="G444" s="24">
        <v>44559</v>
      </c>
      <c r="H444" s="22" t="s">
        <v>1272</v>
      </c>
      <c r="I444" s="22" t="s">
        <v>1291</v>
      </c>
      <c r="J444" s="22"/>
      <c r="K444" s="22"/>
    </row>
    <row r="445" spans="1:11" x14ac:dyDescent="0.25">
      <c r="A445" s="22" t="s">
        <v>1293</v>
      </c>
      <c r="B445" s="22" t="s">
        <v>201</v>
      </c>
      <c r="C445" s="22" t="s">
        <v>202</v>
      </c>
      <c r="D445" s="22" t="s">
        <v>1292</v>
      </c>
      <c r="E445" s="22" t="s">
        <v>57</v>
      </c>
      <c r="F445" s="23">
        <v>-353272</v>
      </c>
      <c r="G445" s="24">
        <v>44559</v>
      </c>
      <c r="H445" s="22" t="s">
        <v>1272</v>
      </c>
      <c r="I445" s="22" t="s">
        <v>1250</v>
      </c>
      <c r="J445" s="22"/>
      <c r="K445" s="22"/>
    </row>
    <row r="446" spans="1:11" x14ac:dyDescent="0.25">
      <c r="A446" s="22" t="s">
        <v>1295</v>
      </c>
      <c r="B446" s="22" t="s">
        <v>201</v>
      </c>
      <c r="C446" s="22" t="s">
        <v>202</v>
      </c>
      <c r="D446" s="22" t="s">
        <v>1294</v>
      </c>
      <c r="E446" s="22" t="s">
        <v>57</v>
      </c>
      <c r="F446" s="23">
        <v>-72786</v>
      </c>
      <c r="G446" s="24">
        <v>44558</v>
      </c>
      <c r="H446" s="22" t="s">
        <v>1272</v>
      </c>
      <c r="I446" s="22" t="s">
        <v>1296</v>
      </c>
      <c r="J446" s="22"/>
      <c r="K446" s="22"/>
    </row>
    <row r="447" spans="1:11" x14ac:dyDescent="0.25">
      <c r="A447" s="22" t="s">
        <v>1298</v>
      </c>
      <c r="B447" s="22" t="s">
        <v>201</v>
      </c>
      <c r="C447" s="22" t="s">
        <v>202</v>
      </c>
      <c r="D447" s="22" t="s">
        <v>1297</v>
      </c>
      <c r="E447" s="22" t="s">
        <v>57</v>
      </c>
      <c r="F447" s="23">
        <v>-789412</v>
      </c>
      <c r="G447" s="24">
        <v>44556</v>
      </c>
      <c r="H447" s="22" t="s">
        <v>1272</v>
      </c>
      <c r="I447" s="22" t="s">
        <v>494</v>
      </c>
      <c r="J447" s="22"/>
      <c r="K447" s="22"/>
    </row>
    <row r="448" spans="1:11" x14ac:dyDescent="0.25">
      <c r="A448" s="22" t="s">
        <v>1300</v>
      </c>
      <c r="B448" s="22" t="s">
        <v>201</v>
      </c>
      <c r="C448" s="22" t="s">
        <v>202</v>
      </c>
      <c r="D448" s="22" t="s">
        <v>1299</v>
      </c>
      <c r="E448" s="22" t="s">
        <v>57</v>
      </c>
      <c r="F448" s="23">
        <v>-117626</v>
      </c>
      <c r="G448" s="24">
        <v>44554</v>
      </c>
      <c r="H448" s="22" t="s">
        <v>1272</v>
      </c>
      <c r="I448" s="22" t="s">
        <v>1296</v>
      </c>
      <c r="J448" s="22"/>
      <c r="K448" s="22"/>
    </row>
    <row r="449" spans="1:11" x14ac:dyDescent="0.25">
      <c r="A449" s="22" t="s">
        <v>1302</v>
      </c>
      <c r="B449" s="22" t="s">
        <v>201</v>
      </c>
      <c r="C449" s="22" t="s">
        <v>202</v>
      </c>
      <c r="D449" s="22" t="s">
        <v>1301</v>
      </c>
      <c r="E449" s="22" t="s">
        <v>57</v>
      </c>
      <c r="F449" s="23">
        <v>-53700</v>
      </c>
      <c r="G449" s="24">
        <v>44551</v>
      </c>
      <c r="H449" s="22" t="s">
        <v>1272</v>
      </c>
      <c r="I449" s="22" t="s">
        <v>494</v>
      </c>
      <c r="J449" s="22"/>
      <c r="K449" s="22"/>
    </row>
    <row r="450" spans="1:11" x14ac:dyDescent="0.25">
      <c r="A450" s="22" t="s">
        <v>286</v>
      </c>
      <c r="B450" s="22" t="s">
        <v>201</v>
      </c>
      <c r="C450" s="22" t="s">
        <v>202</v>
      </c>
      <c r="D450" s="22" t="s">
        <v>285</v>
      </c>
      <c r="E450" s="22" t="s">
        <v>45</v>
      </c>
      <c r="F450" s="23">
        <v>-320864</v>
      </c>
      <c r="G450" s="24">
        <v>44533</v>
      </c>
      <c r="H450" s="22" t="s">
        <v>1272</v>
      </c>
      <c r="I450" s="22" t="s">
        <v>1303</v>
      </c>
      <c r="J450" s="22"/>
      <c r="K450" s="22"/>
    </row>
    <row r="451" spans="1:11" x14ac:dyDescent="0.25">
      <c r="A451" s="22" t="s">
        <v>1305</v>
      </c>
      <c r="B451" s="22" t="s">
        <v>201</v>
      </c>
      <c r="C451" s="22" t="s">
        <v>202</v>
      </c>
      <c r="D451" s="22" t="s">
        <v>1304</v>
      </c>
      <c r="E451" s="22" t="s">
        <v>57</v>
      </c>
      <c r="F451" s="23">
        <v>-66159</v>
      </c>
      <c r="G451" s="24">
        <v>44561</v>
      </c>
      <c r="H451" s="22" t="s">
        <v>1272</v>
      </c>
      <c r="I451" s="22" t="s">
        <v>1306</v>
      </c>
      <c r="J451" s="22"/>
      <c r="K451" s="22"/>
    </row>
    <row r="452" spans="1:11" x14ac:dyDescent="0.25">
      <c r="A452" s="22" t="s">
        <v>1308</v>
      </c>
      <c r="B452" s="22" t="s">
        <v>201</v>
      </c>
      <c r="C452" s="22" t="s">
        <v>202</v>
      </c>
      <c r="D452" s="22" t="s">
        <v>1307</v>
      </c>
      <c r="E452" s="22" t="s">
        <v>57</v>
      </c>
      <c r="F452" s="23">
        <v>-3968641</v>
      </c>
      <c r="G452" s="24">
        <v>44560</v>
      </c>
      <c r="H452" s="22" t="s">
        <v>1272</v>
      </c>
      <c r="I452" s="22" t="s">
        <v>1309</v>
      </c>
      <c r="J452" s="22"/>
      <c r="K452" s="22"/>
    </row>
    <row r="453" spans="1:11" x14ac:dyDescent="0.25">
      <c r="A453" s="22" t="s">
        <v>1311</v>
      </c>
      <c r="B453" s="22" t="s">
        <v>201</v>
      </c>
      <c r="C453" s="22" t="s">
        <v>202</v>
      </c>
      <c r="D453" s="22" t="s">
        <v>1310</v>
      </c>
      <c r="E453" s="22" t="s">
        <v>57</v>
      </c>
      <c r="F453" s="23">
        <v>-53700</v>
      </c>
      <c r="G453" s="24">
        <v>44557</v>
      </c>
      <c r="H453" s="22" t="s">
        <v>1272</v>
      </c>
      <c r="I453" s="22" t="s">
        <v>1003</v>
      </c>
      <c r="J453" s="22"/>
      <c r="K453" s="22"/>
    </row>
    <row r="454" spans="1:11" x14ac:dyDescent="0.25">
      <c r="A454" s="22" t="s">
        <v>1313</v>
      </c>
      <c r="B454" s="22" t="s">
        <v>201</v>
      </c>
      <c r="C454" s="22" t="s">
        <v>202</v>
      </c>
      <c r="D454" s="22" t="s">
        <v>1312</v>
      </c>
      <c r="E454" s="22" t="s">
        <v>57</v>
      </c>
      <c r="F454" s="23">
        <v>-80161</v>
      </c>
      <c r="G454" s="24">
        <v>44544</v>
      </c>
      <c r="H454" s="22" t="s">
        <v>1272</v>
      </c>
      <c r="I454" s="22" t="s">
        <v>1314</v>
      </c>
      <c r="J454" s="22"/>
      <c r="K454" s="22"/>
    </row>
    <row r="455" spans="1:11" x14ac:dyDescent="0.25">
      <c r="A455" s="22" t="s">
        <v>1316</v>
      </c>
      <c r="B455" s="22" t="s">
        <v>201</v>
      </c>
      <c r="C455" s="22" t="s">
        <v>202</v>
      </c>
      <c r="D455" s="22" t="s">
        <v>1315</v>
      </c>
      <c r="E455" s="22" t="s">
        <v>57</v>
      </c>
      <c r="F455" s="23">
        <v>-100757</v>
      </c>
      <c r="G455" s="24">
        <v>44542</v>
      </c>
      <c r="H455" s="22" t="s">
        <v>1272</v>
      </c>
      <c r="I455" s="22" t="s">
        <v>1309</v>
      </c>
      <c r="J455" s="22"/>
      <c r="K455" s="22"/>
    </row>
    <row r="456" spans="1:11" x14ac:dyDescent="0.25">
      <c r="A456" s="22" t="s">
        <v>1318</v>
      </c>
      <c r="B456" s="22" t="s">
        <v>201</v>
      </c>
      <c r="C456" s="22" t="s">
        <v>202</v>
      </c>
      <c r="D456" s="22" t="s">
        <v>1317</v>
      </c>
      <c r="E456" s="22" t="s">
        <v>57</v>
      </c>
      <c r="F456" s="23">
        <v>-53700</v>
      </c>
      <c r="G456" s="24">
        <v>44537</v>
      </c>
      <c r="H456" s="22" t="s">
        <v>1272</v>
      </c>
      <c r="I456" s="22" t="s">
        <v>1319</v>
      </c>
      <c r="J456" s="22"/>
      <c r="K456" s="22"/>
    </row>
    <row r="457" spans="1:11" x14ac:dyDescent="0.25">
      <c r="A457" s="22" t="s">
        <v>1321</v>
      </c>
      <c r="B457" s="22" t="s">
        <v>201</v>
      </c>
      <c r="C457" s="22" t="s">
        <v>202</v>
      </c>
      <c r="D457" s="22" t="s">
        <v>1320</v>
      </c>
      <c r="E457" s="22" t="s">
        <v>57</v>
      </c>
      <c r="F457" s="23">
        <v>-102500</v>
      </c>
      <c r="G457" s="24">
        <v>44534</v>
      </c>
      <c r="H457" s="22" t="s">
        <v>1272</v>
      </c>
      <c r="I457" s="22" t="s">
        <v>1322</v>
      </c>
      <c r="J457" s="22"/>
      <c r="K457" s="22"/>
    </row>
    <row r="458" spans="1:11" x14ac:dyDescent="0.25">
      <c r="A458" s="22" t="s">
        <v>965</v>
      </c>
      <c r="B458" s="22" t="s">
        <v>201</v>
      </c>
      <c r="C458" s="22" t="s">
        <v>202</v>
      </c>
      <c r="D458" s="22" t="s">
        <v>1325</v>
      </c>
      <c r="E458" s="22" t="s">
        <v>57</v>
      </c>
      <c r="F458" s="23">
        <v>-74425</v>
      </c>
      <c r="G458" s="24">
        <v>44569</v>
      </c>
      <c r="H458" s="22" t="s">
        <v>964</v>
      </c>
      <c r="I458" s="22" t="s">
        <v>1326</v>
      </c>
      <c r="J458" s="22"/>
      <c r="K458" s="22"/>
    </row>
    <row r="459" spans="1:11" x14ac:dyDescent="0.25">
      <c r="A459" s="22" t="s">
        <v>1328</v>
      </c>
      <c r="B459" s="22" t="s">
        <v>201</v>
      </c>
      <c r="C459" s="22" t="s">
        <v>202</v>
      </c>
      <c r="D459" s="22" t="s">
        <v>1327</v>
      </c>
      <c r="E459" s="22" t="s">
        <v>57</v>
      </c>
      <c r="F459" s="23">
        <v>-65016</v>
      </c>
      <c r="G459" s="24">
        <v>44513</v>
      </c>
      <c r="H459" s="22" t="s">
        <v>1272</v>
      </c>
      <c r="I459" s="22" t="s">
        <v>1306</v>
      </c>
      <c r="J459" s="22"/>
      <c r="K459" s="22"/>
    </row>
    <row r="460" spans="1:11" x14ac:dyDescent="0.25">
      <c r="A460" s="22" t="s">
        <v>1330</v>
      </c>
      <c r="B460" s="22" t="s">
        <v>201</v>
      </c>
      <c r="C460" s="22" t="s">
        <v>202</v>
      </c>
      <c r="D460" s="22" t="s">
        <v>1329</v>
      </c>
      <c r="E460" s="22" t="s">
        <v>57</v>
      </c>
      <c r="F460" s="23">
        <v>-28100</v>
      </c>
      <c r="G460" s="24">
        <v>44561</v>
      </c>
      <c r="H460" s="22" t="s">
        <v>1272</v>
      </c>
      <c r="I460" s="22" t="s">
        <v>483</v>
      </c>
      <c r="J460" s="22"/>
      <c r="K460" s="22"/>
    </row>
    <row r="461" spans="1:11" x14ac:dyDescent="0.25">
      <c r="A461" s="22" t="s">
        <v>1332</v>
      </c>
      <c r="B461" s="22" t="s">
        <v>201</v>
      </c>
      <c r="C461" s="22" t="s">
        <v>202</v>
      </c>
      <c r="D461" s="22" t="s">
        <v>1331</v>
      </c>
      <c r="E461" s="22" t="s">
        <v>57</v>
      </c>
      <c r="F461" s="23">
        <v>-43700</v>
      </c>
      <c r="G461" s="24">
        <v>44560</v>
      </c>
      <c r="H461" s="22" t="s">
        <v>1272</v>
      </c>
      <c r="I461" s="22" t="s">
        <v>494</v>
      </c>
      <c r="J461" s="22"/>
      <c r="K461" s="22"/>
    </row>
    <row r="462" spans="1:11" x14ac:dyDescent="0.25">
      <c r="A462" s="22" t="s">
        <v>1334</v>
      </c>
      <c r="B462" s="22" t="s">
        <v>201</v>
      </c>
      <c r="C462" s="22" t="s">
        <v>202</v>
      </c>
      <c r="D462" s="22" t="s">
        <v>1333</v>
      </c>
      <c r="E462" s="22" t="s">
        <v>57</v>
      </c>
      <c r="F462" s="23">
        <v>-42300</v>
      </c>
      <c r="G462" s="24">
        <v>44560</v>
      </c>
      <c r="H462" s="22" t="s">
        <v>1272</v>
      </c>
      <c r="I462" s="22" t="s">
        <v>494</v>
      </c>
      <c r="J462" s="22"/>
      <c r="K462" s="22"/>
    </row>
    <row r="463" spans="1:11" x14ac:dyDescent="0.25">
      <c r="A463" s="22" t="s">
        <v>1336</v>
      </c>
      <c r="B463" s="22" t="s">
        <v>201</v>
      </c>
      <c r="C463" s="22" t="s">
        <v>202</v>
      </c>
      <c r="D463" s="22" t="s">
        <v>1335</v>
      </c>
      <c r="E463" s="22" t="s">
        <v>57</v>
      </c>
      <c r="F463" s="23">
        <v>-29200</v>
      </c>
      <c r="G463" s="24">
        <v>44558</v>
      </c>
      <c r="H463" s="22" t="s">
        <v>1272</v>
      </c>
      <c r="I463" s="22" t="s">
        <v>282</v>
      </c>
      <c r="J463" s="22"/>
      <c r="K463" s="22"/>
    </row>
    <row r="464" spans="1:11" x14ac:dyDescent="0.25">
      <c r="A464" s="22" t="s">
        <v>1338</v>
      </c>
      <c r="B464" s="22" t="s">
        <v>201</v>
      </c>
      <c r="C464" s="22" t="s">
        <v>202</v>
      </c>
      <c r="D464" s="22" t="s">
        <v>1337</v>
      </c>
      <c r="E464" s="22" t="s">
        <v>57</v>
      </c>
      <c r="F464" s="23">
        <v>-29200</v>
      </c>
      <c r="G464" s="24">
        <v>44558</v>
      </c>
      <c r="H464" s="22" t="s">
        <v>1272</v>
      </c>
      <c r="I464" s="22" t="s">
        <v>486</v>
      </c>
      <c r="J464" s="22"/>
      <c r="K464" s="22"/>
    </row>
    <row r="465" spans="1:11" x14ac:dyDescent="0.25">
      <c r="A465" s="22" t="s">
        <v>1340</v>
      </c>
      <c r="B465" s="22" t="s">
        <v>201</v>
      </c>
      <c r="C465" s="22" t="s">
        <v>202</v>
      </c>
      <c r="D465" s="22" t="s">
        <v>1339</v>
      </c>
      <c r="E465" s="22" t="s">
        <v>57</v>
      </c>
      <c r="F465" s="23">
        <v>-29200</v>
      </c>
      <c r="G465" s="24">
        <v>44557</v>
      </c>
      <c r="H465" s="22" t="s">
        <v>1272</v>
      </c>
      <c r="I465" s="22" t="s">
        <v>897</v>
      </c>
      <c r="J465" s="22"/>
      <c r="K465" s="22"/>
    </row>
    <row r="466" spans="1:11" x14ac:dyDescent="0.25">
      <c r="A466" s="22" t="s">
        <v>1342</v>
      </c>
      <c r="B466" s="22" t="s">
        <v>201</v>
      </c>
      <c r="C466" s="22" t="s">
        <v>202</v>
      </c>
      <c r="D466" s="22" t="s">
        <v>1341</v>
      </c>
      <c r="E466" s="22" t="s">
        <v>57</v>
      </c>
      <c r="F466" s="23">
        <v>-28100</v>
      </c>
      <c r="G466" s="24">
        <v>44554</v>
      </c>
      <c r="H466" s="22" t="s">
        <v>1272</v>
      </c>
      <c r="I466" s="22" t="s">
        <v>919</v>
      </c>
      <c r="J466" s="22"/>
      <c r="K466" s="22"/>
    </row>
    <row r="467" spans="1:11" x14ac:dyDescent="0.25">
      <c r="A467" s="22" t="s">
        <v>1344</v>
      </c>
      <c r="B467" s="22" t="s">
        <v>201</v>
      </c>
      <c r="C467" s="22" t="s">
        <v>202</v>
      </c>
      <c r="D467" s="22" t="s">
        <v>1343</v>
      </c>
      <c r="E467" s="22" t="s">
        <v>57</v>
      </c>
      <c r="F467" s="23">
        <v>-28100</v>
      </c>
      <c r="G467" s="24">
        <v>44554</v>
      </c>
      <c r="H467" s="22" t="s">
        <v>1272</v>
      </c>
      <c r="I467" s="22" t="s">
        <v>1345</v>
      </c>
      <c r="J467" s="22"/>
      <c r="K467" s="22"/>
    </row>
    <row r="468" spans="1:11" x14ac:dyDescent="0.25">
      <c r="A468" s="22" t="s">
        <v>1347</v>
      </c>
      <c r="B468" s="22" t="s">
        <v>201</v>
      </c>
      <c r="C468" s="22" t="s">
        <v>202</v>
      </c>
      <c r="D468" s="22" t="s">
        <v>1346</v>
      </c>
      <c r="E468" s="22" t="s">
        <v>57</v>
      </c>
      <c r="F468" s="23">
        <v>-29200</v>
      </c>
      <c r="G468" s="24">
        <v>44547</v>
      </c>
      <c r="H468" s="22" t="s">
        <v>1272</v>
      </c>
      <c r="I468" s="22" t="s">
        <v>1348</v>
      </c>
      <c r="J468" s="22"/>
      <c r="K468" s="22"/>
    </row>
    <row r="469" spans="1:11" x14ac:dyDescent="0.25">
      <c r="A469" s="22" t="s">
        <v>1350</v>
      </c>
      <c r="B469" s="22" t="s">
        <v>201</v>
      </c>
      <c r="C469" s="22" t="s">
        <v>202</v>
      </c>
      <c r="D469" s="22" t="s">
        <v>1349</v>
      </c>
      <c r="E469" s="22" t="s">
        <v>57</v>
      </c>
      <c r="F469" s="23">
        <v>-143100</v>
      </c>
      <c r="G469" s="24">
        <v>44546</v>
      </c>
      <c r="H469" s="22" t="s">
        <v>1272</v>
      </c>
      <c r="I469" s="22" t="s">
        <v>494</v>
      </c>
      <c r="J469" s="22"/>
      <c r="K469" s="22"/>
    </row>
    <row r="470" spans="1:11" x14ac:dyDescent="0.25">
      <c r="A470" s="22" t="s">
        <v>1352</v>
      </c>
      <c r="B470" s="22" t="s">
        <v>201</v>
      </c>
      <c r="C470" s="22" t="s">
        <v>202</v>
      </c>
      <c r="D470" s="22" t="s">
        <v>1351</v>
      </c>
      <c r="E470" s="22" t="s">
        <v>57</v>
      </c>
      <c r="F470" s="23">
        <v>-77300</v>
      </c>
      <c r="G470" s="24">
        <v>44543</v>
      </c>
      <c r="H470" s="22" t="s">
        <v>1272</v>
      </c>
      <c r="I470" s="22" t="s">
        <v>494</v>
      </c>
      <c r="J470" s="22"/>
      <c r="K470" s="22"/>
    </row>
    <row r="471" spans="1:11" x14ac:dyDescent="0.25">
      <c r="A471" s="22" t="s">
        <v>1354</v>
      </c>
      <c r="B471" s="22" t="s">
        <v>201</v>
      </c>
      <c r="C471" s="22" t="s">
        <v>202</v>
      </c>
      <c r="D471" s="22" t="s">
        <v>1353</v>
      </c>
      <c r="E471" s="22" t="s">
        <v>57</v>
      </c>
      <c r="F471" s="23">
        <v>-31600</v>
      </c>
      <c r="G471" s="24">
        <v>44560</v>
      </c>
      <c r="H471" s="22" t="s">
        <v>1272</v>
      </c>
      <c r="I471" s="22" t="s">
        <v>212</v>
      </c>
      <c r="J471" s="22"/>
      <c r="K471" s="22"/>
    </row>
    <row r="472" spans="1:11" x14ac:dyDescent="0.25">
      <c r="A472" s="22" t="s">
        <v>1356</v>
      </c>
      <c r="B472" s="22" t="s">
        <v>201</v>
      </c>
      <c r="C472" s="22" t="s">
        <v>202</v>
      </c>
      <c r="D472" s="22" t="s">
        <v>1355</v>
      </c>
      <c r="E472" s="22" t="s">
        <v>57</v>
      </c>
      <c r="F472" s="23">
        <v>-562100</v>
      </c>
      <c r="G472" s="24">
        <v>44559</v>
      </c>
      <c r="H472" s="22" t="s">
        <v>1272</v>
      </c>
      <c r="I472" s="22" t="s">
        <v>1357</v>
      </c>
      <c r="J472" s="22"/>
      <c r="K472" s="22"/>
    </row>
    <row r="473" spans="1:11" x14ac:dyDescent="0.25">
      <c r="A473" s="22" t="s">
        <v>1359</v>
      </c>
      <c r="B473" s="22" t="s">
        <v>201</v>
      </c>
      <c r="C473" s="22" t="s">
        <v>202</v>
      </c>
      <c r="D473" s="22" t="s">
        <v>1358</v>
      </c>
      <c r="E473" s="22" t="s">
        <v>57</v>
      </c>
      <c r="F473" s="23">
        <v>-47200</v>
      </c>
      <c r="G473" s="24">
        <v>44558</v>
      </c>
      <c r="H473" s="22" t="s">
        <v>1272</v>
      </c>
      <c r="I473" s="22" t="s">
        <v>1360</v>
      </c>
      <c r="J473" s="22"/>
      <c r="K473" s="22"/>
    </row>
    <row r="474" spans="1:11" x14ac:dyDescent="0.25">
      <c r="A474" s="22" t="s">
        <v>1362</v>
      </c>
      <c r="B474" s="22" t="s">
        <v>201</v>
      </c>
      <c r="C474" s="22" t="s">
        <v>202</v>
      </c>
      <c r="D474" s="22" t="s">
        <v>1361</v>
      </c>
      <c r="E474" s="22" t="s">
        <v>57</v>
      </c>
      <c r="F474" s="23">
        <v>-31600</v>
      </c>
      <c r="G474" s="24">
        <v>44558</v>
      </c>
      <c r="H474" s="22" t="s">
        <v>1272</v>
      </c>
      <c r="I474" s="22" t="s">
        <v>941</v>
      </c>
      <c r="J474" s="22"/>
      <c r="K474" s="22"/>
    </row>
    <row r="475" spans="1:11" x14ac:dyDescent="0.25">
      <c r="A475" s="22" t="s">
        <v>1364</v>
      </c>
      <c r="B475" s="22" t="s">
        <v>201</v>
      </c>
      <c r="C475" s="22" t="s">
        <v>202</v>
      </c>
      <c r="D475" s="22" t="s">
        <v>1363</v>
      </c>
      <c r="E475" s="22" t="s">
        <v>57</v>
      </c>
      <c r="F475" s="23">
        <v>-47200</v>
      </c>
      <c r="G475" s="24">
        <v>44551</v>
      </c>
      <c r="H475" s="22" t="s">
        <v>1272</v>
      </c>
      <c r="I475" s="22" t="s">
        <v>715</v>
      </c>
      <c r="J475" s="22"/>
      <c r="K475" s="22"/>
    </row>
    <row r="476" spans="1:11" x14ac:dyDescent="0.25">
      <c r="A476" s="22" t="s">
        <v>1366</v>
      </c>
      <c r="B476" s="22" t="s">
        <v>201</v>
      </c>
      <c r="C476" s="22" t="s">
        <v>202</v>
      </c>
      <c r="D476" s="22" t="s">
        <v>1365</v>
      </c>
      <c r="E476" s="22" t="s">
        <v>57</v>
      </c>
      <c r="F476" s="23">
        <v>-112100</v>
      </c>
      <c r="G476" s="24">
        <v>44550</v>
      </c>
      <c r="H476" s="22" t="s">
        <v>1272</v>
      </c>
      <c r="I476" s="22" t="s">
        <v>550</v>
      </c>
      <c r="J476" s="22"/>
      <c r="K476" s="22"/>
    </row>
    <row r="477" spans="1:11" x14ac:dyDescent="0.25">
      <c r="A477" s="22" t="s">
        <v>1368</v>
      </c>
      <c r="B477" s="22" t="s">
        <v>201</v>
      </c>
      <c r="C477" s="22" t="s">
        <v>202</v>
      </c>
      <c r="D477" s="22" t="s">
        <v>1367</v>
      </c>
      <c r="E477" s="22" t="s">
        <v>57</v>
      </c>
      <c r="F477" s="23">
        <v>-32700</v>
      </c>
      <c r="G477" s="24">
        <v>44550</v>
      </c>
      <c r="H477" s="22" t="s">
        <v>1272</v>
      </c>
      <c r="I477" s="22" t="s">
        <v>1357</v>
      </c>
      <c r="J477" s="22"/>
      <c r="K477" s="22"/>
    </row>
    <row r="478" spans="1:11" x14ac:dyDescent="0.25">
      <c r="A478" s="22" t="s">
        <v>1370</v>
      </c>
      <c r="B478" s="22" t="s">
        <v>201</v>
      </c>
      <c r="C478" s="22" t="s">
        <v>202</v>
      </c>
      <c r="D478" s="22" t="s">
        <v>1369</v>
      </c>
      <c r="E478" s="22" t="s">
        <v>57</v>
      </c>
      <c r="F478" s="23">
        <v>-32700</v>
      </c>
      <c r="G478" s="24">
        <v>44547</v>
      </c>
      <c r="H478" s="22" t="s">
        <v>1272</v>
      </c>
      <c r="I478" s="22" t="s">
        <v>1360</v>
      </c>
      <c r="J478" s="22"/>
      <c r="K478" s="22"/>
    </row>
    <row r="479" spans="1:11" x14ac:dyDescent="0.25">
      <c r="A479" s="22" t="s">
        <v>1372</v>
      </c>
      <c r="B479" s="22" t="s">
        <v>201</v>
      </c>
      <c r="C479" s="22" t="s">
        <v>202</v>
      </c>
      <c r="D479" s="22" t="s">
        <v>1371</v>
      </c>
      <c r="E479" s="22" t="s">
        <v>57</v>
      </c>
      <c r="F479" s="23">
        <v>-150000</v>
      </c>
      <c r="G479" s="24">
        <v>44547</v>
      </c>
      <c r="H479" s="22" t="s">
        <v>1272</v>
      </c>
      <c r="I479" s="22" t="s">
        <v>212</v>
      </c>
      <c r="J479" s="22"/>
      <c r="K479" s="22"/>
    </row>
    <row r="480" spans="1:11" x14ac:dyDescent="0.25">
      <c r="A480" s="22" t="s">
        <v>1374</v>
      </c>
      <c r="B480" s="22" t="s">
        <v>201</v>
      </c>
      <c r="C480" s="22" t="s">
        <v>202</v>
      </c>
      <c r="D480" s="22" t="s">
        <v>1373</v>
      </c>
      <c r="E480" s="22" t="s">
        <v>57</v>
      </c>
      <c r="F480" s="23">
        <v>-32700</v>
      </c>
      <c r="G480" s="24">
        <v>44546</v>
      </c>
      <c r="H480" s="22" t="s">
        <v>1272</v>
      </c>
      <c r="I480" s="22" t="s">
        <v>298</v>
      </c>
      <c r="J480" s="22"/>
      <c r="K480" s="22"/>
    </row>
    <row r="481" spans="1:11" x14ac:dyDescent="0.25">
      <c r="A481" s="22" t="s">
        <v>1376</v>
      </c>
      <c r="B481" s="22" t="s">
        <v>201</v>
      </c>
      <c r="C481" s="22" t="s">
        <v>202</v>
      </c>
      <c r="D481" s="22" t="s">
        <v>1375</v>
      </c>
      <c r="E481" s="22" t="s">
        <v>57</v>
      </c>
      <c r="F481" s="23">
        <v>-47200</v>
      </c>
      <c r="G481" s="24">
        <v>44540</v>
      </c>
      <c r="H481" s="22" t="s">
        <v>1272</v>
      </c>
      <c r="I481" s="22" t="s">
        <v>212</v>
      </c>
      <c r="J481" s="22"/>
      <c r="K481" s="22"/>
    </row>
    <row r="482" spans="1:11" x14ac:dyDescent="0.25">
      <c r="A482" s="22" t="s">
        <v>1378</v>
      </c>
      <c r="B482" s="22" t="s">
        <v>201</v>
      </c>
      <c r="C482" s="22" t="s">
        <v>202</v>
      </c>
      <c r="D482" s="22" t="s">
        <v>1377</v>
      </c>
      <c r="E482" s="22" t="s">
        <v>57</v>
      </c>
      <c r="F482" s="23">
        <v>-45800</v>
      </c>
      <c r="G482" s="24">
        <v>44537</v>
      </c>
      <c r="H482" s="22" t="s">
        <v>1272</v>
      </c>
      <c r="I482" s="22" t="s">
        <v>941</v>
      </c>
      <c r="J482" s="22"/>
      <c r="K482" s="22"/>
    </row>
    <row r="483" spans="1:11" x14ac:dyDescent="0.25">
      <c r="A483" s="22" t="s">
        <v>1380</v>
      </c>
      <c r="B483" s="22" t="s">
        <v>201</v>
      </c>
      <c r="C483" s="22" t="s">
        <v>202</v>
      </c>
      <c r="D483" s="22" t="s">
        <v>1379</v>
      </c>
      <c r="E483" s="22" t="s">
        <v>57</v>
      </c>
      <c r="F483" s="23">
        <v>-36000</v>
      </c>
      <c r="G483" s="24">
        <v>44564</v>
      </c>
      <c r="H483" s="22" t="s">
        <v>964</v>
      </c>
      <c r="I483" s="22" t="s">
        <v>951</v>
      </c>
      <c r="J483" s="22"/>
      <c r="K483" s="22"/>
    </row>
    <row r="484" spans="1:11" x14ac:dyDescent="0.25">
      <c r="A484" s="22" t="s">
        <v>1385</v>
      </c>
      <c r="B484" s="22" t="s">
        <v>201</v>
      </c>
      <c r="C484" s="22" t="s">
        <v>202</v>
      </c>
      <c r="D484" s="22" t="s">
        <v>1384</v>
      </c>
      <c r="E484" s="22" t="s">
        <v>57</v>
      </c>
      <c r="F484" s="23">
        <v>-32700</v>
      </c>
      <c r="G484" s="24">
        <v>44509</v>
      </c>
      <c r="H484" s="22" t="s">
        <v>1383</v>
      </c>
      <c r="I484" s="22" t="s">
        <v>1386</v>
      </c>
      <c r="J484" s="22"/>
      <c r="K484" s="22"/>
    </row>
    <row r="485" spans="1:11" x14ac:dyDescent="0.25">
      <c r="A485" s="22" t="s">
        <v>1388</v>
      </c>
      <c r="B485" s="22" t="s">
        <v>201</v>
      </c>
      <c r="C485" s="22" t="s">
        <v>202</v>
      </c>
      <c r="D485" s="22" t="s">
        <v>1387</v>
      </c>
      <c r="E485" s="22" t="s">
        <v>57</v>
      </c>
      <c r="F485" s="23">
        <v>-22900</v>
      </c>
      <c r="G485" s="24">
        <v>44509</v>
      </c>
      <c r="H485" s="22" t="s">
        <v>1383</v>
      </c>
      <c r="I485" s="22" t="s">
        <v>1386</v>
      </c>
      <c r="J485" s="22"/>
      <c r="K485" s="22"/>
    </row>
    <row r="486" spans="1:11" x14ac:dyDescent="0.25">
      <c r="A486" s="22" t="s">
        <v>1390</v>
      </c>
      <c r="B486" s="22" t="s">
        <v>201</v>
      </c>
      <c r="C486" s="22" t="s">
        <v>202</v>
      </c>
      <c r="D486" s="22" t="s">
        <v>1389</v>
      </c>
      <c r="E486" s="22" t="s">
        <v>57</v>
      </c>
      <c r="F486" s="23">
        <v>-191294</v>
      </c>
      <c r="G486" s="24">
        <v>44507</v>
      </c>
      <c r="H486" s="22" t="s">
        <v>1383</v>
      </c>
      <c r="I486" s="22" t="s">
        <v>1391</v>
      </c>
      <c r="J486" s="22"/>
      <c r="K486" s="22"/>
    </row>
    <row r="487" spans="1:11" x14ac:dyDescent="0.25">
      <c r="A487" s="22" t="s">
        <v>1393</v>
      </c>
      <c r="B487" s="22" t="s">
        <v>201</v>
      </c>
      <c r="C487" s="22" t="s">
        <v>202</v>
      </c>
      <c r="D487" s="22" t="s">
        <v>1392</v>
      </c>
      <c r="E487" s="22" t="s">
        <v>57</v>
      </c>
      <c r="F487" s="23">
        <v>-9700</v>
      </c>
      <c r="G487" s="24">
        <v>44546</v>
      </c>
      <c r="H487" s="22" t="s">
        <v>1383</v>
      </c>
      <c r="I487" s="22" t="s">
        <v>1394</v>
      </c>
      <c r="J487" s="22"/>
      <c r="K487" s="22"/>
    </row>
    <row r="488" spans="1:11" x14ac:dyDescent="0.25">
      <c r="A488" s="22" t="s">
        <v>1396</v>
      </c>
      <c r="B488" s="22" t="s">
        <v>201</v>
      </c>
      <c r="C488" s="22" t="s">
        <v>202</v>
      </c>
      <c r="D488" s="22" t="s">
        <v>1395</v>
      </c>
      <c r="E488" s="22" t="s">
        <v>57</v>
      </c>
      <c r="F488" s="23">
        <v>-2720645</v>
      </c>
      <c r="G488" s="24">
        <v>44560</v>
      </c>
      <c r="H488" s="22" t="s">
        <v>1383</v>
      </c>
      <c r="I488" s="22" t="s">
        <v>1397</v>
      </c>
      <c r="J488" s="22"/>
      <c r="K488" s="22"/>
    </row>
    <row r="489" spans="1:11" x14ac:dyDescent="0.25">
      <c r="A489" s="22" t="s">
        <v>267</v>
      </c>
      <c r="B489" s="22" t="s">
        <v>201</v>
      </c>
      <c r="C489" s="22" t="s">
        <v>202</v>
      </c>
      <c r="D489" s="22" t="s">
        <v>403</v>
      </c>
      <c r="E489" s="22" t="s">
        <v>45</v>
      </c>
      <c r="F489" s="23">
        <v>-3876435</v>
      </c>
      <c r="G489" s="24">
        <v>44541</v>
      </c>
      <c r="H489" s="22" t="s">
        <v>403</v>
      </c>
      <c r="I489" s="22"/>
      <c r="J489" s="22"/>
      <c r="K489" s="22"/>
    </row>
    <row r="490" spans="1:11" x14ac:dyDescent="0.25">
      <c r="A490" s="22" t="s">
        <v>424</v>
      </c>
      <c r="B490" s="22" t="s">
        <v>201</v>
      </c>
      <c r="C490" s="22" t="s">
        <v>202</v>
      </c>
      <c r="D490" s="22" t="s">
        <v>423</v>
      </c>
      <c r="E490" s="22" t="s">
        <v>45</v>
      </c>
      <c r="F490" s="23">
        <v>-13916</v>
      </c>
      <c r="G490" s="24">
        <v>44526</v>
      </c>
      <c r="H490" s="22" t="s">
        <v>403</v>
      </c>
      <c r="I490" s="22" t="s">
        <v>1400</v>
      </c>
      <c r="J490" s="22"/>
      <c r="K490" s="22"/>
    </row>
    <row r="491" spans="1:11" x14ac:dyDescent="0.25">
      <c r="A491" s="22" t="s">
        <v>255</v>
      </c>
      <c r="B491" s="22" t="s">
        <v>201</v>
      </c>
      <c r="C491" s="22" t="s">
        <v>202</v>
      </c>
      <c r="D491" s="22" t="s">
        <v>254</v>
      </c>
      <c r="E491" s="22" t="s">
        <v>45</v>
      </c>
      <c r="F491" s="23">
        <v>-585568</v>
      </c>
      <c r="G491" s="24">
        <v>44530</v>
      </c>
      <c r="H491" s="22" t="s">
        <v>403</v>
      </c>
      <c r="I491" s="22" t="s">
        <v>1401</v>
      </c>
      <c r="J491" s="22"/>
      <c r="K491" s="22"/>
    </row>
    <row r="492" spans="1:11" x14ac:dyDescent="0.25">
      <c r="A492" s="22" t="s">
        <v>219</v>
      </c>
      <c r="B492" s="22" t="s">
        <v>201</v>
      </c>
      <c r="C492" s="22" t="s">
        <v>202</v>
      </c>
      <c r="D492" s="22" t="s">
        <v>205</v>
      </c>
      <c r="E492" s="22" t="s">
        <v>45</v>
      </c>
      <c r="F492" s="23">
        <v>-62127</v>
      </c>
      <c r="G492" s="24">
        <v>44511</v>
      </c>
      <c r="H492" s="22" t="s">
        <v>403</v>
      </c>
      <c r="I492" s="22" t="s">
        <v>1402</v>
      </c>
      <c r="J492" s="22"/>
      <c r="K492" s="22"/>
    </row>
    <row r="493" spans="1:11" x14ac:dyDescent="0.25">
      <c r="A493" s="22" t="s">
        <v>1404</v>
      </c>
      <c r="B493" s="22" t="s">
        <v>201</v>
      </c>
      <c r="C493" s="22" t="s">
        <v>202</v>
      </c>
      <c r="D493" s="22" t="s">
        <v>1403</v>
      </c>
      <c r="E493" s="22" t="s">
        <v>57</v>
      </c>
      <c r="F493" s="23">
        <v>-208300</v>
      </c>
      <c r="G493" s="24">
        <v>44505</v>
      </c>
      <c r="H493" s="22" t="s">
        <v>403</v>
      </c>
      <c r="I493" s="22" t="s">
        <v>478</v>
      </c>
      <c r="J493" s="22"/>
      <c r="K493" s="22"/>
    </row>
    <row r="494" spans="1:11" x14ac:dyDescent="0.25">
      <c r="A494" s="22" t="s">
        <v>1406</v>
      </c>
      <c r="B494" s="22" t="s">
        <v>201</v>
      </c>
      <c r="C494" s="22" t="s">
        <v>202</v>
      </c>
      <c r="D494" s="22" t="s">
        <v>1405</v>
      </c>
      <c r="E494" s="22" t="s">
        <v>57</v>
      </c>
      <c r="F494" s="23">
        <v>-891000</v>
      </c>
      <c r="G494" s="24">
        <v>44505</v>
      </c>
      <c r="H494" s="22" t="s">
        <v>403</v>
      </c>
      <c r="I494" s="22" t="s">
        <v>494</v>
      </c>
      <c r="J494" s="22"/>
      <c r="K494" s="22"/>
    </row>
    <row r="495" spans="1:11" x14ac:dyDescent="0.25">
      <c r="A495" s="22" t="s">
        <v>277</v>
      </c>
      <c r="B495" s="22" t="s">
        <v>201</v>
      </c>
      <c r="C495" s="22" t="s">
        <v>202</v>
      </c>
      <c r="D495" s="22" t="s">
        <v>275</v>
      </c>
      <c r="E495" s="22" t="s">
        <v>45</v>
      </c>
      <c r="F495" s="23">
        <v>-124827</v>
      </c>
      <c r="G495" s="24">
        <v>44503</v>
      </c>
      <c r="H495" s="22" t="s">
        <v>403</v>
      </c>
      <c r="I495" s="22" t="s">
        <v>1407</v>
      </c>
      <c r="J495" s="22"/>
      <c r="K495" s="22"/>
    </row>
    <row r="496" spans="1:11" x14ac:dyDescent="0.25">
      <c r="A496" s="22" t="s">
        <v>1409</v>
      </c>
      <c r="B496" s="22" t="s">
        <v>201</v>
      </c>
      <c r="C496" s="22" t="s">
        <v>202</v>
      </c>
      <c r="D496" s="22" t="s">
        <v>1408</v>
      </c>
      <c r="E496" s="22" t="s">
        <v>57</v>
      </c>
      <c r="F496" s="23">
        <v>-382600</v>
      </c>
      <c r="G496" s="24">
        <v>44504</v>
      </c>
      <c r="H496" s="22" t="s">
        <v>403</v>
      </c>
      <c r="I496" s="22" t="s">
        <v>282</v>
      </c>
      <c r="J496" s="22"/>
      <c r="K496" s="22"/>
    </row>
    <row r="497" spans="1:11" x14ac:dyDescent="0.25">
      <c r="A497" s="22" t="s">
        <v>349</v>
      </c>
      <c r="B497" s="22" t="s">
        <v>201</v>
      </c>
      <c r="C497" s="22" t="s">
        <v>202</v>
      </c>
      <c r="D497" s="22" t="s">
        <v>348</v>
      </c>
      <c r="E497" s="22" t="s">
        <v>45</v>
      </c>
      <c r="F497" s="23">
        <v>-15857</v>
      </c>
      <c r="G497" s="24">
        <v>44479</v>
      </c>
      <c r="H497" s="22" t="s">
        <v>403</v>
      </c>
      <c r="I497" s="22" t="s">
        <v>1410</v>
      </c>
      <c r="J497" s="22"/>
      <c r="K497" s="22"/>
    </row>
    <row r="498" spans="1:11" x14ac:dyDescent="0.25">
      <c r="A498" s="22" t="s">
        <v>267</v>
      </c>
      <c r="B498" s="22" t="s">
        <v>201</v>
      </c>
      <c r="C498" s="22" t="s">
        <v>202</v>
      </c>
      <c r="D498" s="22" t="s">
        <v>266</v>
      </c>
      <c r="E498" s="22" t="s">
        <v>45</v>
      </c>
      <c r="F498" s="23">
        <v>-347148</v>
      </c>
      <c r="G498" s="24">
        <v>44541</v>
      </c>
      <c r="H498" s="22" t="s">
        <v>403</v>
      </c>
      <c r="I498" s="22" t="s">
        <v>1411</v>
      </c>
      <c r="J498" s="22"/>
      <c r="K498" s="22"/>
    </row>
    <row r="499" spans="1:11" x14ac:dyDescent="0.25">
      <c r="A499" s="22" t="s">
        <v>238</v>
      </c>
      <c r="B499" s="22" t="s">
        <v>201</v>
      </c>
      <c r="C499" s="22" t="s">
        <v>202</v>
      </c>
      <c r="D499" s="22" t="s">
        <v>237</v>
      </c>
      <c r="E499" s="22" t="s">
        <v>45</v>
      </c>
      <c r="F499" s="23">
        <v>-28526</v>
      </c>
      <c r="G499" s="24">
        <v>44559</v>
      </c>
      <c r="H499" s="22" t="s">
        <v>403</v>
      </c>
      <c r="I499" s="22" t="s">
        <v>1412</v>
      </c>
      <c r="J499" s="22"/>
      <c r="K499" s="22"/>
    </row>
    <row r="500" spans="1:11" x14ac:dyDescent="0.25">
      <c r="A500" s="22" t="s">
        <v>261</v>
      </c>
      <c r="B500" s="22" t="s">
        <v>201</v>
      </c>
      <c r="C500" s="22" t="s">
        <v>202</v>
      </c>
      <c r="D500" s="22" t="s">
        <v>260</v>
      </c>
      <c r="E500" s="22" t="s">
        <v>45</v>
      </c>
      <c r="F500" s="23">
        <v>-1509992</v>
      </c>
      <c r="G500" s="24">
        <v>44564</v>
      </c>
      <c r="H500" s="22" t="s">
        <v>403</v>
      </c>
      <c r="I500" s="22" t="s">
        <v>1413</v>
      </c>
      <c r="J500" s="22"/>
      <c r="K500" s="22"/>
    </row>
    <row r="501" spans="1:11" x14ac:dyDescent="0.25">
      <c r="A501" s="22" t="s">
        <v>965</v>
      </c>
      <c r="B501" s="22" t="s">
        <v>201</v>
      </c>
      <c r="C501" s="22" t="s">
        <v>202</v>
      </c>
      <c r="D501" s="22" t="s">
        <v>964</v>
      </c>
      <c r="E501" s="22" t="s">
        <v>45</v>
      </c>
      <c r="F501" s="23">
        <v>-228800</v>
      </c>
      <c r="G501" s="24">
        <v>44569</v>
      </c>
      <c r="H501" s="22" t="s">
        <v>964</v>
      </c>
      <c r="I501" s="22"/>
      <c r="J501" s="22"/>
      <c r="K501" s="22"/>
    </row>
    <row r="502" spans="1:11" x14ac:dyDescent="0.25">
      <c r="A502" s="22" t="s">
        <v>251</v>
      </c>
      <c r="B502" s="22" t="s">
        <v>201</v>
      </c>
      <c r="C502" s="22" t="s">
        <v>202</v>
      </c>
      <c r="D502" s="22" t="s">
        <v>248</v>
      </c>
      <c r="E502" s="22" t="s">
        <v>45</v>
      </c>
      <c r="F502" s="23">
        <v>-132520</v>
      </c>
      <c r="G502" s="24">
        <v>44543</v>
      </c>
      <c r="H502" s="22" t="s">
        <v>964</v>
      </c>
      <c r="I502" s="22" t="s">
        <v>866</v>
      </c>
      <c r="J502" s="22"/>
      <c r="K502" s="22"/>
    </row>
    <row r="503" spans="1:11" x14ac:dyDescent="0.25">
      <c r="A503" s="22" t="s">
        <v>1417</v>
      </c>
      <c r="B503" s="22" t="s">
        <v>201</v>
      </c>
      <c r="C503" s="22" t="s">
        <v>202</v>
      </c>
      <c r="D503" s="22" t="s">
        <v>1416</v>
      </c>
      <c r="E503" s="22" t="s">
        <v>45</v>
      </c>
      <c r="F503" s="23">
        <v>-53700</v>
      </c>
      <c r="G503" s="24">
        <v>44635</v>
      </c>
      <c r="H503" s="22" t="s">
        <v>1416</v>
      </c>
      <c r="I503" s="22" t="s">
        <v>230</v>
      </c>
      <c r="J503" s="22"/>
      <c r="K503" s="22"/>
    </row>
    <row r="504" spans="1:11" x14ac:dyDescent="0.25">
      <c r="A504" s="22" t="s">
        <v>1420</v>
      </c>
      <c r="B504" s="22" t="s">
        <v>201</v>
      </c>
      <c r="C504" s="22" t="s">
        <v>202</v>
      </c>
      <c r="D504" s="22" t="s">
        <v>1419</v>
      </c>
      <c r="E504" s="22" t="s">
        <v>57</v>
      </c>
      <c r="F504" s="23">
        <v>-53700</v>
      </c>
      <c r="G504" s="24">
        <v>44542</v>
      </c>
      <c r="H504" s="22" t="s">
        <v>1416</v>
      </c>
      <c r="I504" s="22" t="s">
        <v>1421</v>
      </c>
      <c r="J504" s="22"/>
      <c r="K504" s="22"/>
    </row>
    <row r="505" spans="1:11" x14ac:dyDescent="0.25">
      <c r="A505" s="22" t="s">
        <v>1423</v>
      </c>
      <c r="B505" s="22" t="s">
        <v>201</v>
      </c>
      <c r="C505" s="22" t="s">
        <v>202</v>
      </c>
      <c r="D505" s="22" t="s">
        <v>1422</v>
      </c>
      <c r="E505" s="22" t="s">
        <v>45</v>
      </c>
      <c r="F505" s="23">
        <v>-124224</v>
      </c>
      <c r="G505" s="24">
        <v>44635</v>
      </c>
      <c r="H505" s="22" t="s">
        <v>1422</v>
      </c>
      <c r="I505" s="22" t="s">
        <v>230</v>
      </c>
      <c r="J505" s="22"/>
      <c r="K505" s="22"/>
    </row>
    <row r="506" spans="1:11" x14ac:dyDescent="0.25">
      <c r="A506" s="22" t="s">
        <v>1426</v>
      </c>
      <c r="B506" s="22" t="s">
        <v>201</v>
      </c>
      <c r="C506" s="22" t="s">
        <v>202</v>
      </c>
      <c r="D506" s="22" t="s">
        <v>1425</v>
      </c>
      <c r="E506" s="22" t="s">
        <v>57</v>
      </c>
      <c r="F506" s="23">
        <v>-29200</v>
      </c>
      <c r="G506" s="24">
        <v>44529</v>
      </c>
      <c r="H506" s="22" t="s">
        <v>1422</v>
      </c>
      <c r="I506" s="22" t="s">
        <v>1427</v>
      </c>
      <c r="J506" s="22"/>
      <c r="K506" s="22"/>
    </row>
    <row r="507" spans="1:11" x14ac:dyDescent="0.25">
      <c r="A507" s="22" t="s">
        <v>1429</v>
      </c>
      <c r="B507" s="22" t="s">
        <v>201</v>
      </c>
      <c r="C507" s="22" t="s">
        <v>202</v>
      </c>
      <c r="D507" s="22" t="s">
        <v>1428</v>
      </c>
      <c r="E507" s="22" t="s">
        <v>57</v>
      </c>
      <c r="F507" s="23">
        <v>-95024</v>
      </c>
      <c r="G507" s="24">
        <v>44560</v>
      </c>
      <c r="H507" s="22" t="s">
        <v>1422</v>
      </c>
      <c r="I507" s="22" t="s">
        <v>1430</v>
      </c>
      <c r="J507" s="22"/>
      <c r="K507" s="22"/>
    </row>
    <row r="508" spans="1:11" x14ac:dyDescent="0.25">
      <c r="A508" s="22" t="s">
        <v>1432</v>
      </c>
      <c r="B508" s="22" t="s">
        <v>201</v>
      </c>
      <c r="C508" s="22" t="s">
        <v>202</v>
      </c>
      <c r="D508" s="22" t="s">
        <v>1431</v>
      </c>
      <c r="E508" s="22" t="s">
        <v>45</v>
      </c>
      <c r="F508" s="23">
        <v>-229321</v>
      </c>
      <c r="G508" s="24">
        <v>44635</v>
      </c>
      <c r="H508" s="22" t="s">
        <v>1431</v>
      </c>
      <c r="I508" s="22" t="s">
        <v>230</v>
      </c>
      <c r="J508" s="22"/>
      <c r="K508" s="22"/>
    </row>
    <row r="509" spans="1:11" x14ac:dyDescent="0.25">
      <c r="A509" s="22" t="s">
        <v>1435</v>
      </c>
      <c r="B509" s="22" t="s">
        <v>201</v>
      </c>
      <c r="C509" s="22" t="s">
        <v>202</v>
      </c>
      <c r="D509" s="22" t="s">
        <v>1434</v>
      </c>
      <c r="E509" s="22" t="s">
        <v>57</v>
      </c>
      <c r="F509" s="23">
        <v>-113700</v>
      </c>
      <c r="G509" s="24">
        <v>44527</v>
      </c>
      <c r="H509" s="22" t="s">
        <v>1431</v>
      </c>
      <c r="I509" s="22" t="s">
        <v>1436</v>
      </c>
      <c r="J509" s="22"/>
      <c r="K509" s="22"/>
    </row>
    <row r="510" spans="1:11" x14ac:dyDescent="0.25">
      <c r="A510" s="22" t="s">
        <v>1438</v>
      </c>
      <c r="B510" s="22" t="s">
        <v>201</v>
      </c>
      <c r="C510" s="22" t="s">
        <v>202</v>
      </c>
      <c r="D510" s="22" t="s">
        <v>1437</v>
      </c>
      <c r="E510" s="22" t="s">
        <v>57</v>
      </c>
      <c r="F510" s="23">
        <v>-115621</v>
      </c>
      <c r="G510" s="24">
        <v>44553</v>
      </c>
      <c r="H510" s="22" t="s">
        <v>1431</v>
      </c>
      <c r="I510" s="22" t="s">
        <v>1439</v>
      </c>
      <c r="J510" s="22"/>
      <c r="K510" s="22"/>
    </row>
    <row r="511" spans="1:11" x14ac:dyDescent="0.25">
      <c r="A511" s="22" t="s">
        <v>1441</v>
      </c>
      <c r="B511" s="22" t="s">
        <v>201</v>
      </c>
      <c r="C511" s="22" t="s">
        <v>202</v>
      </c>
      <c r="D511" s="22" t="s">
        <v>1440</v>
      </c>
      <c r="E511" s="22" t="s">
        <v>45</v>
      </c>
      <c r="F511" s="23">
        <v>-667073</v>
      </c>
      <c r="G511" s="24">
        <v>44635</v>
      </c>
      <c r="H511" s="22" t="s">
        <v>1440</v>
      </c>
      <c r="I511" s="22" t="s">
        <v>230</v>
      </c>
      <c r="J511" s="22"/>
      <c r="K511" s="22"/>
    </row>
    <row r="512" spans="1:11" x14ac:dyDescent="0.25">
      <c r="A512" s="22" t="s">
        <v>1444</v>
      </c>
      <c r="B512" s="22" t="s">
        <v>201</v>
      </c>
      <c r="C512" s="22" t="s">
        <v>202</v>
      </c>
      <c r="D512" s="22" t="s">
        <v>1443</v>
      </c>
      <c r="E512" s="22" t="s">
        <v>57</v>
      </c>
      <c r="F512" s="23">
        <v>-613373</v>
      </c>
      <c r="G512" s="24">
        <v>44524</v>
      </c>
      <c r="H512" s="22" t="s">
        <v>1440</v>
      </c>
      <c r="I512" s="22" t="s">
        <v>1445</v>
      </c>
      <c r="J512" s="22"/>
      <c r="K512" s="22"/>
    </row>
    <row r="513" spans="1:11" x14ac:dyDescent="0.25">
      <c r="A513" s="22" t="s">
        <v>1447</v>
      </c>
      <c r="B513" s="22" t="s">
        <v>201</v>
      </c>
      <c r="C513" s="22" t="s">
        <v>202</v>
      </c>
      <c r="D513" s="22" t="s">
        <v>1446</v>
      </c>
      <c r="E513" s="22" t="s">
        <v>57</v>
      </c>
      <c r="F513" s="23">
        <v>-53700</v>
      </c>
      <c r="G513" s="24">
        <v>44533</v>
      </c>
      <c r="H513" s="22" t="s">
        <v>1440</v>
      </c>
      <c r="I513" s="22" t="s">
        <v>1448</v>
      </c>
      <c r="J513" s="22"/>
      <c r="K513" s="22"/>
    </row>
    <row r="514" spans="1:11" x14ac:dyDescent="0.25">
      <c r="A514" s="22" t="s">
        <v>1382</v>
      </c>
      <c r="B514" s="22" t="s">
        <v>201</v>
      </c>
      <c r="C514" s="22" t="s">
        <v>202</v>
      </c>
      <c r="D514" s="22" t="s">
        <v>1383</v>
      </c>
      <c r="E514" s="22" t="s">
        <v>45</v>
      </c>
      <c r="F514" s="23">
        <v>-2977239</v>
      </c>
      <c r="G514" s="24">
        <v>44635</v>
      </c>
      <c r="H514" s="22" t="s">
        <v>1383</v>
      </c>
      <c r="I514" s="22" t="s">
        <v>230</v>
      </c>
      <c r="J514" s="22"/>
      <c r="K514" s="22"/>
    </row>
    <row r="515" spans="1:11" x14ac:dyDescent="0.25">
      <c r="A515" s="22" t="s">
        <v>1450</v>
      </c>
      <c r="B515" s="22" t="s">
        <v>201</v>
      </c>
      <c r="C515" s="22" t="s">
        <v>202</v>
      </c>
      <c r="D515" s="22" t="s">
        <v>1449</v>
      </c>
      <c r="E515" s="22" t="s">
        <v>57</v>
      </c>
      <c r="F515" s="23">
        <v>-237300</v>
      </c>
      <c r="G515" s="24">
        <v>44563</v>
      </c>
      <c r="H515" s="22" t="s">
        <v>1272</v>
      </c>
      <c r="I515" s="22" t="s">
        <v>263</v>
      </c>
      <c r="J515" s="22"/>
      <c r="K515" s="22"/>
    </row>
    <row r="516" spans="1:11" x14ac:dyDescent="0.25">
      <c r="A516" s="22" t="s">
        <v>1452</v>
      </c>
      <c r="B516" s="22" t="s">
        <v>201</v>
      </c>
      <c r="C516" s="22" t="s">
        <v>202</v>
      </c>
      <c r="D516" s="22" t="s">
        <v>1451</v>
      </c>
      <c r="E516" s="22" t="s">
        <v>57</v>
      </c>
      <c r="F516" s="23">
        <v>-59100</v>
      </c>
      <c r="G516" s="24">
        <v>44562</v>
      </c>
      <c r="H516" s="22" t="s">
        <v>1272</v>
      </c>
      <c r="I516" s="22" t="s">
        <v>1453</v>
      </c>
      <c r="J516" s="22"/>
      <c r="K516" s="22"/>
    </row>
    <row r="517" spans="1:11" x14ac:dyDescent="0.25">
      <c r="A517" s="22" t="s">
        <v>1455</v>
      </c>
      <c r="B517" s="22" t="s">
        <v>201</v>
      </c>
      <c r="C517" s="22" t="s">
        <v>202</v>
      </c>
      <c r="D517" s="22" t="s">
        <v>1454</v>
      </c>
      <c r="E517" s="22" t="s">
        <v>57</v>
      </c>
      <c r="F517" s="23">
        <v>-34700</v>
      </c>
      <c r="G517" s="24">
        <v>44596</v>
      </c>
      <c r="H517" s="22" t="s">
        <v>1272</v>
      </c>
      <c r="I517" s="22" t="s">
        <v>979</v>
      </c>
      <c r="J517" s="22"/>
      <c r="K517" s="22"/>
    </row>
    <row r="518" spans="1:11" x14ac:dyDescent="0.25">
      <c r="A518" s="22" t="s">
        <v>1457</v>
      </c>
      <c r="B518" s="22" t="s">
        <v>201</v>
      </c>
      <c r="C518" s="22" t="s">
        <v>202</v>
      </c>
      <c r="D518" s="22" t="s">
        <v>1456</v>
      </c>
      <c r="E518" s="22" t="s">
        <v>57</v>
      </c>
      <c r="F518" s="23">
        <v>-36000</v>
      </c>
      <c r="G518" s="24">
        <v>44592</v>
      </c>
      <c r="H518" s="22" t="s">
        <v>1272</v>
      </c>
      <c r="I518" s="22" t="s">
        <v>304</v>
      </c>
      <c r="J518" s="22"/>
      <c r="K518" s="22"/>
    </row>
    <row r="519" spans="1:11" x14ac:dyDescent="0.25">
      <c r="A519" s="22" t="s">
        <v>1459</v>
      </c>
      <c r="B519" s="22" t="s">
        <v>201</v>
      </c>
      <c r="C519" s="22" t="s">
        <v>202</v>
      </c>
      <c r="D519" s="22" t="s">
        <v>1458</v>
      </c>
      <c r="E519" s="22" t="s">
        <v>57</v>
      </c>
      <c r="F519" s="23">
        <v>-72000</v>
      </c>
      <c r="G519" s="24">
        <v>44589</v>
      </c>
      <c r="H519" s="22" t="s">
        <v>1272</v>
      </c>
      <c r="I519" s="22" t="s">
        <v>1357</v>
      </c>
      <c r="J519" s="22"/>
      <c r="K519" s="22"/>
    </row>
    <row r="520" spans="1:11" x14ac:dyDescent="0.25">
      <c r="A520" s="22" t="s">
        <v>1461</v>
      </c>
      <c r="B520" s="22" t="s">
        <v>201</v>
      </c>
      <c r="C520" s="22" t="s">
        <v>202</v>
      </c>
      <c r="D520" s="22" t="s">
        <v>1460</v>
      </c>
      <c r="E520" s="22" t="s">
        <v>57</v>
      </c>
      <c r="F520" s="23">
        <v>-26000</v>
      </c>
      <c r="G520" s="24">
        <v>44589</v>
      </c>
      <c r="H520" s="22" t="s">
        <v>1272</v>
      </c>
      <c r="I520" s="22" t="s">
        <v>979</v>
      </c>
      <c r="J520" s="22"/>
      <c r="K520" s="22"/>
    </row>
    <row r="521" spans="1:11" x14ac:dyDescent="0.25">
      <c r="A521" s="22" t="s">
        <v>1463</v>
      </c>
      <c r="B521" s="22" t="s">
        <v>201</v>
      </c>
      <c r="C521" s="22" t="s">
        <v>202</v>
      </c>
      <c r="D521" s="22" t="s">
        <v>1462</v>
      </c>
      <c r="E521" s="22" t="s">
        <v>57</v>
      </c>
      <c r="F521" s="23">
        <v>-51900</v>
      </c>
      <c r="G521" s="24">
        <v>44587</v>
      </c>
      <c r="H521" s="22" t="s">
        <v>1272</v>
      </c>
      <c r="I521" s="22" t="s">
        <v>212</v>
      </c>
      <c r="J521" s="22"/>
      <c r="K521" s="22"/>
    </row>
    <row r="522" spans="1:11" x14ac:dyDescent="0.25">
      <c r="A522" s="22" t="s">
        <v>1465</v>
      </c>
      <c r="B522" s="22" t="s">
        <v>201</v>
      </c>
      <c r="C522" s="22" t="s">
        <v>202</v>
      </c>
      <c r="D522" s="22" t="s">
        <v>1464</v>
      </c>
      <c r="E522" s="22" t="s">
        <v>57</v>
      </c>
      <c r="F522" s="23">
        <v>-34700</v>
      </c>
      <c r="G522" s="24">
        <v>44587</v>
      </c>
      <c r="H522" s="22" t="s">
        <v>1272</v>
      </c>
      <c r="I522" s="22" t="s">
        <v>989</v>
      </c>
      <c r="J522" s="22"/>
      <c r="K522" s="22"/>
    </row>
    <row r="523" spans="1:11" x14ac:dyDescent="0.25">
      <c r="A523" s="22" t="s">
        <v>1467</v>
      </c>
      <c r="B523" s="22" t="s">
        <v>201</v>
      </c>
      <c r="C523" s="22" t="s">
        <v>202</v>
      </c>
      <c r="D523" s="22" t="s">
        <v>1466</v>
      </c>
      <c r="E523" s="22" t="s">
        <v>57</v>
      </c>
      <c r="F523" s="23">
        <v>-51900</v>
      </c>
      <c r="G523" s="24">
        <v>44585</v>
      </c>
      <c r="H523" s="22" t="s">
        <v>1272</v>
      </c>
      <c r="I523" s="22" t="s">
        <v>319</v>
      </c>
      <c r="J523" s="22"/>
      <c r="K523" s="22"/>
    </row>
    <row r="524" spans="1:11" x14ac:dyDescent="0.25">
      <c r="A524" s="22" t="s">
        <v>1469</v>
      </c>
      <c r="B524" s="22" t="s">
        <v>201</v>
      </c>
      <c r="C524" s="22" t="s">
        <v>202</v>
      </c>
      <c r="D524" s="22" t="s">
        <v>1468</v>
      </c>
      <c r="E524" s="22" t="s">
        <v>57</v>
      </c>
      <c r="F524" s="23">
        <v>-504000</v>
      </c>
      <c r="G524" s="24">
        <v>44583</v>
      </c>
      <c r="H524" s="22" t="s">
        <v>1272</v>
      </c>
      <c r="I524" s="22" t="s">
        <v>989</v>
      </c>
      <c r="J524" s="22"/>
      <c r="K524" s="22"/>
    </row>
    <row r="525" spans="1:11" x14ac:dyDescent="0.25">
      <c r="A525" s="22" t="s">
        <v>1471</v>
      </c>
      <c r="B525" s="22" t="s">
        <v>201</v>
      </c>
      <c r="C525" s="22" t="s">
        <v>202</v>
      </c>
      <c r="D525" s="22" t="s">
        <v>1470</v>
      </c>
      <c r="E525" s="22" t="s">
        <v>57</v>
      </c>
      <c r="F525" s="23">
        <v>-2600000</v>
      </c>
      <c r="G525" s="24">
        <v>44583</v>
      </c>
      <c r="H525" s="22" t="s">
        <v>1272</v>
      </c>
      <c r="I525" s="22" t="s">
        <v>1472</v>
      </c>
      <c r="J525" s="22"/>
      <c r="K525" s="22"/>
    </row>
    <row r="526" spans="1:11" x14ac:dyDescent="0.25">
      <c r="A526" s="22" t="s">
        <v>1474</v>
      </c>
      <c r="B526" s="22" t="s">
        <v>201</v>
      </c>
      <c r="C526" s="22" t="s">
        <v>202</v>
      </c>
      <c r="D526" s="22" t="s">
        <v>1473</v>
      </c>
      <c r="E526" s="22" t="s">
        <v>57</v>
      </c>
      <c r="F526" s="23">
        <v>-161400</v>
      </c>
      <c r="G526" s="24">
        <v>44578</v>
      </c>
      <c r="H526" s="22" t="s">
        <v>1272</v>
      </c>
      <c r="I526" s="22" t="s">
        <v>212</v>
      </c>
      <c r="J526" s="22"/>
      <c r="K526" s="22"/>
    </row>
    <row r="527" spans="1:11" x14ac:dyDescent="0.25">
      <c r="A527" s="22" t="s">
        <v>1476</v>
      </c>
      <c r="B527" s="22" t="s">
        <v>201</v>
      </c>
      <c r="C527" s="22" t="s">
        <v>202</v>
      </c>
      <c r="D527" s="22" t="s">
        <v>1475</v>
      </c>
      <c r="E527" s="22" t="s">
        <v>57</v>
      </c>
      <c r="F527" s="23">
        <v>-51900</v>
      </c>
      <c r="G527" s="24">
        <v>44578</v>
      </c>
      <c r="H527" s="22" t="s">
        <v>1272</v>
      </c>
      <c r="I527" s="22" t="s">
        <v>1477</v>
      </c>
      <c r="J527" s="22"/>
      <c r="K527" s="22"/>
    </row>
    <row r="528" spans="1:11" x14ac:dyDescent="0.25">
      <c r="A528" s="22" t="s">
        <v>1479</v>
      </c>
      <c r="B528" s="22" t="s">
        <v>201</v>
      </c>
      <c r="C528" s="22" t="s">
        <v>202</v>
      </c>
      <c r="D528" s="22" t="s">
        <v>1478</v>
      </c>
      <c r="E528" s="22" t="s">
        <v>57</v>
      </c>
      <c r="F528" s="23">
        <v>-51900</v>
      </c>
      <c r="G528" s="24">
        <v>44575</v>
      </c>
      <c r="H528" s="22" t="s">
        <v>1272</v>
      </c>
      <c r="I528" s="22" t="s">
        <v>550</v>
      </c>
      <c r="J528" s="22"/>
      <c r="K528" s="22"/>
    </row>
    <row r="529" spans="1:11" x14ac:dyDescent="0.25">
      <c r="A529" s="22" t="s">
        <v>1481</v>
      </c>
      <c r="B529" s="22" t="s">
        <v>201</v>
      </c>
      <c r="C529" s="22" t="s">
        <v>202</v>
      </c>
      <c r="D529" s="22" t="s">
        <v>1480</v>
      </c>
      <c r="E529" s="22" t="s">
        <v>57</v>
      </c>
      <c r="F529" s="23">
        <v>-36000</v>
      </c>
      <c r="G529" s="24">
        <v>44574</v>
      </c>
      <c r="H529" s="22" t="s">
        <v>1272</v>
      </c>
      <c r="I529" s="22" t="s">
        <v>298</v>
      </c>
      <c r="J529" s="22"/>
      <c r="K529" s="22"/>
    </row>
    <row r="530" spans="1:11" x14ac:dyDescent="0.25">
      <c r="A530" s="22" t="s">
        <v>1483</v>
      </c>
      <c r="B530" s="22" t="s">
        <v>201</v>
      </c>
      <c r="C530" s="22" t="s">
        <v>202</v>
      </c>
      <c r="D530" s="22" t="s">
        <v>1482</v>
      </c>
      <c r="E530" s="22" t="s">
        <v>57</v>
      </c>
      <c r="F530" s="23">
        <v>-51900</v>
      </c>
      <c r="G530" s="24">
        <v>44568</v>
      </c>
      <c r="H530" s="22" t="s">
        <v>1272</v>
      </c>
      <c r="I530" s="22" t="s">
        <v>715</v>
      </c>
      <c r="J530" s="22"/>
      <c r="K530" s="22"/>
    </row>
    <row r="531" spans="1:11" x14ac:dyDescent="0.25">
      <c r="A531" s="22" t="s">
        <v>1485</v>
      </c>
      <c r="B531" s="22" t="s">
        <v>201</v>
      </c>
      <c r="C531" s="22" t="s">
        <v>202</v>
      </c>
      <c r="D531" s="22" t="s">
        <v>1484</v>
      </c>
      <c r="E531" s="22" t="s">
        <v>57</v>
      </c>
      <c r="F531" s="23">
        <v>-23000</v>
      </c>
      <c r="G531" s="24">
        <v>44568</v>
      </c>
      <c r="H531" s="22" t="s">
        <v>1272</v>
      </c>
      <c r="I531" s="22" t="s">
        <v>715</v>
      </c>
      <c r="J531" s="22"/>
      <c r="K531" s="22"/>
    </row>
    <row r="532" spans="1:11" x14ac:dyDescent="0.25">
      <c r="A532" s="22" t="s">
        <v>1487</v>
      </c>
      <c r="B532" s="22" t="s">
        <v>201</v>
      </c>
      <c r="C532" s="22" t="s">
        <v>202</v>
      </c>
      <c r="D532" s="22" t="s">
        <v>1486</v>
      </c>
      <c r="E532" s="22" t="s">
        <v>57</v>
      </c>
      <c r="F532" s="23">
        <v>-662398</v>
      </c>
      <c r="G532" s="24">
        <v>44596</v>
      </c>
      <c r="H532" s="22" t="s">
        <v>1272</v>
      </c>
      <c r="I532" s="22" t="s">
        <v>1006</v>
      </c>
      <c r="J532" s="22"/>
      <c r="K532" s="22"/>
    </row>
    <row r="533" spans="1:11" x14ac:dyDescent="0.25">
      <c r="A533" s="22" t="s">
        <v>1489</v>
      </c>
      <c r="B533" s="22" t="s">
        <v>201</v>
      </c>
      <c r="C533" s="22" t="s">
        <v>202</v>
      </c>
      <c r="D533" s="22" t="s">
        <v>1488</v>
      </c>
      <c r="E533" s="22" t="s">
        <v>57</v>
      </c>
      <c r="F533" s="23">
        <v>-140840</v>
      </c>
      <c r="G533" s="24">
        <v>44591</v>
      </c>
      <c r="H533" s="22" t="s">
        <v>1272</v>
      </c>
      <c r="I533" s="22" t="s">
        <v>1111</v>
      </c>
      <c r="J533" s="22"/>
      <c r="K533" s="22"/>
    </row>
    <row r="534" spans="1:11" x14ac:dyDescent="0.25">
      <c r="A534" s="22" t="s">
        <v>1491</v>
      </c>
      <c r="B534" s="22" t="s">
        <v>201</v>
      </c>
      <c r="C534" s="22" t="s">
        <v>202</v>
      </c>
      <c r="D534" s="22" t="s">
        <v>1490</v>
      </c>
      <c r="E534" s="22" t="s">
        <v>57</v>
      </c>
      <c r="F534" s="23">
        <v>-109269</v>
      </c>
      <c r="G534" s="24">
        <v>44589</v>
      </c>
      <c r="H534" s="22" t="s">
        <v>1272</v>
      </c>
      <c r="I534" s="22" t="s">
        <v>1492</v>
      </c>
      <c r="J534" s="22"/>
      <c r="K534" s="22"/>
    </row>
    <row r="535" spans="1:11" x14ac:dyDescent="0.25">
      <c r="A535" s="22" t="s">
        <v>1494</v>
      </c>
      <c r="B535" s="22" t="s">
        <v>201</v>
      </c>
      <c r="C535" s="22" t="s">
        <v>202</v>
      </c>
      <c r="D535" s="22" t="s">
        <v>1493</v>
      </c>
      <c r="E535" s="22" t="s">
        <v>57</v>
      </c>
      <c r="F535" s="23">
        <v>-60124</v>
      </c>
      <c r="G535" s="24">
        <v>44588</v>
      </c>
      <c r="H535" s="22" t="s">
        <v>1272</v>
      </c>
      <c r="I535" s="22" t="s">
        <v>375</v>
      </c>
      <c r="J535" s="22"/>
      <c r="K535" s="22"/>
    </row>
    <row r="536" spans="1:11" x14ac:dyDescent="0.25">
      <c r="A536" s="22" t="s">
        <v>1496</v>
      </c>
      <c r="B536" s="22" t="s">
        <v>201</v>
      </c>
      <c r="C536" s="22" t="s">
        <v>202</v>
      </c>
      <c r="D536" s="22" t="s">
        <v>1495</v>
      </c>
      <c r="E536" s="22" t="s">
        <v>57</v>
      </c>
      <c r="F536" s="23">
        <v>-60532</v>
      </c>
      <c r="G536" s="24">
        <v>44586</v>
      </c>
      <c r="H536" s="22" t="s">
        <v>1272</v>
      </c>
      <c r="I536" s="22" t="s">
        <v>1497</v>
      </c>
      <c r="J536" s="22"/>
      <c r="K536" s="22"/>
    </row>
    <row r="537" spans="1:11" x14ac:dyDescent="0.25">
      <c r="A537" s="22" t="s">
        <v>1499</v>
      </c>
      <c r="B537" s="22" t="s">
        <v>201</v>
      </c>
      <c r="C537" s="22" t="s">
        <v>202</v>
      </c>
      <c r="D537" s="22" t="s">
        <v>1498</v>
      </c>
      <c r="E537" s="22" t="s">
        <v>57</v>
      </c>
      <c r="F537" s="23">
        <v>-59100</v>
      </c>
      <c r="G537" s="24">
        <v>44585</v>
      </c>
      <c r="H537" s="22" t="s">
        <v>1272</v>
      </c>
      <c r="I537" s="22" t="s">
        <v>491</v>
      </c>
      <c r="J537" s="22"/>
      <c r="K537" s="22"/>
    </row>
    <row r="538" spans="1:11" x14ac:dyDescent="0.25">
      <c r="A538" s="22" t="s">
        <v>1501</v>
      </c>
      <c r="B538" s="22" t="s">
        <v>201</v>
      </c>
      <c r="C538" s="22" t="s">
        <v>202</v>
      </c>
      <c r="D538" s="22" t="s">
        <v>1500</v>
      </c>
      <c r="E538" s="22" t="s">
        <v>57</v>
      </c>
      <c r="F538" s="23">
        <v>-59100</v>
      </c>
      <c r="G538" s="24">
        <v>44583</v>
      </c>
      <c r="H538" s="22" t="s">
        <v>1272</v>
      </c>
      <c r="I538" s="22" t="s">
        <v>1502</v>
      </c>
      <c r="J538" s="22"/>
      <c r="K538" s="22"/>
    </row>
    <row r="539" spans="1:11" x14ac:dyDescent="0.25">
      <c r="A539" s="22" t="s">
        <v>1506</v>
      </c>
      <c r="B539" s="22" t="s">
        <v>201</v>
      </c>
      <c r="C539" s="22" t="s">
        <v>202</v>
      </c>
      <c r="D539" s="22" t="s">
        <v>1505</v>
      </c>
      <c r="E539" s="22" t="s">
        <v>57</v>
      </c>
      <c r="F539" s="23">
        <v>-2662981</v>
      </c>
      <c r="G539" s="24">
        <v>44594</v>
      </c>
      <c r="H539" s="22" t="s">
        <v>1272</v>
      </c>
      <c r="I539" s="22" t="s">
        <v>1314</v>
      </c>
      <c r="J539" s="22"/>
      <c r="K539" s="22"/>
    </row>
    <row r="540" spans="1:11" x14ac:dyDescent="0.25">
      <c r="A540" s="22" t="s">
        <v>1508</v>
      </c>
      <c r="B540" s="22" t="s">
        <v>201</v>
      </c>
      <c r="C540" s="22" t="s">
        <v>202</v>
      </c>
      <c r="D540" s="22" t="s">
        <v>1507</v>
      </c>
      <c r="E540" s="22" t="s">
        <v>57</v>
      </c>
      <c r="F540" s="23">
        <v>-3500214</v>
      </c>
      <c r="G540" s="24">
        <v>44592</v>
      </c>
      <c r="H540" s="22" t="s">
        <v>1272</v>
      </c>
      <c r="I540" s="22" t="s">
        <v>1309</v>
      </c>
      <c r="J540" s="22"/>
      <c r="K540" s="22"/>
    </row>
    <row r="541" spans="1:11" x14ac:dyDescent="0.25">
      <c r="A541" s="22" t="s">
        <v>1510</v>
      </c>
      <c r="B541" s="22" t="s">
        <v>201</v>
      </c>
      <c r="C541" s="22" t="s">
        <v>202</v>
      </c>
      <c r="D541" s="22" t="s">
        <v>1509</v>
      </c>
      <c r="E541" s="22" t="s">
        <v>57</v>
      </c>
      <c r="F541" s="23">
        <v>-59100</v>
      </c>
      <c r="G541" s="24">
        <v>44592</v>
      </c>
      <c r="H541" s="22" t="s">
        <v>1272</v>
      </c>
      <c r="I541" s="22" t="s">
        <v>1511</v>
      </c>
      <c r="J541" s="22"/>
      <c r="K541" s="22"/>
    </row>
    <row r="542" spans="1:11" x14ac:dyDescent="0.25">
      <c r="A542" s="22" t="s">
        <v>1513</v>
      </c>
      <c r="B542" s="22" t="s">
        <v>201</v>
      </c>
      <c r="C542" s="22" t="s">
        <v>202</v>
      </c>
      <c r="D542" s="22" t="s">
        <v>1512</v>
      </c>
      <c r="E542" s="22" t="s">
        <v>57</v>
      </c>
      <c r="F542" s="23">
        <v>-164072</v>
      </c>
      <c r="G542" s="24">
        <v>44589</v>
      </c>
      <c r="H542" s="22" t="s">
        <v>1272</v>
      </c>
      <c r="I542" s="22" t="s">
        <v>1514</v>
      </c>
      <c r="J542" s="22"/>
      <c r="K542" s="22"/>
    </row>
    <row r="543" spans="1:11" x14ac:dyDescent="0.25">
      <c r="A543" s="22" t="s">
        <v>1516</v>
      </c>
      <c r="B543" s="22" t="s">
        <v>201</v>
      </c>
      <c r="C543" s="22" t="s">
        <v>202</v>
      </c>
      <c r="D543" s="22" t="s">
        <v>1515</v>
      </c>
      <c r="E543" s="22" t="s">
        <v>57</v>
      </c>
      <c r="F543" s="23">
        <v>-2367666</v>
      </c>
      <c r="G543" s="24">
        <v>44589</v>
      </c>
      <c r="H543" s="22" t="s">
        <v>1272</v>
      </c>
      <c r="I543" s="22" t="s">
        <v>1517</v>
      </c>
      <c r="J543" s="22"/>
      <c r="K543" s="22"/>
    </row>
    <row r="544" spans="1:11" x14ac:dyDescent="0.25">
      <c r="A544" s="22" t="s">
        <v>1519</v>
      </c>
      <c r="B544" s="22" t="s">
        <v>201</v>
      </c>
      <c r="C544" s="22" t="s">
        <v>202</v>
      </c>
      <c r="D544" s="22" t="s">
        <v>1518</v>
      </c>
      <c r="E544" s="22" t="s">
        <v>57</v>
      </c>
      <c r="F544" s="23">
        <v>-1121100</v>
      </c>
      <c r="G544" s="24">
        <v>44589</v>
      </c>
      <c r="H544" s="22" t="s">
        <v>1272</v>
      </c>
      <c r="I544" s="22" t="s">
        <v>1520</v>
      </c>
      <c r="J544" s="22"/>
      <c r="K544" s="22"/>
    </row>
    <row r="545" spans="1:11" x14ac:dyDescent="0.25">
      <c r="A545" s="22" t="s">
        <v>1522</v>
      </c>
      <c r="B545" s="22" t="s">
        <v>201</v>
      </c>
      <c r="C545" s="22" t="s">
        <v>202</v>
      </c>
      <c r="D545" s="22" t="s">
        <v>1521</v>
      </c>
      <c r="E545" s="22" t="s">
        <v>57</v>
      </c>
      <c r="F545" s="23">
        <v>-3553521</v>
      </c>
      <c r="G545" s="24">
        <v>44589</v>
      </c>
      <c r="H545" s="22" t="s">
        <v>1272</v>
      </c>
      <c r="I545" s="22" t="s">
        <v>1523</v>
      </c>
      <c r="J545" s="22"/>
      <c r="K545" s="22"/>
    </row>
    <row r="546" spans="1:11" x14ac:dyDescent="0.25">
      <c r="A546" s="22" t="s">
        <v>1525</v>
      </c>
      <c r="B546" s="22" t="s">
        <v>201</v>
      </c>
      <c r="C546" s="22" t="s">
        <v>202</v>
      </c>
      <c r="D546" s="22" t="s">
        <v>1524</v>
      </c>
      <c r="E546" s="22" t="s">
        <v>57</v>
      </c>
      <c r="F546" s="23">
        <v>-131801</v>
      </c>
      <c r="G546" s="24">
        <v>44588</v>
      </c>
      <c r="H546" s="22" t="s">
        <v>1272</v>
      </c>
      <c r="I546" s="22" t="s">
        <v>1526</v>
      </c>
      <c r="J546" s="22"/>
      <c r="K546" s="22"/>
    </row>
    <row r="547" spans="1:11" x14ac:dyDescent="0.25">
      <c r="A547" s="22" t="s">
        <v>1528</v>
      </c>
      <c r="B547" s="22" t="s">
        <v>201</v>
      </c>
      <c r="C547" s="22" t="s">
        <v>202</v>
      </c>
      <c r="D547" s="22" t="s">
        <v>1527</v>
      </c>
      <c r="E547" s="22" t="s">
        <v>57</v>
      </c>
      <c r="F547" s="23">
        <v>-59191</v>
      </c>
      <c r="G547" s="24">
        <v>44587</v>
      </c>
      <c r="H547" s="22" t="s">
        <v>1272</v>
      </c>
      <c r="I547" s="22" t="s">
        <v>319</v>
      </c>
      <c r="J547" s="22"/>
      <c r="K547" s="22"/>
    </row>
    <row r="548" spans="1:11" x14ac:dyDescent="0.25">
      <c r="A548" s="22" t="s">
        <v>1530</v>
      </c>
      <c r="B548" s="22" t="s">
        <v>201</v>
      </c>
      <c r="C548" s="22" t="s">
        <v>202</v>
      </c>
      <c r="D548" s="22" t="s">
        <v>1529</v>
      </c>
      <c r="E548" s="22" t="s">
        <v>57</v>
      </c>
      <c r="F548" s="23">
        <v>-610275</v>
      </c>
      <c r="G548" s="24">
        <v>44584</v>
      </c>
      <c r="H548" s="22" t="s">
        <v>1272</v>
      </c>
      <c r="I548" s="22" t="s">
        <v>1531</v>
      </c>
      <c r="J548" s="22"/>
      <c r="K548" s="22"/>
    </row>
    <row r="549" spans="1:11" x14ac:dyDescent="0.25">
      <c r="A549" s="22" t="s">
        <v>1533</v>
      </c>
      <c r="B549" s="22" t="s">
        <v>201</v>
      </c>
      <c r="C549" s="22" t="s">
        <v>202</v>
      </c>
      <c r="D549" s="22" t="s">
        <v>1532</v>
      </c>
      <c r="E549" s="22" t="s">
        <v>57</v>
      </c>
      <c r="F549" s="23">
        <v>-547296</v>
      </c>
      <c r="G549" s="24">
        <v>44583</v>
      </c>
      <c r="H549" s="22" t="s">
        <v>1272</v>
      </c>
      <c r="I549" s="22" t="s">
        <v>1534</v>
      </c>
      <c r="J549" s="22"/>
      <c r="K549" s="22"/>
    </row>
    <row r="550" spans="1:11" x14ac:dyDescent="0.25">
      <c r="A550" s="22" t="s">
        <v>1536</v>
      </c>
      <c r="B550" s="22" t="s">
        <v>201</v>
      </c>
      <c r="C550" s="22" t="s">
        <v>202</v>
      </c>
      <c r="D550" s="22" t="s">
        <v>1535</v>
      </c>
      <c r="E550" s="22" t="s">
        <v>57</v>
      </c>
      <c r="F550" s="23">
        <v>-103500</v>
      </c>
      <c r="G550" s="24">
        <v>44582</v>
      </c>
      <c r="H550" s="22" t="s">
        <v>1272</v>
      </c>
      <c r="I550" s="22" t="s">
        <v>1105</v>
      </c>
      <c r="J550" s="22"/>
      <c r="K550" s="22"/>
    </row>
    <row r="551" spans="1:11" x14ac:dyDescent="0.25">
      <c r="A551" s="22" t="s">
        <v>1538</v>
      </c>
      <c r="B551" s="22" t="s">
        <v>201</v>
      </c>
      <c r="C551" s="22" t="s">
        <v>202</v>
      </c>
      <c r="D551" s="22" t="s">
        <v>1537</v>
      </c>
      <c r="E551" s="22" t="s">
        <v>57</v>
      </c>
      <c r="F551" s="23">
        <v>-62060</v>
      </c>
      <c r="G551" s="24">
        <v>44582</v>
      </c>
      <c r="H551" s="22" t="s">
        <v>1272</v>
      </c>
      <c r="I551" s="22" t="s">
        <v>1539</v>
      </c>
      <c r="J551" s="22"/>
      <c r="K551" s="22"/>
    </row>
    <row r="552" spans="1:11" x14ac:dyDescent="0.25">
      <c r="A552" s="22" t="s">
        <v>1541</v>
      </c>
      <c r="B552" s="22" t="s">
        <v>201</v>
      </c>
      <c r="C552" s="22" t="s">
        <v>202</v>
      </c>
      <c r="D552" s="22" t="s">
        <v>1540</v>
      </c>
      <c r="E552" s="22" t="s">
        <v>57</v>
      </c>
      <c r="F552" s="23">
        <v>-219000</v>
      </c>
      <c r="G552" s="24">
        <v>44581</v>
      </c>
      <c r="H552" s="22" t="s">
        <v>1272</v>
      </c>
      <c r="I552" s="22" t="s">
        <v>1542</v>
      </c>
      <c r="J552" s="22"/>
      <c r="K552" s="22"/>
    </row>
    <row r="553" spans="1:11" x14ac:dyDescent="0.25">
      <c r="A553" s="22" t="s">
        <v>1544</v>
      </c>
      <c r="B553" s="22" t="s">
        <v>201</v>
      </c>
      <c r="C553" s="22" t="s">
        <v>202</v>
      </c>
      <c r="D553" s="22" t="s">
        <v>1543</v>
      </c>
      <c r="E553" s="22" t="s">
        <v>57</v>
      </c>
      <c r="F553" s="23">
        <v>-156300</v>
      </c>
      <c r="G553" s="24">
        <v>44580</v>
      </c>
      <c r="H553" s="22" t="s">
        <v>1272</v>
      </c>
      <c r="I553" s="22" t="s">
        <v>1309</v>
      </c>
      <c r="J553" s="22"/>
      <c r="K553" s="22"/>
    </row>
    <row r="554" spans="1:11" x14ac:dyDescent="0.25">
      <c r="A554" s="22" t="s">
        <v>1546</v>
      </c>
      <c r="B554" s="22" t="s">
        <v>201</v>
      </c>
      <c r="C554" s="22" t="s">
        <v>202</v>
      </c>
      <c r="D554" s="22" t="s">
        <v>1545</v>
      </c>
      <c r="E554" s="22" t="s">
        <v>57</v>
      </c>
      <c r="F554" s="23">
        <v>-274998</v>
      </c>
      <c r="G554" s="24">
        <v>44577</v>
      </c>
      <c r="H554" s="22" t="s">
        <v>1272</v>
      </c>
      <c r="I554" s="22" t="s">
        <v>1547</v>
      </c>
      <c r="J554" s="22"/>
      <c r="K554" s="22"/>
    </row>
    <row r="555" spans="1:11" x14ac:dyDescent="0.25">
      <c r="A555" s="22" t="s">
        <v>1549</v>
      </c>
      <c r="B555" s="22" t="s">
        <v>201</v>
      </c>
      <c r="C555" s="22" t="s">
        <v>202</v>
      </c>
      <c r="D555" s="22" t="s">
        <v>1548</v>
      </c>
      <c r="E555" s="22" t="s">
        <v>57</v>
      </c>
      <c r="F555" s="23">
        <v>-1161016</v>
      </c>
      <c r="G555" s="24">
        <v>44576</v>
      </c>
      <c r="H555" s="22" t="s">
        <v>1272</v>
      </c>
      <c r="I555" s="22" t="s">
        <v>1550</v>
      </c>
      <c r="J555" s="22"/>
      <c r="K555" s="22"/>
    </row>
    <row r="556" spans="1:11" x14ac:dyDescent="0.25">
      <c r="A556" s="22" t="s">
        <v>1552</v>
      </c>
      <c r="B556" s="22" t="s">
        <v>201</v>
      </c>
      <c r="C556" s="22" t="s">
        <v>202</v>
      </c>
      <c r="D556" s="22" t="s">
        <v>1551</v>
      </c>
      <c r="E556" s="22" t="s">
        <v>57</v>
      </c>
      <c r="F556" s="23">
        <v>-221400</v>
      </c>
      <c r="G556" s="24">
        <v>44576</v>
      </c>
      <c r="H556" s="22" t="s">
        <v>1272</v>
      </c>
      <c r="I556" s="22" t="s">
        <v>1553</v>
      </c>
      <c r="J556" s="22"/>
      <c r="K556" s="22"/>
    </row>
    <row r="557" spans="1:11" x14ac:dyDescent="0.25">
      <c r="A557" s="22" t="s">
        <v>1555</v>
      </c>
      <c r="B557" s="22" t="s">
        <v>201</v>
      </c>
      <c r="C557" s="22" t="s">
        <v>202</v>
      </c>
      <c r="D557" s="22" t="s">
        <v>1554</v>
      </c>
      <c r="E557" s="22" t="s">
        <v>57</v>
      </c>
      <c r="F557" s="23">
        <v>-1423628</v>
      </c>
      <c r="G557" s="24">
        <v>44571</v>
      </c>
      <c r="H557" s="22" t="s">
        <v>1272</v>
      </c>
      <c r="I557" s="22" t="s">
        <v>1556</v>
      </c>
      <c r="J557" s="22"/>
      <c r="K557" s="22"/>
    </row>
    <row r="558" spans="1:11" x14ac:dyDescent="0.25">
      <c r="A558" s="22" t="s">
        <v>1558</v>
      </c>
      <c r="B558" s="22" t="s">
        <v>201</v>
      </c>
      <c r="C558" s="22" t="s">
        <v>202</v>
      </c>
      <c r="D558" s="22" t="s">
        <v>1557</v>
      </c>
      <c r="E558" s="22" t="s">
        <v>57</v>
      </c>
      <c r="F558" s="23">
        <v>-115861</v>
      </c>
      <c r="G558" s="24">
        <v>44571</v>
      </c>
      <c r="H558" s="22" t="s">
        <v>1272</v>
      </c>
      <c r="I558" s="22" t="s">
        <v>1559</v>
      </c>
      <c r="J558" s="22"/>
      <c r="K558" s="22"/>
    </row>
    <row r="559" spans="1:11" x14ac:dyDescent="0.25">
      <c r="A559" s="22" t="s">
        <v>1561</v>
      </c>
      <c r="B559" s="22" t="s">
        <v>201</v>
      </c>
      <c r="C559" s="22" t="s">
        <v>202</v>
      </c>
      <c r="D559" s="22" t="s">
        <v>1560</v>
      </c>
      <c r="E559" s="22" t="s">
        <v>57</v>
      </c>
      <c r="F559" s="23">
        <v>-166272</v>
      </c>
      <c r="G559" s="24">
        <v>44570</v>
      </c>
      <c r="H559" s="22" t="s">
        <v>1272</v>
      </c>
      <c r="I559" s="22" t="s">
        <v>532</v>
      </c>
      <c r="J559" s="22"/>
      <c r="K559" s="22"/>
    </row>
    <row r="560" spans="1:11" x14ac:dyDescent="0.25">
      <c r="A560" s="22" t="s">
        <v>1563</v>
      </c>
      <c r="B560" s="22" t="s">
        <v>201</v>
      </c>
      <c r="C560" s="22" t="s">
        <v>202</v>
      </c>
      <c r="D560" s="22" t="s">
        <v>1562</v>
      </c>
      <c r="E560" s="22" t="s">
        <v>57</v>
      </c>
      <c r="F560" s="23">
        <v>-1680135</v>
      </c>
      <c r="G560" s="24">
        <v>44568</v>
      </c>
      <c r="H560" s="22" t="s">
        <v>1272</v>
      </c>
      <c r="I560" s="22" t="s">
        <v>1564</v>
      </c>
      <c r="J560" s="22"/>
      <c r="K560" s="22"/>
    </row>
    <row r="561" spans="1:11" x14ac:dyDescent="0.25">
      <c r="A561" s="22" t="s">
        <v>1566</v>
      </c>
      <c r="B561" s="22" t="s">
        <v>201</v>
      </c>
      <c r="C561" s="22" t="s">
        <v>202</v>
      </c>
      <c r="D561" s="22" t="s">
        <v>1565</v>
      </c>
      <c r="E561" s="22" t="s">
        <v>57</v>
      </c>
      <c r="F561" s="23">
        <v>-103500</v>
      </c>
      <c r="G561" s="24">
        <v>44568</v>
      </c>
      <c r="H561" s="22" t="s">
        <v>1272</v>
      </c>
      <c r="I561" s="22" t="s">
        <v>1309</v>
      </c>
      <c r="J561" s="22"/>
      <c r="K561" s="22"/>
    </row>
    <row r="562" spans="1:11" x14ac:dyDescent="0.25">
      <c r="A562" s="22" t="s">
        <v>1568</v>
      </c>
      <c r="B562" s="22" t="s">
        <v>201</v>
      </c>
      <c r="C562" s="22" t="s">
        <v>202</v>
      </c>
      <c r="D562" s="22" t="s">
        <v>1567</v>
      </c>
      <c r="E562" s="22" t="s">
        <v>57</v>
      </c>
      <c r="F562" s="23">
        <v>-182400</v>
      </c>
      <c r="G562" s="24">
        <v>44581</v>
      </c>
      <c r="H562" s="22" t="s">
        <v>1272</v>
      </c>
      <c r="I562" s="22" t="s">
        <v>1006</v>
      </c>
      <c r="J562" s="22"/>
      <c r="K562" s="22"/>
    </row>
    <row r="563" spans="1:11" x14ac:dyDescent="0.25">
      <c r="A563" s="22" t="s">
        <v>1570</v>
      </c>
      <c r="B563" s="22" t="s">
        <v>201</v>
      </c>
      <c r="C563" s="22" t="s">
        <v>202</v>
      </c>
      <c r="D563" s="22" t="s">
        <v>1569</v>
      </c>
      <c r="E563" s="22" t="s">
        <v>57</v>
      </c>
      <c r="F563" s="23">
        <v>-48200</v>
      </c>
      <c r="G563" s="24">
        <v>44573</v>
      </c>
      <c r="H563" s="22" t="s">
        <v>1272</v>
      </c>
      <c r="I563" s="22" t="s">
        <v>919</v>
      </c>
      <c r="J563" s="22"/>
      <c r="K563" s="22"/>
    </row>
    <row r="564" spans="1:11" x14ac:dyDescent="0.25">
      <c r="A564" s="22" t="s">
        <v>1572</v>
      </c>
      <c r="B564" s="22" t="s">
        <v>201</v>
      </c>
      <c r="C564" s="22" t="s">
        <v>202</v>
      </c>
      <c r="D564" s="22" t="s">
        <v>1571</v>
      </c>
      <c r="E564" s="22" t="s">
        <v>57</v>
      </c>
      <c r="F564" s="23">
        <v>-59100</v>
      </c>
      <c r="G564" s="24">
        <v>44571</v>
      </c>
      <c r="H564" s="22" t="s">
        <v>1272</v>
      </c>
      <c r="I564" s="22" t="s">
        <v>206</v>
      </c>
      <c r="J564" s="22"/>
      <c r="K564" s="22"/>
    </row>
    <row r="565" spans="1:11" x14ac:dyDescent="0.25">
      <c r="A565" s="22" t="s">
        <v>1574</v>
      </c>
      <c r="B565" s="22" t="s">
        <v>201</v>
      </c>
      <c r="C565" s="22" t="s">
        <v>202</v>
      </c>
      <c r="D565" s="22" t="s">
        <v>1573</v>
      </c>
      <c r="E565" s="22" t="s">
        <v>57</v>
      </c>
      <c r="F565" s="23">
        <v>-265200</v>
      </c>
      <c r="G565" s="24">
        <v>44566</v>
      </c>
      <c r="H565" s="22" t="s">
        <v>1272</v>
      </c>
      <c r="I565" s="22" t="s">
        <v>897</v>
      </c>
      <c r="J565" s="22"/>
      <c r="K565" s="22"/>
    </row>
    <row r="566" spans="1:11" x14ac:dyDescent="0.25">
      <c r="A566" s="22" t="s">
        <v>1576</v>
      </c>
      <c r="B566" s="22" t="s">
        <v>201</v>
      </c>
      <c r="C566" s="22" t="s">
        <v>202</v>
      </c>
      <c r="D566" s="22" t="s">
        <v>1575</v>
      </c>
      <c r="E566" s="22" t="s">
        <v>57</v>
      </c>
      <c r="F566" s="23">
        <v>-32300</v>
      </c>
      <c r="G566" s="24">
        <v>44564</v>
      </c>
      <c r="H566" s="22" t="s">
        <v>1272</v>
      </c>
      <c r="I566" s="22" t="s">
        <v>486</v>
      </c>
      <c r="J566" s="22"/>
      <c r="K566" s="22"/>
    </row>
    <row r="567" spans="1:11" x14ac:dyDescent="0.25">
      <c r="A567" s="22" t="s">
        <v>1578</v>
      </c>
      <c r="B567" s="22" t="s">
        <v>201</v>
      </c>
      <c r="C567" s="22" t="s">
        <v>202</v>
      </c>
      <c r="D567" s="22" t="s">
        <v>1577</v>
      </c>
      <c r="E567" s="22" t="s">
        <v>57</v>
      </c>
      <c r="F567" s="23">
        <v>-32300</v>
      </c>
      <c r="G567" s="24">
        <v>44564</v>
      </c>
      <c r="H567" s="22" t="s">
        <v>1272</v>
      </c>
      <c r="I567" s="22" t="s">
        <v>282</v>
      </c>
      <c r="J567" s="22"/>
      <c r="K567" s="22"/>
    </row>
    <row r="568" spans="1:11" x14ac:dyDescent="0.25">
      <c r="A568" s="22" t="s">
        <v>1504</v>
      </c>
      <c r="B568" s="22" t="s">
        <v>201</v>
      </c>
      <c r="C568" s="22" t="s">
        <v>202</v>
      </c>
      <c r="D568" s="22" t="s">
        <v>1272</v>
      </c>
      <c r="E568" s="22" t="s">
        <v>45</v>
      </c>
      <c r="F568" s="23">
        <v>-44779540</v>
      </c>
      <c r="G568" s="24">
        <v>44508</v>
      </c>
      <c r="H568" s="22" t="s">
        <v>1272</v>
      </c>
      <c r="I568" s="22"/>
      <c r="J568" s="22"/>
      <c r="K568" s="22"/>
    </row>
    <row r="569" spans="1:11" x14ac:dyDescent="0.25">
      <c r="A569" s="22" t="s">
        <v>1580</v>
      </c>
      <c r="B569" s="22" t="s">
        <v>201</v>
      </c>
      <c r="C569" s="22" t="s">
        <v>202</v>
      </c>
      <c r="D569" s="22" t="s">
        <v>1579</v>
      </c>
      <c r="E569" s="22" t="s">
        <v>57</v>
      </c>
      <c r="F569" s="23">
        <v>-32700</v>
      </c>
      <c r="G569" s="24">
        <v>44526</v>
      </c>
      <c r="H569" s="22" t="s">
        <v>1272</v>
      </c>
      <c r="I569" s="22" t="s">
        <v>941</v>
      </c>
      <c r="J569" s="22"/>
      <c r="K569" s="22"/>
    </row>
    <row r="570" spans="1:11" x14ac:dyDescent="0.25">
      <c r="A570" s="22" t="s">
        <v>1582</v>
      </c>
      <c r="B570" s="22" t="s">
        <v>201</v>
      </c>
      <c r="C570" s="22" t="s">
        <v>202</v>
      </c>
      <c r="D570" s="22" t="s">
        <v>1581</v>
      </c>
      <c r="E570" s="22" t="s">
        <v>57</v>
      </c>
      <c r="F570" s="23">
        <v>-22900</v>
      </c>
      <c r="G570" s="24">
        <v>44526</v>
      </c>
      <c r="H570" s="22" t="s">
        <v>1272</v>
      </c>
      <c r="I570" s="22" t="s">
        <v>941</v>
      </c>
      <c r="J570" s="22"/>
      <c r="K570" s="22"/>
    </row>
    <row r="571" spans="1:11" x14ac:dyDescent="0.25">
      <c r="A571" s="22" t="s">
        <v>1584</v>
      </c>
      <c r="B571" s="22" t="s">
        <v>201</v>
      </c>
      <c r="C571" s="22" t="s">
        <v>202</v>
      </c>
      <c r="D571" s="22" t="s">
        <v>1583</v>
      </c>
      <c r="E571" s="22" t="s">
        <v>57</v>
      </c>
      <c r="F571" s="23">
        <v>-39500</v>
      </c>
      <c r="G571" s="24">
        <v>44526</v>
      </c>
      <c r="H571" s="22" t="s">
        <v>1272</v>
      </c>
      <c r="I571" s="22" t="s">
        <v>941</v>
      </c>
      <c r="J571" s="22"/>
      <c r="K571" s="22"/>
    </row>
    <row r="572" spans="1:11" x14ac:dyDescent="0.25">
      <c r="A572" s="22" t="s">
        <v>1586</v>
      </c>
      <c r="B572" s="22" t="s">
        <v>201</v>
      </c>
      <c r="C572" s="22" t="s">
        <v>202</v>
      </c>
      <c r="D572" s="22" t="s">
        <v>1585</v>
      </c>
      <c r="E572" s="22" t="s">
        <v>57</v>
      </c>
      <c r="F572" s="23">
        <v>-45800</v>
      </c>
      <c r="G572" s="24">
        <v>44519</v>
      </c>
      <c r="H572" s="22" t="s">
        <v>1272</v>
      </c>
      <c r="I572" s="22" t="s">
        <v>941</v>
      </c>
      <c r="J572" s="22"/>
      <c r="K572" s="22"/>
    </row>
    <row r="573" spans="1:11" x14ac:dyDescent="0.25">
      <c r="A573" s="22" t="s">
        <v>1588</v>
      </c>
      <c r="B573" s="22" t="s">
        <v>201</v>
      </c>
      <c r="C573" s="22" t="s">
        <v>202</v>
      </c>
      <c r="D573" s="22" t="s">
        <v>1587</v>
      </c>
      <c r="E573" s="22" t="s">
        <v>57</v>
      </c>
      <c r="F573" s="23">
        <v>-146600</v>
      </c>
      <c r="G573" s="24">
        <v>44518</v>
      </c>
      <c r="H573" s="22" t="s">
        <v>1272</v>
      </c>
      <c r="I573" s="22" t="s">
        <v>979</v>
      </c>
      <c r="J573" s="22"/>
      <c r="K573" s="22"/>
    </row>
    <row r="574" spans="1:11" x14ac:dyDescent="0.25">
      <c r="A574" s="22" t="s">
        <v>1590</v>
      </c>
      <c r="B574" s="22" t="s">
        <v>201</v>
      </c>
      <c r="C574" s="22" t="s">
        <v>202</v>
      </c>
      <c r="D574" s="22" t="s">
        <v>1589</v>
      </c>
      <c r="E574" s="22" t="s">
        <v>57</v>
      </c>
      <c r="F574" s="23">
        <v>-47200</v>
      </c>
      <c r="G574" s="24">
        <v>44511</v>
      </c>
      <c r="H574" s="22" t="s">
        <v>1272</v>
      </c>
      <c r="I574" s="22" t="s">
        <v>979</v>
      </c>
      <c r="J574" s="22"/>
      <c r="K574" s="22"/>
    </row>
    <row r="575" spans="1:11" x14ac:dyDescent="0.25">
      <c r="A575" s="22" t="s">
        <v>1592</v>
      </c>
      <c r="B575" s="22" t="s">
        <v>201</v>
      </c>
      <c r="C575" s="22" t="s">
        <v>202</v>
      </c>
      <c r="D575" s="22" t="s">
        <v>1591</v>
      </c>
      <c r="E575" s="22" t="s">
        <v>57</v>
      </c>
      <c r="F575" s="23">
        <v>-22300</v>
      </c>
      <c r="G575" s="24">
        <v>44511</v>
      </c>
      <c r="H575" s="22" t="s">
        <v>1272</v>
      </c>
      <c r="I575" s="22" t="s">
        <v>979</v>
      </c>
      <c r="J575" s="22"/>
      <c r="K575" s="22"/>
    </row>
    <row r="576" spans="1:11" x14ac:dyDescent="0.25">
      <c r="A576" s="22" t="s">
        <v>1594</v>
      </c>
      <c r="B576" s="22" t="s">
        <v>201</v>
      </c>
      <c r="C576" s="22" t="s">
        <v>202</v>
      </c>
      <c r="D576" s="22" t="s">
        <v>1593</v>
      </c>
      <c r="E576" s="22" t="s">
        <v>57</v>
      </c>
      <c r="F576" s="23">
        <v>-31600</v>
      </c>
      <c r="G576" s="24">
        <v>44511</v>
      </c>
      <c r="H576" s="22" t="s">
        <v>1272</v>
      </c>
      <c r="I576" s="22" t="s">
        <v>979</v>
      </c>
      <c r="J576" s="22"/>
      <c r="K576" s="22"/>
    </row>
    <row r="577" spans="1:11" x14ac:dyDescent="0.25">
      <c r="A577" s="22" t="s">
        <v>1596</v>
      </c>
      <c r="B577" s="22" t="s">
        <v>201</v>
      </c>
      <c r="C577" s="22" t="s">
        <v>202</v>
      </c>
      <c r="D577" s="22" t="s">
        <v>1595</v>
      </c>
      <c r="E577" s="22" t="s">
        <v>57</v>
      </c>
      <c r="F577" s="23">
        <v>-23700</v>
      </c>
      <c r="G577" s="24">
        <v>44511</v>
      </c>
      <c r="H577" s="22" t="s">
        <v>1272</v>
      </c>
      <c r="I577" s="22" t="s">
        <v>979</v>
      </c>
      <c r="J577" s="22"/>
      <c r="K577" s="22"/>
    </row>
    <row r="578" spans="1:11" x14ac:dyDescent="0.25">
      <c r="A578" s="22" t="s">
        <v>1598</v>
      </c>
      <c r="B578" s="22" t="s">
        <v>201</v>
      </c>
      <c r="C578" s="22" t="s">
        <v>202</v>
      </c>
      <c r="D578" s="22" t="s">
        <v>1597</v>
      </c>
      <c r="E578" s="22" t="s">
        <v>57</v>
      </c>
      <c r="F578" s="23">
        <v>-47200</v>
      </c>
      <c r="G578" s="24">
        <v>44508</v>
      </c>
      <c r="H578" s="22" t="s">
        <v>1272</v>
      </c>
      <c r="I578" s="22" t="s">
        <v>332</v>
      </c>
      <c r="J578" s="22"/>
      <c r="K578" s="22"/>
    </row>
    <row r="579" spans="1:11" x14ac:dyDescent="0.25">
      <c r="A579" s="22" t="s">
        <v>1600</v>
      </c>
      <c r="B579" s="22" t="s">
        <v>201</v>
      </c>
      <c r="C579" s="22" t="s">
        <v>202</v>
      </c>
      <c r="D579" s="22" t="s">
        <v>1599</v>
      </c>
      <c r="E579" s="22" t="s">
        <v>57</v>
      </c>
      <c r="F579" s="23">
        <v>-128300</v>
      </c>
      <c r="G579" s="24">
        <v>44505</v>
      </c>
      <c r="H579" s="22" t="s">
        <v>1272</v>
      </c>
      <c r="I579" s="22" t="s">
        <v>319</v>
      </c>
      <c r="J579" s="22"/>
      <c r="K579" s="22"/>
    </row>
    <row r="580" spans="1:11" x14ac:dyDescent="0.25">
      <c r="A580" s="22" t="s">
        <v>1602</v>
      </c>
      <c r="B580" s="22" t="s">
        <v>201</v>
      </c>
      <c r="C580" s="22" t="s">
        <v>202</v>
      </c>
      <c r="D580" s="22" t="s">
        <v>1601</v>
      </c>
      <c r="E580" s="22" t="s">
        <v>57</v>
      </c>
      <c r="F580" s="23">
        <v>-100678</v>
      </c>
      <c r="G580" s="24">
        <v>44531</v>
      </c>
      <c r="H580" s="22" t="s">
        <v>1272</v>
      </c>
      <c r="I580" s="22" t="s">
        <v>1603</v>
      </c>
      <c r="J580" s="22"/>
      <c r="K580" s="22"/>
    </row>
    <row r="581" spans="1:11" x14ac:dyDescent="0.25">
      <c r="A581" s="22" t="s">
        <v>1605</v>
      </c>
      <c r="B581" s="22" t="s">
        <v>201</v>
      </c>
      <c r="C581" s="22" t="s">
        <v>202</v>
      </c>
      <c r="D581" s="22" t="s">
        <v>1604</v>
      </c>
      <c r="E581" s="22" t="s">
        <v>57</v>
      </c>
      <c r="F581" s="23">
        <v>-422208</v>
      </c>
      <c r="G581" s="24">
        <v>44522</v>
      </c>
      <c r="H581" s="22" t="s">
        <v>1272</v>
      </c>
      <c r="I581" s="22" t="s">
        <v>1606</v>
      </c>
      <c r="J581" s="22"/>
      <c r="K581" s="22"/>
    </row>
    <row r="582" spans="1:11" x14ac:dyDescent="0.25">
      <c r="A582" s="22" t="s">
        <v>1608</v>
      </c>
      <c r="B582" s="22" t="s">
        <v>201</v>
      </c>
      <c r="C582" s="22" t="s">
        <v>202</v>
      </c>
      <c r="D582" s="22" t="s">
        <v>1607</v>
      </c>
      <c r="E582" s="22" t="s">
        <v>57</v>
      </c>
      <c r="F582" s="23">
        <v>-316180</v>
      </c>
      <c r="G582" s="24">
        <v>44522</v>
      </c>
      <c r="H582" s="22" t="s">
        <v>1272</v>
      </c>
      <c r="I582" s="22" t="s">
        <v>1609</v>
      </c>
      <c r="J582" s="22"/>
      <c r="K582" s="22"/>
    </row>
    <row r="583" spans="1:11" x14ac:dyDescent="0.25">
      <c r="A583" s="22" t="s">
        <v>1611</v>
      </c>
      <c r="B583" s="22" t="s">
        <v>201</v>
      </c>
      <c r="C583" s="22" t="s">
        <v>202</v>
      </c>
      <c r="D583" s="22" t="s">
        <v>1610</v>
      </c>
      <c r="E583" s="22" t="s">
        <v>57</v>
      </c>
      <c r="F583" s="23">
        <v>-71455</v>
      </c>
      <c r="G583" s="24">
        <v>44512</v>
      </c>
      <c r="H583" s="22" t="s">
        <v>1272</v>
      </c>
      <c r="I583" s="22" t="s">
        <v>1612</v>
      </c>
      <c r="J583" s="22"/>
      <c r="K583" s="22"/>
    </row>
    <row r="584" spans="1:11" x14ac:dyDescent="0.25">
      <c r="A584" s="22" t="s">
        <v>1614</v>
      </c>
      <c r="B584" s="22" t="s">
        <v>201</v>
      </c>
      <c r="C584" s="22" t="s">
        <v>202</v>
      </c>
      <c r="D584" s="22" t="s">
        <v>1613</v>
      </c>
      <c r="E584" s="22" t="s">
        <v>57</v>
      </c>
      <c r="F584" s="23">
        <v>-89937</v>
      </c>
      <c r="G584" s="24">
        <v>44580</v>
      </c>
      <c r="H584" s="22" t="s">
        <v>1272</v>
      </c>
      <c r="I584" s="22" t="s">
        <v>491</v>
      </c>
      <c r="J584" s="22"/>
      <c r="K584" s="22"/>
    </row>
    <row r="585" spans="1:11" x14ac:dyDescent="0.25">
      <c r="A585" s="22" t="s">
        <v>1616</v>
      </c>
      <c r="B585" s="22" t="s">
        <v>201</v>
      </c>
      <c r="C585" s="22" t="s">
        <v>202</v>
      </c>
      <c r="D585" s="22" t="s">
        <v>1615</v>
      </c>
      <c r="E585" s="22" t="s">
        <v>57</v>
      </c>
      <c r="F585" s="23">
        <v>-633274</v>
      </c>
      <c r="G585" s="24">
        <v>44579</v>
      </c>
      <c r="H585" s="22" t="s">
        <v>1272</v>
      </c>
      <c r="I585" s="22" t="s">
        <v>375</v>
      </c>
      <c r="J585" s="22"/>
      <c r="K585" s="22"/>
    </row>
    <row r="586" spans="1:11" x14ac:dyDescent="0.25">
      <c r="A586" s="22" t="s">
        <v>1618</v>
      </c>
      <c r="B586" s="22" t="s">
        <v>201</v>
      </c>
      <c r="C586" s="22" t="s">
        <v>202</v>
      </c>
      <c r="D586" s="22" t="s">
        <v>1617</v>
      </c>
      <c r="E586" s="22" t="s">
        <v>57</v>
      </c>
      <c r="F586" s="23">
        <v>-262100</v>
      </c>
      <c r="G586" s="24">
        <v>44577</v>
      </c>
      <c r="H586" s="22" t="s">
        <v>1272</v>
      </c>
      <c r="I586" s="22" t="s">
        <v>1619</v>
      </c>
      <c r="J586" s="22"/>
      <c r="K586" s="22"/>
    </row>
    <row r="587" spans="1:11" x14ac:dyDescent="0.25">
      <c r="A587" s="22" t="s">
        <v>1621</v>
      </c>
      <c r="B587" s="22" t="s">
        <v>201</v>
      </c>
      <c r="C587" s="22" t="s">
        <v>202</v>
      </c>
      <c r="D587" s="22" t="s">
        <v>1620</v>
      </c>
      <c r="E587" s="22" t="s">
        <v>57</v>
      </c>
      <c r="F587" s="23">
        <v>-1990165</v>
      </c>
      <c r="G587" s="24">
        <v>44577</v>
      </c>
      <c r="H587" s="22" t="s">
        <v>1272</v>
      </c>
      <c r="I587" s="22" t="s">
        <v>1622</v>
      </c>
      <c r="J587" s="22"/>
      <c r="K587" s="22"/>
    </row>
    <row r="588" spans="1:11" x14ac:dyDescent="0.25">
      <c r="A588" s="22" t="s">
        <v>1624</v>
      </c>
      <c r="B588" s="22" t="s">
        <v>201</v>
      </c>
      <c r="C588" s="22" t="s">
        <v>202</v>
      </c>
      <c r="D588" s="22" t="s">
        <v>1623</v>
      </c>
      <c r="E588" s="22" t="s">
        <v>57</v>
      </c>
      <c r="F588" s="23">
        <v>-59100</v>
      </c>
      <c r="G588" s="24">
        <v>44576</v>
      </c>
      <c r="H588" s="22" t="s">
        <v>1272</v>
      </c>
      <c r="I588" s="22" t="s">
        <v>375</v>
      </c>
      <c r="J588" s="22"/>
      <c r="K588" s="22"/>
    </row>
    <row r="589" spans="1:11" x14ac:dyDescent="0.25">
      <c r="A589" s="22" t="s">
        <v>1626</v>
      </c>
      <c r="B589" s="22" t="s">
        <v>201</v>
      </c>
      <c r="C589" s="22" t="s">
        <v>202</v>
      </c>
      <c r="D589" s="22" t="s">
        <v>1625</v>
      </c>
      <c r="E589" s="22" t="s">
        <v>57</v>
      </c>
      <c r="F589" s="23">
        <v>-208634</v>
      </c>
      <c r="G589" s="24">
        <v>44575</v>
      </c>
      <c r="H589" s="22" t="s">
        <v>1272</v>
      </c>
      <c r="I589" s="22" t="s">
        <v>547</v>
      </c>
      <c r="J589" s="22"/>
      <c r="K589" s="22"/>
    </row>
    <row r="590" spans="1:11" x14ac:dyDescent="0.25">
      <c r="A590" s="22" t="s">
        <v>1628</v>
      </c>
      <c r="B590" s="22" t="s">
        <v>201</v>
      </c>
      <c r="C590" s="22" t="s">
        <v>202</v>
      </c>
      <c r="D590" s="22" t="s">
        <v>1627</v>
      </c>
      <c r="E590" s="22" t="s">
        <v>57</v>
      </c>
      <c r="F590" s="23">
        <v>-152537</v>
      </c>
      <c r="G590" s="24">
        <v>44573</v>
      </c>
      <c r="H590" s="22" t="s">
        <v>1272</v>
      </c>
      <c r="I590" s="22" t="s">
        <v>375</v>
      </c>
      <c r="J590" s="22"/>
      <c r="K590" s="22"/>
    </row>
    <row r="591" spans="1:11" x14ac:dyDescent="0.25">
      <c r="A591" s="22" t="s">
        <v>1630</v>
      </c>
      <c r="B591" s="22" t="s">
        <v>201</v>
      </c>
      <c r="C591" s="22" t="s">
        <v>202</v>
      </c>
      <c r="D591" s="22" t="s">
        <v>1629</v>
      </c>
      <c r="E591" s="22" t="s">
        <v>57</v>
      </c>
      <c r="F591" s="23">
        <v>-59978</v>
      </c>
      <c r="G591" s="24">
        <v>44569</v>
      </c>
      <c r="H591" s="22" t="s">
        <v>1272</v>
      </c>
      <c r="I591" s="22" t="s">
        <v>1631</v>
      </c>
      <c r="J591" s="22"/>
      <c r="K591" s="22"/>
    </row>
    <row r="592" spans="1:11" x14ac:dyDescent="0.25">
      <c r="A592" s="22" t="s">
        <v>1633</v>
      </c>
      <c r="B592" s="22" t="s">
        <v>201</v>
      </c>
      <c r="C592" s="22" t="s">
        <v>202</v>
      </c>
      <c r="D592" s="22" t="s">
        <v>1632</v>
      </c>
      <c r="E592" s="22" t="s">
        <v>57</v>
      </c>
      <c r="F592" s="23">
        <v>-192434</v>
      </c>
      <c r="G592" s="24">
        <v>44567</v>
      </c>
      <c r="H592" s="22" t="s">
        <v>1272</v>
      </c>
      <c r="I592" s="22" t="s">
        <v>1244</v>
      </c>
      <c r="J592" s="22"/>
      <c r="K592" s="22"/>
    </row>
    <row r="593" spans="1:11" x14ac:dyDescent="0.25">
      <c r="A593" s="22" t="s">
        <v>1635</v>
      </c>
      <c r="B593" s="22" t="s">
        <v>201</v>
      </c>
      <c r="C593" s="22" t="s">
        <v>202</v>
      </c>
      <c r="D593" s="22" t="s">
        <v>1634</v>
      </c>
      <c r="E593" s="22" t="s">
        <v>57</v>
      </c>
      <c r="F593" s="23">
        <v>-59100</v>
      </c>
      <c r="G593" s="24">
        <v>44566</v>
      </c>
      <c r="H593" s="22" t="s">
        <v>1272</v>
      </c>
      <c r="I593" s="22" t="s">
        <v>375</v>
      </c>
      <c r="J593" s="22"/>
      <c r="K593" s="22"/>
    </row>
    <row r="594" spans="1:11" x14ac:dyDescent="0.25">
      <c r="A594" s="22" t="s">
        <v>1637</v>
      </c>
      <c r="B594" s="22" t="s">
        <v>201</v>
      </c>
      <c r="C594" s="22" t="s">
        <v>202</v>
      </c>
      <c r="D594" s="22" t="s">
        <v>1636</v>
      </c>
      <c r="E594" s="22" t="s">
        <v>57</v>
      </c>
      <c r="F594" s="23">
        <v>-331300</v>
      </c>
      <c r="G594" s="24">
        <v>44564</v>
      </c>
      <c r="H594" s="22" t="s">
        <v>1272</v>
      </c>
      <c r="I594" s="22" t="s">
        <v>1448</v>
      </c>
      <c r="J594" s="22"/>
      <c r="K594" s="22"/>
    </row>
    <row r="595" spans="1:11" x14ac:dyDescent="0.25">
      <c r="A595" s="22" t="s">
        <v>1639</v>
      </c>
      <c r="B595" s="22" t="s">
        <v>201</v>
      </c>
      <c r="C595" s="22" t="s">
        <v>202</v>
      </c>
      <c r="D595" s="22" t="s">
        <v>1638</v>
      </c>
      <c r="E595" s="22" t="s">
        <v>57</v>
      </c>
      <c r="F595" s="23">
        <v>-72591</v>
      </c>
      <c r="G595" s="24">
        <v>44562</v>
      </c>
      <c r="H595" s="22" t="s">
        <v>1272</v>
      </c>
      <c r="I595" s="22" t="s">
        <v>1640</v>
      </c>
      <c r="J595" s="22"/>
      <c r="K595" s="22"/>
    </row>
    <row r="596" spans="1:11" x14ac:dyDescent="0.25">
      <c r="A596" s="22" t="s">
        <v>1642</v>
      </c>
      <c r="B596" s="22" t="s">
        <v>201</v>
      </c>
      <c r="C596" s="22" t="s">
        <v>202</v>
      </c>
      <c r="D596" s="22" t="s">
        <v>1641</v>
      </c>
      <c r="E596" s="22" t="s">
        <v>57</v>
      </c>
      <c r="F596" s="23">
        <v>-31000</v>
      </c>
      <c r="G596" s="24">
        <v>44596</v>
      </c>
      <c r="H596" s="22" t="s">
        <v>1272</v>
      </c>
      <c r="I596" s="22" t="s">
        <v>375</v>
      </c>
      <c r="J596" s="22"/>
      <c r="K596" s="22"/>
    </row>
    <row r="597" spans="1:11" x14ac:dyDescent="0.25">
      <c r="A597" s="22" t="s">
        <v>1644</v>
      </c>
      <c r="B597" s="22" t="s">
        <v>201</v>
      </c>
      <c r="C597" s="22" t="s">
        <v>202</v>
      </c>
      <c r="D597" s="22" t="s">
        <v>1643</v>
      </c>
      <c r="E597" s="22" t="s">
        <v>57</v>
      </c>
      <c r="F597" s="23">
        <v>-31000</v>
      </c>
      <c r="G597" s="24">
        <v>44589</v>
      </c>
      <c r="H597" s="22" t="s">
        <v>1272</v>
      </c>
      <c r="I597" s="22" t="s">
        <v>491</v>
      </c>
      <c r="J597" s="22"/>
      <c r="K597" s="22"/>
    </row>
    <row r="598" spans="1:11" x14ac:dyDescent="0.25">
      <c r="A598" s="22" t="s">
        <v>1646</v>
      </c>
      <c r="B598" s="22" t="s">
        <v>201</v>
      </c>
      <c r="C598" s="22" t="s">
        <v>202</v>
      </c>
      <c r="D598" s="22" t="s">
        <v>1645</v>
      </c>
      <c r="E598" s="22" t="s">
        <v>57</v>
      </c>
      <c r="F598" s="23">
        <v>-32300</v>
      </c>
      <c r="G598" s="24">
        <v>44589</v>
      </c>
      <c r="H598" s="22" t="s">
        <v>1272</v>
      </c>
      <c r="I598" s="22" t="s">
        <v>483</v>
      </c>
      <c r="J598" s="22"/>
      <c r="K598" s="22"/>
    </row>
    <row r="599" spans="1:11" x14ac:dyDescent="0.25">
      <c r="A599" s="22" t="s">
        <v>1648</v>
      </c>
      <c r="B599" s="22" t="s">
        <v>201</v>
      </c>
      <c r="C599" s="22" t="s">
        <v>202</v>
      </c>
      <c r="D599" s="22" t="s">
        <v>1647</v>
      </c>
      <c r="E599" s="22" t="s">
        <v>57</v>
      </c>
      <c r="F599" s="23">
        <v>-10700</v>
      </c>
      <c r="G599" s="24">
        <v>44588</v>
      </c>
      <c r="H599" s="22" t="s">
        <v>1272</v>
      </c>
      <c r="I599" s="22" t="s">
        <v>532</v>
      </c>
      <c r="J599" s="22"/>
      <c r="K599" s="22"/>
    </row>
    <row r="600" spans="1:11" x14ac:dyDescent="0.25">
      <c r="A600" s="22" t="s">
        <v>1650</v>
      </c>
      <c r="B600" s="22" t="s">
        <v>201</v>
      </c>
      <c r="C600" s="22" t="s">
        <v>202</v>
      </c>
      <c r="D600" s="22" t="s">
        <v>1649</v>
      </c>
      <c r="E600" s="22" t="s">
        <v>57</v>
      </c>
      <c r="F600" s="23">
        <v>-135100</v>
      </c>
      <c r="G600" s="24">
        <v>44586</v>
      </c>
      <c r="H600" s="22" t="s">
        <v>1272</v>
      </c>
      <c r="I600" s="22" t="s">
        <v>375</v>
      </c>
      <c r="J600" s="22"/>
      <c r="K600" s="22"/>
    </row>
    <row r="601" spans="1:11" x14ac:dyDescent="0.25">
      <c r="A601" s="22" t="s">
        <v>1652</v>
      </c>
      <c r="B601" s="22" t="s">
        <v>201</v>
      </c>
      <c r="C601" s="22" t="s">
        <v>202</v>
      </c>
      <c r="D601" s="22" t="s">
        <v>1651</v>
      </c>
      <c r="E601" s="22" t="s">
        <v>57</v>
      </c>
      <c r="F601" s="23">
        <v>-478400</v>
      </c>
      <c r="G601" s="24">
        <v>44586</v>
      </c>
      <c r="H601" s="22" t="s">
        <v>1272</v>
      </c>
      <c r="I601" s="22" t="s">
        <v>375</v>
      </c>
      <c r="J601" s="22"/>
      <c r="K601" s="22"/>
    </row>
    <row r="602" spans="1:11" x14ac:dyDescent="0.25">
      <c r="A602" s="22" t="s">
        <v>1654</v>
      </c>
      <c r="B602" s="22" t="s">
        <v>201</v>
      </c>
      <c r="C602" s="22" t="s">
        <v>202</v>
      </c>
      <c r="D602" s="22" t="s">
        <v>1653</v>
      </c>
      <c r="E602" s="22" t="s">
        <v>57</v>
      </c>
      <c r="F602" s="23">
        <v>-2327100</v>
      </c>
      <c r="G602" s="24">
        <v>44585</v>
      </c>
      <c r="H602" s="22" t="s">
        <v>1272</v>
      </c>
      <c r="I602" s="22" t="s">
        <v>1655</v>
      </c>
      <c r="J602" s="22"/>
      <c r="K602" s="22"/>
    </row>
    <row r="603" spans="1:11" x14ac:dyDescent="0.25">
      <c r="A603" s="22" t="s">
        <v>1657</v>
      </c>
      <c r="B603" s="22" t="s">
        <v>201</v>
      </c>
      <c r="C603" s="22" t="s">
        <v>202</v>
      </c>
      <c r="D603" s="22" t="s">
        <v>1656</v>
      </c>
      <c r="E603" s="22" t="s">
        <v>57</v>
      </c>
      <c r="F603" s="23">
        <v>-32300</v>
      </c>
      <c r="G603" s="24">
        <v>44582</v>
      </c>
      <c r="H603" s="22" t="s">
        <v>1272</v>
      </c>
      <c r="I603" s="22" t="s">
        <v>1658</v>
      </c>
      <c r="J603" s="22"/>
      <c r="K603" s="22"/>
    </row>
    <row r="604" spans="1:11" x14ac:dyDescent="0.25">
      <c r="A604" s="22" t="s">
        <v>1660</v>
      </c>
      <c r="B604" s="22" t="s">
        <v>201</v>
      </c>
      <c r="C604" s="22" t="s">
        <v>202</v>
      </c>
      <c r="D604" s="22" t="s">
        <v>1659</v>
      </c>
      <c r="E604" s="22" t="s">
        <v>57</v>
      </c>
      <c r="F604" s="23">
        <v>-32300</v>
      </c>
      <c r="G604" s="24">
        <v>44581</v>
      </c>
      <c r="H604" s="22" t="s">
        <v>1272</v>
      </c>
      <c r="I604" s="22" t="s">
        <v>799</v>
      </c>
      <c r="J604" s="22"/>
      <c r="K604" s="22"/>
    </row>
    <row r="605" spans="1:11" x14ac:dyDescent="0.25">
      <c r="A605" s="22" t="s">
        <v>1662</v>
      </c>
      <c r="B605" s="22" t="s">
        <v>201</v>
      </c>
      <c r="C605" s="22" t="s">
        <v>202</v>
      </c>
      <c r="D605" s="22" t="s">
        <v>1661</v>
      </c>
      <c r="E605" s="22" t="s">
        <v>57</v>
      </c>
      <c r="F605" s="23">
        <v>-20900</v>
      </c>
      <c r="G605" s="24">
        <v>44580</v>
      </c>
      <c r="H605" s="22" t="s">
        <v>1272</v>
      </c>
      <c r="I605" s="22" t="s">
        <v>1663</v>
      </c>
      <c r="J605" s="22"/>
      <c r="K605" s="22"/>
    </row>
    <row r="606" spans="1:11" x14ac:dyDescent="0.25">
      <c r="A606" s="22" t="s">
        <v>1665</v>
      </c>
      <c r="B606" s="22" t="s">
        <v>201</v>
      </c>
      <c r="C606" s="22" t="s">
        <v>202</v>
      </c>
      <c r="D606" s="22" t="s">
        <v>1664</v>
      </c>
      <c r="E606" s="22" t="s">
        <v>57</v>
      </c>
      <c r="F606" s="23">
        <v>-980600</v>
      </c>
      <c r="G606" s="24">
        <v>44578</v>
      </c>
      <c r="H606" s="22" t="s">
        <v>1272</v>
      </c>
      <c r="I606" s="22" t="s">
        <v>491</v>
      </c>
      <c r="J606" s="22"/>
      <c r="K606" s="22"/>
    </row>
    <row r="607" spans="1:11" x14ac:dyDescent="0.25">
      <c r="A607" s="22" t="s">
        <v>1667</v>
      </c>
      <c r="B607" s="22" t="s">
        <v>201</v>
      </c>
      <c r="C607" s="22" t="s">
        <v>202</v>
      </c>
      <c r="D607" s="22" t="s">
        <v>1666</v>
      </c>
      <c r="E607" s="22" t="s">
        <v>57</v>
      </c>
      <c r="F607" s="23">
        <v>-157700</v>
      </c>
      <c r="G607" s="24">
        <v>44574</v>
      </c>
      <c r="H607" s="22" t="s">
        <v>1272</v>
      </c>
      <c r="I607" s="22" t="s">
        <v>375</v>
      </c>
      <c r="J607" s="22"/>
      <c r="K607" s="22"/>
    </row>
    <row r="608" spans="1:11" x14ac:dyDescent="0.25">
      <c r="A608" s="22" t="s">
        <v>1675</v>
      </c>
      <c r="B608" s="22" t="s">
        <v>201</v>
      </c>
      <c r="C608" s="22" t="s">
        <v>202</v>
      </c>
      <c r="D608" s="22" t="s">
        <v>1674</v>
      </c>
      <c r="E608" s="22" t="s">
        <v>45</v>
      </c>
      <c r="F608" s="23">
        <v>-161286</v>
      </c>
      <c r="G608" s="24">
        <v>44340</v>
      </c>
      <c r="H608" s="22" t="s">
        <v>1670</v>
      </c>
      <c r="I608" s="22" t="s">
        <v>1676</v>
      </c>
      <c r="J608" s="22"/>
      <c r="K608" s="22"/>
    </row>
    <row r="609" spans="1:11" x14ac:dyDescent="0.25">
      <c r="A609" s="22" t="s">
        <v>1678</v>
      </c>
      <c r="B609" s="22" t="s">
        <v>201</v>
      </c>
      <c r="C609" s="22" t="s">
        <v>202</v>
      </c>
      <c r="D609" s="22" t="s">
        <v>1677</v>
      </c>
      <c r="E609" s="22" t="s">
        <v>57</v>
      </c>
      <c r="F609" s="23">
        <v>-103600</v>
      </c>
      <c r="G609" s="24">
        <v>44329</v>
      </c>
      <c r="H609" s="22" t="s">
        <v>1670</v>
      </c>
      <c r="I609" s="22" t="s">
        <v>1679</v>
      </c>
      <c r="J609" s="22"/>
      <c r="K609" s="22"/>
    </row>
    <row r="610" spans="1:11" x14ac:dyDescent="0.25">
      <c r="A610" s="22" t="s">
        <v>1681</v>
      </c>
      <c r="B610" s="22" t="s">
        <v>201</v>
      </c>
      <c r="C610" s="22" t="s">
        <v>202</v>
      </c>
      <c r="D610" s="22" t="s">
        <v>1680</v>
      </c>
      <c r="E610" s="22" t="s">
        <v>57</v>
      </c>
      <c r="F610" s="23">
        <v>-126200</v>
      </c>
      <c r="G610" s="24">
        <v>44345</v>
      </c>
      <c r="H610" s="22" t="s">
        <v>1670</v>
      </c>
      <c r="I610" s="22" t="s">
        <v>1682</v>
      </c>
      <c r="J610" s="22"/>
      <c r="K610" s="22"/>
    </row>
    <row r="611" spans="1:11" x14ac:dyDescent="0.25">
      <c r="A611" s="22" t="s">
        <v>1673</v>
      </c>
      <c r="B611" s="22" t="s">
        <v>201</v>
      </c>
      <c r="C611" s="22" t="s">
        <v>202</v>
      </c>
      <c r="D611" s="22" t="s">
        <v>1672</v>
      </c>
      <c r="E611" s="22" t="s">
        <v>45</v>
      </c>
      <c r="F611" s="23">
        <v>-222336</v>
      </c>
      <c r="G611" s="24">
        <v>44350</v>
      </c>
      <c r="H611" s="22" t="s">
        <v>1672</v>
      </c>
      <c r="I611" s="22"/>
      <c r="J611" s="22"/>
      <c r="K611" s="22"/>
    </row>
    <row r="612" spans="1:11" x14ac:dyDescent="0.25">
      <c r="A612" s="22" t="s">
        <v>1675</v>
      </c>
      <c r="B612" s="22" t="s">
        <v>201</v>
      </c>
      <c r="C612" s="22" t="s">
        <v>202</v>
      </c>
      <c r="D612" s="22" t="s">
        <v>1670</v>
      </c>
      <c r="E612" s="22" t="s">
        <v>45</v>
      </c>
      <c r="F612" s="23">
        <v>-68599</v>
      </c>
      <c r="G612" s="24">
        <v>44340</v>
      </c>
      <c r="H612" s="22" t="s">
        <v>1672</v>
      </c>
      <c r="I612" s="22" t="s">
        <v>1683</v>
      </c>
      <c r="J612" s="22"/>
      <c r="K612" s="22"/>
    </row>
    <row r="613" spans="1:11" x14ac:dyDescent="0.25">
      <c r="A613" s="22" t="s">
        <v>1673</v>
      </c>
      <c r="B613" s="22" t="s">
        <v>201</v>
      </c>
      <c r="C613" s="22" t="s">
        <v>202</v>
      </c>
      <c r="D613" s="22" t="s">
        <v>1684</v>
      </c>
      <c r="E613" s="22" t="s">
        <v>57</v>
      </c>
      <c r="F613" s="23">
        <v>-55561</v>
      </c>
      <c r="G613" s="24">
        <v>44350</v>
      </c>
      <c r="H613" s="22" t="s">
        <v>1672</v>
      </c>
      <c r="I613" s="22" t="s">
        <v>1685</v>
      </c>
      <c r="J613" s="22"/>
      <c r="K613" s="22"/>
    </row>
    <row r="614" spans="1:11" x14ac:dyDescent="0.25">
      <c r="A614" s="22" t="s">
        <v>150</v>
      </c>
      <c r="B614" s="22" t="s">
        <v>201</v>
      </c>
      <c r="C614" s="22" t="s">
        <v>202</v>
      </c>
      <c r="D614" s="22" t="s">
        <v>152</v>
      </c>
      <c r="E614" s="22" t="s">
        <v>57</v>
      </c>
      <c r="F614" s="23">
        <v>-70057</v>
      </c>
      <c r="G614" s="24">
        <v>44358</v>
      </c>
      <c r="H614" s="22" t="s">
        <v>1672</v>
      </c>
      <c r="I614" s="22" t="s">
        <v>1686</v>
      </c>
      <c r="J614" s="22"/>
      <c r="K614" s="22"/>
    </row>
    <row r="615" spans="1:11" x14ac:dyDescent="0.25">
      <c r="A615" s="22" t="s">
        <v>153</v>
      </c>
      <c r="B615" s="22" t="s">
        <v>201</v>
      </c>
      <c r="C615" s="22" t="s">
        <v>202</v>
      </c>
      <c r="D615" s="22" t="s">
        <v>155</v>
      </c>
      <c r="E615" s="22" t="s">
        <v>57</v>
      </c>
      <c r="F615" s="23">
        <v>-32795</v>
      </c>
      <c r="G615" s="24">
        <v>44372</v>
      </c>
      <c r="H615" s="22" t="s">
        <v>1672</v>
      </c>
      <c r="I615" s="22" t="s">
        <v>1687</v>
      </c>
      <c r="J615" s="22"/>
      <c r="K615" s="22"/>
    </row>
    <row r="616" spans="1:11" x14ac:dyDescent="0.25">
      <c r="A616" s="22" t="s">
        <v>142</v>
      </c>
      <c r="B616" s="22" t="s">
        <v>201</v>
      </c>
      <c r="C616" s="22" t="s">
        <v>202</v>
      </c>
      <c r="D616" s="22" t="s">
        <v>144</v>
      </c>
      <c r="E616" s="22" t="s">
        <v>57</v>
      </c>
      <c r="F616" s="23">
        <v>-70363</v>
      </c>
      <c r="G616" s="24">
        <v>44319</v>
      </c>
      <c r="H616" s="22" t="s">
        <v>1670</v>
      </c>
      <c r="I616" s="22" t="s">
        <v>1690</v>
      </c>
      <c r="J616" s="22"/>
      <c r="K616" s="22"/>
    </row>
    <row r="617" spans="1:11" x14ac:dyDescent="0.25">
      <c r="A617" s="22" t="s">
        <v>1692</v>
      </c>
      <c r="B617" s="22" t="s">
        <v>201</v>
      </c>
      <c r="C617" s="22" t="s">
        <v>202</v>
      </c>
      <c r="D617" s="22" t="s">
        <v>1691</v>
      </c>
      <c r="E617" s="22" t="s">
        <v>57</v>
      </c>
      <c r="F617" s="23">
        <v>-22300</v>
      </c>
      <c r="G617" s="24">
        <v>44344</v>
      </c>
      <c r="H617" s="22" t="s">
        <v>1670</v>
      </c>
      <c r="I617" s="22" t="s">
        <v>1693</v>
      </c>
      <c r="J617" s="22"/>
      <c r="K617" s="22"/>
    </row>
    <row r="618" spans="1:11" x14ac:dyDescent="0.25">
      <c r="A618" s="22" t="s">
        <v>1675</v>
      </c>
      <c r="B618" s="22" t="s">
        <v>201</v>
      </c>
      <c r="C618" s="22" t="s">
        <v>202</v>
      </c>
      <c r="D618" s="22" t="s">
        <v>1670</v>
      </c>
      <c r="E618" s="22" t="s">
        <v>45</v>
      </c>
      <c r="F618" s="23">
        <v>-196287</v>
      </c>
      <c r="G618" s="24">
        <v>44340</v>
      </c>
      <c r="H618" s="22" t="s">
        <v>1670</v>
      </c>
      <c r="I618" s="22"/>
      <c r="J618" s="22"/>
      <c r="K618" s="22"/>
    </row>
    <row r="619" spans="1:11" x14ac:dyDescent="0.25">
      <c r="A619" s="22" t="s">
        <v>1675</v>
      </c>
      <c r="B619" s="22" t="s">
        <v>201</v>
      </c>
      <c r="C619" s="22" t="s">
        <v>202</v>
      </c>
      <c r="D619" s="22" t="s">
        <v>1696</v>
      </c>
      <c r="E619" s="22" t="s">
        <v>57</v>
      </c>
      <c r="F619" s="23">
        <v>-958442</v>
      </c>
      <c r="G619" s="24">
        <v>44340</v>
      </c>
      <c r="H619" s="22" t="s">
        <v>1674</v>
      </c>
      <c r="I619" s="22" t="s">
        <v>1697</v>
      </c>
      <c r="J619" s="22"/>
      <c r="K619" s="22"/>
    </row>
    <row r="620" spans="1:11" x14ac:dyDescent="0.25">
      <c r="A620" s="22" t="s">
        <v>1699</v>
      </c>
      <c r="B620" s="22" t="s">
        <v>201</v>
      </c>
      <c r="C620" s="22" t="s">
        <v>202</v>
      </c>
      <c r="D620" s="22" t="s">
        <v>1698</v>
      </c>
      <c r="E620" s="22" t="s">
        <v>45</v>
      </c>
      <c r="F620" s="23">
        <v>-133236</v>
      </c>
      <c r="G620" s="24">
        <v>44301</v>
      </c>
      <c r="H620" s="22" t="s">
        <v>1674</v>
      </c>
      <c r="I620" s="22" t="s">
        <v>1700</v>
      </c>
      <c r="J620" s="22"/>
      <c r="K620" s="22"/>
    </row>
    <row r="621" spans="1:11" x14ac:dyDescent="0.25">
      <c r="A621" s="22" t="s">
        <v>1702</v>
      </c>
      <c r="B621" s="22" t="s">
        <v>201</v>
      </c>
      <c r="C621" s="22" t="s">
        <v>202</v>
      </c>
      <c r="D621" s="22" t="s">
        <v>1701</v>
      </c>
      <c r="E621" s="22" t="s">
        <v>45</v>
      </c>
      <c r="F621" s="23">
        <v>-220690</v>
      </c>
      <c r="G621" s="24">
        <v>44304</v>
      </c>
      <c r="H621" s="22" t="s">
        <v>1674</v>
      </c>
      <c r="I621" s="22" t="s">
        <v>1700</v>
      </c>
      <c r="J621" s="22"/>
      <c r="K621" s="22"/>
    </row>
    <row r="622" spans="1:11" x14ac:dyDescent="0.25">
      <c r="A622" s="22" t="s">
        <v>1704</v>
      </c>
      <c r="B622" s="22" t="s">
        <v>201</v>
      </c>
      <c r="C622" s="22" t="s">
        <v>202</v>
      </c>
      <c r="D622" s="22" t="s">
        <v>1703</v>
      </c>
      <c r="E622" s="22" t="s">
        <v>57</v>
      </c>
      <c r="F622" s="23">
        <v>-55797</v>
      </c>
      <c r="G622" s="24">
        <v>44303</v>
      </c>
      <c r="H622" s="22" t="s">
        <v>1674</v>
      </c>
      <c r="I622" s="22" t="s">
        <v>1686</v>
      </c>
      <c r="J622" s="22"/>
      <c r="K622" s="22"/>
    </row>
    <row r="623" spans="1:11" x14ac:dyDescent="0.25">
      <c r="A623" s="22" t="s">
        <v>1706</v>
      </c>
      <c r="B623" s="22" t="s">
        <v>201</v>
      </c>
      <c r="C623" s="22" t="s">
        <v>202</v>
      </c>
      <c r="D623" s="22" t="s">
        <v>1705</v>
      </c>
      <c r="E623" s="22" t="s">
        <v>57</v>
      </c>
      <c r="F623" s="23">
        <v>-169078</v>
      </c>
      <c r="G623" s="24">
        <v>44303</v>
      </c>
      <c r="H623" s="22" t="s">
        <v>1674</v>
      </c>
      <c r="I623" s="22" t="s">
        <v>1707</v>
      </c>
      <c r="J623" s="22"/>
      <c r="K623" s="22"/>
    </row>
    <row r="624" spans="1:11" x14ac:dyDescent="0.25">
      <c r="A624" s="22" t="s">
        <v>1709</v>
      </c>
      <c r="B624" s="22" t="s">
        <v>201</v>
      </c>
      <c r="C624" s="22" t="s">
        <v>202</v>
      </c>
      <c r="D624" s="22" t="s">
        <v>1708</v>
      </c>
      <c r="E624" s="22" t="s">
        <v>57</v>
      </c>
      <c r="F624" s="23">
        <v>-115583</v>
      </c>
      <c r="G624" s="24">
        <v>44291</v>
      </c>
      <c r="H624" s="22" t="s">
        <v>1674</v>
      </c>
      <c r="I624" s="22" t="s">
        <v>1710</v>
      </c>
      <c r="J624" s="22"/>
      <c r="K624" s="22"/>
    </row>
    <row r="625" spans="1:11" x14ac:dyDescent="0.25">
      <c r="A625" s="22" t="s">
        <v>1712</v>
      </c>
      <c r="B625" s="22" t="s">
        <v>201</v>
      </c>
      <c r="C625" s="22" t="s">
        <v>202</v>
      </c>
      <c r="D625" s="22" t="s">
        <v>1711</v>
      </c>
      <c r="E625" s="22" t="s">
        <v>57</v>
      </c>
      <c r="F625" s="23">
        <v>-271900</v>
      </c>
      <c r="G625" s="24">
        <v>44316</v>
      </c>
      <c r="H625" s="22" t="s">
        <v>1674</v>
      </c>
      <c r="I625" s="22" t="s">
        <v>1713</v>
      </c>
      <c r="J625" s="22"/>
      <c r="K625" s="22"/>
    </row>
    <row r="626" spans="1:11" x14ac:dyDescent="0.25">
      <c r="A626" s="22" t="s">
        <v>1715</v>
      </c>
      <c r="B626" s="22" t="s">
        <v>201</v>
      </c>
      <c r="C626" s="22" t="s">
        <v>202</v>
      </c>
      <c r="D626" s="22" t="s">
        <v>1714</v>
      </c>
      <c r="E626" s="22" t="s">
        <v>57</v>
      </c>
      <c r="F626" s="23">
        <v>-8760319</v>
      </c>
      <c r="G626" s="24">
        <v>44379</v>
      </c>
      <c r="H626" s="22" t="s">
        <v>1716</v>
      </c>
      <c r="I626" s="22" t="s">
        <v>1717</v>
      </c>
      <c r="J626" s="22"/>
      <c r="K626" s="22"/>
    </row>
    <row r="627" spans="1:11" x14ac:dyDescent="0.25">
      <c r="A627" s="22" t="s">
        <v>161</v>
      </c>
      <c r="B627" s="22" t="s">
        <v>201</v>
      </c>
      <c r="C627" s="22" t="s">
        <v>202</v>
      </c>
      <c r="D627" s="22" t="s">
        <v>163</v>
      </c>
      <c r="E627" s="22" t="s">
        <v>57</v>
      </c>
      <c r="F627" s="23">
        <v>-14599</v>
      </c>
      <c r="G627" s="24">
        <v>44358</v>
      </c>
      <c r="H627" s="22" t="s">
        <v>1716</v>
      </c>
      <c r="I627" s="22" t="s">
        <v>1718</v>
      </c>
      <c r="J627" s="22"/>
      <c r="K627" s="22"/>
    </row>
    <row r="628" spans="1:11" x14ac:dyDescent="0.25">
      <c r="A628" s="22" t="s">
        <v>1720</v>
      </c>
      <c r="B628" s="22" t="s">
        <v>201</v>
      </c>
      <c r="C628" s="22" t="s">
        <v>202</v>
      </c>
      <c r="D628" s="22" t="s">
        <v>1719</v>
      </c>
      <c r="E628" s="22" t="s">
        <v>57</v>
      </c>
      <c r="F628" s="23">
        <v>-562352</v>
      </c>
      <c r="G628" s="24">
        <v>44367</v>
      </c>
      <c r="H628" s="22" t="s">
        <v>1716</v>
      </c>
      <c r="I628" s="22" t="s">
        <v>1721</v>
      </c>
      <c r="J628" s="22"/>
      <c r="K628" s="22"/>
    </row>
    <row r="629" spans="1:11" x14ac:dyDescent="0.25">
      <c r="A629" s="22" t="s">
        <v>157</v>
      </c>
      <c r="B629" s="22" t="s">
        <v>201</v>
      </c>
      <c r="C629" s="22" t="s">
        <v>202</v>
      </c>
      <c r="D629" s="22" t="s">
        <v>159</v>
      </c>
      <c r="E629" s="22" t="s">
        <v>57</v>
      </c>
      <c r="F629" s="23">
        <v>-3064510</v>
      </c>
      <c r="G629" s="24">
        <v>44382</v>
      </c>
      <c r="H629" s="22" t="s">
        <v>1724</v>
      </c>
      <c r="I629" s="22" t="s">
        <v>1725</v>
      </c>
      <c r="J629" s="22"/>
      <c r="K629" s="22"/>
    </row>
    <row r="630" spans="1:11" x14ac:dyDescent="0.25">
      <c r="A630" s="22" t="s">
        <v>1730</v>
      </c>
      <c r="B630" s="22" t="s">
        <v>201</v>
      </c>
      <c r="C630" s="22" t="s">
        <v>202</v>
      </c>
      <c r="D630" s="22" t="s">
        <v>1729</v>
      </c>
      <c r="E630" s="22" t="s">
        <v>57</v>
      </c>
      <c r="F630" s="23">
        <v>-37100</v>
      </c>
      <c r="G630" s="24">
        <v>44334</v>
      </c>
      <c r="H630" s="22" t="s">
        <v>1728</v>
      </c>
      <c r="I630" s="22" t="s">
        <v>1731</v>
      </c>
      <c r="J630" s="22"/>
      <c r="K630" s="22"/>
    </row>
    <row r="631" spans="1:11" x14ac:dyDescent="0.25">
      <c r="A631" s="22" t="s">
        <v>1733</v>
      </c>
      <c r="B631" s="22" t="s">
        <v>201</v>
      </c>
      <c r="C631" s="22" t="s">
        <v>202</v>
      </c>
      <c r="D631" s="22" t="s">
        <v>1732</v>
      </c>
      <c r="E631" s="22" t="s">
        <v>57</v>
      </c>
      <c r="F631" s="23">
        <v>-10100</v>
      </c>
      <c r="G631" s="24">
        <v>44334</v>
      </c>
      <c r="H631" s="22" t="s">
        <v>1728</v>
      </c>
      <c r="I631" s="22" t="s">
        <v>740</v>
      </c>
      <c r="J631" s="22"/>
      <c r="K631" s="22"/>
    </row>
    <row r="632" spans="1:11" x14ac:dyDescent="0.25">
      <c r="A632" s="22" t="s">
        <v>1735</v>
      </c>
      <c r="B632" s="22" t="s">
        <v>201</v>
      </c>
      <c r="C632" s="22" t="s">
        <v>202</v>
      </c>
      <c r="D632" s="22" t="s">
        <v>1734</v>
      </c>
      <c r="E632" s="22" t="s">
        <v>57</v>
      </c>
      <c r="F632" s="23">
        <v>-253900</v>
      </c>
      <c r="G632" s="24">
        <v>44334</v>
      </c>
      <c r="H632" s="22" t="s">
        <v>1728</v>
      </c>
      <c r="I632" s="22" t="s">
        <v>1731</v>
      </c>
      <c r="J632" s="22"/>
      <c r="K632" s="22"/>
    </row>
    <row r="633" spans="1:11" x14ac:dyDescent="0.25">
      <c r="A633" s="22" t="s">
        <v>1737</v>
      </c>
      <c r="B633" s="22" t="s">
        <v>201</v>
      </c>
      <c r="C633" s="22" t="s">
        <v>202</v>
      </c>
      <c r="D633" s="22" t="s">
        <v>1736</v>
      </c>
      <c r="E633" s="22" t="s">
        <v>57</v>
      </c>
      <c r="F633" s="23">
        <v>-47200</v>
      </c>
      <c r="G633" s="24">
        <v>44322</v>
      </c>
      <c r="H633" s="22" t="s">
        <v>1728</v>
      </c>
      <c r="I633" s="22" t="s">
        <v>608</v>
      </c>
      <c r="J633" s="22"/>
      <c r="K633" s="22"/>
    </row>
    <row r="634" spans="1:11" x14ac:dyDescent="0.25">
      <c r="A634" s="22" t="s">
        <v>1730</v>
      </c>
      <c r="B634" s="22" t="s">
        <v>201</v>
      </c>
      <c r="C634" s="22" t="s">
        <v>202</v>
      </c>
      <c r="D634" s="22" t="s">
        <v>1728</v>
      </c>
      <c r="E634" s="22" t="s">
        <v>45</v>
      </c>
      <c r="F634" s="23">
        <v>-347175</v>
      </c>
      <c r="G634" s="24">
        <v>44334</v>
      </c>
      <c r="H634" s="22" t="s">
        <v>1728</v>
      </c>
      <c r="I634" s="22"/>
      <c r="J634" s="22"/>
      <c r="K634" s="22"/>
    </row>
    <row r="635" spans="1:11" x14ac:dyDescent="0.25">
      <c r="A635" s="22" t="s">
        <v>1743</v>
      </c>
      <c r="B635" s="22" t="s">
        <v>201</v>
      </c>
      <c r="C635" s="22" t="s">
        <v>202</v>
      </c>
      <c r="D635" s="22" t="s">
        <v>1742</v>
      </c>
      <c r="E635" s="22" t="s">
        <v>57</v>
      </c>
      <c r="F635" s="23">
        <v>-32700</v>
      </c>
      <c r="G635" s="24">
        <v>44258</v>
      </c>
      <c r="H635" s="22" t="s">
        <v>1740</v>
      </c>
      <c r="I635" s="22" t="s">
        <v>1731</v>
      </c>
      <c r="J635" s="22"/>
      <c r="K635" s="22"/>
    </row>
    <row r="636" spans="1:11" x14ac:dyDescent="0.25">
      <c r="A636" s="22" t="s">
        <v>1748</v>
      </c>
      <c r="B636" s="22" t="s">
        <v>201</v>
      </c>
      <c r="C636" s="22" t="s">
        <v>202</v>
      </c>
      <c r="D636" s="22" t="s">
        <v>1747</v>
      </c>
      <c r="E636" s="22" t="s">
        <v>45</v>
      </c>
      <c r="F636" s="23">
        <v>-1119902</v>
      </c>
      <c r="G636" s="24">
        <v>44269</v>
      </c>
      <c r="H636" s="22" t="s">
        <v>1746</v>
      </c>
      <c r="I636" s="22" t="s">
        <v>1749</v>
      </c>
      <c r="J636" s="22"/>
      <c r="K636" s="22"/>
    </row>
    <row r="637" spans="1:11" x14ac:dyDescent="0.25">
      <c r="A637" s="22" t="s">
        <v>1748</v>
      </c>
      <c r="B637" s="22" t="s">
        <v>201</v>
      </c>
      <c r="C637" s="22" t="s">
        <v>202</v>
      </c>
      <c r="D637" s="22" t="s">
        <v>1752</v>
      </c>
      <c r="E637" s="22" t="s">
        <v>57</v>
      </c>
      <c r="F637" s="23">
        <v>-2616130</v>
      </c>
      <c r="G637" s="24">
        <v>44269</v>
      </c>
      <c r="H637" s="22" t="s">
        <v>1747</v>
      </c>
      <c r="I637" s="22" t="s">
        <v>1753</v>
      </c>
      <c r="J637" s="22"/>
      <c r="K637" s="22"/>
    </row>
    <row r="638" spans="1:11" x14ac:dyDescent="0.25">
      <c r="A638" s="22" t="s">
        <v>1755</v>
      </c>
      <c r="B638" s="22" t="s">
        <v>201</v>
      </c>
      <c r="C638" s="22" t="s">
        <v>202</v>
      </c>
      <c r="D638" s="22" t="s">
        <v>1754</v>
      </c>
      <c r="E638" s="22" t="s">
        <v>57</v>
      </c>
      <c r="F638" s="23">
        <v>-53700</v>
      </c>
      <c r="G638" s="24">
        <v>44291</v>
      </c>
      <c r="H638" s="22" t="s">
        <v>1674</v>
      </c>
      <c r="I638" s="22" t="s">
        <v>1756</v>
      </c>
      <c r="J638" s="22"/>
      <c r="K638" s="22"/>
    </row>
    <row r="639" spans="1:11" x14ac:dyDescent="0.25">
      <c r="A639" s="22" t="s">
        <v>130</v>
      </c>
      <c r="B639" s="22" t="s">
        <v>201</v>
      </c>
      <c r="C639" s="22" t="s">
        <v>202</v>
      </c>
      <c r="D639" s="22" t="s">
        <v>1757</v>
      </c>
      <c r="E639" s="22" t="s">
        <v>45</v>
      </c>
      <c r="F639" s="23">
        <v>-413404</v>
      </c>
      <c r="G639" s="24">
        <v>44314</v>
      </c>
      <c r="H639" s="22" t="s">
        <v>1757</v>
      </c>
      <c r="I639" s="22"/>
      <c r="J639" s="22"/>
      <c r="K639" s="22"/>
    </row>
    <row r="640" spans="1:11" x14ac:dyDescent="0.25">
      <c r="A640" s="22" t="s">
        <v>1702</v>
      </c>
      <c r="B640" s="22" t="s">
        <v>201</v>
      </c>
      <c r="C640" s="22" t="s">
        <v>202</v>
      </c>
      <c r="D640" s="22" t="s">
        <v>1760</v>
      </c>
      <c r="E640" s="22" t="s">
        <v>57</v>
      </c>
      <c r="F640" s="23">
        <v>-674374</v>
      </c>
      <c r="G640" s="24">
        <v>44304</v>
      </c>
      <c r="H640" s="22" t="s">
        <v>1701</v>
      </c>
      <c r="I640" s="22" t="s">
        <v>1761</v>
      </c>
      <c r="J640" s="22"/>
      <c r="K640" s="22"/>
    </row>
    <row r="641" spans="1:11" x14ac:dyDescent="0.25">
      <c r="A641" s="22" t="s">
        <v>125</v>
      </c>
      <c r="B641" s="22" t="s">
        <v>201</v>
      </c>
      <c r="C641" s="22" t="s">
        <v>202</v>
      </c>
      <c r="D641" s="22" t="s">
        <v>127</v>
      </c>
      <c r="E641" s="22" t="s">
        <v>57</v>
      </c>
      <c r="F641" s="23">
        <v>-10681621</v>
      </c>
      <c r="G641" s="24">
        <v>44152</v>
      </c>
      <c r="H641" s="22" t="s">
        <v>1701</v>
      </c>
      <c r="I641" s="22" t="s">
        <v>1762</v>
      </c>
      <c r="J641" s="22"/>
      <c r="K641" s="22"/>
    </row>
    <row r="642" spans="1:11" x14ac:dyDescent="0.25">
      <c r="A642" s="22" t="s">
        <v>1764</v>
      </c>
      <c r="B642" s="22" t="s">
        <v>201</v>
      </c>
      <c r="C642" s="22" t="s">
        <v>202</v>
      </c>
      <c r="D642" s="22" t="s">
        <v>1763</v>
      </c>
      <c r="E642" s="22" t="s">
        <v>57</v>
      </c>
      <c r="F642" s="23">
        <v>-45600</v>
      </c>
      <c r="G642" s="24">
        <v>44165</v>
      </c>
      <c r="H642" s="22" t="s">
        <v>1701</v>
      </c>
      <c r="I642" s="22" t="s">
        <v>989</v>
      </c>
      <c r="J642" s="22"/>
      <c r="K642" s="22"/>
    </row>
    <row r="643" spans="1:11" x14ac:dyDescent="0.25">
      <c r="A643" s="22" t="s">
        <v>1766</v>
      </c>
      <c r="B643" s="22" t="s">
        <v>201</v>
      </c>
      <c r="C643" s="22" t="s">
        <v>202</v>
      </c>
      <c r="D643" s="22" t="s">
        <v>1765</v>
      </c>
      <c r="E643" s="22" t="s">
        <v>57</v>
      </c>
      <c r="F643" s="23">
        <v>-45600</v>
      </c>
      <c r="G643" s="24">
        <v>44155</v>
      </c>
      <c r="H643" s="22" t="s">
        <v>1701</v>
      </c>
      <c r="I643" s="22" t="s">
        <v>550</v>
      </c>
      <c r="J643" s="22"/>
      <c r="K643" s="22"/>
    </row>
    <row r="644" spans="1:11" x14ac:dyDescent="0.25">
      <c r="A644" s="22" t="s">
        <v>1768</v>
      </c>
      <c r="B644" s="22" t="s">
        <v>201</v>
      </c>
      <c r="C644" s="22" t="s">
        <v>202</v>
      </c>
      <c r="D644" s="22" t="s">
        <v>1767</v>
      </c>
      <c r="E644" s="22" t="s">
        <v>57</v>
      </c>
      <c r="F644" s="23">
        <v>-64445</v>
      </c>
      <c r="G644" s="24">
        <v>44272</v>
      </c>
      <c r="H644" s="22" t="s">
        <v>1701</v>
      </c>
      <c r="I644" s="22" t="s">
        <v>919</v>
      </c>
      <c r="J644" s="22"/>
      <c r="K644" s="22"/>
    </row>
    <row r="645" spans="1:11" x14ac:dyDescent="0.25">
      <c r="A645" s="22" t="s">
        <v>1770</v>
      </c>
      <c r="B645" s="22" t="s">
        <v>201</v>
      </c>
      <c r="C645" s="22" t="s">
        <v>202</v>
      </c>
      <c r="D645" s="22" t="s">
        <v>1769</v>
      </c>
      <c r="E645" s="22" t="s">
        <v>57</v>
      </c>
      <c r="F645" s="23">
        <v>-98462</v>
      </c>
      <c r="G645" s="24">
        <v>44268</v>
      </c>
      <c r="H645" s="22" t="s">
        <v>1701</v>
      </c>
      <c r="I645" s="22" t="s">
        <v>919</v>
      </c>
      <c r="J645" s="22"/>
      <c r="K645" s="22"/>
    </row>
    <row r="646" spans="1:11" x14ac:dyDescent="0.25">
      <c r="A646" s="22" t="s">
        <v>1772</v>
      </c>
      <c r="B646" s="22" t="s">
        <v>201</v>
      </c>
      <c r="C646" s="22" t="s">
        <v>202</v>
      </c>
      <c r="D646" s="22" t="s">
        <v>1771</v>
      </c>
      <c r="E646" s="22" t="s">
        <v>57</v>
      </c>
      <c r="F646" s="23">
        <v>-442780</v>
      </c>
      <c r="G646" s="24">
        <v>44260</v>
      </c>
      <c r="H646" s="22" t="s">
        <v>1701</v>
      </c>
      <c r="I646" s="22" t="s">
        <v>1773</v>
      </c>
      <c r="J646" s="22"/>
      <c r="K646" s="22"/>
    </row>
    <row r="647" spans="1:11" x14ac:dyDescent="0.25">
      <c r="A647" s="22" t="s">
        <v>1775</v>
      </c>
      <c r="B647" s="22" t="s">
        <v>201</v>
      </c>
      <c r="C647" s="22" t="s">
        <v>202</v>
      </c>
      <c r="D647" s="22" t="s">
        <v>1774</v>
      </c>
      <c r="E647" s="22" t="s">
        <v>57</v>
      </c>
      <c r="F647" s="23">
        <v>-497200</v>
      </c>
      <c r="G647" s="24">
        <v>44284</v>
      </c>
      <c r="H647" s="22" t="s">
        <v>1701</v>
      </c>
      <c r="I647" s="22" t="s">
        <v>309</v>
      </c>
      <c r="J647" s="22"/>
      <c r="K647" s="22"/>
    </row>
    <row r="648" spans="1:11" x14ac:dyDescent="0.25">
      <c r="A648" s="22" t="s">
        <v>1777</v>
      </c>
      <c r="B648" s="22" t="s">
        <v>201</v>
      </c>
      <c r="C648" s="22" t="s">
        <v>202</v>
      </c>
      <c r="D648" s="22" t="s">
        <v>1776</v>
      </c>
      <c r="E648" s="22" t="s">
        <v>57</v>
      </c>
      <c r="F648" s="23">
        <v>-43700</v>
      </c>
      <c r="G648" s="24">
        <v>44284</v>
      </c>
      <c r="H648" s="22" t="s">
        <v>1701</v>
      </c>
      <c r="I648" s="22" t="s">
        <v>836</v>
      </c>
      <c r="J648" s="22"/>
      <c r="K648" s="22"/>
    </row>
    <row r="649" spans="1:11" x14ac:dyDescent="0.25">
      <c r="A649" s="22" t="s">
        <v>1779</v>
      </c>
      <c r="B649" s="22" t="s">
        <v>201</v>
      </c>
      <c r="C649" s="22" t="s">
        <v>202</v>
      </c>
      <c r="D649" s="22" t="s">
        <v>1778</v>
      </c>
      <c r="E649" s="22" t="s">
        <v>57</v>
      </c>
      <c r="F649" s="23">
        <v>-29200</v>
      </c>
      <c r="G649" s="24">
        <v>44281</v>
      </c>
      <c r="H649" s="22" t="s">
        <v>1701</v>
      </c>
      <c r="I649" s="22" t="s">
        <v>280</v>
      </c>
      <c r="J649" s="22"/>
      <c r="K649" s="22"/>
    </row>
    <row r="650" spans="1:11" x14ac:dyDescent="0.25">
      <c r="A650" s="22" t="s">
        <v>1781</v>
      </c>
      <c r="B650" s="22" t="s">
        <v>201</v>
      </c>
      <c r="C650" s="22" t="s">
        <v>202</v>
      </c>
      <c r="D650" s="22" t="s">
        <v>1780</v>
      </c>
      <c r="E650" s="22" t="s">
        <v>57</v>
      </c>
      <c r="F650" s="23">
        <v>-43700</v>
      </c>
      <c r="G650" s="24">
        <v>44280</v>
      </c>
      <c r="H650" s="22" t="s">
        <v>1701</v>
      </c>
      <c r="I650" s="22" t="s">
        <v>820</v>
      </c>
      <c r="J650" s="22"/>
      <c r="K650" s="22"/>
    </row>
    <row r="651" spans="1:11" x14ac:dyDescent="0.25">
      <c r="A651" s="22" t="s">
        <v>1783</v>
      </c>
      <c r="B651" s="22" t="s">
        <v>201</v>
      </c>
      <c r="C651" s="22" t="s">
        <v>202</v>
      </c>
      <c r="D651" s="22" t="s">
        <v>1782</v>
      </c>
      <c r="E651" s="22" t="s">
        <v>57</v>
      </c>
      <c r="F651" s="23">
        <v>-206500</v>
      </c>
      <c r="G651" s="24">
        <v>44279</v>
      </c>
      <c r="H651" s="22" t="s">
        <v>1701</v>
      </c>
      <c r="I651" s="22" t="s">
        <v>897</v>
      </c>
      <c r="J651" s="22"/>
      <c r="K651" s="22"/>
    </row>
    <row r="652" spans="1:11" x14ac:dyDescent="0.25">
      <c r="A652" s="22" t="s">
        <v>1785</v>
      </c>
      <c r="B652" s="22" t="s">
        <v>201</v>
      </c>
      <c r="C652" s="22" t="s">
        <v>202</v>
      </c>
      <c r="D652" s="22" t="s">
        <v>1784</v>
      </c>
      <c r="E652" s="22" t="s">
        <v>57</v>
      </c>
      <c r="F652" s="23">
        <v>-18800</v>
      </c>
      <c r="G652" s="24">
        <v>44274</v>
      </c>
      <c r="H652" s="22" t="s">
        <v>1701</v>
      </c>
      <c r="I652" s="22" t="s">
        <v>1786</v>
      </c>
      <c r="J652" s="22"/>
      <c r="K652" s="22"/>
    </row>
    <row r="653" spans="1:11" x14ac:dyDescent="0.25">
      <c r="A653" s="22" t="s">
        <v>1788</v>
      </c>
      <c r="B653" s="22" t="s">
        <v>201</v>
      </c>
      <c r="C653" s="22" t="s">
        <v>202</v>
      </c>
      <c r="D653" s="22" t="s">
        <v>1787</v>
      </c>
      <c r="E653" s="22" t="s">
        <v>57</v>
      </c>
      <c r="F653" s="23">
        <v>-29200</v>
      </c>
      <c r="G653" s="24">
        <v>44273</v>
      </c>
      <c r="H653" s="22" t="s">
        <v>1701</v>
      </c>
      <c r="I653" s="22" t="s">
        <v>280</v>
      </c>
      <c r="J653" s="22"/>
      <c r="K653" s="22"/>
    </row>
    <row r="654" spans="1:11" x14ac:dyDescent="0.25">
      <c r="A654" s="22" t="s">
        <v>1790</v>
      </c>
      <c r="B654" s="22" t="s">
        <v>201</v>
      </c>
      <c r="C654" s="22" t="s">
        <v>202</v>
      </c>
      <c r="D654" s="22" t="s">
        <v>1789</v>
      </c>
      <c r="E654" s="22" t="s">
        <v>57</v>
      </c>
      <c r="F654" s="23">
        <v>-92700</v>
      </c>
      <c r="G654" s="24">
        <v>44272</v>
      </c>
      <c r="H654" s="22" t="s">
        <v>1701</v>
      </c>
      <c r="I654" s="22" t="s">
        <v>1791</v>
      </c>
      <c r="J654" s="22"/>
      <c r="K654" s="22"/>
    </row>
    <row r="655" spans="1:11" x14ac:dyDescent="0.25">
      <c r="A655" s="22" t="s">
        <v>1793</v>
      </c>
      <c r="B655" s="22" t="s">
        <v>201</v>
      </c>
      <c r="C655" s="22" t="s">
        <v>202</v>
      </c>
      <c r="D655" s="22" t="s">
        <v>1792</v>
      </c>
      <c r="E655" s="22" t="s">
        <v>57</v>
      </c>
      <c r="F655" s="23">
        <v>-6200</v>
      </c>
      <c r="G655" s="24">
        <v>44272</v>
      </c>
      <c r="H655" s="22" t="s">
        <v>1701</v>
      </c>
      <c r="I655" s="22" t="s">
        <v>820</v>
      </c>
      <c r="J655" s="22"/>
      <c r="K655" s="22"/>
    </row>
    <row r="656" spans="1:11" x14ac:dyDescent="0.25">
      <c r="A656" s="22" t="s">
        <v>1795</v>
      </c>
      <c r="B656" s="22" t="s">
        <v>201</v>
      </c>
      <c r="C656" s="22" t="s">
        <v>202</v>
      </c>
      <c r="D656" s="22" t="s">
        <v>1794</v>
      </c>
      <c r="E656" s="22" t="s">
        <v>57</v>
      </c>
      <c r="F656" s="23">
        <v>-43700</v>
      </c>
      <c r="G656" s="24">
        <v>44272</v>
      </c>
      <c r="H656" s="22" t="s">
        <v>1701</v>
      </c>
      <c r="I656" s="22" t="s">
        <v>483</v>
      </c>
      <c r="J656" s="22"/>
      <c r="K656" s="22"/>
    </row>
    <row r="657" spans="1:11" x14ac:dyDescent="0.25">
      <c r="A657" s="22" t="s">
        <v>1797</v>
      </c>
      <c r="B657" s="22" t="s">
        <v>201</v>
      </c>
      <c r="C657" s="22" t="s">
        <v>202</v>
      </c>
      <c r="D657" s="22" t="s">
        <v>1796</v>
      </c>
      <c r="E657" s="22" t="s">
        <v>57</v>
      </c>
      <c r="F657" s="23">
        <v>-43700</v>
      </c>
      <c r="G657" s="24">
        <v>44264</v>
      </c>
      <c r="H657" s="22" t="s">
        <v>1701</v>
      </c>
      <c r="I657" s="22" t="s">
        <v>309</v>
      </c>
      <c r="J657" s="22"/>
      <c r="K657" s="22"/>
    </row>
    <row r="658" spans="1:11" x14ac:dyDescent="0.25">
      <c r="A658" s="22" t="s">
        <v>1799</v>
      </c>
      <c r="B658" s="22" t="s">
        <v>201</v>
      </c>
      <c r="C658" s="22" t="s">
        <v>202</v>
      </c>
      <c r="D658" s="22" t="s">
        <v>1798</v>
      </c>
      <c r="E658" s="22" t="s">
        <v>57</v>
      </c>
      <c r="F658" s="23">
        <v>-39000</v>
      </c>
      <c r="G658" s="24">
        <v>44256</v>
      </c>
      <c r="H658" s="22" t="s">
        <v>1701</v>
      </c>
      <c r="I658" s="22" t="s">
        <v>478</v>
      </c>
      <c r="J658" s="22"/>
      <c r="K658" s="22"/>
    </row>
    <row r="659" spans="1:11" x14ac:dyDescent="0.25">
      <c r="A659" s="22" t="s">
        <v>1801</v>
      </c>
      <c r="B659" s="22" t="s">
        <v>201</v>
      </c>
      <c r="C659" s="22" t="s">
        <v>202</v>
      </c>
      <c r="D659" s="22" t="s">
        <v>1800</v>
      </c>
      <c r="E659" s="22" t="s">
        <v>57</v>
      </c>
      <c r="F659" s="23">
        <v>-2025000</v>
      </c>
      <c r="G659" s="24">
        <v>44134</v>
      </c>
      <c r="H659" s="22" t="s">
        <v>1701</v>
      </c>
      <c r="I659" s="22" t="s">
        <v>1802</v>
      </c>
      <c r="J659" s="22"/>
      <c r="K659" s="22"/>
    </row>
    <row r="660" spans="1:11" x14ac:dyDescent="0.25">
      <c r="A660" s="22" t="s">
        <v>1804</v>
      </c>
      <c r="B660" s="22" t="s">
        <v>201</v>
      </c>
      <c r="C660" s="22" t="s">
        <v>202</v>
      </c>
      <c r="D660" s="22" t="s">
        <v>1803</v>
      </c>
      <c r="E660" s="22" t="s">
        <v>57</v>
      </c>
      <c r="F660" s="23">
        <v>-160200</v>
      </c>
      <c r="G660" s="24">
        <v>44133</v>
      </c>
      <c r="H660" s="22" t="s">
        <v>1701</v>
      </c>
      <c r="I660" s="22" t="s">
        <v>1805</v>
      </c>
      <c r="J660" s="22"/>
      <c r="K660" s="22"/>
    </row>
    <row r="661" spans="1:11" x14ac:dyDescent="0.25">
      <c r="A661" s="22" t="s">
        <v>1807</v>
      </c>
      <c r="B661" s="22" t="s">
        <v>201</v>
      </c>
      <c r="C661" s="22" t="s">
        <v>202</v>
      </c>
      <c r="D661" s="22" t="s">
        <v>1806</v>
      </c>
      <c r="E661" s="22" t="s">
        <v>57</v>
      </c>
      <c r="F661" s="23">
        <v>-68046</v>
      </c>
      <c r="G661" s="24">
        <v>44289</v>
      </c>
      <c r="H661" s="22" t="s">
        <v>1674</v>
      </c>
      <c r="I661" s="22" t="s">
        <v>1756</v>
      </c>
      <c r="J661" s="22"/>
      <c r="K661" s="22"/>
    </row>
    <row r="662" spans="1:11" x14ac:dyDescent="0.25">
      <c r="A662" s="22" t="s">
        <v>1809</v>
      </c>
      <c r="B662" s="22" t="s">
        <v>201</v>
      </c>
      <c r="C662" s="22" t="s">
        <v>202</v>
      </c>
      <c r="D662" s="22" t="s">
        <v>1808</v>
      </c>
      <c r="E662" s="22" t="s">
        <v>57</v>
      </c>
      <c r="F662" s="23">
        <v>-55433</v>
      </c>
      <c r="G662" s="24">
        <v>44287</v>
      </c>
      <c r="H662" s="22" t="s">
        <v>1674</v>
      </c>
      <c r="I662" s="22" t="s">
        <v>1756</v>
      </c>
      <c r="J662" s="22"/>
      <c r="K662" s="22"/>
    </row>
    <row r="663" spans="1:11" x14ac:dyDescent="0.25">
      <c r="A663" s="22" t="s">
        <v>1675</v>
      </c>
      <c r="B663" s="22" t="s">
        <v>201</v>
      </c>
      <c r="C663" s="22" t="s">
        <v>202</v>
      </c>
      <c r="D663" s="22" t="s">
        <v>1674</v>
      </c>
      <c r="E663" s="22" t="s">
        <v>45</v>
      </c>
      <c r="F663" s="23">
        <v>-1940619</v>
      </c>
      <c r="G663" s="24">
        <v>44340</v>
      </c>
      <c r="H663" s="22" t="s">
        <v>1674</v>
      </c>
      <c r="I663" s="22"/>
      <c r="J663" s="22"/>
      <c r="K663" s="22"/>
    </row>
    <row r="664" spans="1:11" x14ac:dyDescent="0.25">
      <c r="A664" s="22" t="s">
        <v>1814</v>
      </c>
      <c r="B664" s="22" t="s">
        <v>201</v>
      </c>
      <c r="C664" s="22" t="s">
        <v>202</v>
      </c>
      <c r="D664" s="22" t="s">
        <v>1813</v>
      </c>
      <c r="E664" s="22" t="s">
        <v>57</v>
      </c>
      <c r="F664" s="23">
        <v>-32700</v>
      </c>
      <c r="G664" s="24">
        <v>44302</v>
      </c>
      <c r="H664" s="22" t="s">
        <v>1698</v>
      </c>
      <c r="I664" s="22" t="s">
        <v>1815</v>
      </c>
      <c r="J664" s="22"/>
      <c r="K664" s="22"/>
    </row>
    <row r="665" spans="1:11" x14ac:dyDescent="0.25">
      <c r="A665" s="22" t="s">
        <v>1817</v>
      </c>
      <c r="B665" s="22" t="s">
        <v>201</v>
      </c>
      <c r="C665" s="22" t="s">
        <v>202</v>
      </c>
      <c r="D665" s="22" t="s">
        <v>1816</v>
      </c>
      <c r="E665" s="22" t="s">
        <v>45</v>
      </c>
      <c r="F665" s="23">
        <v>-5242</v>
      </c>
      <c r="G665" s="24">
        <v>44301</v>
      </c>
      <c r="H665" s="22" t="s">
        <v>1698</v>
      </c>
      <c r="I665" s="22" t="s">
        <v>1818</v>
      </c>
      <c r="J665" s="22"/>
      <c r="K665" s="22"/>
    </row>
    <row r="666" spans="1:11" x14ac:dyDescent="0.25">
      <c r="A666" s="22" t="s">
        <v>1820</v>
      </c>
      <c r="B666" s="22" t="s">
        <v>201</v>
      </c>
      <c r="C666" s="22" t="s">
        <v>202</v>
      </c>
      <c r="D666" s="22" t="s">
        <v>1819</v>
      </c>
      <c r="E666" s="22" t="s">
        <v>45</v>
      </c>
      <c r="F666" s="23">
        <v>-18098</v>
      </c>
      <c r="G666" s="24">
        <v>44307</v>
      </c>
      <c r="H666" s="22" t="s">
        <v>1698</v>
      </c>
      <c r="I666" s="22" t="s">
        <v>1821</v>
      </c>
      <c r="J666" s="22"/>
      <c r="K666" s="22"/>
    </row>
    <row r="667" spans="1:11" x14ac:dyDescent="0.25">
      <c r="A667" s="22" t="s">
        <v>1823</v>
      </c>
      <c r="B667" s="22" t="s">
        <v>201</v>
      </c>
      <c r="C667" s="22" t="s">
        <v>202</v>
      </c>
      <c r="D667" s="22" t="s">
        <v>1822</v>
      </c>
      <c r="E667" s="22" t="s">
        <v>57</v>
      </c>
      <c r="F667" s="23">
        <v>-10100</v>
      </c>
      <c r="G667" s="24">
        <v>44315</v>
      </c>
      <c r="H667" s="22" t="s">
        <v>1698</v>
      </c>
      <c r="I667" s="22" t="s">
        <v>1386</v>
      </c>
      <c r="J667" s="22"/>
      <c r="K667" s="22"/>
    </row>
    <row r="668" spans="1:11" x14ac:dyDescent="0.25">
      <c r="A668" s="22" t="s">
        <v>1825</v>
      </c>
      <c r="B668" s="22" t="s">
        <v>201</v>
      </c>
      <c r="C668" s="22" t="s">
        <v>202</v>
      </c>
      <c r="D668" s="22" t="s">
        <v>1824</v>
      </c>
      <c r="E668" s="22" t="s">
        <v>57</v>
      </c>
      <c r="F668" s="23">
        <v>-269300</v>
      </c>
      <c r="G668" s="24">
        <v>44307</v>
      </c>
      <c r="H668" s="22" t="s">
        <v>1698</v>
      </c>
      <c r="I668" s="22" t="s">
        <v>1815</v>
      </c>
      <c r="J668" s="22"/>
      <c r="K668" s="22"/>
    </row>
    <row r="669" spans="1:11" x14ac:dyDescent="0.25">
      <c r="A669" s="22" t="s">
        <v>1699</v>
      </c>
      <c r="B669" s="22" t="s">
        <v>201</v>
      </c>
      <c r="C669" s="22" t="s">
        <v>202</v>
      </c>
      <c r="D669" s="22" t="s">
        <v>1826</v>
      </c>
      <c r="E669" s="22" t="s">
        <v>57</v>
      </c>
      <c r="F669" s="23">
        <v>-251738</v>
      </c>
      <c r="G669" s="24">
        <v>44301</v>
      </c>
      <c r="H669" s="22" t="s">
        <v>1698</v>
      </c>
      <c r="I669" s="22" t="s">
        <v>1761</v>
      </c>
      <c r="J669" s="22"/>
      <c r="K669" s="22"/>
    </row>
    <row r="670" spans="1:11" x14ac:dyDescent="0.25">
      <c r="A670" s="22" t="s">
        <v>1828</v>
      </c>
      <c r="B670" s="22" t="s">
        <v>201</v>
      </c>
      <c r="C670" s="22" t="s">
        <v>202</v>
      </c>
      <c r="D670" s="22" t="s">
        <v>1827</v>
      </c>
      <c r="E670" s="22" t="s">
        <v>57</v>
      </c>
      <c r="F670" s="23">
        <v>-151600</v>
      </c>
      <c r="G670" s="24">
        <v>44309</v>
      </c>
      <c r="H670" s="22" t="s">
        <v>1698</v>
      </c>
      <c r="I670" s="22" t="s">
        <v>1713</v>
      </c>
      <c r="J670" s="22"/>
      <c r="K670" s="22"/>
    </row>
    <row r="671" spans="1:11" x14ac:dyDescent="0.25">
      <c r="A671" s="22" t="s">
        <v>1830</v>
      </c>
      <c r="B671" s="22" t="s">
        <v>201</v>
      </c>
      <c r="C671" s="22" t="s">
        <v>202</v>
      </c>
      <c r="D671" s="22" t="s">
        <v>1829</v>
      </c>
      <c r="E671" s="22" t="s">
        <v>45</v>
      </c>
      <c r="F671" s="23">
        <v>-46534</v>
      </c>
      <c r="G671" s="24">
        <v>44292</v>
      </c>
      <c r="H671" s="22" t="s">
        <v>1698</v>
      </c>
      <c r="I671" s="22" t="s">
        <v>1831</v>
      </c>
      <c r="J671" s="22"/>
      <c r="K671" s="22"/>
    </row>
    <row r="672" spans="1:11" x14ac:dyDescent="0.25">
      <c r="A672" s="22" t="s">
        <v>1833</v>
      </c>
      <c r="B672" s="22" t="s">
        <v>201</v>
      </c>
      <c r="C672" s="22" t="s">
        <v>202</v>
      </c>
      <c r="D672" s="22" t="s">
        <v>1832</v>
      </c>
      <c r="E672" s="22" t="s">
        <v>57</v>
      </c>
      <c r="F672" s="23">
        <v>-29200</v>
      </c>
      <c r="G672" s="24">
        <v>44298</v>
      </c>
      <c r="H672" s="22" t="s">
        <v>1698</v>
      </c>
      <c r="I672" s="22" t="s">
        <v>1345</v>
      </c>
      <c r="J672" s="22"/>
      <c r="K672" s="22"/>
    </row>
    <row r="673" spans="1:11" x14ac:dyDescent="0.25">
      <c r="A673" s="22" t="s">
        <v>130</v>
      </c>
      <c r="B673" s="22" t="s">
        <v>201</v>
      </c>
      <c r="C673" s="22" t="s">
        <v>202</v>
      </c>
      <c r="D673" s="22" t="s">
        <v>1757</v>
      </c>
      <c r="E673" s="22" t="s">
        <v>45</v>
      </c>
      <c r="F673" s="23">
        <v>-1573136</v>
      </c>
      <c r="G673" s="24">
        <v>44314</v>
      </c>
      <c r="H673" s="22" t="s">
        <v>1698</v>
      </c>
      <c r="I673" s="22" t="s">
        <v>1834</v>
      </c>
      <c r="J673" s="22"/>
      <c r="K673" s="22"/>
    </row>
    <row r="674" spans="1:11" x14ac:dyDescent="0.25">
      <c r="A674" s="22" t="s">
        <v>1699</v>
      </c>
      <c r="B674" s="22" t="s">
        <v>201</v>
      </c>
      <c r="C674" s="22" t="s">
        <v>202</v>
      </c>
      <c r="D674" s="22" t="s">
        <v>1698</v>
      </c>
      <c r="E674" s="22" t="s">
        <v>45</v>
      </c>
      <c r="F674" s="23">
        <v>-2249170</v>
      </c>
      <c r="G674" s="24">
        <v>44301</v>
      </c>
      <c r="H674" s="22" t="s">
        <v>1698</v>
      </c>
      <c r="I674" s="22"/>
      <c r="J674" s="22"/>
      <c r="K674" s="22"/>
    </row>
    <row r="675" spans="1:11" x14ac:dyDescent="0.25">
      <c r="A675" s="22" t="s">
        <v>130</v>
      </c>
      <c r="B675" s="22" t="s">
        <v>201</v>
      </c>
      <c r="C675" s="22" t="s">
        <v>202</v>
      </c>
      <c r="D675" s="22" t="s">
        <v>132</v>
      </c>
      <c r="E675" s="22" t="s">
        <v>57</v>
      </c>
      <c r="F675" s="23">
        <v>-1986540</v>
      </c>
      <c r="G675" s="24">
        <v>44314</v>
      </c>
      <c r="H675" s="22" t="s">
        <v>1757</v>
      </c>
      <c r="I675" s="22" t="s">
        <v>1837</v>
      </c>
      <c r="J675" s="22"/>
      <c r="K675" s="22"/>
    </row>
    <row r="676" spans="1:11" x14ac:dyDescent="0.25">
      <c r="A676" s="22" t="s">
        <v>1839</v>
      </c>
      <c r="B676" s="22" t="s">
        <v>201</v>
      </c>
      <c r="C676" s="22" t="s">
        <v>202</v>
      </c>
      <c r="D676" s="22" t="s">
        <v>1838</v>
      </c>
      <c r="E676" s="22" t="s">
        <v>57</v>
      </c>
      <c r="F676" s="23">
        <v>-54657</v>
      </c>
      <c r="G676" s="24">
        <v>44307</v>
      </c>
      <c r="H676" s="22" t="s">
        <v>1757</v>
      </c>
      <c r="I676" s="22" t="s">
        <v>1840</v>
      </c>
      <c r="J676" s="22"/>
      <c r="K676" s="22"/>
    </row>
    <row r="677" spans="1:11" x14ac:dyDescent="0.25">
      <c r="A677" s="22" t="s">
        <v>1842</v>
      </c>
      <c r="B677" s="22" t="s">
        <v>201</v>
      </c>
      <c r="C677" s="22" t="s">
        <v>202</v>
      </c>
      <c r="D677" s="22" t="s">
        <v>1841</v>
      </c>
      <c r="E677" s="22" t="s">
        <v>45</v>
      </c>
      <c r="F677" s="23">
        <v>-107087</v>
      </c>
      <c r="G677" s="24">
        <v>44308</v>
      </c>
      <c r="H677" s="22" t="s">
        <v>1757</v>
      </c>
      <c r="I677" s="22" t="s">
        <v>1843</v>
      </c>
      <c r="J677" s="22"/>
      <c r="K677" s="22"/>
    </row>
    <row r="678" spans="1:11" x14ac:dyDescent="0.25">
      <c r="A678" s="22" t="s">
        <v>1845</v>
      </c>
      <c r="B678" s="22" t="s">
        <v>201</v>
      </c>
      <c r="C678" s="22" t="s">
        <v>202</v>
      </c>
      <c r="D678" s="22" t="s">
        <v>1844</v>
      </c>
      <c r="E678" s="22" t="s">
        <v>57</v>
      </c>
      <c r="F678" s="23">
        <v>-143100</v>
      </c>
      <c r="G678" s="24">
        <v>44320</v>
      </c>
      <c r="H678" s="22" t="s">
        <v>1846</v>
      </c>
      <c r="I678" s="22" t="s">
        <v>280</v>
      </c>
      <c r="J678" s="22"/>
      <c r="K678" s="22"/>
    </row>
    <row r="679" spans="1:11" x14ac:dyDescent="0.25">
      <c r="A679" s="22" t="s">
        <v>1848</v>
      </c>
      <c r="B679" s="22" t="s">
        <v>201</v>
      </c>
      <c r="C679" s="22" t="s">
        <v>202</v>
      </c>
      <c r="D679" s="22" t="s">
        <v>1847</v>
      </c>
      <c r="E679" s="22" t="s">
        <v>57</v>
      </c>
      <c r="F679" s="23">
        <v>-54511</v>
      </c>
      <c r="G679" s="24">
        <v>44347</v>
      </c>
      <c r="H679" s="22" t="s">
        <v>1846</v>
      </c>
      <c r="I679" s="22" t="s">
        <v>1849</v>
      </c>
      <c r="J679" s="22"/>
      <c r="K679" s="22"/>
    </row>
    <row r="680" spans="1:11" x14ac:dyDescent="0.25">
      <c r="A680" s="22" t="s">
        <v>1851</v>
      </c>
      <c r="B680" s="22" t="s">
        <v>201</v>
      </c>
      <c r="C680" s="22" t="s">
        <v>202</v>
      </c>
      <c r="D680" s="22" t="s">
        <v>1850</v>
      </c>
      <c r="E680" s="22" t="s">
        <v>57</v>
      </c>
      <c r="F680" s="23">
        <v>-260098</v>
      </c>
      <c r="G680" s="24">
        <v>44332</v>
      </c>
      <c r="H680" s="22" t="s">
        <v>1846</v>
      </c>
      <c r="I680" s="22" t="s">
        <v>764</v>
      </c>
      <c r="J680" s="22"/>
      <c r="K680" s="22"/>
    </row>
    <row r="681" spans="1:11" x14ac:dyDescent="0.25">
      <c r="A681" s="22" t="s">
        <v>1852</v>
      </c>
      <c r="B681" s="22" t="s">
        <v>201</v>
      </c>
      <c r="C681" s="22" t="s">
        <v>202</v>
      </c>
      <c r="D681" s="22" t="s">
        <v>1846</v>
      </c>
      <c r="E681" s="22" t="s">
        <v>45</v>
      </c>
      <c r="F681" s="23">
        <v>-879205</v>
      </c>
      <c r="G681" s="24">
        <v>44346</v>
      </c>
      <c r="H681" s="22" t="s">
        <v>1846</v>
      </c>
      <c r="I681" s="22"/>
      <c r="J681" s="22"/>
      <c r="K681" s="22"/>
    </row>
    <row r="682" spans="1:11" x14ac:dyDescent="0.25">
      <c r="A682" s="22" t="s">
        <v>1857</v>
      </c>
      <c r="B682" s="22" t="s">
        <v>201</v>
      </c>
      <c r="C682" s="22" t="s">
        <v>202</v>
      </c>
      <c r="D682" s="22" t="s">
        <v>1856</v>
      </c>
      <c r="E682" s="22" t="s">
        <v>57</v>
      </c>
      <c r="F682" s="23">
        <v>-1754912</v>
      </c>
      <c r="G682" s="24">
        <v>44323</v>
      </c>
      <c r="H682" s="22" t="s">
        <v>1855</v>
      </c>
      <c r="I682" s="22" t="s">
        <v>1805</v>
      </c>
      <c r="J682" s="22"/>
      <c r="K682" s="22"/>
    </row>
    <row r="683" spans="1:11" x14ac:dyDescent="0.25">
      <c r="A683" s="22" t="s">
        <v>1859</v>
      </c>
      <c r="B683" s="22" t="s">
        <v>201</v>
      </c>
      <c r="C683" s="22" t="s">
        <v>202</v>
      </c>
      <c r="D683" s="22" t="s">
        <v>1858</v>
      </c>
      <c r="E683" s="22" t="s">
        <v>45</v>
      </c>
      <c r="F683" s="23">
        <v>-45587</v>
      </c>
      <c r="G683" s="24">
        <v>44327</v>
      </c>
      <c r="H683" s="22" t="s">
        <v>1855</v>
      </c>
      <c r="I683" s="22" t="s">
        <v>1860</v>
      </c>
      <c r="J683" s="22"/>
      <c r="K683" s="22"/>
    </row>
    <row r="684" spans="1:11" x14ac:dyDescent="0.25">
      <c r="A684" s="22" t="s">
        <v>1862</v>
      </c>
      <c r="B684" s="22" t="s">
        <v>201</v>
      </c>
      <c r="C684" s="22" t="s">
        <v>202</v>
      </c>
      <c r="D684" s="22" t="s">
        <v>1861</v>
      </c>
      <c r="E684" s="22" t="s">
        <v>57</v>
      </c>
      <c r="F684" s="23">
        <v>-22600</v>
      </c>
      <c r="G684" s="24">
        <v>44347</v>
      </c>
      <c r="H684" s="22" t="s">
        <v>1855</v>
      </c>
      <c r="I684" s="22" t="s">
        <v>764</v>
      </c>
      <c r="J684" s="22"/>
      <c r="K684" s="22"/>
    </row>
    <row r="685" spans="1:11" x14ac:dyDescent="0.25">
      <c r="A685" s="22" t="s">
        <v>1864</v>
      </c>
      <c r="B685" s="22" t="s">
        <v>201</v>
      </c>
      <c r="C685" s="22" t="s">
        <v>202</v>
      </c>
      <c r="D685" s="22" t="s">
        <v>1863</v>
      </c>
      <c r="E685" s="22" t="s">
        <v>57</v>
      </c>
      <c r="F685" s="23">
        <v>-71600</v>
      </c>
      <c r="G685" s="24">
        <v>44344</v>
      </c>
      <c r="H685" s="22" t="s">
        <v>1855</v>
      </c>
      <c r="I685" s="22" t="s">
        <v>740</v>
      </c>
      <c r="J685" s="22"/>
      <c r="K685" s="22"/>
    </row>
    <row r="686" spans="1:11" x14ac:dyDescent="0.25">
      <c r="A686" s="22" t="s">
        <v>1866</v>
      </c>
      <c r="B686" s="22" t="s">
        <v>201</v>
      </c>
      <c r="C686" s="22" t="s">
        <v>202</v>
      </c>
      <c r="D686" s="22" t="s">
        <v>1865</v>
      </c>
      <c r="E686" s="22" t="s">
        <v>57</v>
      </c>
      <c r="F686" s="23">
        <v>-23700</v>
      </c>
      <c r="G686" s="24">
        <v>44341</v>
      </c>
      <c r="H686" s="22" t="s">
        <v>1855</v>
      </c>
      <c r="I686" s="22" t="s">
        <v>764</v>
      </c>
      <c r="J686" s="22"/>
      <c r="K686" s="22"/>
    </row>
    <row r="687" spans="1:11" x14ac:dyDescent="0.25">
      <c r="A687" s="22" t="s">
        <v>1868</v>
      </c>
      <c r="B687" s="22" t="s">
        <v>201</v>
      </c>
      <c r="C687" s="22" t="s">
        <v>202</v>
      </c>
      <c r="D687" s="22" t="s">
        <v>1867</v>
      </c>
      <c r="E687" s="22" t="s">
        <v>57</v>
      </c>
      <c r="F687" s="23">
        <v>-47200</v>
      </c>
      <c r="G687" s="24">
        <v>44335</v>
      </c>
      <c r="H687" s="22" t="s">
        <v>1855</v>
      </c>
      <c r="I687" s="22" t="s">
        <v>764</v>
      </c>
      <c r="J687" s="22"/>
      <c r="K687" s="22"/>
    </row>
    <row r="688" spans="1:11" x14ac:dyDescent="0.25">
      <c r="A688" s="22" t="s">
        <v>1870</v>
      </c>
      <c r="B688" s="22" t="s">
        <v>201</v>
      </c>
      <c r="C688" s="22" t="s">
        <v>202</v>
      </c>
      <c r="D688" s="22" t="s">
        <v>1869</v>
      </c>
      <c r="E688" s="22" t="s">
        <v>57</v>
      </c>
      <c r="F688" s="23">
        <v>-22300</v>
      </c>
      <c r="G688" s="24">
        <v>44335</v>
      </c>
      <c r="H688" s="22" t="s">
        <v>1855</v>
      </c>
      <c r="I688" s="22" t="s">
        <v>1871</v>
      </c>
      <c r="J688" s="22"/>
      <c r="K688" s="22"/>
    </row>
    <row r="689" spans="1:11" x14ac:dyDescent="0.25">
      <c r="A689" s="22" t="s">
        <v>1873</v>
      </c>
      <c r="B689" s="22" t="s">
        <v>201</v>
      </c>
      <c r="C689" s="22" t="s">
        <v>202</v>
      </c>
      <c r="D689" s="22" t="s">
        <v>1872</v>
      </c>
      <c r="E689" s="22" t="s">
        <v>57</v>
      </c>
      <c r="F689" s="23">
        <v>-32700</v>
      </c>
      <c r="G689" s="24">
        <v>44335</v>
      </c>
      <c r="H689" s="22" t="s">
        <v>1855</v>
      </c>
      <c r="I689" s="22" t="s">
        <v>1871</v>
      </c>
      <c r="J689" s="22"/>
      <c r="K689" s="22"/>
    </row>
    <row r="690" spans="1:11" x14ac:dyDescent="0.25">
      <c r="A690" s="22" t="s">
        <v>1875</v>
      </c>
      <c r="B690" s="22" t="s">
        <v>201</v>
      </c>
      <c r="C690" s="22" t="s">
        <v>202</v>
      </c>
      <c r="D690" s="22" t="s">
        <v>1874</v>
      </c>
      <c r="E690" s="22" t="s">
        <v>57</v>
      </c>
      <c r="F690" s="23">
        <v>-40300</v>
      </c>
      <c r="G690" s="24">
        <v>44334</v>
      </c>
      <c r="H690" s="22" t="s">
        <v>1855</v>
      </c>
      <c r="I690" s="22" t="s">
        <v>1876</v>
      </c>
      <c r="J690" s="22"/>
      <c r="K690" s="22"/>
    </row>
    <row r="691" spans="1:11" x14ac:dyDescent="0.25">
      <c r="A691" s="22" t="s">
        <v>1878</v>
      </c>
      <c r="B691" s="22" t="s">
        <v>201</v>
      </c>
      <c r="C691" s="22" t="s">
        <v>202</v>
      </c>
      <c r="D691" s="22" t="s">
        <v>1877</v>
      </c>
      <c r="E691" s="22" t="s">
        <v>57</v>
      </c>
      <c r="F691" s="23">
        <v>-32700</v>
      </c>
      <c r="G691" s="24">
        <v>44328</v>
      </c>
      <c r="H691" s="22" t="s">
        <v>1855</v>
      </c>
      <c r="I691" s="22" t="s">
        <v>989</v>
      </c>
      <c r="J691" s="22"/>
      <c r="K691" s="22"/>
    </row>
    <row r="692" spans="1:11" x14ac:dyDescent="0.25">
      <c r="A692" s="22" t="s">
        <v>1880</v>
      </c>
      <c r="B692" s="22" t="s">
        <v>201</v>
      </c>
      <c r="C692" s="22" t="s">
        <v>202</v>
      </c>
      <c r="D692" s="22" t="s">
        <v>1879</v>
      </c>
      <c r="E692" s="22" t="s">
        <v>57</v>
      </c>
      <c r="F692" s="23">
        <v>-71600</v>
      </c>
      <c r="G692" s="24">
        <v>44326</v>
      </c>
      <c r="H692" s="22" t="s">
        <v>1855</v>
      </c>
      <c r="I692" s="22" t="s">
        <v>764</v>
      </c>
      <c r="J692" s="22"/>
      <c r="K692" s="22"/>
    </row>
    <row r="693" spans="1:11" x14ac:dyDescent="0.25">
      <c r="A693" s="22" t="s">
        <v>1857</v>
      </c>
      <c r="B693" s="22" t="s">
        <v>201</v>
      </c>
      <c r="C693" s="22" t="s">
        <v>202</v>
      </c>
      <c r="D693" s="22" t="s">
        <v>1855</v>
      </c>
      <c r="E693" s="22" t="s">
        <v>45</v>
      </c>
      <c r="F693" s="23">
        <v>-1429634</v>
      </c>
      <c r="G693" s="24">
        <v>44323</v>
      </c>
      <c r="H693" s="22" t="s">
        <v>1855</v>
      </c>
      <c r="I693" s="22"/>
      <c r="J693" s="22"/>
      <c r="K693" s="22"/>
    </row>
    <row r="694" spans="1:11" x14ac:dyDescent="0.25">
      <c r="A694" s="22" t="s">
        <v>1882</v>
      </c>
      <c r="B694" s="22" t="s">
        <v>201</v>
      </c>
      <c r="C694" s="22" t="s">
        <v>202</v>
      </c>
      <c r="D694" s="22" t="s">
        <v>1881</v>
      </c>
      <c r="E694" s="22" t="s">
        <v>588</v>
      </c>
      <c r="F694" s="23">
        <v>-108220</v>
      </c>
      <c r="G694" s="24">
        <v>44273</v>
      </c>
      <c r="H694" s="22" t="s">
        <v>1858</v>
      </c>
      <c r="I694" s="22" t="s">
        <v>1883</v>
      </c>
      <c r="J694" s="22"/>
      <c r="K694" s="22"/>
    </row>
    <row r="695" spans="1:11" x14ac:dyDescent="0.25">
      <c r="A695" s="22" t="s">
        <v>1859</v>
      </c>
      <c r="B695" s="22" t="s">
        <v>201</v>
      </c>
      <c r="C695" s="22" t="s">
        <v>202</v>
      </c>
      <c r="D695" s="22" t="s">
        <v>1887</v>
      </c>
      <c r="E695" s="22" t="s">
        <v>57</v>
      </c>
      <c r="F695" s="23">
        <v>-47200</v>
      </c>
      <c r="G695" s="24">
        <v>44327</v>
      </c>
      <c r="H695" s="22" t="s">
        <v>1858</v>
      </c>
      <c r="I695" s="22" t="s">
        <v>919</v>
      </c>
      <c r="J695" s="22"/>
      <c r="K695" s="22"/>
    </row>
    <row r="696" spans="1:11" x14ac:dyDescent="0.25">
      <c r="A696" s="22" t="s">
        <v>1889</v>
      </c>
      <c r="B696" s="22" t="s">
        <v>201</v>
      </c>
      <c r="C696" s="22" t="s">
        <v>202</v>
      </c>
      <c r="D696" s="22" t="s">
        <v>1888</v>
      </c>
      <c r="E696" s="22" t="s">
        <v>57</v>
      </c>
      <c r="F696" s="23">
        <v>-32700</v>
      </c>
      <c r="G696" s="24">
        <v>44326</v>
      </c>
      <c r="H696" s="22" t="s">
        <v>1858</v>
      </c>
      <c r="I696" s="22" t="s">
        <v>919</v>
      </c>
      <c r="J696" s="22"/>
      <c r="K696" s="22"/>
    </row>
    <row r="697" spans="1:11" x14ac:dyDescent="0.25">
      <c r="A697" s="22" t="s">
        <v>1891</v>
      </c>
      <c r="B697" s="22" t="s">
        <v>201</v>
      </c>
      <c r="C697" s="22" t="s">
        <v>202</v>
      </c>
      <c r="D697" s="22" t="s">
        <v>1890</v>
      </c>
      <c r="E697" s="22" t="s">
        <v>57</v>
      </c>
      <c r="F697" s="23">
        <v>-53700</v>
      </c>
      <c r="G697" s="24">
        <v>44404</v>
      </c>
      <c r="H697" s="22" t="s">
        <v>1892</v>
      </c>
      <c r="I697" s="22" t="s">
        <v>280</v>
      </c>
      <c r="J697" s="22"/>
      <c r="K697" s="22"/>
    </row>
    <row r="698" spans="1:11" x14ac:dyDescent="0.25">
      <c r="A698" s="22" t="s">
        <v>1894</v>
      </c>
      <c r="B698" s="22" t="s">
        <v>201</v>
      </c>
      <c r="C698" s="22" t="s">
        <v>202</v>
      </c>
      <c r="D698" s="22" t="s">
        <v>1893</v>
      </c>
      <c r="E698" s="22" t="s">
        <v>57</v>
      </c>
      <c r="F698" s="23">
        <v>-101533</v>
      </c>
      <c r="G698" s="24">
        <v>44394</v>
      </c>
      <c r="H698" s="22" t="s">
        <v>1892</v>
      </c>
      <c r="I698" s="22" t="s">
        <v>1895</v>
      </c>
      <c r="J698" s="22"/>
      <c r="K698" s="22"/>
    </row>
    <row r="699" spans="1:11" x14ac:dyDescent="0.25">
      <c r="A699" s="22" t="s">
        <v>165</v>
      </c>
      <c r="B699" s="22" t="s">
        <v>201</v>
      </c>
      <c r="C699" s="22" t="s">
        <v>202</v>
      </c>
      <c r="D699" s="22" t="s">
        <v>1896</v>
      </c>
      <c r="E699" s="22" t="s">
        <v>45</v>
      </c>
      <c r="F699" s="23">
        <v>-644346</v>
      </c>
      <c r="G699" s="24">
        <v>44383</v>
      </c>
      <c r="H699" s="22" t="s">
        <v>1892</v>
      </c>
      <c r="I699" s="22" t="s">
        <v>1897</v>
      </c>
      <c r="J699" s="22"/>
      <c r="K699" s="22"/>
    </row>
    <row r="700" spans="1:11" x14ac:dyDescent="0.25">
      <c r="A700" s="22" t="s">
        <v>1894</v>
      </c>
      <c r="B700" s="22" t="s">
        <v>201</v>
      </c>
      <c r="C700" s="22" t="s">
        <v>202</v>
      </c>
      <c r="D700" s="22" t="s">
        <v>1892</v>
      </c>
      <c r="E700" s="22" t="s">
        <v>45</v>
      </c>
      <c r="F700" s="23">
        <v>-1217170</v>
      </c>
      <c r="G700" s="24">
        <v>44394</v>
      </c>
      <c r="H700" s="22" t="s">
        <v>1892</v>
      </c>
      <c r="I700" s="22"/>
      <c r="J700" s="22"/>
      <c r="K700" s="22"/>
    </row>
    <row r="701" spans="1:11" x14ac:dyDescent="0.25">
      <c r="A701" s="22" t="s">
        <v>1899</v>
      </c>
      <c r="B701" s="22" t="s">
        <v>201</v>
      </c>
      <c r="C701" s="22" t="s">
        <v>202</v>
      </c>
      <c r="D701" s="22" t="s">
        <v>1898</v>
      </c>
      <c r="E701" s="22" t="s">
        <v>588</v>
      </c>
      <c r="F701" s="23">
        <v>-111500</v>
      </c>
      <c r="G701" s="24">
        <v>44375</v>
      </c>
      <c r="H701" s="22" t="s">
        <v>1896</v>
      </c>
      <c r="I701" s="22" t="s">
        <v>1900</v>
      </c>
      <c r="J701" s="22"/>
      <c r="K701" s="22"/>
    </row>
    <row r="702" spans="1:11" x14ac:dyDescent="0.25">
      <c r="A702" s="22" t="s">
        <v>1902</v>
      </c>
      <c r="B702" s="22" t="s">
        <v>201</v>
      </c>
      <c r="C702" s="22" t="s">
        <v>202</v>
      </c>
      <c r="D702" s="22" t="s">
        <v>1901</v>
      </c>
      <c r="E702" s="22" t="s">
        <v>45</v>
      </c>
      <c r="F702" s="23">
        <v>-104334</v>
      </c>
      <c r="G702" s="24">
        <v>44273</v>
      </c>
      <c r="H702" s="22" t="s">
        <v>1896</v>
      </c>
      <c r="I702" s="22" t="s">
        <v>1903</v>
      </c>
      <c r="J702" s="22"/>
      <c r="K702" s="22"/>
    </row>
    <row r="703" spans="1:11" x14ac:dyDescent="0.25">
      <c r="A703" s="22" t="s">
        <v>1907</v>
      </c>
      <c r="B703" s="22" t="s">
        <v>201</v>
      </c>
      <c r="C703" s="22" t="s">
        <v>202</v>
      </c>
      <c r="D703" s="22" t="s">
        <v>1906</v>
      </c>
      <c r="E703" s="22" t="s">
        <v>45</v>
      </c>
      <c r="F703" s="23">
        <v>-347324</v>
      </c>
      <c r="G703" s="24">
        <v>43872</v>
      </c>
      <c r="H703" s="22" t="s">
        <v>1896</v>
      </c>
      <c r="I703" s="22" t="s">
        <v>1908</v>
      </c>
      <c r="J703" s="22"/>
      <c r="K703" s="22"/>
    </row>
    <row r="704" spans="1:11" x14ac:dyDescent="0.25">
      <c r="A704" s="22" t="s">
        <v>165</v>
      </c>
      <c r="B704" s="22" t="s">
        <v>201</v>
      </c>
      <c r="C704" s="22" t="s">
        <v>202</v>
      </c>
      <c r="D704" s="22" t="s">
        <v>167</v>
      </c>
      <c r="E704" s="22" t="s">
        <v>57</v>
      </c>
      <c r="F704" s="23">
        <v>-5117420</v>
      </c>
      <c r="G704" s="24">
        <v>44383</v>
      </c>
      <c r="H704" s="22" t="s">
        <v>1896</v>
      </c>
      <c r="I704" s="22" t="s">
        <v>1909</v>
      </c>
      <c r="J704" s="22"/>
      <c r="K704" s="22"/>
    </row>
    <row r="705" spans="1:11" x14ac:dyDescent="0.25">
      <c r="A705" s="22" t="s">
        <v>1911</v>
      </c>
      <c r="B705" s="22" t="s">
        <v>201</v>
      </c>
      <c r="C705" s="22" t="s">
        <v>202</v>
      </c>
      <c r="D705" s="22" t="s">
        <v>1910</v>
      </c>
      <c r="E705" s="22" t="s">
        <v>57</v>
      </c>
      <c r="F705" s="23">
        <v>-1302400</v>
      </c>
      <c r="G705" s="24">
        <v>44378</v>
      </c>
      <c r="H705" s="22" t="s">
        <v>1896</v>
      </c>
      <c r="I705" s="22" t="s">
        <v>1876</v>
      </c>
      <c r="J705" s="22"/>
      <c r="K705" s="22"/>
    </row>
    <row r="706" spans="1:11" x14ac:dyDescent="0.25">
      <c r="A706" s="22" t="s">
        <v>1913</v>
      </c>
      <c r="B706" s="22" t="s">
        <v>201</v>
      </c>
      <c r="C706" s="22" t="s">
        <v>202</v>
      </c>
      <c r="D706" s="22" t="s">
        <v>1912</v>
      </c>
      <c r="E706" s="22" t="s">
        <v>57</v>
      </c>
      <c r="F706" s="23">
        <v>-624500</v>
      </c>
      <c r="G706" s="24">
        <v>44364</v>
      </c>
      <c r="H706" s="22" t="s">
        <v>1896</v>
      </c>
      <c r="I706" s="22" t="s">
        <v>799</v>
      </c>
      <c r="J706" s="22"/>
      <c r="K706" s="22"/>
    </row>
    <row r="707" spans="1:11" x14ac:dyDescent="0.25">
      <c r="A707" s="22" t="s">
        <v>1915</v>
      </c>
      <c r="B707" s="22" t="s">
        <v>201</v>
      </c>
      <c r="C707" s="22" t="s">
        <v>202</v>
      </c>
      <c r="D707" s="22" t="s">
        <v>1914</v>
      </c>
      <c r="E707" s="22" t="s">
        <v>57</v>
      </c>
      <c r="F707" s="23">
        <v>-70404</v>
      </c>
      <c r="G707" s="24">
        <v>44374</v>
      </c>
      <c r="H707" s="22" t="s">
        <v>1896</v>
      </c>
      <c r="I707" s="22" t="s">
        <v>1916</v>
      </c>
      <c r="J707" s="22"/>
      <c r="K707" s="22"/>
    </row>
    <row r="708" spans="1:11" x14ac:dyDescent="0.25">
      <c r="A708" s="22" t="s">
        <v>1852</v>
      </c>
      <c r="B708" s="22" t="s">
        <v>201</v>
      </c>
      <c r="C708" s="22" t="s">
        <v>202</v>
      </c>
      <c r="D708" s="22" t="s">
        <v>1846</v>
      </c>
      <c r="E708" s="22" t="s">
        <v>45</v>
      </c>
      <c r="F708" s="23">
        <v>-50104</v>
      </c>
      <c r="G708" s="24">
        <v>44346</v>
      </c>
      <c r="H708" s="22" t="s">
        <v>1896</v>
      </c>
      <c r="I708" s="22" t="s">
        <v>1917</v>
      </c>
      <c r="J708" s="22"/>
      <c r="K708" s="22"/>
    </row>
    <row r="709" spans="1:11" x14ac:dyDescent="0.25">
      <c r="A709" s="22" t="s">
        <v>146</v>
      </c>
      <c r="B709" s="22" t="s">
        <v>201</v>
      </c>
      <c r="C709" s="22" t="s">
        <v>202</v>
      </c>
      <c r="D709" s="22" t="s">
        <v>148</v>
      </c>
      <c r="E709" s="22" t="s">
        <v>57</v>
      </c>
      <c r="F709" s="23">
        <v>-3304310</v>
      </c>
      <c r="G709" s="24">
        <v>44326</v>
      </c>
      <c r="H709" s="22" t="s">
        <v>1896</v>
      </c>
      <c r="I709" s="22" t="s">
        <v>1918</v>
      </c>
      <c r="J709" s="22"/>
      <c r="K709" s="22"/>
    </row>
    <row r="710" spans="1:11" x14ac:dyDescent="0.25">
      <c r="A710" s="22" t="s">
        <v>1857</v>
      </c>
      <c r="B710" s="22" t="s">
        <v>201</v>
      </c>
      <c r="C710" s="22" t="s">
        <v>202</v>
      </c>
      <c r="D710" s="22" t="s">
        <v>1855</v>
      </c>
      <c r="E710" s="22" t="s">
        <v>45</v>
      </c>
      <c r="F710" s="23">
        <v>-735565</v>
      </c>
      <c r="G710" s="24">
        <v>44323</v>
      </c>
      <c r="H710" s="22" t="s">
        <v>1896</v>
      </c>
      <c r="I710" s="22" t="s">
        <v>1919</v>
      </c>
      <c r="J710" s="22"/>
      <c r="K710" s="22"/>
    </row>
    <row r="711" spans="1:11" x14ac:dyDescent="0.25">
      <c r="A711" s="22" t="s">
        <v>165</v>
      </c>
      <c r="B711" s="22" t="s">
        <v>201</v>
      </c>
      <c r="C711" s="22" t="s">
        <v>202</v>
      </c>
      <c r="D711" s="22" t="s">
        <v>1896</v>
      </c>
      <c r="E711" s="22" t="s">
        <v>45</v>
      </c>
      <c r="F711" s="23">
        <v>-10907681</v>
      </c>
      <c r="G711" s="24">
        <v>44383</v>
      </c>
      <c r="H711" s="22" t="s">
        <v>1896</v>
      </c>
      <c r="I711" s="22"/>
      <c r="J711" s="22"/>
      <c r="K711" s="22"/>
    </row>
    <row r="712" spans="1:11" x14ac:dyDescent="0.25">
      <c r="A712" s="22" t="s">
        <v>1852</v>
      </c>
      <c r="B712" s="22" t="s">
        <v>201</v>
      </c>
      <c r="C712" s="22" t="s">
        <v>202</v>
      </c>
      <c r="D712" s="22" t="s">
        <v>1922</v>
      </c>
      <c r="E712" s="22" t="s">
        <v>57</v>
      </c>
      <c r="F712" s="23">
        <v>-391100</v>
      </c>
      <c r="G712" s="24">
        <v>44346</v>
      </c>
      <c r="H712" s="22" t="s">
        <v>1846</v>
      </c>
      <c r="I712" s="22" t="s">
        <v>836</v>
      </c>
      <c r="J712" s="22"/>
      <c r="K712" s="22"/>
    </row>
    <row r="713" spans="1:11" x14ac:dyDescent="0.25">
      <c r="A713" s="22" t="s">
        <v>1924</v>
      </c>
      <c r="B713" s="22" t="s">
        <v>201</v>
      </c>
      <c r="C713" s="22" t="s">
        <v>202</v>
      </c>
      <c r="D713" s="22" t="s">
        <v>1923</v>
      </c>
      <c r="E713" s="22" t="s">
        <v>57</v>
      </c>
      <c r="F713" s="23">
        <v>-43700</v>
      </c>
      <c r="G713" s="24">
        <v>44321</v>
      </c>
      <c r="H713" s="22" t="s">
        <v>1846</v>
      </c>
      <c r="I713" s="22" t="s">
        <v>280</v>
      </c>
      <c r="J713" s="22"/>
      <c r="K713" s="22"/>
    </row>
    <row r="714" spans="1:11" x14ac:dyDescent="0.25">
      <c r="A714" s="22" t="s">
        <v>1926</v>
      </c>
      <c r="B714" s="22" t="s">
        <v>201</v>
      </c>
      <c r="C714" s="22" t="s">
        <v>202</v>
      </c>
      <c r="D714" s="22" t="s">
        <v>1925</v>
      </c>
      <c r="E714" s="22" t="s">
        <v>57</v>
      </c>
      <c r="F714" s="23">
        <v>-36800</v>
      </c>
      <c r="G714" s="24">
        <v>44320</v>
      </c>
      <c r="H714" s="22" t="s">
        <v>1846</v>
      </c>
      <c r="I714" s="22" t="s">
        <v>836</v>
      </c>
      <c r="J714" s="22"/>
      <c r="K714" s="22"/>
    </row>
    <row r="715" spans="1:11" x14ac:dyDescent="0.25">
      <c r="A715" s="22" t="s">
        <v>1928</v>
      </c>
      <c r="B715" s="22" t="s">
        <v>201</v>
      </c>
      <c r="C715" s="22" t="s">
        <v>202</v>
      </c>
      <c r="D715" s="22" t="s">
        <v>1927</v>
      </c>
      <c r="E715" s="22" t="s">
        <v>57</v>
      </c>
      <c r="F715" s="23">
        <v>-32700</v>
      </c>
      <c r="G715" s="24">
        <v>44322</v>
      </c>
      <c r="H715" s="22" t="s">
        <v>1858</v>
      </c>
      <c r="I715" s="22" t="s">
        <v>740</v>
      </c>
      <c r="J715" s="22"/>
      <c r="K715" s="22"/>
    </row>
    <row r="716" spans="1:11" x14ac:dyDescent="0.25">
      <c r="A716" s="22" t="s">
        <v>1715</v>
      </c>
      <c r="B716" s="22" t="s">
        <v>201</v>
      </c>
      <c r="C716" s="22" t="s">
        <v>202</v>
      </c>
      <c r="D716" s="22" t="s">
        <v>1933</v>
      </c>
      <c r="E716" s="22" t="s">
        <v>45</v>
      </c>
      <c r="F716" s="23">
        <v>-232334</v>
      </c>
      <c r="G716" s="24">
        <v>44379</v>
      </c>
      <c r="H716" s="22" t="s">
        <v>1932</v>
      </c>
      <c r="I716" s="22" t="s">
        <v>1934</v>
      </c>
      <c r="J716" s="22"/>
      <c r="K716" s="22"/>
    </row>
    <row r="717" spans="1:11" x14ac:dyDescent="0.25">
      <c r="A717" s="22" t="s">
        <v>157</v>
      </c>
      <c r="B717" s="22" t="s">
        <v>201</v>
      </c>
      <c r="C717" s="22" t="s">
        <v>202</v>
      </c>
      <c r="D717" s="22" t="s">
        <v>1935</v>
      </c>
      <c r="E717" s="22" t="s">
        <v>45</v>
      </c>
      <c r="F717" s="23">
        <v>-704914</v>
      </c>
      <c r="G717" s="24">
        <v>44382</v>
      </c>
      <c r="H717" s="22" t="s">
        <v>1932</v>
      </c>
      <c r="I717" s="22" t="s">
        <v>1936</v>
      </c>
      <c r="J717" s="22"/>
      <c r="K717" s="22"/>
    </row>
    <row r="718" spans="1:11" x14ac:dyDescent="0.25">
      <c r="A718" s="22" t="s">
        <v>1715</v>
      </c>
      <c r="B718" s="22" t="s">
        <v>201</v>
      </c>
      <c r="C718" s="22" t="s">
        <v>202</v>
      </c>
      <c r="D718" s="22" t="s">
        <v>1716</v>
      </c>
      <c r="E718" s="22" t="s">
        <v>45</v>
      </c>
      <c r="F718" s="23">
        <v>-4401270</v>
      </c>
      <c r="G718" s="24">
        <v>44379</v>
      </c>
      <c r="H718" s="22" t="s">
        <v>1933</v>
      </c>
      <c r="I718" s="22" t="s">
        <v>1939</v>
      </c>
      <c r="J718" s="22"/>
      <c r="K718" s="22"/>
    </row>
    <row r="719" spans="1:11" x14ac:dyDescent="0.25">
      <c r="A719" s="22" t="s">
        <v>157</v>
      </c>
      <c r="B719" s="22" t="s">
        <v>201</v>
      </c>
      <c r="C719" s="22" t="s">
        <v>202</v>
      </c>
      <c r="D719" s="22" t="s">
        <v>1724</v>
      </c>
      <c r="E719" s="22" t="s">
        <v>45</v>
      </c>
      <c r="F719" s="23">
        <v>-1255964</v>
      </c>
      <c r="G719" s="24">
        <v>44382</v>
      </c>
      <c r="H719" s="22" t="s">
        <v>1935</v>
      </c>
      <c r="I719" s="22" t="s">
        <v>1942</v>
      </c>
      <c r="J719" s="22"/>
      <c r="K719" s="22"/>
    </row>
    <row r="720" spans="1:11" x14ac:dyDescent="0.25">
      <c r="A720" s="22" t="s">
        <v>138</v>
      </c>
      <c r="B720" s="22" t="s">
        <v>201</v>
      </c>
      <c r="C720" s="22" t="s">
        <v>202</v>
      </c>
      <c r="D720" s="22" t="s">
        <v>140</v>
      </c>
      <c r="E720" s="22" t="s">
        <v>57</v>
      </c>
      <c r="F720" s="23">
        <v>-742200</v>
      </c>
      <c r="G720" s="24">
        <v>44344</v>
      </c>
      <c r="H720" s="22" t="s">
        <v>1945</v>
      </c>
      <c r="I720" s="22" t="s">
        <v>637</v>
      </c>
      <c r="J720" s="22"/>
      <c r="K720" s="22"/>
    </row>
    <row r="721" spans="1:11" x14ac:dyDescent="0.25">
      <c r="A721" s="22" t="s">
        <v>1947</v>
      </c>
      <c r="B721" s="22" t="s">
        <v>201</v>
      </c>
      <c r="C721" s="22" t="s">
        <v>202</v>
      </c>
      <c r="D721" s="22" t="s">
        <v>1946</v>
      </c>
      <c r="E721" s="22" t="s">
        <v>57</v>
      </c>
      <c r="F721" s="23">
        <v>-10100</v>
      </c>
      <c r="G721" s="24">
        <v>44344</v>
      </c>
      <c r="H721" s="22" t="s">
        <v>1945</v>
      </c>
      <c r="I721" s="22" t="s">
        <v>637</v>
      </c>
      <c r="J721" s="22"/>
      <c r="K721" s="22"/>
    </row>
    <row r="722" spans="1:11" x14ac:dyDescent="0.25">
      <c r="A722" s="22" t="s">
        <v>1949</v>
      </c>
      <c r="B722" s="22" t="s">
        <v>201</v>
      </c>
      <c r="C722" s="22" t="s">
        <v>202</v>
      </c>
      <c r="D722" s="22" t="s">
        <v>1948</v>
      </c>
      <c r="E722" s="22" t="s">
        <v>57</v>
      </c>
      <c r="F722" s="23">
        <v>-115000</v>
      </c>
      <c r="G722" s="24">
        <v>44343</v>
      </c>
      <c r="H722" s="22" t="s">
        <v>1945</v>
      </c>
      <c r="I722" s="22" t="s">
        <v>890</v>
      </c>
      <c r="J722" s="22"/>
      <c r="K722" s="22"/>
    </row>
    <row r="723" spans="1:11" x14ac:dyDescent="0.25">
      <c r="A723" s="22" t="s">
        <v>1951</v>
      </c>
      <c r="B723" s="22" t="s">
        <v>201</v>
      </c>
      <c r="C723" s="22" t="s">
        <v>202</v>
      </c>
      <c r="D723" s="22" t="s">
        <v>1950</v>
      </c>
      <c r="E723" s="22" t="s">
        <v>57</v>
      </c>
      <c r="F723" s="23">
        <v>-146600</v>
      </c>
      <c r="G723" s="24">
        <v>44343</v>
      </c>
      <c r="H723" s="22" t="s">
        <v>1945</v>
      </c>
      <c r="I723" s="22" t="s">
        <v>637</v>
      </c>
      <c r="J723" s="22"/>
      <c r="K723" s="22"/>
    </row>
    <row r="724" spans="1:11" x14ac:dyDescent="0.25">
      <c r="A724" s="22" t="s">
        <v>1951</v>
      </c>
      <c r="B724" s="22" t="s">
        <v>201</v>
      </c>
      <c r="C724" s="22" t="s">
        <v>202</v>
      </c>
      <c r="D724" s="22" t="s">
        <v>1945</v>
      </c>
      <c r="E724" s="22" t="s">
        <v>45</v>
      </c>
      <c r="F724" s="23">
        <v>-1000916</v>
      </c>
      <c r="G724" s="24">
        <v>44343</v>
      </c>
      <c r="H724" s="22" t="s">
        <v>1945</v>
      </c>
      <c r="I724" s="22"/>
      <c r="J724" s="22"/>
      <c r="K724" s="22"/>
    </row>
    <row r="725" spans="1:11" x14ac:dyDescent="0.25">
      <c r="A725" s="22" t="s">
        <v>1956</v>
      </c>
      <c r="B725" s="22" t="s">
        <v>201</v>
      </c>
      <c r="C725" s="22" t="s">
        <v>202</v>
      </c>
      <c r="D725" s="22" t="s">
        <v>1955</v>
      </c>
      <c r="E725" s="22" t="s">
        <v>57</v>
      </c>
      <c r="F725" s="23">
        <v>-6137707</v>
      </c>
      <c r="G725" s="24">
        <v>44382</v>
      </c>
      <c r="H725" s="22" t="s">
        <v>1954</v>
      </c>
      <c r="I725" s="22" t="s">
        <v>1957</v>
      </c>
      <c r="J725" s="22"/>
      <c r="K725" s="22"/>
    </row>
    <row r="726" spans="1:11" x14ac:dyDescent="0.25">
      <c r="A726" s="22" t="s">
        <v>1859</v>
      </c>
      <c r="B726" s="22" t="s">
        <v>201</v>
      </c>
      <c r="C726" s="22" t="s">
        <v>202</v>
      </c>
      <c r="D726" s="22" t="s">
        <v>1858</v>
      </c>
      <c r="E726" s="22" t="s">
        <v>45</v>
      </c>
      <c r="F726" s="23">
        <v>-67013</v>
      </c>
      <c r="G726" s="24">
        <v>44327</v>
      </c>
      <c r="H726" s="22" t="s">
        <v>1858</v>
      </c>
      <c r="I726" s="22"/>
      <c r="J726" s="22"/>
      <c r="K726" s="22"/>
    </row>
    <row r="727" spans="1:11" x14ac:dyDescent="0.25">
      <c r="A727" s="22" t="s">
        <v>1902</v>
      </c>
      <c r="B727" s="22" t="s">
        <v>201</v>
      </c>
      <c r="C727" s="22" t="s">
        <v>202</v>
      </c>
      <c r="D727" s="22" t="s">
        <v>1960</v>
      </c>
      <c r="E727" s="22" t="s">
        <v>588</v>
      </c>
      <c r="F727" s="23">
        <v>-261800</v>
      </c>
      <c r="G727" s="24">
        <v>44273</v>
      </c>
      <c r="H727" s="22" t="s">
        <v>1901</v>
      </c>
      <c r="I727" s="22" t="s">
        <v>1961</v>
      </c>
      <c r="J727" s="22"/>
      <c r="K727" s="22"/>
    </row>
    <row r="728" spans="1:11" x14ac:dyDescent="0.25">
      <c r="A728" s="22" t="s">
        <v>1907</v>
      </c>
      <c r="B728" s="22" t="s">
        <v>201</v>
      </c>
      <c r="C728" s="22" t="s">
        <v>202</v>
      </c>
      <c r="D728" s="22" t="s">
        <v>1966</v>
      </c>
      <c r="E728" s="22" t="s">
        <v>57</v>
      </c>
      <c r="F728" s="23">
        <v>-2429236</v>
      </c>
      <c r="G728" s="24">
        <v>43872</v>
      </c>
      <c r="H728" s="22" t="s">
        <v>1906</v>
      </c>
      <c r="I728" s="22" t="s">
        <v>1967</v>
      </c>
      <c r="J728" s="22"/>
      <c r="K728" s="22"/>
    </row>
    <row r="729" spans="1:11" x14ac:dyDescent="0.25">
      <c r="A729" s="22" t="s">
        <v>1907</v>
      </c>
      <c r="B729" s="22" t="s">
        <v>201</v>
      </c>
      <c r="C729" s="22" t="s">
        <v>202</v>
      </c>
      <c r="D729" s="22" t="s">
        <v>1906</v>
      </c>
      <c r="E729" s="22" t="s">
        <v>45</v>
      </c>
      <c r="F729" s="23">
        <v>-2081912</v>
      </c>
      <c r="G729" s="24">
        <v>43872</v>
      </c>
      <c r="H729" s="22" t="s">
        <v>1906</v>
      </c>
      <c r="I729" s="22"/>
      <c r="J729" s="22"/>
      <c r="K729" s="22"/>
    </row>
    <row r="730" spans="1:11" x14ac:dyDescent="0.25">
      <c r="A730" s="22" t="s">
        <v>177</v>
      </c>
      <c r="B730" s="22" t="s">
        <v>201</v>
      </c>
      <c r="C730" s="22" t="s">
        <v>202</v>
      </c>
      <c r="D730" s="22" t="s">
        <v>179</v>
      </c>
      <c r="E730" s="22" t="s">
        <v>57</v>
      </c>
      <c r="F730" s="23">
        <v>-289956</v>
      </c>
      <c r="G730" s="24">
        <v>44413</v>
      </c>
      <c r="H730" s="22" t="s">
        <v>1970</v>
      </c>
      <c r="I730" s="22" t="s">
        <v>1971</v>
      </c>
      <c r="J730" s="22"/>
      <c r="K730" s="22"/>
    </row>
    <row r="731" spans="1:11" x14ac:dyDescent="0.25">
      <c r="A731" s="22" t="s">
        <v>1973</v>
      </c>
      <c r="B731" s="22" t="s">
        <v>201</v>
      </c>
      <c r="C731" s="22" t="s">
        <v>202</v>
      </c>
      <c r="D731" s="22" t="s">
        <v>1972</v>
      </c>
      <c r="E731" s="22" t="s">
        <v>57</v>
      </c>
      <c r="F731" s="23">
        <v>-445275</v>
      </c>
      <c r="G731" s="24">
        <v>44410</v>
      </c>
      <c r="H731" s="22" t="s">
        <v>1970</v>
      </c>
      <c r="I731" s="22" t="s">
        <v>1974</v>
      </c>
      <c r="J731" s="22"/>
      <c r="K731" s="22"/>
    </row>
    <row r="732" spans="1:11" x14ac:dyDescent="0.25">
      <c r="A732" s="22" t="s">
        <v>1969</v>
      </c>
      <c r="B732" s="22" t="s">
        <v>201</v>
      </c>
      <c r="C732" s="22" t="s">
        <v>202</v>
      </c>
      <c r="D732" s="22" t="s">
        <v>1970</v>
      </c>
      <c r="E732" s="22" t="s">
        <v>45</v>
      </c>
      <c r="F732" s="23">
        <v>-784898</v>
      </c>
      <c r="G732" s="24">
        <v>44446</v>
      </c>
      <c r="H732" s="22" t="s">
        <v>1970</v>
      </c>
      <c r="I732" s="22"/>
      <c r="J732" s="22"/>
      <c r="K732" s="22"/>
    </row>
    <row r="733" spans="1:11" x14ac:dyDescent="0.25">
      <c r="A733" s="22" t="s">
        <v>169</v>
      </c>
      <c r="B733" s="22" t="s">
        <v>201</v>
      </c>
      <c r="C733" s="22" t="s">
        <v>202</v>
      </c>
      <c r="D733" s="22" t="s">
        <v>171</v>
      </c>
      <c r="E733" s="22" t="s">
        <v>57</v>
      </c>
      <c r="F733" s="23">
        <v>-4677792</v>
      </c>
      <c r="G733" s="24">
        <v>44382</v>
      </c>
      <c r="H733" s="22" t="s">
        <v>1929</v>
      </c>
      <c r="I733" s="22" t="s">
        <v>1977</v>
      </c>
      <c r="J733" s="22"/>
      <c r="K733" s="22"/>
    </row>
    <row r="734" spans="1:11" x14ac:dyDescent="0.25">
      <c r="A734" s="22" t="s">
        <v>1956</v>
      </c>
      <c r="B734" s="22" t="s">
        <v>201</v>
      </c>
      <c r="C734" s="22" t="s">
        <v>202</v>
      </c>
      <c r="D734" s="22" t="s">
        <v>1954</v>
      </c>
      <c r="E734" s="22" t="s">
        <v>45</v>
      </c>
      <c r="F734" s="23">
        <v>-3068853</v>
      </c>
      <c r="G734" s="24">
        <v>44382</v>
      </c>
      <c r="H734" s="22" t="s">
        <v>1929</v>
      </c>
      <c r="I734" s="22" t="s">
        <v>1978</v>
      </c>
      <c r="J734" s="22"/>
      <c r="K734" s="22"/>
    </row>
    <row r="735" spans="1:11" x14ac:dyDescent="0.25">
      <c r="A735" s="22" t="s">
        <v>1980</v>
      </c>
      <c r="B735" s="22" t="s">
        <v>201</v>
      </c>
      <c r="C735" s="22" t="s">
        <v>202</v>
      </c>
      <c r="D735" s="22" t="s">
        <v>1979</v>
      </c>
      <c r="E735" s="22" t="s">
        <v>57</v>
      </c>
      <c r="F735" s="23">
        <v>-29200</v>
      </c>
      <c r="G735" s="24">
        <v>44355</v>
      </c>
      <c r="H735" s="22" t="s">
        <v>1929</v>
      </c>
      <c r="I735" s="22" t="s">
        <v>1981</v>
      </c>
      <c r="J735" s="22"/>
      <c r="K735" s="22"/>
    </row>
    <row r="736" spans="1:11" x14ac:dyDescent="0.25">
      <c r="A736" s="22" t="s">
        <v>1673</v>
      </c>
      <c r="B736" s="22" t="s">
        <v>201</v>
      </c>
      <c r="C736" s="22" t="s">
        <v>202</v>
      </c>
      <c r="D736" s="22" t="s">
        <v>1672</v>
      </c>
      <c r="E736" s="22" t="s">
        <v>45</v>
      </c>
      <c r="F736" s="23">
        <v>-4676</v>
      </c>
      <c r="G736" s="24">
        <v>44350</v>
      </c>
      <c r="H736" s="22" t="s">
        <v>1929</v>
      </c>
      <c r="I736" s="22" t="s">
        <v>1982</v>
      </c>
      <c r="J736" s="22"/>
      <c r="K736" s="22"/>
    </row>
    <row r="737" spans="1:11" x14ac:dyDescent="0.25">
      <c r="A737" s="22" t="s">
        <v>1951</v>
      </c>
      <c r="B737" s="22" t="s">
        <v>201</v>
      </c>
      <c r="C737" s="22" t="s">
        <v>202</v>
      </c>
      <c r="D737" s="22" t="s">
        <v>1945</v>
      </c>
      <c r="E737" s="22" t="s">
        <v>45</v>
      </c>
      <c r="F737" s="23">
        <v>-12984</v>
      </c>
      <c r="G737" s="24">
        <v>44343</v>
      </c>
      <c r="H737" s="22" t="s">
        <v>1929</v>
      </c>
      <c r="I737" s="22" t="s">
        <v>1983</v>
      </c>
      <c r="J737" s="22"/>
      <c r="K737" s="22"/>
    </row>
    <row r="738" spans="1:11" x14ac:dyDescent="0.25">
      <c r="A738" s="22" t="s">
        <v>1730</v>
      </c>
      <c r="B738" s="22" t="s">
        <v>201</v>
      </c>
      <c r="C738" s="22" t="s">
        <v>202</v>
      </c>
      <c r="D738" s="22" t="s">
        <v>1728</v>
      </c>
      <c r="E738" s="22" t="s">
        <v>45</v>
      </c>
      <c r="F738" s="23">
        <v>-1125</v>
      </c>
      <c r="G738" s="24">
        <v>44334</v>
      </c>
      <c r="H738" s="22" t="s">
        <v>1929</v>
      </c>
      <c r="I738" s="22" t="s">
        <v>1984</v>
      </c>
      <c r="J738" s="22"/>
      <c r="K738" s="22"/>
    </row>
    <row r="739" spans="1:11" x14ac:dyDescent="0.25">
      <c r="A739" s="22" t="s">
        <v>1986</v>
      </c>
      <c r="B739" s="22" t="s">
        <v>201</v>
      </c>
      <c r="C739" s="22" t="s">
        <v>202</v>
      </c>
      <c r="D739" s="22" t="s">
        <v>1985</v>
      </c>
      <c r="E739" s="22" t="s">
        <v>57</v>
      </c>
      <c r="F739" s="23">
        <v>-32700</v>
      </c>
      <c r="G739" s="24">
        <v>44337</v>
      </c>
      <c r="H739" s="22" t="s">
        <v>1929</v>
      </c>
      <c r="I739" s="22" t="s">
        <v>637</v>
      </c>
      <c r="J739" s="22"/>
      <c r="K739" s="22"/>
    </row>
    <row r="740" spans="1:11" x14ac:dyDescent="0.25">
      <c r="A740" s="22" t="s">
        <v>1743</v>
      </c>
      <c r="B740" s="22" t="s">
        <v>201</v>
      </c>
      <c r="C740" s="22" t="s">
        <v>202</v>
      </c>
      <c r="D740" s="22" t="s">
        <v>1740</v>
      </c>
      <c r="E740" s="22" t="s">
        <v>45</v>
      </c>
      <c r="F740" s="23">
        <v>-5411</v>
      </c>
      <c r="G740" s="24">
        <v>44258</v>
      </c>
      <c r="H740" s="22" t="s">
        <v>1929</v>
      </c>
      <c r="I740" s="22" t="s">
        <v>1984</v>
      </c>
      <c r="J740" s="22"/>
      <c r="K740" s="22"/>
    </row>
    <row r="741" spans="1:11" x14ac:dyDescent="0.25">
      <c r="A741" s="22" t="s">
        <v>1990</v>
      </c>
      <c r="B741" s="22" t="s">
        <v>201</v>
      </c>
      <c r="C741" s="22" t="s">
        <v>202</v>
      </c>
      <c r="D741" s="22" t="s">
        <v>1991</v>
      </c>
      <c r="E741" s="22" t="s">
        <v>57</v>
      </c>
      <c r="F741" s="23">
        <v>-53700</v>
      </c>
      <c r="G741" s="24">
        <v>44207</v>
      </c>
      <c r="H741" s="22" t="s">
        <v>1989</v>
      </c>
      <c r="I741" s="22" t="s">
        <v>1992</v>
      </c>
      <c r="J741" s="22"/>
      <c r="K741" s="22"/>
    </row>
    <row r="742" spans="1:11" x14ac:dyDescent="0.25">
      <c r="A742" s="22" t="s">
        <v>1997</v>
      </c>
      <c r="B742" s="22" t="s">
        <v>201</v>
      </c>
      <c r="C742" s="22" t="s">
        <v>202</v>
      </c>
      <c r="D742" s="22" t="s">
        <v>1996</v>
      </c>
      <c r="E742" s="22" t="s">
        <v>57</v>
      </c>
      <c r="F742" s="23">
        <v>-54724</v>
      </c>
      <c r="G742" s="24">
        <v>44222</v>
      </c>
      <c r="H742" s="22" t="s">
        <v>1995</v>
      </c>
      <c r="I742" s="22" t="s">
        <v>1998</v>
      </c>
      <c r="J742" s="22"/>
      <c r="K742" s="22"/>
    </row>
    <row r="743" spans="1:11" x14ac:dyDescent="0.25">
      <c r="A743" s="22" t="s">
        <v>2003</v>
      </c>
      <c r="B743" s="22" t="s">
        <v>201</v>
      </c>
      <c r="C743" s="22" t="s">
        <v>202</v>
      </c>
      <c r="D743" s="22" t="s">
        <v>2002</v>
      </c>
      <c r="E743" s="22" t="s">
        <v>57</v>
      </c>
      <c r="F743" s="23">
        <v>-203014</v>
      </c>
      <c r="G743" s="24">
        <v>44209</v>
      </c>
      <c r="H743" s="22" t="s">
        <v>2001</v>
      </c>
      <c r="I743" s="22" t="s">
        <v>2004</v>
      </c>
      <c r="J743" s="22"/>
      <c r="K743" s="22"/>
    </row>
    <row r="744" spans="1:11" x14ac:dyDescent="0.25">
      <c r="A744" s="22" t="s">
        <v>719</v>
      </c>
      <c r="B744" s="22" t="s">
        <v>201</v>
      </c>
      <c r="C744" s="22" t="s">
        <v>202</v>
      </c>
      <c r="D744" s="22" t="s">
        <v>2008</v>
      </c>
      <c r="E744" s="22" t="s">
        <v>45</v>
      </c>
      <c r="F744" s="23">
        <v>-4070543</v>
      </c>
      <c r="G744" s="24">
        <v>44215</v>
      </c>
      <c r="H744" s="22" t="s">
        <v>2007</v>
      </c>
      <c r="I744" s="22" t="s">
        <v>2009</v>
      </c>
      <c r="J744" s="22"/>
      <c r="K744" s="22"/>
    </row>
    <row r="745" spans="1:11" x14ac:dyDescent="0.25">
      <c r="A745" s="22" t="s">
        <v>2011</v>
      </c>
      <c r="B745" s="22" t="s">
        <v>201</v>
      </c>
      <c r="C745" s="22" t="s">
        <v>202</v>
      </c>
      <c r="D745" s="22" t="s">
        <v>2010</v>
      </c>
      <c r="E745" s="22" t="s">
        <v>57</v>
      </c>
      <c r="F745" s="23">
        <v>-3074013</v>
      </c>
      <c r="G745" s="24">
        <v>44227</v>
      </c>
      <c r="H745" s="22" t="s">
        <v>2007</v>
      </c>
      <c r="I745" s="22" t="s">
        <v>2012</v>
      </c>
      <c r="J745" s="22"/>
      <c r="K745" s="22"/>
    </row>
    <row r="746" spans="1:11" x14ac:dyDescent="0.25">
      <c r="A746" s="22" t="s">
        <v>2017</v>
      </c>
      <c r="B746" s="22" t="s">
        <v>201</v>
      </c>
      <c r="C746" s="22" t="s">
        <v>202</v>
      </c>
      <c r="D746" s="22" t="s">
        <v>2016</v>
      </c>
      <c r="E746" s="22" t="s">
        <v>57</v>
      </c>
      <c r="F746" s="23">
        <v>-128733</v>
      </c>
      <c r="G746" s="24">
        <v>44221</v>
      </c>
      <c r="H746" s="22" t="s">
        <v>2015</v>
      </c>
      <c r="I746" s="22" t="s">
        <v>2018</v>
      </c>
      <c r="J746" s="22"/>
      <c r="K746" s="22"/>
    </row>
    <row r="747" spans="1:11" x14ac:dyDescent="0.25">
      <c r="A747" s="22" t="s">
        <v>2020</v>
      </c>
      <c r="B747" s="22" t="s">
        <v>201</v>
      </c>
      <c r="C747" s="22" t="s">
        <v>202</v>
      </c>
      <c r="D747" s="22" t="s">
        <v>2021</v>
      </c>
      <c r="E747" s="22" t="s">
        <v>45</v>
      </c>
      <c r="F747" s="23">
        <v>-1356428</v>
      </c>
      <c r="G747" s="24">
        <v>44260</v>
      </c>
      <c r="H747" s="22" t="s">
        <v>2021</v>
      </c>
      <c r="I747" s="22" t="s">
        <v>2022</v>
      </c>
      <c r="J747" s="22"/>
      <c r="K747" s="22"/>
    </row>
    <row r="748" spans="1:11" x14ac:dyDescent="0.25">
      <c r="A748" s="22" t="s">
        <v>2024</v>
      </c>
      <c r="B748" s="22" t="s">
        <v>201</v>
      </c>
      <c r="C748" s="22" t="s">
        <v>202</v>
      </c>
      <c r="D748" s="22" t="s">
        <v>2023</v>
      </c>
      <c r="E748" s="22" t="s">
        <v>57</v>
      </c>
      <c r="F748" s="23">
        <v>-1284521</v>
      </c>
      <c r="G748" s="24">
        <v>44183</v>
      </c>
      <c r="H748" s="22" t="s">
        <v>2021</v>
      </c>
      <c r="I748" s="22" t="s">
        <v>2025</v>
      </c>
      <c r="J748" s="22"/>
      <c r="K748" s="22"/>
    </row>
    <row r="749" spans="1:11" x14ac:dyDescent="0.25">
      <c r="A749" s="22" t="s">
        <v>2030</v>
      </c>
      <c r="B749" s="22" t="s">
        <v>201</v>
      </c>
      <c r="C749" s="22" t="s">
        <v>202</v>
      </c>
      <c r="D749" s="22" t="s">
        <v>2029</v>
      </c>
      <c r="E749" s="22" t="s">
        <v>57</v>
      </c>
      <c r="F749" s="23">
        <v>-50600</v>
      </c>
      <c r="G749" s="24">
        <v>44048</v>
      </c>
      <c r="H749" s="22" t="s">
        <v>2028</v>
      </c>
      <c r="I749" s="22" t="s">
        <v>2031</v>
      </c>
      <c r="J749" s="22"/>
      <c r="K749" s="22"/>
    </row>
    <row r="750" spans="1:11" x14ac:dyDescent="0.25">
      <c r="A750" s="22" t="s">
        <v>2033</v>
      </c>
      <c r="B750" s="22" t="s">
        <v>201</v>
      </c>
      <c r="C750" s="22" t="s">
        <v>202</v>
      </c>
      <c r="D750" s="22" t="s">
        <v>2032</v>
      </c>
      <c r="E750" s="22" t="s">
        <v>57</v>
      </c>
      <c r="F750" s="23">
        <v>-50600</v>
      </c>
      <c r="G750" s="24">
        <v>44036</v>
      </c>
      <c r="H750" s="22" t="s">
        <v>2028</v>
      </c>
      <c r="I750" s="22" t="s">
        <v>2034</v>
      </c>
      <c r="J750" s="22"/>
      <c r="K750" s="22"/>
    </row>
    <row r="751" spans="1:11" x14ac:dyDescent="0.25">
      <c r="A751" s="22" t="s">
        <v>2036</v>
      </c>
      <c r="B751" s="22" t="s">
        <v>201</v>
      </c>
      <c r="C751" s="22" t="s">
        <v>202</v>
      </c>
      <c r="D751" s="22" t="s">
        <v>2035</v>
      </c>
      <c r="E751" s="22" t="s">
        <v>57</v>
      </c>
      <c r="F751" s="23">
        <v>-2474</v>
      </c>
      <c r="G751" s="24">
        <v>43887</v>
      </c>
      <c r="H751" s="22" t="s">
        <v>2028</v>
      </c>
      <c r="I751" s="22" t="s">
        <v>2031</v>
      </c>
      <c r="J751" s="22"/>
      <c r="K751" s="22"/>
    </row>
    <row r="752" spans="1:11" x14ac:dyDescent="0.25">
      <c r="A752" s="22" t="s">
        <v>2038</v>
      </c>
      <c r="B752" s="22" t="s">
        <v>201</v>
      </c>
      <c r="C752" s="22" t="s">
        <v>202</v>
      </c>
      <c r="D752" s="22" t="s">
        <v>2037</v>
      </c>
      <c r="E752" s="22" t="s">
        <v>57</v>
      </c>
      <c r="F752" s="23">
        <v>-53700</v>
      </c>
      <c r="G752" s="24">
        <v>44292</v>
      </c>
      <c r="H752" s="22" t="s">
        <v>2039</v>
      </c>
      <c r="I752" s="22" t="s">
        <v>1322</v>
      </c>
      <c r="J752" s="22"/>
      <c r="K752" s="22"/>
    </row>
    <row r="753" spans="1:11" x14ac:dyDescent="0.25">
      <c r="A753" s="22" t="s">
        <v>2044</v>
      </c>
      <c r="B753" s="22" t="s">
        <v>201</v>
      </c>
      <c r="C753" s="22" t="s">
        <v>202</v>
      </c>
      <c r="D753" s="22" t="s">
        <v>2043</v>
      </c>
      <c r="E753" s="22" t="s">
        <v>45</v>
      </c>
      <c r="F753" s="23">
        <v>-183147</v>
      </c>
      <c r="G753" s="24">
        <v>44205</v>
      </c>
      <c r="H753" s="22" t="s">
        <v>2042</v>
      </c>
      <c r="I753" s="22" t="s">
        <v>2045</v>
      </c>
      <c r="J753" s="22"/>
      <c r="K753" s="22"/>
    </row>
    <row r="754" spans="1:11" x14ac:dyDescent="0.25">
      <c r="A754" s="22" t="s">
        <v>2044</v>
      </c>
      <c r="B754" s="22" t="s">
        <v>201</v>
      </c>
      <c r="C754" s="22" t="s">
        <v>202</v>
      </c>
      <c r="D754" s="22" t="s">
        <v>2042</v>
      </c>
      <c r="E754" s="22" t="s">
        <v>45</v>
      </c>
      <c r="F754" s="23">
        <v>-165673</v>
      </c>
      <c r="G754" s="24">
        <v>44205</v>
      </c>
      <c r="H754" s="22" t="s">
        <v>2042</v>
      </c>
      <c r="I754" s="22"/>
      <c r="J754" s="22"/>
      <c r="K754" s="22"/>
    </row>
    <row r="755" spans="1:11" x14ac:dyDescent="0.25">
      <c r="A755" s="22" t="s">
        <v>2003</v>
      </c>
      <c r="B755" s="22" t="s">
        <v>201</v>
      </c>
      <c r="C755" s="22" t="s">
        <v>202</v>
      </c>
      <c r="D755" s="22" t="s">
        <v>2047</v>
      </c>
      <c r="E755" s="22" t="s">
        <v>45</v>
      </c>
      <c r="F755" s="23">
        <v>-74785</v>
      </c>
      <c r="G755" s="24">
        <v>44209</v>
      </c>
      <c r="H755" s="22" t="s">
        <v>2043</v>
      </c>
      <c r="I755" s="22" t="s">
        <v>2048</v>
      </c>
      <c r="J755" s="22"/>
      <c r="K755" s="22"/>
    </row>
    <row r="756" spans="1:11" x14ac:dyDescent="0.25">
      <c r="A756" s="22" t="s">
        <v>2044</v>
      </c>
      <c r="B756" s="22" t="s">
        <v>201</v>
      </c>
      <c r="C756" s="22" t="s">
        <v>202</v>
      </c>
      <c r="D756" s="22" t="s">
        <v>2049</v>
      </c>
      <c r="E756" s="22" t="s">
        <v>57</v>
      </c>
      <c r="F756" s="23">
        <v>-216724</v>
      </c>
      <c r="G756" s="24">
        <v>44205</v>
      </c>
      <c r="H756" s="22" t="s">
        <v>2043</v>
      </c>
      <c r="I756" s="22" t="s">
        <v>2050</v>
      </c>
      <c r="J756" s="22"/>
      <c r="K756" s="22"/>
    </row>
    <row r="757" spans="1:11" x14ac:dyDescent="0.25">
      <c r="A757" s="22" t="s">
        <v>2044</v>
      </c>
      <c r="B757" s="22" t="s">
        <v>201</v>
      </c>
      <c r="C757" s="22" t="s">
        <v>202</v>
      </c>
      <c r="D757" s="22" t="s">
        <v>2043</v>
      </c>
      <c r="E757" s="22" t="s">
        <v>45</v>
      </c>
      <c r="F757" s="23">
        <v>-33577</v>
      </c>
      <c r="G757" s="24">
        <v>44205</v>
      </c>
      <c r="H757" s="22" t="s">
        <v>2043</v>
      </c>
      <c r="I757" s="22"/>
      <c r="J757" s="22"/>
      <c r="K757" s="22"/>
    </row>
    <row r="758" spans="1:11" x14ac:dyDescent="0.25">
      <c r="A758" s="22" t="s">
        <v>2003</v>
      </c>
      <c r="B758" s="22" t="s">
        <v>201</v>
      </c>
      <c r="C758" s="22" t="s">
        <v>202</v>
      </c>
      <c r="D758" s="22" t="s">
        <v>2001</v>
      </c>
      <c r="E758" s="22" t="s">
        <v>45</v>
      </c>
      <c r="F758" s="23">
        <v>-176292</v>
      </c>
      <c r="G758" s="24">
        <v>44209</v>
      </c>
      <c r="H758" s="22" t="s">
        <v>2047</v>
      </c>
      <c r="I758" s="22" t="s">
        <v>2053</v>
      </c>
      <c r="J758" s="22"/>
      <c r="K758" s="22"/>
    </row>
    <row r="759" spans="1:11" x14ac:dyDescent="0.25">
      <c r="A759" s="22" t="s">
        <v>2058</v>
      </c>
      <c r="B759" s="22" t="s">
        <v>201</v>
      </c>
      <c r="C759" s="22" t="s">
        <v>202</v>
      </c>
      <c r="D759" s="22" t="s">
        <v>2057</v>
      </c>
      <c r="E759" s="22" t="s">
        <v>57</v>
      </c>
      <c r="F759" s="23">
        <v>-54578</v>
      </c>
      <c r="G759" s="24">
        <v>44228</v>
      </c>
      <c r="H759" s="22" t="s">
        <v>2056</v>
      </c>
      <c r="I759" s="22" t="s">
        <v>2059</v>
      </c>
      <c r="J759" s="22"/>
      <c r="K759" s="22"/>
    </row>
    <row r="760" spans="1:11" x14ac:dyDescent="0.25">
      <c r="A760" s="22" t="s">
        <v>2061</v>
      </c>
      <c r="B760" s="22" t="s">
        <v>201</v>
      </c>
      <c r="C760" s="22" t="s">
        <v>202</v>
      </c>
      <c r="D760" s="22" t="s">
        <v>2060</v>
      </c>
      <c r="E760" s="22" t="s">
        <v>57</v>
      </c>
      <c r="F760" s="23">
        <v>-29200</v>
      </c>
      <c r="G760" s="24">
        <v>44225</v>
      </c>
      <c r="H760" s="22" t="s">
        <v>2056</v>
      </c>
      <c r="I760" s="22" t="s">
        <v>2062</v>
      </c>
      <c r="J760" s="22"/>
      <c r="K760" s="22"/>
    </row>
    <row r="761" spans="1:11" x14ac:dyDescent="0.25">
      <c r="A761" s="22" t="s">
        <v>2058</v>
      </c>
      <c r="B761" s="22" t="s">
        <v>201</v>
      </c>
      <c r="C761" s="22" t="s">
        <v>202</v>
      </c>
      <c r="D761" s="22" t="s">
        <v>2056</v>
      </c>
      <c r="E761" s="22" t="s">
        <v>45</v>
      </c>
      <c r="F761" s="23">
        <v>-83018</v>
      </c>
      <c r="G761" s="24">
        <v>44228</v>
      </c>
      <c r="H761" s="22" t="s">
        <v>2056</v>
      </c>
      <c r="I761" s="22"/>
      <c r="J761" s="22"/>
      <c r="K761" s="22"/>
    </row>
    <row r="762" spans="1:11" x14ac:dyDescent="0.25">
      <c r="A762" s="22" t="s">
        <v>1990</v>
      </c>
      <c r="B762" s="22" t="s">
        <v>201</v>
      </c>
      <c r="C762" s="22" t="s">
        <v>202</v>
      </c>
      <c r="D762" s="22" t="s">
        <v>1989</v>
      </c>
      <c r="E762" s="22" t="s">
        <v>45</v>
      </c>
      <c r="F762" s="23">
        <v>-27750</v>
      </c>
      <c r="G762" s="24">
        <v>44207</v>
      </c>
      <c r="H762" s="22" t="s">
        <v>2056</v>
      </c>
      <c r="I762" s="22" t="s">
        <v>2063</v>
      </c>
      <c r="J762" s="22"/>
      <c r="K762" s="22"/>
    </row>
    <row r="763" spans="1:11" x14ac:dyDescent="0.25">
      <c r="A763" s="22" t="s">
        <v>2065</v>
      </c>
      <c r="B763" s="22" t="s">
        <v>201</v>
      </c>
      <c r="C763" s="22" t="s">
        <v>202</v>
      </c>
      <c r="D763" s="22" t="s">
        <v>2064</v>
      </c>
      <c r="E763" s="22" t="s">
        <v>57</v>
      </c>
      <c r="F763" s="23">
        <v>-329800</v>
      </c>
      <c r="G763" s="24">
        <v>44219</v>
      </c>
      <c r="H763" s="22" t="s">
        <v>2056</v>
      </c>
      <c r="I763" s="22" t="s">
        <v>2066</v>
      </c>
      <c r="J763" s="22"/>
      <c r="K763" s="22"/>
    </row>
    <row r="764" spans="1:11" x14ac:dyDescent="0.25">
      <c r="A764" s="22" t="s">
        <v>2070</v>
      </c>
      <c r="B764" s="22" t="s">
        <v>201</v>
      </c>
      <c r="C764" s="22" t="s">
        <v>202</v>
      </c>
      <c r="D764" s="22" t="s">
        <v>2071</v>
      </c>
      <c r="E764" s="22" t="s">
        <v>57</v>
      </c>
      <c r="F764" s="23">
        <v>-2329355</v>
      </c>
      <c r="G764" s="24">
        <v>44216</v>
      </c>
      <c r="H764" s="22" t="s">
        <v>2069</v>
      </c>
      <c r="I764" s="22" t="s">
        <v>1992</v>
      </c>
      <c r="J764" s="22"/>
      <c r="K764" s="22"/>
    </row>
    <row r="765" spans="1:11" x14ac:dyDescent="0.25">
      <c r="A765" s="22" t="s">
        <v>2074</v>
      </c>
      <c r="B765" s="22" t="s">
        <v>201</v>
      </c>
      <c r="C765" s="22" t="s">
        <v>202</v>
      </c>
      <c r="D765" s="22" t="s">
        <v>2072</v>
      </c>
      <c r="E765" s="22" t="s">
        <v>2073</v>
      </c>
      <c r="F765" s="23">
        <v>-27971</v>
      </c>
      <c r="G765" s="24">
        <v>43882</v>
      </c>
      <c r="H765" s="22" t="s">
        <v>2028</v>
      </c>
      <c r="I765" s="22" t="s">
        <v>2075</v>
      </c>
      <c r="J765" s="22"/>
      <c r="K765" s="22"/>
    </row>
    <row r="766" spans="1:11" x14ac:dyDescent="0.25">
      <c r="A766" s="22" t="s">
        <v>2077</v>
      </c>
      <c r="B766" s="22" t="s">
        <v>201</v>
      </c>
      <c r="C766" s="22" t="s">
        <v>202</v>
      </c>
      <c r="D766" s="22" t="s">
        <v>2076</v>
      </c>
      <c r="E766" s="22" t="s">
        <v>57</v>
      </c>
      <c r="F766" s="23">
        <v>-615</v>
      </c>
      <c r="G766" s="24">
        <v>44078</v>
      </c>
      <c r="H766" s="22" t="s">
        <v>2078</v>
      </c>
      <c r="I766" s="22" t="s">
        <v>2079</v>
      </c>
      <c r="J766" s="22"/>
      <c r="K766" s="22"/>
    </row>
    <row r="767" spans="1:11" x14ac:dyDescent="0.25">
      <c r="A767" s="22" t="s">
        <v>2081</v>
      </c>
      <c r="B767" s="22" t="s">
        <v>201</v>
      </c>
      <c r="C767" s="22" t="s">
        <v>202</v>
      </c>
      <c r="D767" s="22" t="s">
        <v>2080</v>
      </c>
      <c r="E767" s="22" t="s">
        <v>588</v>
      </c>
      <c r="F767" s="23">
        <v>-314045</v>
      </c>
      <c r="G767" s="24">
        <v>44095</v>
      </c>
      <c r="H767" s="22" t="s">
        <v>2082</v>
      </c>
      <c r="I767" s="22" t="s">
        <v>2083</v>
      </c>
      <c r="J767" s="22"/>
      <c r="K767" s="22"/>
    </row>
    <row r="768" spans="1:11" x14ac:dyDescent="0.25">
      <c r="A768" s="22" t="s">
        <v>2084</v>
      </c>
      <c r="B768" s="22" t="s">
        <v>201</v>
      </c>
      <c r="C768" s="22" t="s">
        <v>202</v>
      </c>
      <c r="D768" s="22" t="s">
        <v>2082</v>
      </c>
      <c r="E768" s="22" t="s">
        <v>45</v>
      </c>
      <c r="F768" s="23">
        <v>-637161</v>
      </c>
      <c r="G768" s="24">
        <v>44232</v>
      </c>
      <c r="H768" s="22" t="s">
        <v>2082</v>
      </c>
      <c r="I768" s="22" t="s">
        <v>2085</v>
      </c>
      <c r="J768" s="22"/>
      <c r="K768" s="22"/>
    </row>
    <row r="769" spans="1:11" x14ac:dyDescent="0.25">
      <c r="A769" s="22" t="s">
        <v>2036</v>
      </c>
      <c r="B769" s="22" t="s">
        <v>201</v>
      </c>
      <c r="C769" s="22" t="s">
        <v>202</v>
      </c>
      <c r="D769" s="22" t="s">
        <v>2035</v>
      </c>
      <c r="E769" s="22" t="s">
        <v>57</v>
      </c>
      <c r="F769" s="23">
        <v>-48226</v>
      </c>
      <c r="G769" s="24">
        <v>43887</v>
      </c>
      <c r="H769" s="22" t="s">
        <v>2082</v>
      </c>
      <c r="I769" s="22" t="s">
        <v>2031</v>
      </c>
      <c r="J769" s="22"/>
      <c r="K769" s="22"/>
    </row>
    <row r="770" spans="1:11" x14ac:dyDescent="0.25">
      <c r="A770" s="22" t="s">
        <v>2091</v>
      </c>
      <c r="B770" s="22" t="s">
        <v>201</v>
      </c>
      <c r="C770" s="22" t="s">
        <v>202</v>
      </c>
      <c r="D770" s="22" t="s">
        <v>2090</v>
      </c>
      <c r="E770" s="22" t="s">
        <v>57</v>
      </c>
      <c r="F770" s="23">
        <v>-113900</v>
      </c>
      <c r="G770" s="24">
        <v>43886</v>
      </c>
      <c r="H770" s="22" t="s">
        <v>2082</v>
      </c>
      <c r="I770" s="22" t="s">
        <v>2092</v>
      </c>
      <c r="J770" s="22"/>
      <c r="K770" s="22"/>
    </row>
    <row r="771" spans="1:11" x14ac:dyDescent="0.25">
      <c r="A771" s="22" t="s">
        <v>2094</v>
      </c>
      <c r="B771" s="22" t="s">
        <v>201</v>
      </c>
      <c r="C771" s="22" t="s">
        <v>202</v>
      </c>
      <c r="D771" s="22" t="s">
        <v>2093</v>
      </c>
      <c r="E771" s="22" t="s">
        <v>57</v>
      </c>
      <c r="F771" s="23">
        <v>-160990</v>
      </c>
      <c r="G771" s="24">
        <v>44174</v>
      </c>
      <c r="H771" s="22" t="s">
        <v>2082</v>
      </c>
      <c r="I771" s="22" t="s">
        <v>2095</v>
      </c>
      <c r="J771" s="22"/>
      <c r="K771" s="22"/>
    </row>
    <row r="772" spans="1:11" x14ac:dyDescent="0.25">
      <c r="A772" s="22" t="s">
        <v>2097</v>
      </c>
      <c r="B772" s="22" t="s">
        <v>201</v>
      </c>
      <c r="C772" s="22" t="s">
        <v>202</v>
      </c>
      <c r="D772" s="22" t="s">
        <v>2096</v>
      </c>
      <c r="E772" s="22" t="s">
        <v>57</v>
      </c>
      <c r="F772" s="23">
        <v>-181900</v>
      </c>
      <c r="G772" s="24">
        <v>44103</v>
      </c>
      <c r="H772" s="22" t="s">
        <v>2082</v>
      </c>
      <c r="I772" s="22" t="s">
        <v>2098</v>
      </c>
      <c r="J772" s="22"/>
      <c r="K772" s="22"/>
    </row>
    <row r="773" spans="1:11" x14ac:dyDescent="0.25">
      <c r="A773" s="22" t="s">
        <v>2074</v>
      </c>
      <c r="B773" s="22" t="s">
        <v>201</v>
      </c>
      <c r="C773" s="22" t="s">
        <v>202</v>
      </c>
      <c r="D773" s="22" t="s">
        <v>2072</v>
      </c>
      <c r="E773" s="22" t="s">
        <v>2073</v>
      </c>
      <c r="F773" s="23">
        <v>-26429</v>
      </c>
      <c r="G773" s="24">
        <v>43882</v>
      </c>
      <c r="H773" s="22" t="s">
        <v>2101</v>
      </c>
      <c r="I773" s="22" t="s">
        <v>2102</v>
      </c>
      <c r="J773" s="22"/>
      <c r="K773" s="22"/>
    </row>
    <row r="774" spans="1:11" x14ac:dyDescent="0.25">
      <c r="A774" s="22" t="s">
        <v>2100</v>
      </c>
      <c r="B774" s="22" t="s">
        <v>201</v>
      </c>
      <c r="C774" s="22" t="s">
        <v>202</v>
      </c>
      <c r="D774" s="22" t="s">
        <v>2101</v>
      </c>
      <c r="E774" s="22" t="s">
        <v>45</v>
      </c>
      <c r="F774" s="23">
        <v>-26429</v>
      </c>
      <c r="G774" s="24">
        <v>44232</v>
      </c>
      <c r="H774" s="22" t="s">
        <v>2101</v>
      </c>
      <c r="I774" s="22" t="s">
        <v>2103</v>
      </c>
      <c r="J774" s="22"/>
      <c r="K774" s="22"/>
    </row>
    <row r="775" spans="1:11" x14ac:dyDescent="0.25">
      <c r="A775" s="22" t="s">
        <v>2105</v>
      </c>
      <c r="B775" s="22" t="s">
        <v>201</v>
      </c>
      <c r="C775" s="22" t="s">
        <v>202</v>
      </c>
      <c r="D775" s="22" t="s">
        <v>2106</v>
      </c>
      <c r="E775" s="22" t="s">
        <v>45</v>
      </c>
      <c r="F775" s="23">
        <v>-51900</v>
      </c>
      <c r="G775" s="24">
        <v>44214</v>
      </c>
      <c r="H775" s="22" t="s">
        <v>2106</v>
      </c>
      <c r="I775" s="22" t="s">
        <v>2103</v>
      </c>
      <c r="J775" s="22"/>
      <c r="K775" s="22"/>
    </row>
    <row r="776" spans="1:11" x14ac:dyDescent="0.25">
      <c r="A776" s="22" t="s">
        <v>2108</v>
      </c>
      <c r="B776" s="22" t="s">
        <v>201</v>
      </c>
      <c r="C776" s="22" t="s">
        <v>202</v>
      </c>
      <c r="D776" s="22" t="s">
        <v>2107</v>
      </c>
      <c r="E776" s="22" t="s">
        <v>57</v>
      </c>
      <c r="F776" s="23">
        <v>-51900</v>
      </c>
      <c r="G776" s="24">
        <v>44153</v>
      </c>
      <c r="H776" s="22" t="s">
        <v>2106</v>
      </c>
      <c r="I776" s="22" t="s">
        <v>839</v>
      </c>
      <c r="J776" s="22"/>
      <c r="K776" s="22"/>
    </row>
    <row r="777" spans="1:11" x14ac:dyDescent="0.25">
      <c r="A777" s="22" t="s">
        <v>2113</v>
      </c>
      <c r="B777" s="22" t="s">
        <v>201</v>
      </c>
      <c r="C777" s="22" t="s">
        <v>202</v>
      </c>
      <c r="D777" s="22" t="s">
        <v>2112</v>
      </c>
      <c r="E777" s="22" t="s">
        <v>57</v>
      </c>
      <c r="F777" s="23">
        <v>-207985</v>
      </c>
      <c r="G777" s="24">
        <v>43977</v>
      </c>
      <c r="H777" s="22" t="s">
        <v>2111</v>
      </c>
      <c r="I777" s="22" t="s">
        <v>2114</v>
      </c>
      <c r="J777" s="22"/>
      <c r="K777" s="22"/>
    </row>
    <row r="778" spans="1:11" x14ac:dyDescent="0.25">
      <c r="A778" s="22" t="s">
        <v>2115</v>
      </c>
      <c r="B778" s="22" t="s">
        <v>201</v>
      </c>
      <c r="C778" s="22" t="s">
        <v>202</v>
      </c>
      <c r="D778" s="22" t="s">
        <v>2111</v>
      </c>
      <c r="E778" s="22" t="s">
        <v>45</v>
      </c>
      <c r="F778" s="23">
        <v>-22706</v>
      </c>
      <c r="G778" s="24">
        <v>44226</v>
      </c>
      <c r="H778" s="22" t="s">
        <v>2111</v>
      </c>
      <c r="I778" s="22" t="s">
        <v>2116</v>
      </c>
      <c r="J778" s="22"/>
      <c r="K778" s="22"/>
    </row>
    <row r="779" spans="1:11" x14ac:dyDescent="0.25">
      <c r="A779" s="22" t="s">
        <v>2118</v>
      </c>
      <c r="B779" s="22" t="s">
        <v>201</v>
      </c>
      <c r="C779" s="22" t="s">
        <v>202</v>
      </c>
      <c r="D779" s="22" t="s">
        <v>2117</v>
      </c>
      <c r="E779" s="22" t="s">
        <v>57</v>
      </c>
      <c r="F779" s="23">
        <v>-22706</v>
      </c>
      <c r="G779" s="24">
        <v>43874</v>
      </c>
      <c r="H779" s="22" t="s">
        <v>2111</v>
      </c>
      <c r="I779" s="22" t="s">
        <v>2119</v>
      </c>
      <c r="J779" s="22"/>
      <c r="K779" s="22"/>
    </row>
    <row r="780" spans="1:11" x14ac:dyDescent="0.25">
      <c r="A780" s="22" t="s">
        <v>2121</v>
      </c>
      <c r="B780" s="22" t="s">
        <v>201</v>
      </c>
      <c r="C780" s="22" t="s">
        <v>202</v>
      </c>
      <c r="D780" s="22" t="s">
        <v>2120</v>
      </c>
      <c r="E780" s="22" t="s">
        <v>2073</v>
      </c>
      <c r="F780" s="23">
        <v>-7500</v>
      </c>
      <c r="G780" s="24">
        <v>43886</v>
      </c>
      <c r="H780" s="22" t="s">
        <v>2028</v>
      </c>
      <c r="I780" s="22" t="s">
        <v>2122</v>
      </c>
      <c r="J780" s="22"/>
      <c r="K780" s="22"/>
    </row>
    <row r="781" spans="1:11" x14ac:dyDescent="0.25">
      <c r="A781" s="22" t="s">
        <v>2124</v>
      </c>
      <c r="B781" s="22" t="s">
        <v>201</v>
      </c>
      <c r="C781" s="22" t="s">
        <v>202</v>
      </c>
      <c r="D781" s="22" t="s">
        <v>2123</v>
      </c>
      <c r="E781" s="22" t="s">
        <v>2073</v>
      </c>
      <c r="F781" s="23">
        <v>-28573</v>
      </c>
      <c r="G781" s="24">
        <v>43878</v>
      </c>
      <c r="H781" s="22" t="s">
        <v>2028</v>
      </c>
      <c r="I781" s="22" t="s">
        <v>2122</v>
      </c>
      <c r="J781" s="22"/>
      <c r="K781" s="22"/>
    </row>
    <row r="782" spans="1:11" x14ac:dyDescent="0.25">
      <c r="A782" s="22" t="s">
        <v>2126</v>
      </c>
      <c r="B782" s="22" t="s">
        <v>201</v>
      </c>
      <c r="C782" s="22" t="s">
        <v>202</v>
      </c>
      <c r="D782" s="22" t="s">
        <v>2125</v>
      </c>
      <c r="E782" s="22" t="s">
        <v>57</v>
      </c>
      <c r="F782" s="23">
        <v>-98900</v>
      </c>
      <c r="G782" s="24">
        <v>43893</v>
      </c>
      <c r="H782" s="22" t="s">
        <v>2028</v>
      </c>
      <c r="I782" s="22" t="s">
        <v>2127</v>
      </c>
      <c r="J782" s="22"/>
      <c r="K782" s="22"/>
    </row>
    <row r="783" spans="1:11" x14ac:dyDescent="0.25">
      <c r="A783" s="22" t="s">
        <v>2027</v>
      </c>
      <c r="B783" s="22" t="s">
        <v>201</v>
      </c>
      <c r="C783" s="22" t="s">
        <v>202</v>
      </c>
      <c r="D783" s="22" t="s">
        <v>2028</v>
      </c>
      <c r="E783" s="22" t="s">
        <v>45</v>
      </c>
      <c r="F783" s="23">
        <v>-609128</v>
      </c>
      <c r="G783" s="24">
        <v>44260</v>
      </c>
      <c r="H783" s="22" t="s">
        <v>2028</v>
      </c>
      <c r="I783" s="22" t="s">
        <v>2128</v>
      </c>
      <c r="J783" s="22"/>
      <c r="K783" s="22"/>
    </row>
    <row r="784" spans="1:11" x14ac:dyDescent="0.25">
      <c r="A784" s="22" t="s">
        <v>2130</v>
      </c>
      <c r="B784" s="22" t="s">
        <v>201</v>
      </c>
      <c r="C784" s="22" t="s">
        <v>202</v>
      </c>
      <c r="D784" s="22" t="s">
        <v>2129</v>
      </c>
      <c r="E784" s="22" t="s">
        <v>57</v>
      </c>
      <c r="F784" s="23">
        <v>-100100</v>
      </c>
      <c r="G784" s="24">
        <v>44161</v>
      </c>
      <c r="H784" s="22" t="s">
        <v>2028</v>
      </c>
      <c r="I784" s="22" t="s">
        <v>2131</v>
      </c>
      <c r="J784" s="22"/>
      <c r="K784" s="22"/>
    </row>
    <row r="785" spans="1:11" x14ac:dyDescent="0.25">
      <c r="A785" s="22" t="s">
        <v>2133</v>
      </c>
      <c r="B785" s="22" t="s">
        <v>201</v>
      </c>
      <c r="C785" s="22" t="s">
        <v>202</v>
      </c>
      <c r="D785" s="22" t="s">
        <v>2132</v>
      </c>
      <c r="E785" s="22" t="s">
        <v>57</v>
      </c>
      <c r="F785" s="23">
        <v>-52857</v>
      </c>
      <c r="G785" s="24">
        <v>44193</v>
      </c>
      <c r="H785" s="22" t="s">
        <v>2028</v>
      </c>
      <c r="I785" s="22" t="s">
        <v>2031</v>
      </c>
      <c r="J785" s="22"/>
      <c r="K785" s="22"/>
    </row>
    <row r="786" spans="1:11" x14ac:dyDescent="0.25">
      <c r="A786" s="22" t="s">
        <v>2135</v>
      </c>
      <c r="B786" s="22" t="s">
        <v>201</v>
      </c>
      <c r="C786" s="22" t="s">
        <v>202</v>
      </c>
      <c r="D786" s="22" t="s">
        <v>2134</v>
      </c>
      <c r="E786" s="22" t="s">
        <v>57</v>
      </c>
      <c r="F786" s="23">
        <v>-53443</v>
      </c>
      <c r="G786" s="24">
        <v>44181</v>
      </c>
      <c r="H786" s="22" t="s">
        <v>2028</v>
      </c>
      <c r="I786" s="22" t="s">
        <v>2136</v>
      </c>
      <c r="J786" s="22"/>
      <c r="K786" s="22"/>
    </row>
    <row r="787" spans="1:11" x14ac:dyDescent="0.25">
      <c r="A787" s="22" t="s">
        <v>2151</v>
      </c>
      <c r="B787" s="22" t="s">
        <v>201</v>
      </c>
      <c r="C787" s="22" t="s">
        <v>202</v>
      </c>
      <c r="D787" s="22" t="s">
        <v>2150</v>
      </c>
      <c r="E787" s="22" t="s">
        <v>57</v>
      </c>
      <c r="F787" s="23">
        <v>-2890580</v>
      </c>
      <c r="G787" s="24">
        <v>44063</v>
      </c>
      <c r="H787" s="22" t="s">
        <v>2078</v>
      </c>
      <c r="I787" s="22" t="s">
        <v>2152</v>
      </c>
      <c r="J787" s="22"/>
      <c r="K787" s="22"/>
    </row>
    <row r="788" spans="1:11" x14ac:dyDescent="0.25">
      <c r="A788" s="22" t="s">
        <v>2154</v>
      </c>
      <c r="B788" s="22" t="s">
        <v>201</v>
      </c>
      <c r="C788" s="22" t="s">
        <v>202</v>
      </c>
      <c r="D788" s="22" t="s">
        <v>2153</v>
      </c>
      <c r="E788" s="22" t="s">
        <v>57</v>
      </c>
      <c r="F788" s="23">
        <v>-63332</v>
      </c>
      <c r="G788" s="24">
        <v>44067</v>
      </c>
      <c r="H788" s="22" t="s">
        <v>2078</v>
      </c>
      <c r="I788" s="22" t="s">
        <v>2155</v>
      </c>
      <c r="J788" s="22"/>
      <c r="K788" s="22"/>
    </row>
    <row r="789" spans="1:11" x14ac:dyDescent="0.25">
      <c r="A789" s="22" t="s">
        <v>2157</v>
      </c>
      <c r="B789" s="22" t="s">
        <v>201</v>
      </c>
      <c r="C789" s="22" t="s">
        <v>202</v>
      </c>
      <c r="D789" s="22" t="s">
        <v>2156</v>
      </c>
      <c r="E789" s="22" t="s">
        <v>57</v>
      </c>
      <c r="F789" s="23">
        <v>-111200</v>
      </c>
      <c r="G789" s="24">
        <v>44007</v>
      </c>
      <c r="H789" s="22" t="s">
        <v>2078</v>
      </c>
      <c r="I789" s="22" t="s">
        <v>2158</v>
      </c>
      <c r="J789" s="22"/>
      <c r="K789" s="22"/>
    </row>
    <row r="790" spans="1:11" x14ac:dyDescent="0.25">
      <c r="A790" s="22" t="s">
        <v>2145</v>
      </c>
      <c r="B790" s="22" t="s">
        <v>201</v>
      </c>
      <c r="C790" s="22" t="s">
        <v>202</v>
      </c>
      <c r="D790" s="22" t="s">
        <v>2078</v>
      </c>
      <c r="E790" s="22" t="s">
        <v>45</v>
      </c>
      <c r="F790" s="23">
        <v>-8302453</v>
      </c>
      <c r="G790" s="24">
        <v>44214</v>
      </c>
      <c r="H790" s="22" t="s">
        <v>2078</v>
      </c>
      <c r="I790" s="22" t="s">
        <v>2159</v>
      </c>
      <c r="J790" s="22"/>
      <c r="K790" s="22"/>
    </row>
    <row r="791" spans="1:11" x14ac:dyDescent="0.25">
      <c r="A791" s="22" t="s">
        <v>2161</v>
      </c>
      <c r="B791" s="22" t="s">
        <v>201</v>
      </c>
      <c r="C791" s="22" t="s">
        <v>202</v>
      </c>
      <c r="D791" s="22" t="s">
        <v>2160</v>
      </c>
      <c r="E791" s="22" t="s">
        <v>57</v>
      </c>
      <c r="F791" s="23">
        <v>-188505</v>
      </c>
      <c r="G791" s="24">
        <v>44074</v>
      </c>
      <c r="H791" s="22" t="s">
        <v>2078</v>
      </c>
      <c r="I791" s="22" t="s">
        <v>2114</v>
      </c>
      <c r="J791" s="22"/>
      <c r="K791" s="22"/>
    </row>
    <row r="792" spans="1:11" x14ac:dyDescent="0.25">
      <c r="A792" s="22" t="s">
        <v>2163</v>
      </c>
      <c r="B792" s="22" t="s">
        <v>201</v>
      </c>
      <c r="C792" s="22" t="s">
        <v>202</v>
      </c>
      <c r="D792" s="22" t="s">
        <v>2162</v>
      </c>
      <c r="E792" s="22" t="s">
        <v>57</v>
      </c>
      <c r="F792" s="23">
        <v>-11195668</v>
      </c>
      <c r="G792" s="24">
        <v>44148</v>
      </c>
      <c r="H792" s="22" t="s">
        <v>2078</v>
      </c>
      <c r="I792" s="22" t="s">
        <v>2164</v>
      </c>
      <c r="J792" s="22"/>
      <c r="K792" s="22"/>
    </row>
    <row r="793" spans="1:11" x14ac:dyDescent="0.25">
      <c r="A793" s="22" t="s">
        <v>2166</v>
      </c>
      <c r="B793" s="22" t="s">
        <v>201</v>
      </c>
      <c r="C793" s="22" t="s">
        <v>202</v>
      </c>
      <c r="D793" s="22" t="s">
        <v>2165</v>
      </c>
      <c r="E793" s="22" t="s">
        <v>57</v>
      </c>
      <c r="F793" s="23">
        <v>-57600</v>
      </c>
      <c r="G793" s="24">
        <v>44075</v>
      </c>
      <c r="H793" s="22" t="s">
        <v>2078</v>
      </c>
      <c r="I793" s="22" t="s">
        <v>2167</v>
      </c>
      <c r="J793" s="22"/>
      <c r="K793" s="22"/>
    </row>
    <row r="794" spans="1:11" x14ac:dyDescent="0.25">
      <c r="A794" s="22" t="s">
        <v>1830</v>
      </c>
      <c r="B794" s="22" t="s">
        <v>201</v>
      </c>
      <c r="C794" s="22" t="s">
        <v>202</v>
      </c>
      <c r="D794" s="22" t="s">
        <v>2168</v>
      </c>
      <c r="E794" s="22" t="s">
        <v>57</v>
      </c>
      <c r="F794" s="23">
        <v>-891000</v>
      </c>
      <c r="G794" s="24">
        <v>44292</v>
      </c>
      <c r="H794" s="22" t="s">
        <v>1829</v>
      </c>
      <c r="I794" s="22" t="s">
        <v>280</v>
      </c>
      <c r="J794" s="22"/>
      <c r="K794" s="22"/>
    </row>
    <row r="795" spans="1:11" x14ac:dyDescent="0.25">
      <c r="A795" s="22" t="s">
        <v>2170</v>
      </c>
      <c r="B795" s="22" t="s">
        <v>201</v>
      </c>
      <c r="C795" s="22" t="s">
        <v>202</v>
      </c>
      <c r="D795" s="22" t="s">
        <v>2169</v>
      </c>
      <c r="E795" s="22" t="s">
        <v>57</v>
      </c>
      <c r="F795" s="23">
        <v>-6600</v>
      </c>
      <c r="G795" s="24">
        <v>44291</v>
      </c>
      <c r="H795" s="22" t="s">
        <v>1829</v>
      </c>
      <c r="I795" s="22" t="s">
        <v>280</v>
      </c>
      <c r="J795" s="22"/>
      <c r="K795" s="22"/>
    </row>
    <row r="796" spans="1:11" x14ac:dyDescent="0.25">
      <c r="A796" s="22" t="s">
        <v>2172</v>
      </c>
      <c r="B796" s="22" t="s">
        <v>201</v>
      </c>
      <c r="C796" s="22" t="s">
        <v>202</v>
      </c>
      <c r="D796" s="22" t="s">
        <v>2171</v>
      </c>
      <c r="E796" s="22" t="s">
        <v>57</v>
      </c>
      <c r="F796" s="23">
        <v>-4192025</v>
      </c>
      <c r="G796" s="24">
        <v>44313</v>
      </c>
      <c r="H796" s="22" t="s">
        <v>1829</v>
      </c>
      <c r="I796" s="22" t="s">
        <v>2173</v>
      </c>
      <c r="J796" s="22"/>
      <c r="K796" s="22"/>
    </row>
    <row r="797" spans="1:11" x14ac:dyDescent="0.25">
      <c r="A797" s="22" t="s">
        <v>2175</v>
      </c>
      <c r="B797" s="22" t="s">
        <v>201</v>
      </c>
      <c r="C797" s="22" t="s">
        <v>202</v>
      </c>
      <c r="D797" s="22" t="s">
        <v>2174</v>
      </c>
      <c r="E797" s="22" t="s">
        <v>57</v>
      </c>
      <c r="F797" s="23">
        <v>-53700</v>
      </c>
      <c r="G797" s="24">
        <v>44312</v>
      </c>
      <c r="H797" s="22" t="s">
        <v>1829</v>
      </c>
      <c r="I797" s="22" t="s">
        <v>2176</v>
      </c>
      <c r="J797" s="22"/>
      <c r="K797" s="22"/>
    </row>
    <row r="798" spans="1:11" x14ac:dyDescent="0.25">
      <c r="A798" s="22" t="s">
        <v>2178</v>
      </c>
      <c r="B798" s="22" t="s">
        <v>201</v>
      </c>
      <c r="C798" s="22" t="s">
        <v>202</v>
      </c>
      <c r="D798" s="22" t="s">
        <v>2177</v>
      </c>
      <c r="E798" s="22" t="s">
        <v>57</v>
      </c>
      <c r="F798" s="23">
        <v>-65834</v>
      </c>
      <c r="G798" s="24">
        <v>44310</v>
      </c>
      <c r="H798" s="22" t="s">
        <v>1829</v>
      </c>
      <c r="I798" s="22" t="s">
        <v>1805</v>
      </c>
      <c r="J798" s="22"/>
      <c r="K798" s="22"/>
    </row>
    <row r="799" spans="1:11" x14ac:dyDescent="0.25">
      <c r="A799" s="22" t="s">
        <v>2180</v>
      </c>
      <c r="B799" s="22" t="s">
        <v>201</v>
      </c>
      <c r="C799" s="22" t="s">
        <v>202</v>
      </c>
      <c r="D799" s="22" t="s">
        <v>2179</v>
      </c>
      <c r="E799" s="22" t="s">
        <v>57</v>
      </c>
      <c r="F799" s="23">
        <v>-40400</v>
      </c>
      <c r="G799" s="24">
        <v>44176</v>
      </c>
      <c r="H799" s="22" t="s">
        <v>1829</v>
      </c>
      <c r="I799" s="22" t="s">
        <v>820</v>
      </c>
      <c r="J799" s="22"/>
      <c r="K799" s="22"/>
    </row>
    <row r="800" spans="1:11" x14ac:dyDescent="0.25">
      <c r="A800" s="22" t="s">
        <v>2182</v>
      </c>
      <c r="B800" s="22" t="s">
        <v>201</v>
      </c>
      <c r="C800" s="22" t="s">
        <v>202</v>
      </c>
      <c r="D800" s="22" t="s">
        <v>2181</v>
      </c>
      <c r="E800" s="22" t="s">
        <v>57</v>
      </c>
      <c r="F800" s="23">
        <v>-42200</v>
      </c>
      <c r="G800" s="24">
        <v>44169</v>
      </c>
      <c r="H800" s="22" t="s">
        <v>1829</v>
      </c>
      <c r="I800" s="22" t="s">
        <v>788</v>
      </c>
      <c r="J800" s="22"/>
      <c r="K800" s="22"/>
    </row>
    <row r="801" spans="1:11" x14ac:dyDescent="0.25">
      <c r="A801" s="22" t="s">
        <v>1830</v>
      </c>
      <c r="B801" s="22" t="s">
        <v>201</v>
      </c>
      <c r="C801" s="22" t="s">
        <v>202</v>
      </c>
      <c r="D801" s="22" t="s">
        <v>1829</v>
      </c>
      <c r="E801" s="22" t="s">
        <v>45</v>
      </c>
      <c r="F801" s="23">
        <v>-5245225</v>
      </c>
      <c r="G801" s="24">
        <v>44292</v>
      </c>
      <c r="H801" s="22" t="s">
        <v>1829</v>
      </c>
      <c r="I801" s="22"/>
      <c r="J801" s="22"/>
      <c r="K801" s="22"/>
    </row>
    <row r="802" spans="1:11" x14ac:dyDescent="0.25">
      <c r="A802" s="22" t="s">
        <v>1817</v>
      </c>
      <c r="B802" s="22" t="s">
        <v>201</v>
      </c>
      <c r="C802" s="22" t="s">
        <v>202</v>
      </c>
      <c r="D802" s="22" t="s">
        <v>2185</v>
      </c>
      <c r="E802" s="22" t="s">
        <v>57</v>
      </c>
      <c r="F802" s="23">
        <v>-32700</v>
      </c>
      <c r="G802" s="24">
        <v>44301</v>
      </c>
      <c r="H802" s="22" t="s">
        <v>1816</v>
      </c>
      <c r="I802" s="22" t="s">
        <v>1386</v>
      </c>
      <c r="J802" s="22"/>
      <c r="K802" s="22"/>
    </row>
    <row r="803" spans="1:11" x14ac:dyDescent="0.25">
      <c r="A803" s="22" t="s">
        <v>2187</v>
      </c>
      <c r="B803" s="22" t="s">
        <v>201</v>
      </c>
      <c r="C803" s="22" t="s">
        <v>202</v>
      </c>
      <c r="D803" s="22" t="s">
        <v>2186</v>
      </c>
      <c r="E803" s="22" t="s">
        <v>57</v>
      </c>
      <c r="F803" s="23">
        <v>-32700</v>
      </c>
      <c r="G803" s="24">
        <v>44298</v>
      </c>
      <c r="H803" s="22" t="s">
        <v>1816</v>
      </c>
      <c r="I803" s="22" t="s">
        <v>1386</v>
      </c>
      <c r="J803" s="22"/>
      <c r="K803" s="22"/>
    </row>
    <row r="804" spans="1:11" x14ac:dyDescent="0.25">
      <c r="A804" s="22" t="s">
        <v>2189</v>
      </c>
      <c r="B804" s="22" t="s">
        <v>201</v>
      </c>
      <c r="C804" s="22" t="s">
        <v>202</v>
      </c>
      <c r="D804" s="22" t="s">
        <v>2188</v>
      </c>
      <c r="E804" s="22" t="s">
        <v>57</v>
      </c>
      <c r="F804" s="23">
        <v>-266092</v>
      </c>
      <c r="G804" s="24">
        <v>44141</v>
      </c>
      <c r="H804" s="22" t="s">
        <v>1816</v>
      </c>
      <c r="I804" s="22" t="s">
        <v>2190</v>
      </c>
      <c r="J804" s="22"/>
      <c r="K804" s="22"/>
    </row>
    <row r="805" spans="1:11" x14ac:dyDescent="0.25">
      <c r="A805" s="22" t="s">
        <v>2192</v>
      </c>
      <c r="B805" s="22" t="s">
        <v>201</v>
      </c>
      <c r="C805" s="22" t="s">
        <v>202</v>
      </c>
      <c r="D805" s="22" t="s">
        <v>2191</v>
      </c>
      <c r="E805" s="22" t="s">
        <v>57</v>
      </c>
      <c r="F805" s="23">
        <v>-342126</v>
      </c>
      <c r="G805" s="24">
        <v>44279</v>
      </c>
      <c r="H805" s="22" t="s">
        <v>1816</v>
      </c>
      <c r="I805" s="22" t="s">
        <v>2193</v>
      </c>
      <c r="J805" s="22"/>
      <c r="K805" s="22"/>
    </row>
    <row r="806" spans="1:11" x14ac:dyDescent="0.25">
      <c r="A806" s="22" t="s">
        <v>2195</v>
      </c>
      <c r="B806" s="22" t="s">
        <v>201</v>
      </c>
      <c r="C806" s="22" t="s">
        <v>202</v>
      </c>
      <c r="D806" s="22" t="s">
        <v>2194</v>
      </c>
      <c r="E806" s="22" t="s">
        <v>57</v>
      </c>
      <c r="F806" s="23">
        <v>-53700</v>
      </c>
      <c r="G806" s="24">
        <v>44260</v>
      </c>
      <c r="H806" s="22" t="s">
        <v>1816</v>
      </c>
      <c r="I806" s="22" t="s">
        <v>2196</v>
      </c>
      <c r="J806" s="22"/>
      <c r="K806" s="22"/>
    </row>
    <row r="807" spans="1:11" x14ac:dyDescent="0.25">
      <c r="A807" s="22" t="s">
        <v>2198</v>
      </c>
      <c r="B807" s="22" t="s">
        <v>201</v>
      </c>
      <c r="C807" s="22" t="s">
        <v>202</v>
      </c>
      <c r="D807" s="22" t="s">
        <v>2197</v>
      </c>
      <c r="E807" s="22" t="s">
        <v>57</v>
      </c>
      <c r="F807" s="23">
        <v>-1089703</v>
      </c>
      <c r="G807" s="24">
        <v>44285</v>
      </c>
      <c r="H807" s="22" t="s">
        <v>1816</v>
      </c>
      <c r="I807" s="22" t="s">
        <v>2199</v>
      </c>
      <c r="J807" s="22"/>
      <c r="K807" s="22"/>
    </row>
    <row r="808" spans="1:11" x14ac:dyDescent="0.25">
      <c r="A808" s="22" t="s">
        <v>2201</v>
      </c>
      <c r="B808" s="22" t="s">
        <v>201</v>
      </c>
      <c r="C808" s="22" t="s">
        <v>202</v>
      </c>
      <c r="D808" s="22" t="s">
        <v>2200</v>
      </c>
      <c r="E808" s="22" t="s">
        <v>57</v>
      </c>
      <c r="F808" s="23">
        <v>-28300</v>
      </c>
      <c r="G808" s="24">
        <v>44105</v>
      </c>
      <c r="H808" s="22" t="s">
        <v>1816</v>
      </c>
      <c r="I808" s="22" t="s">
        <v>2202</v>
      </c>
      <c r="J808" s="22"/>
      <c r="K808" s="22"/>
    </row>
    <row r="809" spans="1:11" x14ac:dyDescent="0.25">
      <c r="A809" s="22" t="s">
        <v>2204</v>
      </c>
      <c r="B809" s="22" t="s">
        <v>201</v>
      </c>
      <c r="C809" s="22" t="s">
        <v>202</v>
      </c>
      <c r="D809" s="22" t="s">
        <v>2203</v>
      </c>
      <c r="E809" s="22" t="s">
        <v>57</v>
      </c>
      <c r="F809" s="23">
        <v>-42200</v>
      </c>
      <c r="G809" s="24">
        <v>44105</v>
      </c>
      <c r="H809" s="22" t="s">
        <v>1816</v>
      </c>
      <c r="I809" s="22" t="s">
        <v>2202</v>
      </c>
      <c r="J809" s="22"/>
      <c r="K809" s="22"/>
    </row>
    <row r="810" spans="1:11" x14ac:dyDescent="0.25">
      <c r="A810" s="22" t="s">
        <v>2206</v>
      </c>
      <c r="B810" s="22" t="s">
        <v>201</v>
      </c>
      <c r="C810" s="22" t="s">
        <v>202</v>
      </c>
      <c r="D810" s="22" t="s">
        <v>2205</v>
      </c>
      <c r="E810" s="22" t="s">
        <v>57</v>
      </c>
      <c r="F810" s="23">
        <v>-23000</v>
      </c>
      <c r="G810" s="24">
        <v>44105</v>
      </c>
      <c r="H810" s="22" t="s">
        <v>1816</v>
      </c>
      <c r="I810" s="22" t="s">
        <v>2202</v>
      </c>
      <c r="J810" s="22"/>
      <c r="K810" s="22"/>
    </row>
    <row r="811" spans="1:11" x14ac:dyDescent="0.25">
      <c r="A811" s="22" t="s">
        <v>1817</v>
      </c>
      <c r="B811" s="22" t="s">
        <v>201</v>
      </c>
      <c r="C811" s="22" t="s">
        <v>202</v>
      </c>
      <c r="D811" s="22" t="s">
        <v>1816</v>
      </c>
      <c r="E811" s="22" t="s">
        <v>45</v>
      </c>
      <c r="F811" s="23">
        <v>-729176</v>
      </c>
      <c r="G811" s="24">
        <v>44301</v>
      </c>
      <c r="H811" s="22" t="s">
        <v>1816</v>
      </c>
      <c r="I811" s="22"/>
      <c r="J811" s="22"/>
      <c r="K811" s="22"/>
    </row>
    <row r="812" spans="1:11" x14ac:dyDescent="0.25">
      <c r="A812" s="22" t="s">
        <v>2208</v>
      </c>
      <c r="B812" s="22" t="s">
        <v>201</v>
      </c>
      <c r="C812" s="22" t="s">
        <v>202</v>
      </c>
      <c r="D812" s="22" t="s">
        <v>2207</v>
      </c>
      <c r="E812" s="22" t="s">
        <v>57</v>
      </c>
      <c r="F812" s="23">
        <v>-177544</v>
      </c>
      <c r="G812" s="24">
        <v>44128</v>
      </c>
      <c r="H812" s="22" t="s">
        <v>1701</v>
      </c>
      <c r="I812" s="22" t="s">
        <v>764</v>
      </c>
      <c r="J812" s="22"/>
      <c r="K812" s="22"/>
    </row>
    <row r="813" spans="1:11" x14ac:dyDescent="0.25">
      <c r="A813" s="22" t="s">
        <v>2210</v>
      </c>
      <c r="B813" s="22" t="s">
        <v>201</v>
      </c>
      <c r="C813" s="22" t="s">
        <v>202</v>
      </c>
      <c r="D813" s="22" t="s">
        <v>2209</v>
      </c>
      <c r="E813" s="22" t="s">
        <v>57</v>
      </c>
      <c r="F813" s="23">
        <v>-1325376</v>
      </c>
      <c r="G813" s="24">
        <v>44113</v>
      </c>
      <c r="H813" s="22" t="s">
        <v>1701</v>
      </c>
      <c r="I813" s="22" t="s">
        <v>2211</v>
      </c>
      <c r="J813" s="22"/>
      <c r="K813" s="22"/>
    </row>
    <row r="814" spans="1:11" x14ac:dyDescent="0.25">
      <c r="A814" s="22" t="s">
        <v>2213</v>
      </c>
      <c r="B814" s="22" t="s">
        <v>201</v>
      </c>
      <c r="C814" s="22" t="s">
        <v>202</v>
      </c>
      <c r="D814" s="22" t="s">
        <v>2212</v>
      </c>
      <c r="E814" s="22" t="s">
        <v>57</v>
      </c>
      <c r="F814" s="23">
        <v>-31700</v>
      </c>
      <c r="G814" s="24">
        <v>44133</v>
      </c>
      <c r="H814" s="22" t="s">
        <v>1701</v>
      </c>
      <c r="I814" s="22" t="s">
        <v>550</v>
      </c>
      <c r="J814" s="22"/>
      <c r="K814" s="22"/>
    </row>
    <row r="815" spans="1:11" x14ac:dyDescent="0.25">
      <c r="A815" s="22" t="s">
        <v>2215</v>
      </c>
      <c r="B815" s="22" t="s">
        <v>201</v>
      </c>
      <c r="C815" s="22" t="s">
        <v>202</v>
      </c>
      <c r="D815" s="22" t="s">
        <v>2214</v>
      </c>
      <c r="E815" s="22" t="s">
        <v>57</v>
      </c>
      <c r="F815" s="23">
        <v>-108300</v>
      </c>
      <c r="G815" s="24">
        <v>44130</v>
      </c>
      <c r="H815" s="22" t="s">
        <v>1701</v>
      </c>
      <c r="I815" s="22" t="s">
        <v>550</v>
      </c>
      <c r="J815" s="22"/>
      <c r="K815" s="22"/>
    </row>
    <row r="816" spans="1:11" x14ac:dyDescent="0.25">
      <c r="A816" s="22" t="s">
        <v>2217</v>
      </c>
      <c r="B816" s="22" t="s">
        <v>201</v>
      </c>
      <c r="C816" s="22" t="s">
        <v>202</v>
      </c>
      <c r="D816" s="22" t="s">
        <v>2216</v>
      </c>
      <c r="E816" s="22" t="s">
        <v>57</v>
      </c>
      <c r="F816" s="23">
        <v>-75000</v>
      </c>
      <c r="G816" s="24">
        <v>44130</v>
      </c>
      <c r="H816" s="22" t="s">
        <v>1701</v>
      </c>
      <c r="I816" s="22" t="s">
        <v>304</v>
      </c>
      <c r="J816" s="22"/>
      <c r="K816" s="22"/>
    </row>
    <row r="817" spans="1:11" x14ac:dyDescent="0.25">
      <c r="A817" s="22" t="s">
        <v>2219</v>
      </c>
      <c r="B817" s="22" t="s">
        <v>201</v>
      </c>
      <c r="C817" s="22" t="s">
        <v>202</v>
      </c>
      <c r="D817" s="22" t="s">
        <v>2218</v>
      </c>
      <c r="E817" s="22" t="s">
        <v>57</v>
      </c>
      <c r="F817" s="23">
        <v>-31700</v>
      </c>
      <c r="G817" s="24">
        <v>44124</v>
      </c>
      <c r="H817" s="22" t="s">
        <v>1701</v>
      </c>
      <c r="I817" s="22" t="s">
        <v>1348</v>
      </c>
      <c r="J817" s="22"/>
      <c r="K817" s="22"/>
    </row>
    <row r="818" spans="1:11" x14ac:dyDescent="0.25">
      <c r="A818" s="22" t="s">
        <v>2221</v>
      </c>
      <c r="B818" s="22" t="s">
        <v>201</v>
      </c>
      <c r="C818" s="22" t="s">
        <v>202</v>
      </c>
      <c r="D818" s="22" t="s">
        <v>2220</v>
      </c>
      <c r="E818" s="22" t="s">
        <v>57</v>
      </c>
      <c r="F818" s="23">
        <v>-35000</v>
      </c>
      <c r="G818" s="24">
        <v>44120</v>
      </c>
      <c r="H818" s="22" t="s">
        <v>1701</v>
      </c>
      <c r="I818" s="22" t="s">
        <v>2222</v>
      </c>
      <c r="J818" s="22"/>
      <c r="K818" s="22"/>
    </row>
    <row r="819" spans="1:11" x14ac:dyDescent="0.25">
      <c r="A819" s="22" t="s">
        <v>2224</v>
      </c>
      <c r="B819" s="22" t="s">
        <v>201</v>
      </c>
      <c r="C819" s="22" t="s">
        <v>202</v>
      </c>
      <c r="D819" s="22" t="s">
        <v>2223</v>
      </c>
      <c r="E819" s="22" t="s">
        <v>57</v>
      </c>
      <c r="F819" s="23">
        <v>-31700</v>
      </c>
      <c r="G819" s="24">
        <v>44112</v>
      </c>
      <c r="H819" s="22" t="s">
        <v>1701</v>
      </c>
      <c r="I819" s="22" t="s">
        <v>2222</v>
      </c>
      <c r="J819" s="22"/>
      <c r="K819" s="22"/>
    </row>
    <row r="820" spans="1:11" x14ac:dyDescent="0.25">
      <c r="A820" s="22" t="s">
        <v>2226</v>
      </c>
      <c r="B820" s="22" t="s">
        <v>201</v>
      </c>
      <c r="C820" s="22" t="s">
        <v>202</v>
      </c>
      <c r="D820" s="22" t="s">
        <v>2225</v>
      </c>
      <c r="E820" s="22" t="s">
        <v>57</v>
      </c>
      <c r="F820" s="23">
        <v>-31700</v>
      </c>
      <c r="G820" s="24">
        <v>44110</v>
      </c>
      <c r="H820" s="22" t="s">
        <v>1701</v>
      </c>
      <c r="I820" s="22" t="s">
        <v>304</v>
      </c>
      <c r="J820" s="22"/>
      <c r="K820" s="22"/>
    </row>
    <row r="821" spans="1:11" x14ac:dyDescent="0.25">
      <c r="A821" s="22" t="s">
        <v>2228</v>
      </c>
      <c r="B821" s="22" t="s">
        <v>201</v>
      </c>
      <c r="C821" s="22" t="s">
        <v>202</v>
      </c>
      <c r="D821" s="22" t="s">
        <v>2227</v>
      </c>
      <c r="E821" s="22" t="s">
        <v>57</v>
      </c>
      <c r="F821" s="23">
        <v>-31700</v>
      </c>
      <c r="G821" s="24">
        <v>44110</v>
      </c>
      <c r="H821" s="22" t="s">
        <v>1701</v>
      </c>
      <c r="I821" s="22" t="s">
        <v>550</v>
      </c>
      <c r="J821" s="22"/>
      <c r="K821" s="22"/>
    </row>
    <row r="822" spans="1:11" x14ac:dyDescent="0.25">
      <c r="A822" s="22" t="s">
        <v>2230</v>
      </c>
      <c r="B822" s="22" t="s">
        <v>201</v>
      </c>
      <c r="C822" s="22" t="s">
        <v>202</v>
      </c>
      <c r="D822" s="22" t="s">
        <v>2229</v>
      </c>
      <c r="E822" s="22" t="s">
        <v>57</v>
      </c>
      <c r="F822" s="23">
        <v>-118600</v>
      </c>
      <c r="G822" s="24">
        <v>44140</v>
      </c>
      <c r="H822" s="22" t="s">
        <v>1701</v>
      </c>
      <c r="I822" s="22" t="s">
        <v>1345</v>
      </c>
      <c r="J822" s="22"/>
      <c r="K822" s="22"/>
    </row>
    <row r="823" spans="1:11" x14ac:dyDescent="0.25">
      <c r="A823" s="22" t="s">
        <v>2232</v>
      </c>
      <c r="B823" s="22" t="s">
        <v>201</v>
      </c>
      <c r="C823" s="22" t="s">
        <v>202</v>
      </c>
      <c r="D823" s="22" t="s">
        <v>2231</v>
      </c>
      <c r="E823" s="22" t="s">
        <v>57</v>
      </c>
      <c r="F823" s="23">
        <v>-18100</v>
      </c>
      <c r="G823" s="24">
        <v>44133</v>
      </c>
      <c r="H823" s="22" t="s">
        <v>1701</v>
      </c>
      <c r="I823" s="22" t="s">
        <v>2233</v>
      </c>
      <c r="J823" s="22"/>
      <c r="K823" s="22"/>
    </row>
    <row r="824" spans="1:11" x14ac:dyDescent="0.25">
      <c r="A824" s="22" t="s">
        <v>2235</v>
      </c>
      <c r="B824" s="22" t="s">
        <v>201</v>
      </c>
      <c r="C824" s="22" t="s">
        <v>202</v>
      </c>
      <c r="D824" s="22" t="s">
        <v>2234</v>
      </c>
      <c r="E824" s="22" t="s">
        <v>57</v>
      </c>
      <c r="F824" s="23">
        <v>-763700</v>
      </c>
      <c r="G824" s="24">
        <v>44133</v>
      </c>
      <c r="H824" s="22" t="s">
        <v>1701</v>
      </c>
      <c r="I824" s="22" t="s">
        <v>2233</v>
      </c>
      <c r="J824" s="22"/>
      <c r="K824" s="22"/>
    </row>
    <row r="825" spans="1:11" x14ac:dyDescent="0.25">
      <c r="A825" s="22" t="s">
        <v>2237</v>
      </c>
      <c r="B825" s="22" t="s">
        <v>201</v>
      </c>
      <c r="C825" s="22" t="s">
        <v>202</v>
      </c>
      <c r="D825" s="22" t="s">
        <v>2236</v>
      </c>
      <c r="E825" s="22" t="s">
        <v>57</v>
      </c>
      <c r="F825" s="23">
        <v>-31700</v>
      </c>
      <c r="G825" s="24">
        <v>44132</v>
      </c>
      <c r="H825" s="22" t="s">
        <v>1701</v>
      </c>
      <c r="I825" s="22" t="s">
        <v>2233</v>
      </c>
      <c r="J825" s="22"/>
      <c r="K825" s="22"/>
    </row>
    <row r="826" spans="1:11" x14ac:dyDescent="0.25">
      <c r="A826" s="22" t="s">
        <v>2239</v>
      </c>
      <c r="B826" s="22" t="s">
        <v>201</v>
      </c>
      <c r="C826" s="22" t="s">
        <v>202</v>
      </c>
      <c r="D826" s="22" t="s">
        <v>2238</v>
      </c>
      <c r="E826" s="22" t="s">
        <v>57</v>
      </c>
      <c r="F826" s="23">
        <v>-42200</v>
      </c>
      <c r="G826" s="24">
        <v>44119</v>
      </c>
      <c r="H826" s="22" t="s">
        <v>1701</v>
      </c>
      <c r="I826" s="22" t="s">
        <v>897</v>
      </c>
      <c r="J826" s="22"/>
      <c r="K826" s="22"/>
    </row>
    <row r="827" spans="1:11" x14ac:dyDescent="0.25">
      <c r="A827" s="22" t="s">
        <v>2241</v>
      </c>
      <c r="B827" s="22" t="s">
        <v>201</v>
      </c>
      <c r="C827" s="22" t="s">
        <v>202</v>
      </c>
      <c r="D827" s="22" t="s">
        <v>2240</v>
      </c>
      <c r="E827" s="22" t="s">
        <v>57</v>
      </c>
      <c r="F827" s="23">
        <v>-28100</v>
      </c>
      <c r="G827" s="24">
        <v>44119</v>
      </c>
      <c r="H827" s="22" t="s">
        <v>1701</v>
      </c>
      <c r="I827" s="22" t="s">
        <v>820</v>
      </c>
      <c r="J827" s="22"/>
      <c r="K827" s="22"/>
    </row>
    <row r="828" spans="1:11" x14ac:dyDescent="0.25">
      <c r="A828" s="22" t="s">
        <v>2243</v>
      </c>
      <c r="B828" s="22" t="s">
        <v>201</v>
      </c>
      <c r="C828" s="22" t="s">
        <v>202</v>
      </c>
      <c r="D828" s="22" t="s">
        <v>2242</v>
      </c>
      <c r="E828" s="22" t="s">
        <v>57</v>
      </c>
      <c r="F828" s="23">
        <v>-35500</v>
      </c>
      <c r="G828" s="24">
        <v>44110</v>
      </c>
      <c r="H828" s="22" t="s">
        <v>1701</v>
      </c>
      <c r="I828" s="22" t="s">
        <v>1802</v>
      </c>
      <c r="J828" s="22"/>
      <c r="K828" s="22"/>
    </row>
    <row r="829" spans="1:11" x14ac:dyDescent="0.25">
      <c r="A829" s="22" t="s">
        <v>2245</v>
      </c>
      <c r="B829" s="22" t="s">
        <v>201</v>
      </c>
      <c r="C829" s="22" t="s">
        <v>202</v>
      </c>
      <c r="D829" s="22" t="s">
        <v>2244</v>
      </c>
      <c r="E829" s="22" t="s">
        <v>57</v>
      </c>
      <c r="F829" s="23">
        <v>-42200</v>
      </c>
      <c r="G829" s="24">
        <v>44106</v>
      </c>
      <c r="H829" s="22" t="s">
        <v>1701</v>
      </c>
      <c r="I829" s="22" t="s">
        <v>511</v>
      </c>
      <c r="J829" s="22"/>
      <c r="K829" s="22"/>
    </row>
    <row r="830" spans="1:11" x14ac:dyDescent="0.25">
      <c r="A830" s="22" t="s">
        <v>728</v>
      </c>
      <c r="B830" s="22" t="s">
        <v>201</v>
      </c>
      <c r="C830" s="22" t="s">
        <v>202</v>
      </c>
      <c r="D830" s="22" t="s">
        <v>2246</v>
      </c>
      <c r="E830" s="22" t="s">
        <v>45</v>
      </c>
      <c r="F830" s="23">
        <v>-13714</v>
      </c>
      <c r="G830" s="24">
        <v>44255</v>
      </c>
      <c r="H830" s="22" t="s">
        <v>1701</v>
      </c>
      <c r="I830" s="22" t="s">
        <v>2247</v>
      </c>
      <c r="J830" s="22"/>
      <c r="K830" s="22"/>
    </row>
    <row r="831" spans="1:11" x14ac:dyDescent="0.25">
      <c r="A831" s="22" t="s">
        <v>1702</v>
      </c>
      <c r="B831" s="22" t="s">
        <v>201</v>
      </c>
      <c r="C831" s="22" t="s">
        <v>202</v>
      </c>
      <c r="D831" s="22" t="s">
        <v>1701</v>
      </c>
      <c r="E831" s="22" t="s">
        <v>45</v>
      </c>
      <c r="F831" s="23">
        <v>-18084526</v>
      </c>
      <c r="G831" s="24">
        <v>44304</v>
      </c>
      <c r="H831" s="22" t="s">
        <v>1701</v>
      </c>
      <c r="I831" s="22"/>
      <c r="J831" s="22"/>
      <c r="K831" s="22"/>
    </row>
    <row r="832" spans="1:11" x14ac:dyDescent="0.25">
      <c r="A832" s="22" t="s">
        <v>2256</v>
      </c>
      <c r="B832" s="22" t="s">
        <v>201</v>
      </c>
      <c r="C832" s="22" t="s">
        <v>202</v>
      </c>
      <c r="D832" s="22" t="s">
        <v>2255</v>
      </c>
      <c r="E832" s="22" t="s">
        <v>57</v>
      </c>
      <c r="F832" s="23">
        <v>-87500</v>
      </c>
      <c r="G832" s="24">
        <v>44265</v>
      </c>
      <c r="H832" s="22" t="s">
        <v>2254</v>
      </c>
      <c r="I832" s="22" t="s">
        <v>637</v>
      </c>
      <c r="J832" s="22"/>
      <c r="K832" s="22"/>
    </row>
    <row r="833" spans="1:11" x14ac:dyDescent="0.25">
      <c r="A833" s="22" t="s">
        <v>2258</v>
      </c>
      <c r="B833" s="22" t="s">
        <v>201</v>
      </c>
      <c r="C833" s="22" t="s">
        <v>202</v>
      </c>
      <c r="D833" s="22" t="s">
        <v>2257</v>
      </c>
      <c r="E833" s="22" t="s">
        <v>45</v>
      </c>
      <c r="F833" s="23">
        <v>-29283</v>
      </c>
      <c r="G833" s="24">
        <v>44259</v>
      </c>
      <c r="H833" s="22" t="s">
        <v>2254</v>
      </c>
      <c r="I833" s="22" t="s">
        <v>2259</v>
      </c>
      <c r="J833" s="22"/>
      <c r="K833" s="22"/>
    </row>
    <row r="834" spans="1:11" x14ac:dyDescent="0.25">
      <c r="A834" s="22" t="s">
        <v>2261</v>
      </c>
      <c r="B834" s="22" t="s">
        <v>201</v>
      </c>
      <c r="C834" s="22" t="s">
        <v>202</v>
      </c>
      <c r="D834" s="22" t="s">
        <v>2260</v>
      </c>
      <c r="E834" s="22" t="s">
        <v>57</v>
      </c>
      <c r="F834" s="23">
        <v>-174100</v>
      </c>
      <c r="G834" s="24">
        <v>44285</v>
      </c>
      <c r="H834" s="22" t="s">
        <v>2254</v>
      </c>
      <c r="I834" s="22" t="s">
        <v>2262</v>
      </c>
      <c r="J834" s="22"/>
      <c r="K834" s="22"/>
    </row>
    <row r="835" spans="1:11" x14ac:dyDescent="0.25">
      <c r="A835" s="22" t="s">
        <v>2261</v>
      </c>
      <c r="B835" s="22" t="s">
        <v>201</v>
      </c>
      <c r="C835" s="22" t="s">
        <v>202</v>
      </c>
      <c r="D835" s="22" t="s">
        <v>2254</v>
      </c>
      <c r="E835" s="22" t="s">
        <v>45</v>
      </c>
      <c r="F835" s="23">
        <v>-18657</v>
      </c>
      <c r="G835" s="24">
        <v>44285</v>
      </c>
      <c r="H835" s="22" t="s">
        <v>2254</v>
      </c>
      <c r="I835" s="22"/>
      <c r="J835" s="22"/>
      <c r="K835" s="22"/>
    </row>
    <row r="836" spans="1:11" x14ac:dyDescent="0.25">
      <c r="A836" s="22" t="s">
        <v>2258</v>
      </c>
      <c r="B836" s="22" t="s">
        <v>201</v>
      </c>
      <c r="C836" s="22" t="s">
        <v>202</v>
      </c>
      <c r="D836" s="22" t="s">
        <v>2265</v>
      </c>
      <c r="E836" s="22" t="s">
        <v>57</v>
      </c>
      <c r="F836" s="23">
        <v>-56133</v>
      </c>
      <c r="G836" s="24">
        <v>44259</v>
      </c>
      <c r="H836" s="22" t="s">
        <v>2257</v>
      </c>
      <c r="I836" s="22" t="s">
        <v>2266</v>
      </c>
      <c r="J836" s="22"/>
      <c r="K836" s="22"/>
    </row>
    <row r="837" spans="1:11" x14ac:dyDescent="0.25">
      <c r="A837" s="22" t="s">
        <v>2258</v>
      </c>
      <c r="B837" s="22" t="s">
        <v>201</v>
      </c>
      <c r="C837" s="22" t="s">
        <v>202</v>
      </c>
      <c r="D837" s="22" t="s">
        <v>2257</v>
      </c>
      <c r="E837" s="22" t="s">
        <v>45</v>
      </c>
      <c r="F837" s="23">
        <v>-26850</v>
      </c>
      <c r="G837" s="24">
        <v>44259</v>
      </c>
      <c r="H837" s="22" t="s">
        <v>2257</v>
      </c>
      <c r="I837" s="22"/>
      <c r="J837" s="22"/>
      <c r="K837" s="22"/>
    </row>
    <row r="838" spans="1:11" x14ac:dyDescent="0.25">
      <c r="A838" s="22" t="s">
        <v>2271</v>
      </c>
      <c r="B838" s="22" t="s">
        <v>201</v>
      </c>
      <c r="C838" s="22" t="s">
        <v>202</v>
      </c>
      <c r="D838" s="22" t="s">
        <v>2270</v>
      </c>
      <c r="E838" s="22" t="s">
        <v>57</v>
      </c>
      <c r="F838" s="23">
        <v>-32700</v>
      </c>
      <c r="G838" s="24">
        <v>44280</v>
      </c>
      <c r="H838" s="22" t="s">
        <v>2269</v>
      </c>
      <c r="I838" s="22" t="s">
        <v>890</v>
      </c>
      <c r="J838" s="22"/>
      <c r="K838" s="22"/>
    </row>
    <row r="839" spans="1:11" x14ac:dyDescent="0.25">
      <c r="A839" s="22" t="s">
        <v>2273</v>
      </c>
      <c r="B839" s="22" t="s">
        <v>201</v>
      </c>
      <c r="C839" s="22" t="s">
        <v>202</v>
      </c>
      <c r="D839" s="22" t="s">
        <v>2272</v>
      </c>
      <c r="E839" s="22" t="s">
        <v>57</v>
      </c>
      <c r="F839" s="23">
        <v>-6600</v>
      </c>
      <c r="G839" s="24">
        <v>44259</v>
      </c>
      <c r="H839" s="22" t="s">
        <v>2269</v>
      </c>
      <c r="I839" s="22" t="s">
        <v>2059</v>
      </c>
      <c r="J839" s="22"/>
      <c r="K839" s="22"/>
    </row>
    <row r="840" spans="1:11" x14ac:dyDescent="0.25">
      <c r="A840" s="22" t="s">
        <v>2275</v>
      </c>
      <c r="B840" s="22" t="s">
        <v>201</v>
      </c>
      <c r="C840" s="22" t="s">
        <v>202</v>
      </c>
      <c r="D840" s="22" t="s">
        <v>2274</v>
      </c>
      <c r="E840" s="22" t="s">
        <v>45</v>
      </c>
      <c r="F840" s="23">
        <v>-5750</v>
      </c>
      <c r="G840" s="24">
        <v>44126</v>
      </c>
      <c r="H840" s="22" t="s">
        <v>2269</v>
      </c>
      <c r="I840" s="22" t="s">
        <v>2276</v>
      </c>
      <c r="J840" s="22"/>
      <c r="K840" s="22"/>
    </row>
    <row r="841" spans="1:11" x14ac:dyDescent="0.25">
      <c r="A841" s="22" t="s">
        <v>2278</v>
      </c>
      <c r="B841" s="22" t="s">
        <v>201</v>
      </c>
      <c r="C841" s="22" t="s">
        <v>202</v>
      </c>
      <c r="D841" s="22" t="s">
        <v>2277</v>
      </c>
      <c r="E841" s="22" t="s">
        <v>57</v>
      </c>
      <c r="F841" s="23">
        <v>-42200</v>
      </c>
      <c r="G841" s="24">
        <v>44118</v>
      </c>
      <c r="H841" s="22" t="s">
        <v>2269</v>
      </c>
      <c r="I841" s="22" t="s">
        <v>2279</v>
      </c>
      <c r="J841" s="22"/>
      <c r="K841" s="22"/>
    </row>
    <row r="842" spans="1:11" x14ac:dyDescent="0.25">
      <c r="A842" s="22" t="s">
        <v>2271</v>
      </c>
      <c r="B842" s="22" t="s">
        <v>201</v>
      </c>
      <c r="C842" s="22" t="s">
        <v>202</v>
      </c>
      <c r="D842" s="22" t="s">
        <v>2269</v>
      </c>
      <c r="E842" s="22" t="s">
        <v>45</v>
      </c>
      <c r="F842" s="23">
        <v>-84752</v>
      </c>
      <c r="G842" s="24">
        <v>44280</v>
      </c>
      <c r="H842" s="22" t="s">
        <v>2269</v>
      </c>
      <c r="I842" s="22"/>
      <c r="J842" s="22"/>
      <c r="K842" s="22"/>
    </row>
    <row r="843" spans="1:11" x14ac:dyDescent="0.25">
      <c r="A843" s="22" t="s">
        <v>2275</v>
      </c>
      <c r="B843" s="22" t="s">
        <v>201</v>
      </c>
      <c r="C843" s="22" t="s">
        <v>202</v>
      </c>
      <c r="D843" s="22" t="s">
        <v>2282</v>
      </c>
      <c r="E843" s="22" t="s">
        <v>57</v>
      </c>
      <c r="F843" s="23">
        <v>-31700</v>
      </c>
      <c r="G843" s="24">
        <v>44126</v>
      </c>
      <c r="H843" s="22" t="s">
        <v>2274</v>
      </c>
      <c r="I843" s="22" t="s">
        <v>2283</v>
      </c>
      <c r="J843" s="22"/>
      <c r="K843" s="22"/>
    </row>
    <row r="844" spans="1:11" x14ac:dyDescent="0.25">
      <c r="A844" s="22" t="s">
        <v>2275</v>
      </c>
      <c r="B844" s="22" t="s">
        <v>201</v>
      </c>
      <c r="C844" s="22" t="s">
        <v>202</v>
      </c>
      <c r="D844" s="22" t="s">
        <v>2274</v>
      </c>
      <c r="E844" s="22" t="s">
        <v>45</v>
      </c>
      <c r="F844" s="23">
        <v>-25950</v>
      </c>
      <c r="G844" s="24">
        <v>44126</v>
      </c>
      <c r="H844" s="22" t="s">
        <v>2274</v>
      </c>
      <c r="I844" s="22"/>
      <c r="J844" s="22"/>
      <c r="K844" s="22"/>
    </row>
    <row r="845" spans="1:11" x14ac:dyDescent="0.25">
      <c r="A845" s="22" t="s">
        <v>2251</v>
      </c>
      <c r="B845" s="22" t="s">
        <v>201</v>
      </c>
      <c r="C845" s="22" t="s">
        <v>202</v>
      </c>
      <c r="D845" s="22" t="s">
        <v>2250</v>
      </c>
      <c r="E845" s="22" t="s">
        <v>45</v>
      </c>
      <c r="F845" s="23">
        <v>-172800</v>
      </c>
      <c r="G845" s="24">
        <v>44355</v>
      </c>
      <c r="H845" s="22" t="s">
        <v>2250</v>
      </c>
      <c r="I845" s="22" t="s">
        <v>230</v>
      </c>
      <c r="J845" s="22"/>
      <c r="K845" s="22"/>
    </row>
    <row r="846" spans="1:11" x14ac:dyDescent="0.25">
      <c r="A846" s="22" t="s">
        <v>2288</v>
      </c>
      <c r="B846" s="22" t="s">
        <v>201</v>
      </c>
      <c r="C846" s="22" t="s">
        <v>202</v>
      </c>
      <c r="D846" s="22" t="s">
        <v>2287</v>
      </c>
      <c r="E846" s="22" t="s">
        <v>57</v>
      </c>
      <c r="F846" s="23">
        <v>-31600</v>
      </c>
      <c r="G846" s="24">
        <v>44284</v>
      </c>
      <c r="H846" s="22" t="s">
        <v>2250</v>
      </c>
      <c r="I846" s="22" t="s">
        <v>764</v>
      </c>
      <c r="J846" s="22"/>
      <c r="K846" s="22"/>
    </row>
    <row r="847" spans="1:11" x14ac:dyDescent="0.25">
      <c r="A847" s="22" t="s">
        <v>2290</v>
      </c>
      <c r="B847" s="22" t="s">
        <v>201</v>
      </c>
      <c r="C847" s="22" t="s">
        <v>202</v>
      </c>
      <c r="D847" s="22" t="s">
        <v>2289</v>
      </c>
      <c r="E847" s="22" t="s">
        <v>57</v>
      </c>
      <c r="F847" s="23">
        <v>-32700</v>
      </c>
      <c r="G847" s="24">
        <v>44281</v>
      </c>
      <c r="H847" s="22" t="s">
        <v>2250</v>
      </c>
      <c r="I847" s="22" t="s">
        <v>2291</v>
      </c>
      <c r="J847" s="22"/>
      <c r="K847" s="22"/>
    </row>
    <row r="848" spans="1:11" x14ac:dyDescent="0.25">
      <c r="A848" s="22" t="s">
        <v>2293</v>
      </c>
      <c r="B848" s="22" t="s">
        <v>201</v>
      </c>
      <c r="C848" s="22" t="s">
        <v>202</v>
      </c>
      <c r="D848" s="22" t="s">
        <v>2292</v>
      </c>
      <c r="E848" s="22" t="s">
        <v>57</v>
      </c>
      <c r="F848" s="23">
        <v>-44200</v>
      </c>
      <c r="G848" s="24">
        <v>44270</v>
      </c>
      <c r="H848" s="22" t="s">
        <v>2250</v>
      </c>
      <c r="I848" s="22" t="s">
        <v>2291</v>
      </c>
      <c r="J848" s="22"/>
      <c r="K848" s="22"/>
    </row>
    <row r="849" spans="1:11" x14ac:dyDescent="0.25">
      <c r="A849" s="22" t="s">
        <v>2295</v>
      </c>
      <c r="B849" s="22" t="s">
        <v>201</v>
      </c>
      <c r="C849" s="22" t="s">
        <v>202</v>
      </c>
      <c r="D849" s="22" t="s">
        <v>2294</v>
      </c>
      <c r="E849" s="22" t="s">
        <v>57</v>
      </c>
      <c r="F849" s="23">
        <v>-32700</v>
      </c>
      <c r="G849" s="24">
        <v>44267</v>
      </c>
      <c r="H849" s="22" t="s">
        <v>2250</v>
      </c>
      <c r="I849" s="22" t="s">
        <v>2291</v>
      </c>
      <c r="J849" s="22"/>
      <c r="K849" s="22"/>
    </row>
    <row r="850" spans="1:11" x14ac:dyDescent="0.25">
      <c r="A850" s="22" t="s">
        <v>2297</v>
      </c>
      <c r="B850" s="22" t="s">
        <v>201</v>
      </c>
      <c r="C850" s="22" t="s">
        <v>202</v>
      </c>
      <c r="D850" s="22" t="s">
        <v>2296</v>
      </c>
      <c r="E850" s="22" t="s">
        <v>57</v>
      </c>
      <c r="F850" s="23">
        <v>-53700</v>
      </c>
      <c r="G850" s="24">
        <v>44256</v>
      </c>
      <c r="H850" s="22" t="s">
        <v>2250</v>
      </c>
      <c r="I850" s="22" t="s">
        <v>2291</v>
      </c>
      <c r="J850" s="22"/>
      <c r="K850" s="22"/>
    </row>
    <row r="851" spans="1:11" x14ac:dyDescent="0.25">
      <c r="A851" s="22" t="s">
        <v>2299</v>
      </c>
      <c r="B851" s="22" t="s">
        <v>201</v>
      </c>
      <c r="C851" s="22" t="s">
        <v>202</v>
      </c>
      <c r="D851" s="22" t="s">
        <v>2298</v>
      </c>
      <c r="E851" s="22" t="s">
        <v>57</v>
      </c>
      <c r="F851" s="23">
        <v>-31600</v>
      </c>
      <c r="G851" s="24">
        <v>44271</v>
      </c>
      <c r="H851" s="22" t="s">
        <v>2250</v>
      </c>
      <c r="I851" s="22" t="s">
        <v>711</v>
      </c>
      <c r="J851" s="22"/>
      <c r="K851" s="22"/>
    </row>
    <row r="852" spans="1:11" x14ac:dyDescent="0.25">
      <c r="A852" s="22" t="s">
        <v>2304</v>
      </c>
      <c r="B852" s="22" t="s">
        <v>201</v>
      </c>
      <c r="C852" s="22" t="s">
        <v>202</v>
      </c>
      <c r="D852" s="22" t="s">
        <v>2303</v>
      </c>
      <c r="E852" s="22" t="s">
        <v>57</v>
      </c>
      <c r="F852" s="23">
        <v>-196600</v>
      </c>
      <c r="G852" s="24">
        <v>44314</v>
      </c>
      <c r="H852" s="22" t="s">
        <v>2302</v>
      </c>
      <c r="I852" s="22" t="s">
        <v>1250</v>
      </c>
      <c r="J852" s="22"/>
      <c r="K852" s="22"/>
    </row>
    <row r="853" spans="1:11" x14ac:dyDescent="0.25">
      <c r="A853" s="22" t="s">
        <v>2306</v>
      </c>
      <c r="B853" s="22" t="s">
        <v>201</v>
      </c>
      <c r="C853" s="22" t="s">
        <v>202</v>
      </c>
      <c r="D853" s="22" t="s">
        <v>2305</v>
      </c>
      <c r="E853" s="22" t="s">
        <v>57</v>
      </c>
      <c r="F853" s="23">
        <v>-104507</v>
      </c>
      <c r="G853" s="24">
        <v>44282</v>
      </c>
      <c r="H853" s="22" t="s">
        <v>2302</v>
      </c>
      <c r="I853" s="22" t="s">
        <v>2059</v>
      </c>
      <c r="J853" s="22"/>
      <c r="K853" s="22"/>
    </row>
    <row r="854" spans="1:11" x14ac:dyDescent="0.25">
      <c r="A854" s="22" t="s">
        <v>2308</v>
      </c>
      <c r="B854" s="22" t="s">
        <v>201</v>
      </c>
      <c r="C854" s="22" t="s">
        <v>202</v>
      </c>
      <c r="D854" s="22" t="s">
        <v>2307</v>
      </c>
      <c r="E854" s="22" t="s">
        <v>57</v>
      </c>
      <c r="F854" s="23">
        <v>-151089</v>
      </c>
      <c r="G854" s="24">
        <v>44267</v>
      </c>
      <c r="H854" s="22" t="s">
        <v>2302</v>
      </c>
      <c r="I854" s="22" t="s">
        <v>2059</v>
      </c>
      <c r="J854" s="22"/>
      <c r="K854" s="22"/>
    </row>
    <row r="855" spans="1:11" x14ac:dyDescent="0.25">
      <c r="A855" s="22" t="s">
        <v>2310</v>
      </c>
      <c r="B855" s="22" t="s">
        <v>201</v>
      </c>
      <c r="C855" s="22" t="s">
        <v>202</v>
      </c>
      <c r="D855" s="22" t="s">
        <v>2309</v>
      </c>
      <c r="E855" s="22" t="s">
        <v>57</v>
      </c>
      <c r="F855" s="23">
        <v>-845492</v>
      </c>
      <c r="G855" s="24">
        <v>44291</v>
      </c>
      <c r="H855" s="22" t="s">
        <v>2302</v>
      </c>
      <c r="I855" s="22" t="s">
        <v>2262</v>
      </c>
      <c r="J855" s="22"/>
      <c r="K855" s="22"/>
    </row>
    <row r="856" spans="1:11" x14ac:dyDescent="0.25">
      <c r="A856" s="22" t="s">
        <v>2312</v>
      </c>
      <c r="B856" s="22" t="s">
        <v>201</v>
      </c>
      <c r="C856" s="22" t="s">
        <v>202</v>
      </c>
      <c r="D856" s="22" t="s">
        <v>2311</v>
      </c>
      <c r="E856" s="22" t="s">
        <v>57</v>
      </c>
      <c r="F856" s="23">
        <v>-485238</v>
      </c>
      <c r="G856" s="24">
        <v>44285</v>
      </c>
      <c r="H856" s="22" t="s">
        <v>2302</v>
      </c>
      <c r="I856" s="22" t="s">
        <v>2313</v>
      </c>
      <c r="J856" s="22"/>
      <c r="K856" s="22"/>
    </row>
    <row r="857" spans="1:11" x14ac:dyDescent="0.25">
      <c r="A857" s="22" t="s">
        <v>2315</v>
      </c>
      <c r="B857" s="22" t="s">
        <v>201</v>
      </c>
      <c r="C857" s="22" t="s">
        <v>202</v>
      </c>
      <c r="D857" s="22" t="s">
        <v>2314</v>
      </c>
      <c r="E857" s="22" t="s">
        <v>57</v>
      </c>
      <c r="F857" s="23">
        <v>-288788</v>
      </c>
      <c r="G857" s="24">
        <v>44282</v>
      </c>
      <c r="H857" s="22" t="s">
        <v>2302</v>
      </c>
      <c r="I857" s="22" t="s">
        <v>2316</v>
      </c>
      <c r="J857" s="22"/>
      <c r="K857" s="22"/>
    </row>
    <row r="858" spans="1:11" x14ac:dyDescent="0.25">
      <c r="A858" s="22" t="s">
        <v>2318</v>
      </c>
      <c r="B858" s="22" t="s">
        <v>201</v>
      </c>
      <c r="C858" s="22" t="s">
        <v>202</v>
      </c>
      <c r="D858" s="22" t="s">
        <v>2317</v>
      </c>
      <c r="E858" s="22" t="s">
        <v>57</v>
      </c>
      <c r="F858" s="23">
        <v>-54657</v>
      </c>
      <c r="G858" s="24">
        <v>44281</v>
      </c>
      <c r="H858" s="22" t="s">
        <v>2302</v>
      </c>
      <c r="I858" s="22" t="s">
        <v>2316</v>
      </c>
      <c r="J858" s="22"/>
      <c r="K858" s="22"/>
    </row>
    <row r="859" spans="1:11" x14ac:dyDescent="0.25">
      <c r="A859" s="22" t="s">
        <v>2320</v>
      </c>
      <c r="B859" s="22" t="s">
        <v>201</v>
      </c>
      <c r="C859" s="22" t="s">
        <v>202</v>
      </c>
      <c r="D859" s="22" t="s">
        <v>2319</v>
      </c>
      <c r="E859" s="22" t="s">
        <v>57</v>
      </c>
      <c r="F859" s="23">
        <v>-143100</v>
      </c>
      <c r="G859" s="24">
        <v>44257</v>
      </c>
      <c r="H859" s="22" t="s">
        <v>2302</v>
      </c>
      <c r="I859" s="22" t="s">
        <v>2059</v>
      </c>
      <c r="J859" s="22"/>
      <c r="K859" s="22"/>
    </row>
    <row r="860" spans="1:11" x14ac:dyDescent="0.25">
      <c r="A860" s="22" t="s">
        <v>2322</v>
      </c>
      <c r="B860" s="22" t="s">
        <v>201</v>
      </c>
      <c r="C860" s="22" t="s">
        <v>202</v>
      </c>
      <c r="D860" s="22" t="s">
        <v>2321</v>
      </c>
      <c r="E860" s="22" t="s">
        <v>57</v>
      </c>
      <c r="F860" s="23">
        <v>-104900</v>
      </c>
      <c r="G860" s="24">
        <v>44105</v>
      </c>
      <c r="H860" s="22" t="s">
        <v>2302</v>
      </c>
      <c r="I860" s="22" t="s">
        <v>2279</v>
      </c>
      <c r="J860" s="22"/>
      <c r="K860" s="22"/>
    </row>
    <row r="861" spans="1:11" x14ac:dyDescent="0.25">
      <c r="A861" s="22" t="s">
        <v>2324</v>
      </c>
      <c r="B861" s="22" t="s">
        <v>201</v>
      </c>
      <c r="C861" s="22" t="s">
        <v>202</v>
      </c>
      <c r="D861" s="22" t="s">
        <v>2323</v>
      </c>
      <c r="E861" s="22" t="s">
        <v>57</v>
      </c>
      <c r="F861" s="23">
        <v>-630200</v>
      </c>
      <c r="G861" s="24">
        <v>44105</v>
      </c>
      <c r="H861" s="22" t="s">
        <v>2302</v>
      </c>
      <c r="I861" s="22" t="s">
        <v>2279</v>
      </c>
      <c r="J861" s="22"/>
      <c r="K861" s="22"/>
    </row>
    <row r="862" spans="1:11" x14ac:dyDescent="0.25">
      <c r="A862" s="22" t="s">
        <v>2326</v>
      </c>
      <c r="B862" s="22" t="s">
        <v>201</v>
      </c>
      <c r="C862" s="22" t="s">
        <v>202</v>
      </c>
      <c r="D862" s="22" t="s">
        <v>2325</v>
      </c>
      <c r="E862" s="22" t="s">
        <v>57</v>
      </c>
      <c r="F862" s="23">
        <v>-9800</v>
      </c>
      <c r="G862" s="24">
        <v>44105</v>
      </c>
      <c r="H862" s="22" t="s">
        <v>2302</v>
      </c>
      <c r="I862" s="22" t="s">
        <v>2279</v>
      </c>
      <c r="J862" s="22"/>
      <c r="K862" s="22"/>
    </row>
    <row r="863" spans="1:11" x14ac:dyDescent="0.25">
      <c r="A863" s="22" t="s">
        <v>2301</v>
      </c>
      <c r="B863" s="22" t="s">
        <v>201</v>
      </c>
      <c r="C863" s="22" t="s">
        <v>202</v>
      </c>
      <c r="D863" s="22" t="s">
        <v>2302</v>
      </c>
      <c r="E863" s="22" t="s">
        <v>45</v>
      </c>
      <c r="F863" s="23">
        <v>-38871119</v>
      </c>
      <c r="G863" s="24">
        <v>44214</v>
      </c>
      <c r="H863" s="22" t="s">
        <v>2302</v>
      </c>
      <c r="I863" s="22"/>
      <c r="J863" s="22"/>
      <c r="K863" s="22"/>
    </row>
    <row r="864" spans="1:11" x14ac:dyDescent="0.25">
      <c r="A864" s="22" t="s">
        <v>2328</v>
      </c>
      <c r="B864" s="22" t="s">
        <v>201</v>
      </c>
      <c r="C864" s="22" t="s">
        <v>202</v>
      </c>
      <c r="D864" s="22" t="s">
        <v>2327</v>
      </c>
      <c r="E864" s="22" t="s">
        <v>57</v>
      </c>
      <c r="F864" s="23">
        <v>-16700</v>
      </c>
      <c r="G864" s="24">
        <v>44441</v>
      </c>
      <c r="H864" s="22" t="s">
        <v>744</v>
      </c>
      <c r="I864" s="22" t="s">
        <v>2329</v>
      </c>
      <c r="J864" s="22"/>
      <c r="K864" s="22"/>
    </row>
    <row r="865" spans="1:11" x14ac:dyDescent="0.25">
      <c r="A865" s="22" t="s">
        <v>2331</v>
      </c>
      <c r="B865" s="22" t="s">
        <v>201</v>
      </c>
      <c r="C865" s="22" t="s">
        <v>202</v>
      </c>
      <c r="D865" s="22" t="s">
        <v>2330</v>
      </c>
      <c r="E865" s="22" t="s">
        <v>57</v>
      </c>
      <c r="F865" s="23">
        <v>-8300</v>
      </c>
      <c r="G865" s="24">
        <v>44447</v>
      </c>
      <c r="H865" s="22" t="s">
        <v>744</v>
      </c>
      <c r="I865" s="22" t="s">
        <v>802</v>
      </c>
      <c r="J865" s="22"/>
      <c r="K865" s="22"/>
    </row>
    <row r="866" spans="1:11" x14ac:dyDescent="0.25">
      <c r="A866" s="22" t="s">
        <v>2333</v>
      </c>
      <c r="B866" s="22" t="s">
        <v>201</v>
      </c>
      <c r="C866" s="22" t="s">
        <v>202</v>
      </c>
      <c r="D866" s="22" t="s">
        <v>2332</v>
      </c>
      <c r="E866" s="22" t="s">
        <v>57</v>
      </c>
      <c r="F866" s="23">
        <v>-8300</v>
      </c>
      <c r="G866" s="24">
        <v>44447</v>
      </c>
      <c r="H866" s="22" t="s">
        <v>744</v>
      </c>
      <c r="I866" s="22" t="s">
        <v>478</v>
      </c>
      <c r="J866" s="22"/>
      <c r="K866" s="22"/>
    </row>
    <row r="867" spans="1:11" x14ac:dyDescent="0.25">
      <c r="A867" s="22" t="s">
        <v>2338</v>
      </c>
      <c r="B867" s="22" t="s">
        <v>201</v>
      </c>
      <c r="C867" s="22" t="s">
        <v>202</v>
      </c>
      <c r="D867" s="22" t="s">
        <v>2337</v>
      </c>
      <c r="E867" s="22" t="s">
        <v>57</v>
      </c>
      <c r="F867" s="23">
        <v>-29200</v>
      </c>
      <c r="G867" s="24">
        <v>44435</v>
      </c>
      <c r="H867" s="22" t="s">
        <v>2336</v>
      </c>
      <c r="I867" s="22" t="s">
        <v>559</v>
      </c>
      <c r="J867" s="22"/>
      <c r="K867" s="22"/>
    </row>
    <row r="868" spans="1:11" x14ac:dyDescent="0.25">
      <c r="A868" s="22" t="s">
        <v>2340</v>
      </c>
      <c r="B868" s="22" t="s">
        <v>201</v>
      </c>
      <c r="C868" s="22" t="s">
        <v>202</v>
      </c>
      <c r="D868" s="22" t="s">
        <v>2339</v>
      </c>
      <c r="E868" s="22" t="s">
        <v>57</v>
      </c>
      <c r="F868" s="23">
        <v>-29200</v>
      </c>
      <c r="G868" s="24">
        <v>44431</v>
      </c>
      <c r="H868" s="22" t="s">
        <v>2336</v>
      </c>
      <c r="I868" s="22" t="s">
        <v>483</v>
      </c>
      <c r="J868" s="22"/>
      <c r="K868" s="22"/>
    </row>
    <row r="869" spans="1:11" x14ac:dyDescent="0.25">
      <c r="A869" s="22" t="s">
        <v>2342</v>
      </c>
      <c r="B869" s="22" t="s">
        <v>201</v>
      </c>
      <c r="C869" s="22" t="s">
        <v>202</v>
      </c>
      <c r="D869" s="22" t="s">
        <v>2341</v>
      </c>
      <c r="E869" s="22" t="s">
        <v>57</v>
      </c>
      <c r="F869" s="23">
        <v>-29200</v>
      </c>
      <c r="G869" s="24">
        <v>44453</v>
      </c>
      <c r="H869" s="22" t="s">
        <v>744</v>
      </c>
      <c r="I869" s="22" t="s">
        <v>550</v>
      </c>
      <c r="J869" s="22"/>
      <c r="K869" s="22"/>
    </row>
    <row r="870" spans="1:11" x14ac:dyDescent="0.25">
      <c r="A870" s="22" t="s">
        <v>2344</v>
      </c>
      <c r="B870" s="22" t="s">
        <v>201</v>
      </c>
      <c r="C870" s="22" t="s">
        <v>202</v>
      </c>
      <c r="D870" s="22" t="s">
        <v>2343</v>
      </c>
      <c r="E870" s="22" t="s">
        <v>57</v>
      </c>
      <c r="F870" s="23">
        <v>-18700</v>
      </c>
      <c r="G870" s="24">
        <v>44455</v>
      </c>
      <c r="H870" s="22" t="s">
        <v>744</v>
      </c>
      <c r="I870" s="22" t="s">
        <v>802</v>
      </c>
      <c r="J870" s="22"/>
      <c r="K870" s="22"/>
    </row>
    <row r="871" spans="1:11" x14ac:dyDescent="0.25">
      <c r="A871" s="22" t="s">
        <v>2346</v>
      </c>
      <c r="B871" s="22" t="s">
        <v>201</v>
      </c>
      <c r="C871" s="22" t="s">
        <v>202</v>
      </c>
      <c r="D871" s="22" t="s">
        <v>2345</v>
      </c>
      <c r="E871" s="22" t="s">
        <v>57</v>
      </c>
      <c r="F871" s="23">
        <v>-18700</v>
      </c>
      <c r="G871" s="24">
        <v>44455</v>
      </c>
      <c r="H871" s="22" t="s">
        <v>744</v>
      </c>
      <c r="I871" s="22" t="s">
        <v>478</v>
      </c>
      <c r="J871" s="22"/>
      <c r="K871" s="22"/>
    </row>
    <row r="872" spans="1:11" x14ac:dyDescent="0.25">
      <c r="A872" s="22" t="s">
        <v>2348</v>
      </c>
      <c r="B872" s="22" t="s">
        <v>201</v>
      </c>
      <c r="C872" s="22" t="s">
        <v>202</v>
      </c>
      <c r="D872" s="22" t="s">
        <v>2347</v>
      </c>
      <c r="E872" s="22" t="s">
        <v>57</v>
      </c>
      <c r="F872" s="23">
        <v>-34900</v>
      </c>
      <c r="G872" s="24">
        <v>44462</v>
      </c>
      <c r="H872" s="22" t="s">
        <v>744</v>
      </c>
      <c r="I872" s="22" t="s">
        <v>2349</v>
      </c>
      <c r="J872" s="22"/>
      <c r="K872" s="22"/>
    </row>
    <row r="873" spans="1:11" x14ac:dyDescent="0.25">
      <c r="A873" s="22" t="s">
        <v>2351</v>
      </c>
      <c r="B873" s="22" t="s">
        <v>201</v>
      </c>
      <c r="C873" s="22" t="s">
        <v>202</v>
      </c>
      <c r="D873" s="22" t="s">
        <v>2350</v>
      </c>
      <c r="E873" s="22" t="s">
        <v>57</v>
      </c>
      <c r="F873" s="23">
        <v>-772148</v>
      </c>
      <c r="G873" s="24">
        <v>44461</v>
      </c>
      <c r="H873" s="22" t="s">
        <v>744</v>
      </c>
      <c r="I873" s="22" t="s">
        <v>2352</v>
      </c>
      <c r="J873" s="22"/>
      <c r="K873" s="22"/>
    </row>
    <row r="874" spans="1:11" x14ac:dyDescent="0.25">
      <c r="A874" s="22" t="s">
        <v>745</v>
      </c>
      <c r="B874" s="22" t="s">
        <v>201</v>
      </c>
      <c r="C874" s="22" t="s">
        <v>202</v>
      </c>
      <c r="D874" s="22" t="s">
        <v>2353</v>
      </c>
      <c r="E874" s="22" t="s">
        <v>57</v>
      </c>
      <c r="F874" s="23">
        <v>-3248523</v>
      </c>
      <c r="G874" s="24">
        <v>44459</v>
      </c>
      <c r="H874" s="22" t="s">
        <v>744</v>
      </c>
      <c r="I874" s="22" t="s">
        <v>2354</v>
      </c>
      <c r="J874" s="22"/>
      <c r="K874" s="22"/>
    </row>
    <row r="875" spans="1:11" x14ac:dyDescent="0.25">
      <c r="A875" s="22" t="s">
        <v>2356</v>
      </c>
      <c r="B875" s="22" t="s">
        <v>201</v>
      </c>
      <c r="C875" s="22" t="s">
        <v>202</v>
      </c>
      <c r="D875" s="22" t="s">
        <v>2355</v>
      </c>
      <c r="E875" s="22" t="s">
        <v>57</v>
      </c>
      <c r="F875" s="23">
        <v>-29200</v>
      </c>
      <c r="G875" s="24">
        <v>44425</v>
      </c>
      <c r="H875" s="22" t="s">
        <v>2336</v>
      </c>
      <c r="I875" s="22" t="s">
        <v>483</v>
      </c>
      <c r="J875" s="22"/>
      <c r="K875" s="22"/>
    </row>
    <row r="876" spans="1:11" x14ac:dyDescent="0.25">
      <c r="A876" s="22" t="s">
        <v>2358</v>
      </c>
      <c r="B876" s="22" t="s">
        <v>201</v>
      </c>
      <c r="C876" s="22" t="s">
        <v>202</v>
      </c>
      <c r="D876" s="22" t="s">
        <v>2357</v>
      </c>
      <c r="E876" s="22" t="s">
        <v>57</v>
      </c>
      <c r="F876" s="23">
        <v>-41200</v>
      </c>
      <c r="G876" s="24">
        <v>44418</v>
      </c>
      <c r="H876" s="22" t="s">
        <v>2336</v>
      </c>
      <c r="I876" s="22" t="s">
        <v>486</v>
      </c>
      <c r="J876" s="22"/>
      <c r="K876" s="22"/>
    </row>
    <row r="877" spans="1:11" x14ac:dyDescent="0.25">
      <c r="A877" s="22" t="s">
        <v>2360</v>
      </c>
      <c r="B877" s="22" t="s">
        <v>201</v>
      </c>
      <c r="C877" s="22" t="s">
        <v>202</v>
      </c>
      <c r="D877" s="22" t="s">
        <v>2359</v>
      </c>
      <c r="E877" s="22" t="s">
        <v>57</v>
      </c>
      <c r="F877" s="23">
        <v>-36800</v>
      </c>
      <c r="G877" s="24">
        <v>44418</v>
      </c>
      <c r="H877" s="22" t="s">
        <v>2336</v>
      </c>
      <c r="I877" s="22" t="s">
        <v>897</v>
      </c>
      <c r="J877" s="22"/>
      <c r="K877" s="22"/>
    </row>
    <row r="878" spans="1:11" x14ac:dyDescent="0.25">
      <c r="A878" s="22" t="s">
        <v>2362</v>
      </c>
      <c r="B878" s="22" t="s">
        <v>201</v>
      </c>
      <c r="C878" s="22" t="s">
        <v>202</v>
      </c>
      <c r="D878" s="22" t="s">
        <v>2361</v>
      </c>
      <c r="E878" s="22" t="s">
        <v>57</v>
      </c>
      <c r="F878" s="23">
        <v>-32700</v>
      </c>
      <c r="G878" s="24">
        <v>44413</v>
      </c>
      <c r="H878" s="22" t="s">
        <v>2336</v>
      </c>
      <c r="I878" s="22" t="s">
        <v>989</v>
      </c>
      <c r="J878" s="22"/>
      <c r="K878" s="22"/>
    </row>
    <row r="879" spans="1:11" x14ac:dyDescent="0.25">
      <c r="A879" s="22" t="s">
        <v>2364</v>
      </c>
      <c r="B879" s="22" t="s">
        <v>201</v>
      </c>
      <c r="C879" s="22" t="s">
        <v>202</v>
      </c>
      <c r="D879" s="22" t="s">
        <v>2363</v>
      </c>
      <c r="E879" s="22" t="s">
        <v>57</v>
      </c>
      <c r="F879" s="23">
        <v>-53700</v>
      </c>
      <c r="G879" s="24">
        <v>44439</v>
      </c>
      <c r="H879" s="22" t="s">
        <v>2336</v>
      </c>
      <c r="I879" s="22" t="s">
        <v>494</v>
      </c>
      <c r="J879" s="22"/>
      <c r="K879" s="22"/>
    </row>
    <row r="880" spans="1:11" x14ac:dyDescent="0.25">
      <c r="A880" s="22" t="s">
        <v>2366</v>
      </c>
      <c r="B880" s="22" t="s">
        <v>201</v>
      </c>
      <c r="C880" s="22" t="s">
        <v>202</v>
      </c>
      <c r="D880" s="22" t="s">
        <v>2365</v>
      </c>
      <c r="E880" s="22" t="s">
        <v>57</v>
      </c>
      <c r="F880" s="23">
        <v>-54511</v>
      </c>
      <c r="G880" s="24">
        <v>44420</v>
      </c>
      <c r="H880" s="22" t="s">
        <v>2336</v>
      </c>
      <c r="I880" s="22" t="s">
        <v>2367</v>
      </c>
      <c r="J880" s="22"/>
      <c r="K880" s="22"/>
    </row>
    <row r="881" spans="1:11" x14ac:dyDescent="0.25">
      <c r="A881" s="22" t="s">
        <v>2368</v>
      </c>
      <c r="B881" s="22" t="s">
        <v>201</v>
      </c>
      <c r="C881" s="22" t="s">
        <v>202</v>
      </c>
      <c r="D881" s="22" t="s">
        <v>2336</v>
      </c>
      <c r="E881" s="22" t="s">
        <v>45</v>
      </c>
      <c r="F881" s="23">
        <v>-2320387</v>
      </c>
      <c r="G881" s="24">
        <v>44451</v>
      </c>
      <c r="H881" s="22" t="s">
        <v>2336</v>
      </c>
      <c r="I881" s="22"/>
      <c r="J881" s="22"/>
      <c r="K881" s="22"/>
    </row>
    <row r="882" spans="1:11" x14ac:dyDescent="0.25">
      <c r="A882" s="22" t="s">
        <v>2370</v>
      </c>
      <c r="B882" s="22" t="s">
        <v>201</v>
      </c>
      <c r="C882" s="22" t="s">
        <v>202</v>
      </c>
      <c r="D882" s="22" t="s">
        <v>2369</v>
      </c>
      <c r="E882" s="22" t="s">
        <v>57</v>
      </c>
      <c r="F882" s="23">
        <v>-32700</v>
      </c>
      <c r="G882" s="24">
        <v>44469</v>
      </c>
      <c r="H882" s="22" t="s">
        <v>2336</v>
      </c>
      <c r="I882" s="22" t="s">
        <v>1360</v>
      </c>
      <c r="J882" s="22"/>
      <c r="K882" s="22"/>
    </row>
    <row r="883" spans="1:11" x14ac:dyDescent="0.25">
      <c r="A883" s="22" t="s">
        <v>2372</v>
      </c>
      <c r="B883" s="22" t="s">
        <v>201</v>
      </c>
      <c r="C883" s="22" t="s">
        <v>202</v>
      </c>
      <c r="D883" s="22" t="s">
        <v>2371</v>
      </c>
      <c r="E883" s="22" t="s">
        <v>57</v>
      </c>
      <c r="F883" s="23">
        <v>-47200</v>
      </c>
      <c r="G883" s="24">
        <v>44459</v>
      </c>
      <c r="H883" s="22" t="s">
        <v>2336</v>
      </c>
      <c r="I883" s="22" t="s">
        <v>505</v>
      </c>
      <c r="J883" s="22"/>
      <c r="K883" s="22"/>
    </row>
    <row r="884" spans="1:11" x14ac:dyDescent="0.25">
      <c r="A884" s="22" t="s">
        <v>2374</v>
      </c>
      <c r="B884" s="22" t="s">
        <v>201</v>
      </c>
      <c r="C884" s="22" t="s">
        <v>202</v>
      </c>
      <c r="D884" s="22" t="s">
        <v>2373</v>
      </c>
      <c r="E884" s="22" t="s">
        <v>57</v>
      </c>
      <c r="F884" s="23">
        <v>-32700</v>
      </c>
      <c r="G884" s="24">
        <v>44459</v>
      </c>
      <c r="H884" s="22" t="s">
        <v>2336</v>
      </c>
      <c r="I884" s="22" t="s">
        <v>2375</v>
      </c>
      <c r="J884" s="22"/>
      <c r="K884" s="22"/>
    </row>
    <row r="885" spans="1:11" x14ac:dyDescent="0.25">
      <c r="A885" s="22" t="s">
        <v>67</v>
      </c>
      <c r="B885" s="22" t="s">
        <v>201</v>
      </c>
      <c r="C885" s="22" t="s">
        <v>202</v>
      </c>
      <c r="D885" s="22" t="s">
        <v>69</v>
      </c>
      <c r="E885" s="22" t="s">
        <v>57</v>
      </c>
      <c r="F885" s="23">
        <v>-487750</v>
      </c>
      <c r="G885" s="24">
        <v>44449</v>
      </c>
      <c r="H885" s="22" t="s">
        <v>2376</v>
      </c>
      <c r="I885" s="22" t="s">
        <v>2378</v>
      </c>
      <c r="J885" s="22"/>
      <c r="K885" s="22"/>
    </row>
    <row r="886" spans="1:11" x14ac:dyDescent="0.25">
      <c r="A886" s="22" t="s">
        <v>2380</v>
      </c>
      <c r="B886" s="22" t="s">
        <v>201</v>
      </c>
      <c r="C886" s="22" t="s">
        <v>202</v>
      </c>
      <c r="D886" s="22" t="s">
        <v>2379</v>
      </c>
      <c r="E886" s="22" t="s">
        <v>57</v>
      </c>
      <c r="F886" s="23">
        <v>-197223</v>
      </c>
      <c r="G886" s="24">
        <v>44452</v>
      </c>
      <c r="H886" s="22" t="s">
        <v>2376</v>
      </c>
      <c r="I886" s="22" t="s">
        <v>2381</v>
      </c>
      <c r="J886" s="22"/>
      <c r="K886" s="22"/>
    </row>
    <row r="887" spans="1:11" x14ac:dyDescent="0.25">
      <c r="A887" s="22" t="s">
        <v>56</v>
      </c>
      <c r="B887" s="22" t="s">
        <v>201</v>
      </c>
      <c r="C887" s="22" t="s">
        <v>202</v>
      </c>
      <c r="D887" s="22" t="s">
        <v>59</v>
      </c>
      <c r="E887" s="22" t="s">
        <v>57</v>
      </c>
      <c r="F887" s="23">
        <v>-3617847</v>
      </c>
      <c r="G887" s="24">
        <v>44456</v>
      </c>
      <c r="H887" s="22" t="s">
        <v>2376</v>
      </c>
      <c r="I887" s="22" t="s">
        <v>2382</v>
      </c>
      <c r="J887" s="22"/>
      <c r="K887" s="22"/>
    </row>
    <row r="888" spans="1:11" x14ac:dyDescent="0.25">
      <c r="A888" s="22" t="s">
        <v>2386</v>
      </c>
      <c r="B888" s="22" t="s">
        <v>201</v>
      </c>
      <c r="C888" s="22" t="s">
        <v>202</v>
      </c>
      <c r="D888" s="22" t="s">
        <v>2385</v>
      </c>
      <c r="E888" s="22" t="s">
        <v>57</v>
      </c>
      <c r="F888" s="23">
        <v>-10900</v>
      </c>
      <c r="G888" s="24">
        <v>44442</v>
      </c>
      <c r="H888" s="22" t="s">
        <v>744</v>
      </c>
      <c r="I888" s="22" t="s">
        <v>280</v>
      </c>
      <c r="J888" s="22"/>
      <c r="K888" s="22"/>
    </row>
    <row r="889" spans="1:11" x14ac:dyDescent="0.25">
      <c r="A889" s="22" t="s">
        <v>2388</v>
      </c>
      <c r="B889" s="22" t="s">
        <v>201</v>
      </c>
      <c r="C889" s="22" t="s">
        <v>202</v>
      </c>
      <c r="D889" s="22" t="s">
        <v>2387</v>
      </c>
      <c r="E889" s="22" t="s">
        <v>57</v>
      </c>
      <c r="F889" s="23">
        <v>-20200</v>
      </c>
      <c r="G889" s="24">
        <v>44442</v>
      </c>
      <c r="H889" s="22" t="s">
        <v>744</v>
      </c>
      <c r="I889" s="22" t="s">
        <v>280</v>
      </c>
      <c r="J889" s="22"/>
      <c r="K889" s="22"/>
    </row>
    <row r="890" spans="1:11" x14ac:dyDescent="0.25">
      <c r="A890" s="22" t="s">
        <v>2390</v>
      </c>
      <c r="B890" s="22" t="s">
        <v>201</v>
      </c>
      <c r="C890" s="22" t="s">
        <v>202</v>
      </c>
      <c r="D890" s="22" t="s">
        <v>2389</v>
      </c>
      <c r="E890" s="22" t="s">
        <v>57</v>
      </c>
      <c r="F890" s="23">
        <v>-9700</v>
      </c>
      <c r="G890" s="24">
        <v>44438</v>
      </c>
      <c r="H890" s="22" t="s">
        <v>744</v>
      </c>
      <c r="I890" s="22" t="s">
        <v>280</v>
      </c>
      <c r="J890" s="22"/>
      <c r="K890" s="22"/>
    </row>
    <row r="891" spans="1:11" x14ac:dyDescent="0.25">
      <c r="A891" s="22" t="s">
        <v>2392</v>
      </c>
      <c r="B891" s="22" t="s">
        <v>201</v>
      </c>
      <c r="C891" s="22" t="s">
        <v>202</v>
      </c>
      <c r="D891" s="22" t="s">
        <v>2391</v>
      </c>
      <c r="E891" s="22" t="s">
        <v>57</v>
      </c>
      <c r="F891" s="23">
        <v>-32700</v>
      </c>
      <c r="G891" s="24">
        <v>44433</v>
      </c>
      <c r="H891" s="22" t="s">
        <v>744</v>
      </c>
      <c r="I891" s="22" t="s">
        <v>280</v>
      </c>
      <c r="J891" s="22"/>
      <c r="K891" s="22"/>
    </row>
    <row r="892" spans="1:11" x14ac:dyDescent="0.25">
      <c r="A892" s="22" t="s">
        <v>2394</v>
      </c>
      <c r="B892" s="22" t="s">
        <v>201</v>
      </c>
      <c r="C892" s="22" t="s">
        <v>202</v>
      </c>
      <c r="D892" s="22" t="s">
        <v>2393</v>
      </c>
      <c r="E892" s="22" t="s">
        <v>57</v>
      </c>
      <c r="F892" s="23">
        <v>-43700</v>
      </c>
      <c r="G892" s="24">
        <v>44426</v>
      </c>
      <c r="H892" s="22" t="s">
        <v>744</v>
      </c>
      <c r="I892" s="22" t="s">
        <v>280</v>
      </c>
      <c r="J892" s="22"/>
      <c r="K892" s="22"/>
    </row>
    <row r="893" spans="1:11" x14ac:dyDescent="0.25">
      <c r="A893" s="22" t="s">
        <v>2396</v>
      </c>
      <c r="B893" s="22" t="s">
        <v>201</v>
      </c>
      <c r="C893" s="22" t="s">
        <v>202</v>
      </c>
      <c r="D893" s="22" t="s">
        <v>2395</v>
      </c>
      <c r="E893" s="22" t="s">
        <v>57</v>
      </c>
      <c r="F893" s="23">
        <v>-29200</v>
      </c>
      <c r="G893" s="24">
        <v>44419</v>
      </c>
      <c r="H893" s="22" t="s">
        <v>744</v>
      </c>
      <c r="I893" s="22" t="s">
        <v>2397</v>
      </c>
      <c r="J893" s="22"/>
      <c r="K893" s="22"/>
    </row>
    <row r="894" spans="1:11" x14ac:dyDescent="0.25">
      <c r="A894" s="22" t="s">
        <v>2399</v>
      </c>
      <c r="B894" s="22" t="s">
        <v>201</v>
      </c>
      <c r="C894" s="22" t="s">
        <v>202</v>
      </c>
      <c r="D894" s="22" t="s">
        <v>2398</v>
      </c>
      <c r="E894" s="22" t="s">
        <v>57</v>
      </c>
      <c r="F894" s="23">
        <v>-29200</v>
      </c>
      <c r="G894" s="24">
        <v>44419</v>
      </c>
      <c r="H894" s="22" t="s">
        <v>744</v>
      </c>
      <c r="I894" s="22" t="s">
        <v>2400</v>
      </c>
      <c r="J894" s="22"/>
      <c r="K894" s="22"/>
    </row>
    <row r="895" spans="1:11" x14ac:dyDescent="0.25">
      <c r="A895" s="22" t="s">
        <v>2402</v>
      </c>
      <c r="B895" s="22" t="s">
        <v>201</v>
      </c>
      <c r="C895" s="22" t="s">
        <v>202</v>
      </c>
      <c r="D895" s="22" t="s">
        <v>2401</v>
      </c>
      <c r="E895" s="22" t="s">
        <v>57</v>
      </c>
      <c r="F895" s="23">
        <v>-29200</v>
      </c>
      <c r="G895" s="24">
        <v>44414</v>
      </c>
      <c r="H895" s="22" t="s">
        <v>744</v>
      </c>
      <c r="I895" s="22" t="s">
        <v>2403</v>
      </c>
      <c r="J895" s="22"/>
      <c r="K895" s="22"/>
    </row>
    <row r="896" spans="1:11" x14ac:dyDescent="0.25">
      <c r="A896" s="22" t="s">
        <v>2405</v>
      </c>
      <c r="B896" s="22" t="s">
        <v>201</v>
      </c>
      <c r="C896" s="22" t="s">
        <v>202</v>
      </c>
      <c r="D896" s="22" t="s">
        <v>2404</v>
      </c>
      <c r="E896" s="22" t="s">
        <v>57</v>
      </c>
      <c r="F896" s="23">
        <v>-28900</v>
      </c>
      <c r="G896" s="24">
        <v>44413</v>
      </c>
      <c r="H896" s="22" t="s">
        <v>744</v>
      </c>
      <c r="I896" s="22" t="s">
        <v>2406</v>
      </c>
      <c r="J896" s="22"/>
      <c r="K896" s="22"/>
    </row>
    <row r="897" spans="1:11" x14ac:dyDescent="0.25">
      <c r="A897" s="22" t="s">
        <v>2408</v>
      </c>
      <c r="B897" s="22" t="s">
        <v>201</v>
      </c>
      <c r="C897" s="22" t="s">
        <v>202</v>
      </c>
      <c r="D897" s="22" t="s">
        <v>2407</v>
      </c>
      <c r="E897" s="22" t="s">
        <v>57</v>
      </c>
      <c r="F897" s="23">
        <v>-32700</v>
      </c>
      <c r="G897" s="24">
        <v>44431</v>
      </c>
      <c r="H897" s="22" t="s">
        <v>744</v>
      </c>
      <c r="I897" s="22" t="s">
        <v>919</v>
      </c>
      <c r="J897" s="22"/>
      <c r="K897" s="22"/>
    </row>
    <row r="898" spans="1:11" x14ac:dyDescent="0.25">
      <c r="A898" s="22" t="s">
        <v>2410</v>
      </c>
      <c r="B898" s="22" t="s">
        <v>201</v>
      </c>
      <c r="C898" s="22" t="s">
        <v>202</v>
      </c>
      <c r="D898" s="22" t="s">
        <v>2409</v>
      </c>
      <c r="E898" s="22" t="s">
        <v>57</v>
      </c>
      <c r="F898" s="23">
        <v>-119400</v>
      </c>
      <c r="G898" s="24">
        <v>44419</v>
      </c>
      <c r="H898" s="22" t="s">
        <v>744</v>
      </c>
      <c r="I898" s="22" t="s">
        <v>919</v>
      </c>
      <c r="J898" s="22"/>
      <c r="K898" s="22"/>
    </row>
    <row r="899" spans="1:11" x14ac:dyDescent="0.25">
      <c r="A899" s="22" t="s">
        <v>745</v>
      </c>
      <c r="B899" s="22" t="s">
        <v>201</v>
      </c>
      <c r="C899" s="22" t="s">
        <v>202</v>
      </c>
      <c r="D899" s="22" t="s">
        <v>744</v>
      </c>
      <c r="E899" s="22" t="s">
        <v>45</v>
      </c>
      <c r="F899" s="23">
        <v>-6032217</v>
      </c>
      <c r="G899" s="24">
        <v>44459</v>
      </c>
      <c r="H899" s="22" t="s">
        <v>744</v>
      </c>
      <c r="I899" s="22"/>
      <c r="J899" s="22"/>
      <c r="K899" s="22"/>
    </row>
    <row r="900" spans="1:11" x14ac:dyDescent="0.25">
      <c r="A900" s="22" t="s">
        <v>2412</v>
      </c>
      <c r="B900" s="22" t="s">
        <v>201</v>
      </c>
      <c r="C900" s="22" t="s">
        <v>202</v>
      </c>
      <c r="D900" s="22" t="s">
        <v>2411</v>
      </c>
      <c r="E900" s="22" t="s">
        <v>45</v>
      </c>
      <c r="F900" s="23">
        <v>-220633</v>
      </c>
      <c r="G900" s="24">
        <v>44452</v>
      </c>
      <c r="H900" s="22" t="s">
        <v>744</v>
      </c>
      <c r="I900" s="22" t="s">
        <v>1860</v>
      </c>
      <c r="J900" s="22"/>
      <c r="K900" s="22"/>
    </row>
    <row r="901" spans="1:11" x14ac:dyDescent="0.25">
      <c r="A901" s="22" t="s">
        <v>2414</v>
      </c>
      <c r="B901" s="22" t="s">
        <v>201</v>
      </c>
      <c r="C901" s="22" t="s">
        <v>202</v>
      </c>
      <c r="D901" s="22" t="s">
        <v>2413</v>
      </c>
      <c r="E901" s="22" t="s">
        <v>57</v>
      </c>
      <c r="F901" s="23">
        <v>-47200</v>
      </c>
      <c r="G901" s="24">
        <v>44469</v>
      </c>
      <c r="H901" s="22" t="s">
        <v>744</v>
      </c>
      <c r="I901" s="22" t="s">
        <v>2415</v>
      </c>
      <c r="J901" s="22"/>
      <c r="K901" s="22"/>
    </row>
    <row r="902" spans="1:11" x14ac:dyDescent="0.25">
      <c r="A902" s="22" t="s">
        <v>2417</v>
      </c>
      <c r="B902" s="22" t="s">
        <v>201</v>
      </c>
      <c r="C902" s="22" t="s">
        <v>202</v>
      </c>
      <c r="D902" s="22" t="s">
        <v>2416</v>
      </c>
      <c r="E902" s="22" t="s">
        <v>57</v>
      </c>
      <c r="F902" s="23">
        <v>-22300</v>
      </c>
      <c r="G902" s="24">
        <v>44442</v>
      </c>
      <c r="H902" s="22" t="s">
        <v>744</v>
      </c>
      <c r="I902" s="22" t="s">
        <v>2415</v>
      </c>
      <c r="J902" s="22"/>
      <c r="K902" s="22"/>
    </row>
    <row r="903" spans="1:11" x14ac:dyDescent="0.25">
      <c r="A903" s="22" t="s">
        <v>2368</v>
      </c>
      <c r="B903" s="22" t="s">
        <v>201</v>
      </c>
      <c r="C903" s="22" t="s">
        <v>202</v>
      </c>
      <c r="D903" s="22" t="s">
        <v>2336</v>
      </c>
      <c r="E903" s="22" t="s">
        <v>45</v>
      </c>
      <c r="F903" s="23">
        <v>-44668</v>
      </c>
      <c r="G903" s="24">
        <v>44451</v>
      </c>
      <c r="H903" s="22" t="s">
        <v>744</v>
      </c>
      <c r="I903" s="22" t="s">
        <v>2418</v>
      </c>
      <c r="J903" s="22"/>
      <c r="K903" s="22"/>
    </row>
    <row r="904" spans="1:11" x14ac:dyDescent="0.25">
      <c r="A904" s="22" t="s">
        <v>2420</v>
      </c>
      <c r="B904" s="22" t="s">
        <v>201</v>
      </c>
      <c r="C904" s="22" t="s">
        <v>202</v>
      </c>
      <c r="D904" s="22" t="s">
        <v>2419</v>
      </c>
      <c r="E904" s="22" t="s">
        <v>57</v>
      </c>
      <c r="F904" s="23">
        <v>-1171667</v>
      </c>
      <c r="G904" s="24">
        <v>44461</v>
      </c>
      <c r="H904" s="22" t="s">
        <v>744</v>
      </c>
      <c r="I904" s="22" t="s">
        <v>2176</v>
      </c>
      <c r="J904" s="22"/>
      <c r="K904" s="22"/>
    </row>
    <row r="905" spans="1:11" x14ac:dyDescent="0.25">
      <c r="A905" s="22" t="s">
        <v>2422</v>
      </c>
      <c r="B905" s="22" t="s">
        <v>201</v>
      </c>
      <c r="C905" s="22" t="s">
        <v>202</v>
      </c>
      <c r="D905" s="22" t="s">
        <v>2421</v>
      </c>
      <c r="E905" s="22" t="s">
        <v>57</v>
      </c>
      <c r="F905" s="23">
        <v>-9700</v>
      </c>
      <c r="G905" s="24">
        <v>44459</v>
      </c>
      <c r="H905" s="22" t="s">
        <v>2336</v>
      </c>
      <c r="I905" s="22" t="s">
        <v>298</v>
      </c>
      <c r="J905" s="22"/>
      <c r="K905" s="22"/>
    </row>
    <row r="906" spans="1:11" x14ac:dyDescent="0.25">
      <c r="A906" s="22" t="s">
        <v>2426</v>
      </c>
      <c r="B906" s="22" t="s">
        <v>201</v>
      </c>
      <c r="C906" s="22" t="s">
        <v>202</v>
      </c>
      <c r="D906" s="22" t="s">
        <v>2425</v>
      </c>
      <c r="E906" s="22" t="s">
        <v>57</v>
      </c>
      <c r="F906" s="23">
        <v>-471300</v>
      </c>
      <c r="G906" s="24">
        <v>44419</v>
      </c>
      <c r="H906" s="22" t="s">
        <v>2411</v>
      </c>
      <c r="I906" s="22" t="s">
        <v>280</v>
      </c>
      <c r="J906" s="22"/>
      <c r="K906" s="22"/>
    </row>
    <row r="907" spans="1:11" x14ac:dyDescent="0.25">
      <c r="A907" s="22" t="s">
        <v>2428</v>
      </c>
      <c r="B907" s="22" t="s">
        <v>201</v>
      </c>
      <c r="C907" s="22" t="s">
        <v>202</v>
      </c>
      <c r="D907" s="22" t="s">
        <v>2427</v>
      </c>
      <c r="E907" s="22" t="s">
        <v>57</v>
      </c>
      <c r="F907" s="23">
        <v>-207500</v>
      </c>
      <c r="G907" s="24">
        <v>44412</v>
      </c>
      <c r="H907" s="22" t="s">
        <v>2411</v>
      </c>
      <c r="I907" s="22" t="s">
        <v>486</v>
      </c>
      <c r="J907" s="22"/>
      <c r="K907" s="22"/>
    </row>
    <row r="908" spans="1:11" x14ac:dyDescent="0.25">
      <c r="A908" s="22" t="s">
        <v>2430</v>
      </c>
      <c r="B908" s="22" t="s">
        <v>201</v>
      </c>
      <c r="C908" s="22" t="s">
        <v>202</v>
      </c>
      <c r="D908" s="22" t="s">
        <v>2429</v>
      </c>
      <c r="E908" s="22" t="s">
        <v>57</v>
      </c>
      <c r="F908" s="23">
        <v>-293600</v>
      </c>
      <c r="G908" s="24">
        <v>44412</v>
      </c>
      <c r="H908" s="22" t="s">
        <v>2411</v>
      </c>
      <c r="I908" s="22" t="s">
        <v>282</v>
      </c>
      <c r="J908" s="22"/>
      <c r="K908" s="22"/>
    </row>
    <row r="909" spans="1:11" x14ac:dyDescent="0.25">
      <c r="A909" s="22" t="s">
        <v>192</v>
      </c>
      <c r="B909" s="22" t="s">
        <v>201</v>
      </c>
      <c r="C909" s="22" t="s">
        <v>202</v>
      </c>
      <c r="D909" s="22" t="s">
        <v>194</v>
      </c>
      <c r="E909" s="22" t="s">
        <v>57</v>
      </c>
      <c r="F909" s="23">
        <v>-2625484</v>
      </c>
      <c r="G909" s="24">
        <v>44442</v>
      </c>
      <c r="H909" s="22" t="s">
        <v>2411</v>
      </c>
      <c r="I909" s="22" t="s">
        <v>2431</v>
      </c>
      <c r="J909" s="22"/>
      <c r="K909" s="22"/>
    </row>
    <row r="910" spans="1:11" x14ac:dyDescent="0.25">
      <c r="A910" s="22" t="s">
        <v>2433</v>
      </c>
      <c r="B910" s="22" t="s">
        <v>201</v>
      </c>
      <c r="C910" s="22" t="s">
        <v>202</v>
      </c>
      <c r="D910" s="22" t="s">
        <v>2432</v>
      </c>
      <c r="E910" s="22" t="s">
        <v>57</v>
      </c>
      <c r="F910" s="23">
        <v>-1402928</v>
      </c>
      <c r="G910" s="24">
        <v>44438</v>
      </c>
      <c r="H910" s="22" t="s">
        <v>2411</v>
      </c>
      <c r="I910" s="22" t="s">
        <v>2434</v>
      </c>
      <c r="J910" s="22"/>
      <c r="K910" s="22"/>
    </row>
    <row r="911" spans="1:11" x14ac:dyDescent="0.25">
      <c r="A911" s="22" t="s">
        <v>2436</v>
      </c>
      <c r="B911" s="22" t="s">
        <v>201</v>
      </c>
      <c r="C911" s="22" t="s">
        <v>202</v>
      </c>
      <c r="D911" s="22" t="s">
        <v>2435</v>
      </c>
      <c r="E911" s="22" t="s">
        <v>57</v>
      </c>
      <c r="F911" s="23">
        <v>-2459908</v>
      </c>
      <c r="G911" s="24">
        <v>44436</v>
      </c>
      <c r="H911" s="22" t="s">
        <v>2411</v>
      </c>
      <c r="I911" s="22" t="s">
        <v>2437</v>
      </c>
      <c r="J911" s="22"/>
      <c r="K911" s="22"/>
    </row>
    <row r="912" spans="1:11" x14ac:dyDescent="0.25">
      <c r="A912" s="22" t="s">
        <v>2439</v>
      </c>
      <c r="B912" s="22" t="s">
        <v>201</v>
      </c>
      <c r="C912" s="22" t="s">
        <v>202</v>
      </c>
      <c r="D912" s="22" t="s">
        <v>2438</v>
      </c>
      <c r="E912" s="22" t="s">
        <v>57</v>
      </c>
      <c r="F912" s="23">
        <v>-3590455</v>
      </c>
      <c r="G912" s="24">
        <v>44435</v>
      </c>
      <c r="H912" s="22" t="s">
        <v>2411</v>
      </c>
      <c r="I912" s="22" t="s">
        <v>2440</v>
      </c>
      <c r="J912" s="22"/>
      <c r="K912" s="22"/>
    </row>
    <row r="913" spans="1:11" x14ac:dyDescent="0.25">
      <c r="A913" s="22" t="s">
        <v>2442</v>
      </c>
      <c r="B913" s="22" t="s">
        <v>201</v>
      </c>
      <c r="C913" s="22" t="s">
        <v>202</v>
      </c>
      <c r="D913" s="22" t="s">
        <v>2441</v>
      </c>
      <c r="E913" s="22" t="s">
        <v>57</v>
      </c>
      <c r="F913" s="23">
        <v>-1066565</v>
      </c>
      <c r="G913" s="24">
        <v>44435</v>
      </c>
      <c r="H913" s="22" t="s">
        <v>2411</v>
      </c>
      <c r="I913" s="22" t="s">
        <v>2443</v>
      </c>
      <c r="J913" s="22"/>
      <c r="K913" s="22"/>
    </row>
    <row r="914" spans="1:11" x14ac:dyDescent="0.25">
      <c r="A914" s="22" t="s">
        <v>2445</v>
      </c>
      <c r="B914" s="22" t="s">
        <v>201</v>
      </c>
      <c r="C914" s="22" t="s">
        <v>202</v>
      </c>
      <c r="D914" s="22" t="s">
        <v>2444</v>
      </c>
      <c r="E914" s="22" t="s">
        <v>57</v>
      </c>
      <c r="F914" s="23">
        <v>-1226444</v>
      </c>
      <c r="G914" s="24">
        <v>44418</v>
      </c>
      <c r="H914" s="22" t="s">
        <v>2411</v>
      </c>
      <c r="I914" s="22" t="s">
        <v>843</v>
      </c>
      <c r="J914" s="22"/>
      <c r="K914" s="22"/>
    </row>
    <row r="915" spans="1:11" x14ac:dyDescent="0.25">
      <c r="A915" s="22" t="s">
        <v>188</v>
      </c>
      <c r="B915" s="22" t="s">
        <v>201</v>
      </c>
      <c r="C915" s="22" t="s">
        <v>202</v>
      </c>
      <c r="D915" s="22" t="s">
        <v>2446</v>
      </c>
      <c r="E915" s="22" t="s">
        <v>45</v>
      </c>
      <c r="F915" s="23">
        <v>-823154</v>
      </c>
      <c r="G915" s="24">
        <v>44442</v>
      </c>
      <c r="H915" s="22" t="s">
        <v>2411</v>
      </c>
      <c r="I915" s="22" t="s">
        <v>2447</v>
      </c>
      <c r="J915" s="22"/>
      <c r="K915" s="22"/>
    </row>
    <row r="916" spans="1:11" x14ac:dyDescent="0.25">
      <c r="A916" s="22" t="s">
        <v>2449</v>
      </c>
      <c r="B916" s="22" t="s">
        <v>201</v>
      </c>
      <c r="C916" s="22" t="s">
        <v>202</v>
      </c>
      <c r="D916" s="22" t="s">
        <v>2448</v>
      </c>
      <c r="E916" s="22" t="s">
        <v>57</v>
      </c>
      <c r="F916" s="23">
        <v>-165800</v>
      </c>
      <c r="G916" s="24">
        <v>44438</v>
      </c>
      <c r="H916" s="22" t="s">
        <v>2411</v>
      </c>
      <c r="I916" s="22" t="s">
        <v>1006</v>
      </c>
      <c r="J916" s="22"/>
      <c r="K916" s="22"/>
    </row>
    <row r="917" spans="1:11" x14ac:dyDescent="0.25">
      <c r="A917" s="22" t="s">
        <v>2451</v>
      </c>
      <c r="B917" s="22" t="s">
        <v>201</v>
      </c>
      <c r="C917" s="22" t="s">
        <v>202</v>
      </c>
      <c r="D917" s="22" t="s">
        <v>2450</v>
      </c>
      <c r="E917" s="22" t="s">
        <v>57</v>
      </c>
      <c r="F917" s="23">
        <v>-240242</v>
      </c>
      <c r="G917" s="24">
        <v>44433</v>
      </c>
      <c r="H917" s="22" t="s">
        <v>2411</v>
      </c>
      <c r="I917" s="22" t="s">
        <v>1006</v>
      </c>
      <c r="J917" s="22"/>
      <c r="K917" s="22"/>
    </row>
    <row r="918" spans="1:11" x14ac:dyDescent="0.25">
      <c r="A918" s="22" t="s">
        <v>2453</v>
      </c>
      <c r="B918" s="22" t="s">
        <v>201</v>
      </c>
      <c r="C918" s="22" t="s">
        <v>202</v>
      </c>
      <c r="D918" s="22" t="s">
        <v>2452</v>
      </c>
      <c r="E918" s="22" t="s">
        <v>57</v>
      </c>
      <c r="F918" s="23">
        <v>-215700</v>
      </c>
      <c r="G918" s="24">
        <v>44431</v>
      </c>
      <c r="H918" s="22" t="s">
        <v>2411</v>
      </c>
      <c r="I918" s="22" t="s">
        <v>1006</v>
      </c>
      <c r="J918" s="22"/>
      <c r="K918" s="22"/>
    </row>
    <row r="919" spans="1:11" x14ac:dyDescent="0.25">
      <c r="A919" s="22" t="s">
        <v>2455</v>
      </c>
      <c r="B919" s="22" t="s">
        <v>201</v>
      </c>
      <c r="C919" s="22" t="s">
        <v>202</v>
      </c>
      <c r="D919" s="22" t="s">
        <v>2454</v>
      </c>
      <c r="E919" s="22" t="s">
        <v>57</v>
      </c>
      <c r="F919" s="23">
        <v>-103600</v>
      </c>
      <c r="G919" s="24">
        <v>44418</v>
      </c>
      <c r="H919" s="22" t="s">
        <v>2411</v>
      </c>
      <c r="I919" s="22" t="s">
        <v>1707</v>
      </c>
      <c r="J919" s="22"/>
      <c r="K919" s="22"/>
    </row>
    <row r="920" spans="1:11" x14ac:dyDescent="0.25">
      <c r="A920" s="22" t="s">
        <v>2457</v>
      </c>
      <c r="B920" s="22" t="s">
        <v>201</v>
      </c>
      <c r="C920" s="22" t="s">
        <v>202</v>
      </c>
      <c r="D920" s="22" t="s">
        <v>2456</v>
      </c>
      <c r="E920" s="22" t="s">
        <v>57</v>
      </c>
      <c r="F920" s="23">
        <v>-157326</v>
      </c>
      <c r="G920" s="24">
        <v>44410</v>
      </c>
      <c r="H920" s="22" t="s">
        <v>2411</v>
      </c>
      <c r="I920" s="22" t="s">
        <v>2458</v>
      </c>
      <c r="J920" s="22"/>
      <c r="K920" s="22"/>
    </row>
    <row r="921" spans="1:11" x14ac:dyDescent="0.25">
      <c r="A921" s="22" t="s">
        <v>2412</v>
      </c>
      <c r="B921" s="22" t="s">
        <v>201</v>
      </c>
      <c r="C921" s="22" t="s">
        <v>202</v>
      </c>
      <c r="D921" s="22" t="s">
        <v>2411</v>
      </c>
      <c r="E921" s="22" t="s">
        <v>45</v>
      </c>
      <c r="F921" s="23">
        <v>-15282073</v>
      </c>
      <c r="G921" s="24">
        <v>44452</v>
      </c>
      <c r="H921" s="22" t="s">
        <v>2411</v>
      </c>
      <c r="I921" s="22"/>
      <c r="J921" s="22"/>
      <c r="K921" s="22"/>
    </row>
    <row r="922" spans="1:11" x14ac:dyDescent="0.25">
      <c r="A922" s="22" t="s">
        <v>2460</v>
      </c>
      <c r="B922" s="22" t="s">
        <v>201</v>
      </c>
      <c r="C922" s="22" t="s">
        <v>202</v>
      </c>
      <c r="D922" s="22" t="s">
        <v>2459</v>
      </c>
      <c r="E922" s="22" t="s">
        <v>57</v>
      </c>
      <c r="F922" s="23">
        <v>-32700</v>
      </c>
      <c r="G922" s="24">
        <v>44469</v>
      </c>
      <c r="H922" s="22" t="s">
        <v>2411</v>
      </c>
      <c r="I922" s="22" t="s">
        <v>2461</v>
      </c>
      <c r="J922" s="22"/>
      <c r="K922" s="22"/>
    </row>
    <row r="923" spans="1:11" x14ac:dyDescent="0.25">
      <c r="A923" s="22" t="s">
        <v>2412</v>
      </c>
      <c r="B923" s="22" t="s">
        <v>201</v>
      </c>
      <c r="C923" s="22" t="s">
        <v>202</v>
      </c>
      <c r="D923" s="22" t="s">
        <v>2462</v>
      </c>
      <c r="E923" s="22" t="s">
        <v>57</v>
      </c>
      <c r="F923" s="23">
        <v>-420000</v>
      </c>
      <c r="G923" s="24">
        <v>44452</v>
      </c>
      <c r="H923" s="22" t="s">
        <v>2411</v>
      </c>
      <c r="I923" s="22" t="s">
        <v>919</v>
      </c>
      <c r="J923" s="22"/>
      <c r="K923" s="22"/>
    </row>
    <row r="924" spans="1:11" x14ac:dyDescent="0.25">
      <c r="A924" s="22" t="s">
        <v>2466</v>
      </c>
      <c r="B924" s="22" t="s">
        <v>201</v>
      </c>
      <c r="C924" s="22" t="s">
        <v>202</v>
      </c>
      <c r="D924" s="22" t="s">
        <v>2465</v>
      </c>
      <c r="E924" s="22" t="s">
        <v>57</v>
      </c>
      <c r="F924" s="23">
        <v>-255461</v>
      </c>
      <c r="G924" s="24">
        <v>44439</v>
      </c>
      <c r="H924" s="22" t="s">
        <v>724</v>
      </c>
      <c r="I924" s="22" t="s">
        <v>2461</v>
      </c>
      <c r="J924" s="22"/>
      <c r="K924" s="22"/>
    </row>
    <row r="925" spans="1:11" x14ac:dyDescent="0.25">
      <c r="A925" s="22" t="s">
        <v>618</v>
      </c>
      <c r="B925" s="22" t="s">
        <v>201</v>
      </c>
      <c r="C925" s="22" t="s">
        <v>202</v>
      </c>
      <c r="D925" s="22" t="s">
        <v>2467</v>
      </c>
      <c r="E925" s="22" t="s">
        <v>57</v>
      </c>
      <c r="F925" s="23">
        <v>-713206</v>
      </c>
      <c r="G925" s="24">
        <v>44439</v>
      </c>
      <c r="H925" s="22" t="s">
        <v>724</v>
      </c>
      <c r="I925" s="22" t="s">
        <v>2468</v>
      </c>
      <c r="J925" s="22"/>
      <c r="K925" s="22"/>
    </row>
    <row r="926" spans="1:11" x14ac:dyDescent="0.25">
      <c r="A926" s="22" t="s">
        <v>2470</v>
      </c>
      <c r="B926" s="22" t="s">
        <v>201</v>
      </c>
      <c r="C926" s="22" t="s">
        <v>202</v>
      </c>
      <c r="D926" s="22" t="s">
        <v>2469</v>
      </c>
      <c r="E926" s="22" t="s">
        <v>57</v>
      </c>
      <c r="F926" s="23">
        <v>-47200</v>
      </c>
      <c r="G926" s="24">
        <v>44446</v>
      </c>
      <c r="H926" s="22" t="s">
        <v>2336</v>
      </c>
      <c r="I926" s="22" t="s">
        <v>304</v>
      </c>
      <c r="J926" s="22"/>
      <c r="K926" s="22"/>
    </row>
    <row r="927" spans="1:11" x14ac:dyDescent="0.25">
      <c r="A927" s="22" t="s">
        <v>2368</v>
      </c>
      <c r="B927" s="22" t="s">
        <v>201</v>
      </c>
      <c r="C927" s="22" t="s">
        <v>202</v>
      </c>
      <c r="D927" s="22" t="s">
        <v>2471</v>
      </c>
      <c r="E927" s="22" t="s">
        <v>57</v>
      </c>
      <c r="F927" s="23">
        <v>-68733</v>
      </c>
      <c r="G927" s="24">
        <v>44451</v>
      </c>
      <c r="H927" s="22" t="s">
        <v>2336</v>
      </c>
      <c r="I927" s="22" t="s">
        <v>2472</v>
      </c>
      <c r="J927" s="22"/>
      <c r="K927" s="22"/>
    </row>
    <row r="928" spans="1:11" x14ac:dyDescent="0.25">
      <c r="A928" s="22" t="s">
        <v>2474</v>
      </c>
      <c r="B928" s="22" t="s">
        <v>201</v>
      </c>
      <c r="C928" s="22" t="s">
        <v>202</v>
      </c>
      <c r="D928" s="22" t="s">
        <v>2473</v>
      </c>
      <c r="E928" s="22" t="s">
        <v>57</v>
      </c>
      <c r="F928" s="23">
        <v>-54724</v>
      </c>
      <c r="G928" s="24">
        <v>44445</v>
      </c>
      <c r="H928" s="22" t="s">
        <v>2336</v>
      </c>
      <c r="I928" s="22" t="s">
        <v>764</v>
      </c>
      <c r="J928" s="22"/>
      <c r="K928" s="22"/>
    </row>
    <row r="929" spans="1:11" x14ac:dyDescent="0.25">
      <c r="A929" s="22" t="s">
        <v>2476</v>
      </c>
      <c r="B929" s="22" t="s">
        <v>201</v>
      </c>
      <c r="C929" s="22" t="s">
        <v>202</v>
      </c>
      <c r="D929" s="22" t="s">
        <v>2475</v>
      </c>
      <c r="E929" s="22" t="s">
        <v>57</v>
      </c>
      <c r="F929" s="23">
        <v>-28100</v>
      </c>
      <c r="G929" s="24">
        <v>44469</v>
      </c>
      <c r="H929" s="22" t="s">
        <v>2336</v>
      </c>
      <c r="I929" s="22" t="s">
        <v>280</v>
      </c>
      <c r="J929" s="22"/>
      <c r="K929" s="22"/>
    </row>
    <row r="930" spans="1:11" x14ac:dyDescent="0.25">
      <c r="A930" s="22" t="s">
        <v>2478</v>
      </c>
      <c r="B930" s="22" t="s">
        <v>201</v>
      </c>
      <c r="C930" s="22" t="s">
        <v>202</v>
      </c>
      <c r="D930" s="22" t="s">
        <v>2477</v>
      </c>
      <c r="E930" s="22" t="s">
        <v>57</v>
      </c>
      <c r="F930" s="23">
        <v>-43700</v>
      </c>
      <c r="G930" s="24">
        <v>44468</v>
      </c>
      <c r="H930" s="22" t="s">
        <v>2336</v>
      </c>
      <c r="I930" s="22" t="s">
        <v>919</v>
      </c>
      <c r="J930" s="22"/>
      <c r="K930" s="22"/>
    </row>
    <row r="931" spans="1:11" x14ac:dyDescent="0.25">
      <c r="A931" s="22" t="s">
        <v>2480</v>
      </c>
      <c r="B931" s="22" t="s">
        <v>201</v>
      </c>
      <c r="C931" s="22" t="s">
        <v>202</v>
      </c>
      <c r="D931" s="22" t="s">
        <v>2479</v>
      </c>
      <c r="E931" s="22" t="s">
        <v>57</v>
      </c>
      <c r="F931" s="23">
        <v>-43700</v>
      </c>
      <c r="G931" s="24">
        <v>44468</v>
      </c>
      <c r="H931" s="22" t="s">
        <v>2336</v>
      </c>
      <c r="I931" s="22" t="s">
        <v>280</v>
      </c>
      <c r="J931" s="22"/>
      <c r="K931" s="22"/>
    </row>
    <row r="932" spans="1:11" x14ac:dyDescent="0.25">
      <c r="A932" s="22" t="s">
        <v>2482</v>
      </c>
      <c r="B932" s="22" t="s">
        <v>201</v>
      </c>
      <c r="C932" s="22" t="s">
        <v>202</v>
      </c>
      <c r="D932" s="22" t="s">
        <v>2481</v>
      </c>
      <c r="E932" s="22" t="s">
        <v>57</v>
      </c>
      <c r="F932" s="23">
        <v>-29200</v>
      </c>
      <c r="G932" s="24">
        <v>44463</v>
      </c>
      <c r="H932" s="22" t="s">
        <v>2336</v>
      </c>
      <c r="I932" s="22" t="s">
        <v>483</v>
      </c>
      <c r="J932" s="22"/>
      <c r="K932" s="22"/>
    </row>
    <row r="933" spans="1:11" x14ac:dyDescent="0.25">
      <c r="A933" s="22" t="s">
        <v>2484</v>
      </c>
      <c r="B933" s="22" t="s">
        <v>201</v>
      </c>
      <c r="C933" s="22" t="s">
        <v>202</v>
      </c>
      <c r="D933" s="22" t="s">
        <v>2483</v>
      </c>
      <c r="E933" s="22" t="s">
        <v>57</v>
      </c>
      <c r="F933" s="23">
        <v>-29200</v>
      </c>
      <c r="G933" s="24">
        <v>44462</v>
      </c>
      <c r="H933" s="22" t="s">
        <v>2336</v>
      </c>
      <c r="I933" s="22" t="s">
        <v>2485</v>
      </c>
      <c r="J933" s="22"/>
      <c r="K933" s="22"/>
    </row>
    <row r="934" spans="1:11" x14ac:dyDescent="0.25">
      <c r="A934" s="22" t="s">
        <v>2487</v>
      </c>
      <c r="B934" s="22" t="s">
        <v>201</v>
      </c>
      <c r="C934" s="22" t="s">
        <v>202</v>
      </c>
      <c r="D934" s="22" t="s">
        <v>2486</v>
      </c>
      <c r="E934" s="22" t="s">
        <v>57</v>
      </c>
      <c r="F934" s="23">
        <v>-68100</v>
      </c>
      <c r="G934" s="24">
        <v>44461</v>
      </c>
      <c r="H934" s="22" t="s">
        <v>2336</v>
      </c>
      <c r="I934" s="22" t="s">
        <v>280</v>
      </c>
      <c r="J934" s="22"/>
      <c r="K934" s="22"/>
    </row>
    <row r="935" spans="1:11" x14ac:dyDescent="0.25">
      <c r="A935" s="22" t="s">
        <v>2489</v>
      </c>
      <c r="B935" s="22" t="s">
        <v>201</v>
      </c>
      <c r="C935" s="22" t="s">
        <v>202</v>
      </c>
      <c r="D935" s="22" t="s">
        <v>2488</v>
      </c>
      <c r="E935" s="22" t="s">
        <v>57</v>
      </c>
      <c r="F935" s="23">
        <v>-43700</v>
      </c>
      <c r="G935" s="24">
        <v>44452</v>
      </c>
      <c r="H935" s="22" t="s">
        <v>2336</v>
      </c>
      <c r="I935" s="22" t="s">
        <v>550</v>
      </c>
      <c r="J935" s="22"/>
      <c r="K935" s="22"/>
    </row>
    <row r="936" spans="1:11" x14ac:dyDescent="0.25">
      <c r="A936" s="22" t="s">
        <v>2491</v>
      </c>
      <c r="B936" s="22" t="s">
        <v>201</v>
      </c>
      <c r="C936" s="22" t="s">
        <v>202</v>
      </c>
      <c r="D936" s="22" t="s">
        <v>2490</v>
      </c>
      <c r="E936" s="22" t="s">
        <v>57</v>
      </c>
      <c r="F936" s="23">
        <v>-29200</v>
      </c>
      <c r="G936" s="24">
        <v>44449</v>
      </c>
      <c r="H936" s="22" t="s">
        <v>2336</v>
      </c>
      <c r="I936" s="22" t="s">
        <v>483</v>
      </c>
      <c r="J936" s="22"/>
      <c r="K936" s="22"/>
    </row>
    <row r="937" spans="1:11" x14ac:dyDescent="0.25">
      <c r="A937" s="22" t="s">
        <v>2493</v>
      </c>
      <c r="B937" s="22" t="s">
        <v>201</v>
      </c>
      <c r="C937" s="22" t="s">
        <v>202</v>
      </c>
      <c r="D937" s="22" t="s">
        <v>2492</v>
      </c>
      <c r="E937" s="22" t="s">
        <v>57</v>
      </c>
      <c r="F937" s="23">
        <v>-43700</v>
      </c>
      <c r="G937" s="24">
        <v>44447</v>
      </c>
      <c r="H937" s="22" t="s">
        <v>2336</v>
      </c>
      <c r="I937" s="22" t="s">
        <v>280</v>
      </c>
      <c r="J937" s="22"/>
      <c r="K937" s="22"/>
    </row>
    <row r="938" spans="1:11" x14ac:dyDescent="0.25">
      <c r="A938" s="22" t="s">
        <v>2495</v>
      </c>
      <c r="B938" s="22" t="s">
        <v>201</v>
      </c>
      <c r="C938" s="22" t="s">
        <v>202</v>
      </c>
      <c r="D938" s="22" t="s">
        <v>2494</v>
      </c>
      <c r="E938" s="22" t="s">
        <v>57</v>
      </c>
      <c r="F938" s="23">
        <v>-45000</v>
      </c>
      <c r="G938" s="24">
        <v>44447</v>
      </c>
      <c r="H938" s="22" t="s">
        <v>2336</v>
      </c>
      <c r="I938" s="22" t="s">
        <v>280</v>
      </c>
      <c r="J938" s="22"/>
      <c r="K938" s="22"/>
    </row>
    <row r="939" spans="1:11" x14ac:dyDescent="0.25">
      <c r="A939" s="22" t="s">
        <v>2497</v>
      </c>
      <c r="B939" s="22" t="s">
        <v>201</v>
      </c>
      <c r="C939" s="22" t="s">
        <v>202</v>
      </c>
      <c r="D939" s="22" t="s">
        <v>2496</v>
      </c>
      <c r="E939" s="22" t="s">
        <v>57</v>
      </c>
      <c r="F939" s="23">
        <v>-130700</v>
      </c>
      <c r="G939" s="24">
        <v>44447</v>
      </c>
      <c r="H939" s="22" t="s">
        <v>2336</v>
      </c>
      <c r="I939" s="22" t="s">
        <v>280</v>
      </c>
      <c r="J939" s="22"/>
      <c r="K939" s="22"/>
    </row>
    <row r="940" spans="1:11" x14ac:dyDescent="0.25">
      <c r="A940" s="22" t="s">
        <v>2499</v>
      </c>
      <c r="B940" s="22" t="s">
        <v>201</v>
      </c>
      <c r="C940" s="22" t="s">
        <v>202</v>
      </c>
      <c r="D940" s="22" t="s">
        <v>2498</v>
      </c>
      <c r="E940" s="22" t="s">
        <v>57</v>
      </c>
      <c r="F940" s="23">
        <v>-29200</v>
      </c>
      <c r="G940" s="24">
        <v>44442</v>
      </c>
      <c r="H940" s="22" t="s">
        <v>2336</v>
      </c>
      <c r="I940" s="22" t="s">
        <v>280</v>
      </c>
      <c r="J940" s="22"/>
      <c r="K940" s="22"/>
    </row>
    <row r="941" spans="1:11" x14ac:dyDescent="0.25">
      <c r="A941" s="22" t="s">
        <v>2501</v>
      </c>
      <c r="B941" s="22" t="s">
        <v>201</v>
      </c>
      <c r="C941" s="22" t="s">
        <v>202</v>
      </c>
      <c r="D941" s="22" t="s">
        <v>2500</v>
      </c>
      <c r="E941" s="22" t="s">
        <v>57</v>
      </c>
      <c r="F941" s="23">
        <v>-1148387</v>
      </c>
      <c r="G941" s="24">
        <v>44459</v>
      </c>
      <c r="H941" s="22" t="s">
        <v>2336</v>
      </c>
      <c r="I941" s="22" t="s">
        <v>550</v>
      </c>
      <c r="J941" s="22"/>
      <c r="K941" s="22"/>
    </row>
    <row r="942" spans="1:11" x14ac:dyDescent="0.25">
      <c r="A942" s="22" t="s">
        <v>2503</v>
      </c>
      <c r="B942" s="22" t="s">
        <v>201</v>
      </c>
      <c r="C942" s="22" t="s">
        <v>202</v>
      </c>
      <c r="D942" s="22" t="s">
        <v>2502</v>
      </c>
      <c r="E942" s="22" t="s">
        <v>57</v>
      </c>
      <c r="F942" s="23">
        <v>-53700</v>
      </c>
      <c r="G942" s="24">
        <v>44449</v>
      </c>
      <c r="H942" s="22" t="s">
        <v>2336</v>
      </c>
      <c r="I942" s="22" t="s">
        <v>2504</v>
      </c>
      <c r="J942" s="22"/>
      <c r="K942" s="22"/>
    </row>
    <row r="943" spans="1:11" x14ac:dyDescent="0.25">
      <c r="A943" s="22" t="s">
        <v>2506</v>
      </c>
      <c r="B943" s="22" t="s">
        <v>201</v>
      </c>
      <c r="C943" s="22" t="s">
        <v>202</v>
      </c>
      <c r="D943" s="22" t="s">
        <v>2505</v>
      </c>
      <c r="E943" s="22" t="s">
        <v>45</v>
      </c>
      <c r="F943" s="23">
        <v>-1974983</v>
      </c>
      <c r="G943" s="24">
        <v>44508</v>
      </c>
      <c r="H943" s="22" t="s">
        <v>2505</v>
      </c>
      <c r="I943" s="22" t="s">
        <v>230</v>
      </c>
      <c r="J943" s="22"/>
      <c r="K943" s="22"/>
    </row>
    <row r="944" spans="1:11" x14ac:dyDescent="0.25">
      <c r="A944" s="22" t="s">
        <v>2509</v>
      </c>
      <c r="B944" s="22" t="s">
        <v>201</v>
      </c>
      <c r="C944" s="22" t="s">
        <v>202</v>
      </c>
      <c r="D944" s="22" t="s">
        <v>2508</v>
      </c>
      <c r="E944" s="22" t="s">
        <v>57</v>
      </c>
      <c r="F944" s="23">
        <v>-11700</v>
      </c>
      <c r="G944" s="24">
        <v>44466</v>
      </c>
      <c r="H944" s="22" t="s">
        <v>2505</v>
      </c>
      <c r="I944" s="22" t="s">
        <v>1386</v>
      </c>
      <c r="J944" s="22"/>
      <c r="K944" s="22"/>
    </row>
    <row r="945" spans="1:11" x14ac:dyDescent="0.25">
      <c r="A945" s="22" t="s">
        <v>2511</v>
      </c>
      <c r="B945" s="22" t="s">
        <v>201</v>
      </c>
      <c r="C945" s="22" t="s">
        <v>202</v>
      </c>
      <c r="D945" s="22" t="s">
        <v>2510</v>
      </c>
      <c r="E945" s="22" t="s">
        <v>57</v>
      </c>
      <c r="F945" s="23">
        <v>-53700</v>
      </c>
      <c r="G945" s="24">
        <v>44454</v>
      </c>
      <c r="H945" s="22" t="s">
        <v>2505</v>
      </c>
      <c r="I945" s="22" t="s">
        <v>2512</v>
      </c>
      <c r="J945" s="22"/>
      <c r="K945" s="22"/>
    </row>
    <row r="946" spans="1:11" x14ac:dyDescent="0.25">
      <c r="A946" s="22" t="s">
        <v>2514</v>
      </c>
      <c r="B946" s="22" t="s">
        <v>201</v>
      </c>
      <c r="C946" s="22" t="s">
        <v>202</v>
      </c>
      <c r="D946" s="22" t="s">
        <v>2513</v>
      </c>
      <c r="E946" s="22" t="s">
        <v>57</v>
      </c>
      <c r="F946" s="23">
        <v>-1909583</v>
      </c>
      <c r="G946" s="24">
        <v>44462</v>
      </c>
      <c r="H946" s="22" t="s">
        <v>2505</v>
      </c>
      <c r="I946" s="22" t="s">
        <v>2515</v>
      </c>
      <c r="J946" s="22"/>
      <c r="K946" s="22"/>
    </row>
    <row r="947" spans="1:11" x14ac:dyDescent="0.25">
      <c r="A947" s="22" t="s">
        <v>2517</v>
      </c>
      <c r="B947" s="22" t="s">
        <v>201</v>
      </c>
      <c r="C947" s="22" t="s">
        <v>202</v>
      </c>
      <c r="D947" s="22" t="s">
        <v>2516</v>
      </c>
      <c r="E947" s="22" t="s">
        <v>57</v>
      </c>
      <c r="F947" s="23">
        <v>-32700</v>
      </c>
      <c r="G947" s="24">
        <v>44427</v>
      </c>
      <c r="H947" s="22" t="s">
        <v>862</v>
      </c>
      <c r="I947" s="22" t="s">
        <v>2443</v>
      </c>
      <c r="J947" s="22"/>
      <c r="K947" s="22"/>
    </row>
    <row r="948" spans="1:11" x14ac:dyDescent="0.25">
      <c r="A948" s="22" t="s">
        <v>2519</v>
      </c>
      <c r="B948" s="22" t="s">
        <v>201</v>
      </c>
      <c r="C948" s="22" t="s">
        <v>202</v>
      </c>
      <c r="D948" s="22" t="s">
        <v>2518</v>
      </c>
      <c r="E948" s="22" t="s">
        <v>57</v>
      </c>
      <c r="F948" s="23">
        <v>-705600</v>
      </c>
      <c r="G948" s="24">
        <v>44403</v>
      </c>
      <c r="H948" s="22" t="s">
        <v>862</v>
      </c>
      <c r="I948" s="22" t="s">
        <v>2443</v>
      </c>
      <c r="J948" s="22"/>
      <c r="K948" s="22"/>
    </row>
    <row r="949" spans="1:11" x14ac:dyDescent="0.25">
      <c r="A949" s="22" t="s">
        <v>2521</v>
      </c>
      <c r="B949" s="22" t="s">
        <v>201</v>
      </c>
      <c r="C949" s="22" t="s">
        <v>202</v>
      </c>
      <c r="D949" s="22" t="s">
        <v>2520</v>
      </c>
      <c r="E949" s="22" t="s">
        <v>57</v>
      </c>
      <c r="F949" s="23">
        <v>-417600</v>
      </c>
      <c r="G949" s="24">
        <v>44390</v>
      </c>
      <c r="H949" s="22" t="s">
        <v>862</v>
      </c>
      <c r="I949" s="22" t="s">
        <v>2443</v>
      </c>
      <c r="J949" s="22"/>
      <c r="K949" s="22"/>
    </row>
    <row r="950" spans="1:11" x14ac:dyDescent="0.25">
      <c r="A950" s="22" t="s">
        <v>856</v>
      </c>
      <c r="B950" s="22" t="s">
        <v>201</v>
      </c>
      <c r="C950" s="22" t="s">
        <v>202</v>
      </c>
      <c r="D950" s="22" t="s">
        <v>862</v>
      </c>
      <c r="E950" s="22" t="s">
        <v>45</v>
      </c>
      <c r="F950" s="23">
        <v>-2565975</v>
      </c>
      <c r="G950" s="24">
        <v>44470</v>
      </c>
      <c r="H950" s="22" t="s">
        <v>862</v>
      </c>
      <c r="I950" s="22"/>
      <c r="J950" s="22"/>
      <c r="K950" s="22"/>
    </row>
    <row r="951" spans="1:11" x14ac:dyDescent="0.25">
      <c r="A951" s="22" t="s">
        <v>2523</v>
      </c>
      <c r="B951" s="22" t="s">
        <v>201</v>
      </c>
      <c r="C951" s="22" t="s">
        <v>202</v>
      </c>
      <c r="D951" s="22" t="s">
        <v>2522</v>
      </c>
      <c r="E951" s="22" t="s">
        <v>57</v>
      </c>
      <c r="F951" s="23">
        <v>-29400</v>
      </c>
      <c r="G951" s="24">
        <v>44459</v>
      </c>
      <c r="H951" s="22" t="s">
        <v>862</v>
      </c>
      <c r="I951" s="22" t="s">
        <v>324</v>
      </c>
      <c r="J951" s="22"/>
      <c r="K951" s="22"/>
    </row>
    <row r="952" spans="1:11" x14ac:dyDescent="0.25">
      <c r="A952" s="22" t="s">
        <v>2525</v>
      </c>
      <c r="B952" s="22" t="s">
        <v>201</v>
      </c>
      <c r="C952" s="22" t="s">
        <v>202</v>
      </c>
      <c r="D952" s="22" t="s">
        <v>2524</v>
      </c>
      <c r="E952" s="22" t="s">
        <v>57</v>
      </c>
      <c r="F952" s="23">
        <v>-31600</v>
      </c>
      <c r="G952" s="24">
        <v>44456</v>
      </c>
      <c r="H952" s="22" t="s">
        <v>862</v>
      </c>
      <c r="I952" s="22" t="s">
        <v>2443</v>
      </c>
      <c r="J952" s="22"/>
      <c r="K952" s="22"/>
    </row>
    <row r="953" spans="1:11" x14ac:dyDescent="0.25">
      <c r="A953" s="22" t="s">
        <v>2527</v>
      </c>
      <c r="B953" s="22" t="s">
        <v>201</v>
      </c>
      <c r="C953" s="22" t="s">
        <v>202</v>
      </c>
      <c r="D953" s="22" t="s">
        <v>2526</v>
      </c>
      <c r="E953" s="22" t="s">
        <v>57</v>
      </c>
      <c r="F953" s="23">
        <v>-454700</v>
      </c>
      <c r="G953" s="24">
        <v>44445</v>
      </c>
      <c r="H953" s="22" t="s">
        <v>862</v>
      </c>
      <c r="I953" s="22" t="s">
        <v>2443</v>
      </c>
      <c r="J953" s="22"/>
      <c r="K953" s="22"/>
    </row>
    <row r="954" spans="1:11" x14ac:dyDescent="0.25">
      <c r="A954" s="22" t="s">
        <v>856</v>
      </c>
      <c r="B954" s="22" t="s">
        <v>201</v>
      </c>
      <c r="C954" s="22" t="s">
        <v>202</v>
      </c>
      <c r="D954" s="22" t="s">
        <v>2528</v>
      </c>
      <c r="E954" s="22" t="s">
        <v>57</v>
      </c>
      <c r="F954" s="23">
        <v>-2184290</v>
      </c>
      <c r="G954" s="24">
        <v>44470</v>
      </c>
      <c r="H954" s="22" t="s">
        <v>862</v>
      </c>
      <c r="I954" s="22" t="s">
        <v>2443</v>
      </c>
      <c r="J954" s="22"/>
      <c r="K954" s="22"/>
    </row>
    <row r="955" spans="1:11" x14ac:dyDescent="0.25">
      <c r="A955" s="22" t="s">
        <v>2530</v>
      </c>
      <c r="B955" s="22" t="s">
        <v>201</v>
      </c>
      <c r="C955" s="22" t="s">
        <v>202</v>
      </c>
      <c r="D955" s="22" t="s">
        <v>2529</v>
      </c>
      <c r="E955" s="22" t="s">
        <v>57</v>
      </c>
      <c r="F955" s="23">
        <v>-53700</v>
      </c>
      <c r="G955" s="24">
        <v>44452</v>
      </c>
      <c r="H955" s="22" t="s">
        <v>862</v>
      </c>
      <c r="I955" s="22" t="s">
        <v>2531</v>
      </c>
      <c r="J955" s="22"/>
      <c r="K955" s="22"/>
    </row>
    <row r="956" spans="1:11" x14ac:dyDescent="0.25">
      <c r="A956" s="22" t="s">
        <v>870</v>
      </c>
      <c r="B956" s="22" t="s">
        <v>201</v>
      </c>
      <c r="C956" s="22" t="s">
        <v>202</v>
      </c>
      <c r="D956" s="22" t="s">
        <v>2534</v>
      </c>
      <c r="E956" s="22" t="s">
        <v>57</v>
      </c>
      <c r="F956" s="23">
        <v>-43700</v>
      </c>
      <c r="G956" s="24">
        <v>44446</v>
      </c>
      <c r="H956" s="22" t="s">
        <v>869</v>
      </c>
      <c r="I956" s="22" t="s">
        <v>2535</v>
      </c>
      <c r="J956" s="22"/>
      <c r="K956" s="22"/>
    </row>
    <row r="957" spans="1:11" x14ac:dyDescent="0.25">
      <c r="A957" s="22" t="s">
        <v>870</v>
      </c>
      <c r="B957" s="22" t="s">
        <v>201</v>
      </c>
      <c r="C957" s="22" t="s">
        <v>202</v>
      </c>
      <c r="D957" s="22" t="s">
        <v>869</v>
      </c>
      <c r="E957" s="22" t="s">
        <v>45</v>
      </c>
      <c r="F957" s="23">
        <v>-30950</v>
      </c>
      <c r="G957" s="24">
        <v>44446</v>
      </c>
      <c r="H957" s="22" t="s">
        <v>869</v>
      </c>
      <c r="I957" s="22"/>
      <c r="J957" s="22"/>
      <c r="K957" s="22"/>
    </row>
    <row r="958" spans="1:11" x14ac:dyDescent="0.25">
      <c r="A958" s="22" t="s">
        <v>873</v>
      </c>
      <c r="B958" s="22" t="s">
        <v>201</v>
      </c>
      <c r="C958" s="22" t="s">
        <v>202</v>
      </c>
      <c r="D958" s="22" t="s">
        <v>2538</v>
      </c>
      <c r="E958" s="22" t="s">
        <v>57</v>
      </c>
      <c r="F958" s="23">
        <v>-52400</v>
      </c>
      <c r="G958" s="24">
        <v>44427</v>
      </c>
      <c r="H958" s="22" t="s">
        <v>872</v>
      </c>
      <c r="I958" s="22" t="s">
        <v>332</v>
      </c>
      <c r="J958" s="22"/>
      <c r="K958" s="22"/>
    </row>
    <row r="959" spans="1:11" x14ac:dyDescent="0.25">
      <c r="A959" s="22" t="s">
        <v>873</v>
      </c>
      <c r="B959" s="22" t="s">
        <v>201</v>
      </c>
      <c r="C959" s="22" t="s">
        <v>202</v>
      </c>
      <c r="D959" s="22" t="s">
        <v>872</v>
      </c>
      <c r="E959" s="22" t="s">
        <v>45</v>
      </c>
      <c r="F959" s="23">
        <v>-38600</v>
      </c>
      <c r="G959" s="24">
        <v>44427</v>
      </c>
      <c r="H959" s="22" t="s">
        <v>872</v>
      </c>
      <c r="I959" s="22"/>
      <c r="J959" s="22"/>
      <c r="K959" s="22"/>
    </row>
    <row r="960" spans="1:11" x14ac:dyDescent="0.25">
      <c r="A960" s="22" t="s">
        <v>876</v>
      </c>
      <c r="B960" s="22" t="s">
        <v>201</v>
      </c>
      <c r="C960" s="22" t="s">
        <v>202</v>
      </c>
      <c r="D960" s="22" t="s">
        <v>2541</v>
      </c>
      <c r="E960" s="22" t="s">
        <v>57</v>
      </c>
      <c r="F960" s="23">
        <v>-44700</v>
      </c>
      <c r="G960" s="24">
        <v>44426</v>
      </c>
      <c r="H960" s="22" t="s">
        <v>875</v>
      </c>
      <c r="I960" s="22" t="s">
        <v>608</v>
      </c>
      <c r="J960" s="22"/>
      <c r="K960" s="22"/>
    </row>
    <row r="961" spans="1:11" x14ac:dyDescent="0.25">
      <c r="A961" s="22" t="s">
        <v>2543</v>
      </c>
      <c r="B961" s="22" t="s">
        <v>201</v>
      </c>
      <c r="C961" s="22" t="s">
        <v>202</v>
      </c>
      <c r="D961" s="22" t="s">
        <v>2542</v>
      </c>
      <c r="E961" s="22" t="s">
        <v>57</v>
      </c>
      <c r="F961" s="23">
        <v>-156400</v>
      </c>
      <c r="G961" s="24">
        <v>44399</v>
      </c>
      <c r="H961" s="22" t="s">
        <v>875</v>
      </c>
      <c r="I961" s="22" t="s">
        <v>1731</v>
      </c>
      <c r="J961" s="22"/>
      <c r="K961" s="22"/>
    </row>
    <row r="962" spans="1:11" x14ac:dyDescent="0.25">
      <c r="A962" s="22" t="s">
        <v>876</v>
      </c>
      <c r="B962" s="22" t="s">
        <v>201</v>
      </c>
      <c r="C962" s="22" t="s">
        <v>202</v>
      </c>
      <c r="D962" s="22" t="s">
        <v>875</v>
      </c>
      <c r="E962" s="22" t="s">
        <v>45</v>
      </c>
      <c r="F962" s="23">
        <v>-186300</v>
      </c>
      <c r="G962" s="24">
        <v>44426</v>
      </c>
      <c r="H962" s="22" t="s">
        <v>875</v>
      </c>
      <c r="I962" s="22"/>
      <c r="J962" s="22"/>
      <c r="K962" s="22"/>
    </row>
    <row r="963" spans="1:11" x14ac:dyDescent="0.25">
      <c r="A963" s="22" t="s">
        <v>2547</v>
      </c>
      <c r="B963" s="22" t="s">
        <v>201</v>
      </c>
      <c r="C963" s="22" t="s">
        <v>202</v>
      </c>
      <c r="D963" s="22" t="s">
        <v>2546</v>
      </c>
      <c r="E963" s="22" t="s">
        <v>57</v>
      </c>
      <c r="F963" s="23">
        <v>-41800</v>
      </c>
      <c r="G963" s="24">
        <v>44411</v>
      </c>
      <c r="H963" s="22" t="s">
        <v>703</v>
      </c>
      <c r="I963" s="22" t="s">
        <v>711</v>
      </c>
      <c r="J963" s="22"/>
      <c r="K963" s="22"/>
    </row>
    <row r="964" spans="1:11" x14ac:dyDescent="0.25">
      <c r="A964" s="22" t="s">
        <v>2549</v>
      </c>
      <c r="B964" s="22" t="s">
        <v>201</v>
      </c>
      <c r="C964" s="22" t="s">
        <v>202</v>
      </c>
      <c r="D964" s="22" t="s">
        <v>2548</v>
      </c>
      <c r="E964" s="22" t="s">
        <v>45</v>
      </c>
      <c r="F964" s="23">
        <v>-19350</v>
      </c>
      <c r="G964" s="24">
        <v>44417</v>
      </c>
      <c r="H964" s="22" t="s">
        <v>703</v>
      </c>
      <c r="I964" s="22" t="s">
        <v>874</v>
      </c>
      <c r="J964" s="22"/>
      <c r="K964" s="22"/>
    </row>
    <row r="965" spans="1:11" x14ac:dyDescent="0.25">
      <c r="A965" s="22" t="s">
        <v>2551</v>
      </c>
      <c r="B965" s="22" t="s">
        <v>201</v>
      </c>
      <c r="C965" s="22" t="s">
        <v>202</v>
      </c>
      <c r="D965" s="22" t="s">
        <v>2550</v>
      </c>
      <c r="E965" s="22" t="s">
        <v>57</v>
      </c>
      <c r="F965" s="23">
        <v>-37100</v>
      </c>
      <c r="G965" s="24">
        <v>44435</v>
      </c>
      <c r="H965" s="22" t="s">
        <v>703</v>
      </c>
      <c r="I965" s="22" t="s">
        <v>332</v>
      </c>
      <c r="J965" s="22"/>
      <c r="K965" s="22"/>
    </row>
    <row r="966" spans="1:11" x14ac:dyDescent="0.25">
      <c r="A966" s="22" t="s">
        <v>2553</v>
      </c>
      <c r="B966" s="22" t="s">
        <v>201</v>
      </c>
      <c r="C966" s="22" t="s">
        <v>202</v>
      </c>
      <c r="D966" s="22" t="s">
        <v>2552</v>
      </c>
      <c r="E966" s="22" t="s">
        <v>57</v>
      </c>
      <c r="F966" s="23">
        <v>-32700</v>
      </c>
      <c r="G966" s="24">
        <v>44428</v>
      </c>
      <c r="H966" s="22" t="s">
        <v>703</v>
      </c>
      <c r="I966" s="22" t="s">
        <v>319</v>
      </c>
      <c r="J966" s="22"/>
      <c r="K966" s="22"/>
    </row>
    <row r="967" spans="1:11" x14ac:dyDescent="0.25">
      <c r="A967" s="22" t="s">
        <v>2555</v>
      </c>
      <c r="B967" s="22" t="s">
        <v>201</v>
      </c>
      <c r="C967" s="22" t="s">
        <v>202</v>
      </c>
      <c r="D967" s="22" t="s">
        <v>2554</v>
      </c>
      <c r="E967" s="22" t="s">
        <v>57</v>
      </c>
      <c r="F967" s="23">
        <v>-32700</v>
      </c>
      <c r="G967" s="24">
        <v>44420</v>
      </c>
      <c r="H967" s="22" t="s">
        <v>703</v>
      </c>
      <c r="I967" s="22" t="s">
        <v>2556</v>
      </c>
      <c r="J967" s="22"/>
      <c r="K967" s="22"/>
    </row>
    <row r="968" spans="1:11" x14ac:dyDescent="0.25">
      <c r="A968" s="22" t="s">
        <v>2558</v>
      </c>
      <c r="B968" s="22" t="s">
        <v>201</v>
      </c>
      <c r="C968" s="22" t="s">
        <v>202</v>
      </c>
      <c r="D968" s="22" t="s">
        <v>2557</v>
      </c>
      <c r="E968" s="22" t="s">
        <v>57</v>
      </c>
      <c r="F968" s="23">
        <v>-144021</v>
      </c>
      <c r="G968" s="24">
        <v>44426</v>
      </c>
      <c r="H968" s="22" t="s">
        <v>703</v>
      </c>
      <c r="I968" s="22" t="s">
        <v>2559</v>
      </c>
      <c r="J968" s="22"/>
      <c r="K968" s="22"/>
    </row>
    <row r="969" spans="1:11" x14ac:dyDescent="0.25">
      <c r="A969" s="22" t="s">
        <v>702</v>
      </c>
      <c r="B969" s="22" t="s">
        <v>201</v>
      </c>
      <c r="C969" s="22" t="s">
        <v>202</v>
      </c>
      <c r="D969" s="22" t="s">
        <v>703</v>
      </c>
      <c r="E969" s="22" t="s">
        <v>45</v>
      </c>
      <c r="F969" s="23">
        <v>-1403400</v>
      </c>
      <c r="G969" s="24">
        <v>44322</v>
      </c>
      <c r="H969" s="22" t="s">
        <v>703</v>
      </c>
      <c r="I969" s="22"/>
      <c r="J969" s="22"/>
      <c r="K969" s="22"/>
    </row>
    <row r="970" spans="1:11" x14ac:dyDescent="0.25">
      <c r="A970" s="22" t="s">
        <v>2561</v>
      </c>
      <c r="B970" s="22" t="s">
        <v>201</v>
      </c>
      <c r="C970" s="22" t="s">
        <v>202</v>
      </c>
      <c r="D970" s="22" t="s">
        <v>2560</v>
      </c>
      <c r="E970" s="22" t="s">
        <v>57</v>
      </c>
      <c r="F970" s="23">
        <v>-47200</v>
      </c>
      <c r="G970" s="24">
        <v>44469</v>
      </c>
      <c r="H970" s="22" t="s">
        <v>703</v>
      </c>
      <c r="I970" s="22" t="s">
        <v>319</v>
      </c>
      <c r="J970" s="22"/>
      <c r="K970" s="22"/>
    </row>
    <row r="971" spans="1:11" x14ac:dyDescent="0.25">
      <c r="A971" s="22" t="s">
        <v>2563</v>
      </c>
      <c r="B971" s="22" t="s">
        <v>201</v>
      </c>
      <c r="C971" s="22" t="s">
        <v>202</v>
      </c>
      <c r="D971" s="22" t="s">
        <v>2562</v>
      </c>
      <c r="E971" s="22" t="s">
        <v>57</v>
      </c>
      <c r="F971" s="23">
        <v>-32700</v>
      </c>
      <c r="G971" s="24">
        <v>44468</v>
      </c>
      <c r="H971" s="22" t="s">
        <v>703</v>
      </c>
      <c r="I971" s="22" t="s">
        <v>439</v>
      </c>
      <c r="J971" s="22"/>
      <c r="K971" s="22"/>
    </row>
    <row r="972" spans="1:11" x14ac:dyDescent="0.25">
      <c r="A972" s="22" t="s">
        <v>2565</v>
      </c>
      <c r="B972" s="22" t="s">
        <v>201</v>
      </c>
      <c r="C972" s="22" t="s">
        <v>202</v>
      </c>
      <c r="D972" s="22" t="s">
        <v>2564</v>
      </c>
      <c r="E972" s="22" t="s">
        <v>57</v>
      </c>
      <c r="F972" s="23">
        <v>-32700</v>
      </c>
      <c r="G972" s="24">
        <v>44461</v>
      </c>
      <c r="H972" s="22" t="s">
        <v>703</v>
      </c>
      <c r="I972" s="22" t="s">
        <v>332</v>
      </c>
      <c r="J972" s="22"/>
      <c r="K972" s="22"/>
    </row>
    <row r="973" spans="1:11" x14ac:dyDescent="0.25">
      <c r="A973" s="22" t="s">
        <v>2567</v>
      </c>
      <c r="B973" s="22" t="s">
        <v>201</v>
      </c>
      <c r="C973" s="22" t="s">
        <v>202</v>
      </c>
      <c r="D973" s="22" t="s">
        <v>2566</v>
      </c>
      <c r="E973" s="22" t="s">
        <v>57</v>
      </c>
      <c r="F973" s="23">
        <v>-32700</v>
      </c>
      <c r="G973" s="24">
        <v>44462</v>
      </c>
      <c r="H973" s="22" t="s">
        <v>703</v>
      </c>
      <c r="I973" s="22" t="s">
        <v>2568</v>
      </c>
      <c r="J973" s="22"/>
      <c r="K973" s="22"/>
    </row>
    <row r="974" spans="1:11" x14ac:dyDescent="0.25">
      <c r="A974" s="22" t="s">
        <v>2570</v>
      </c>
      <c r="B974" s="22" t="s">
        <v>201</v>
      </c>
      <c r="C974" s="22" t="s">
        <v>202</v>
      </c>
      <c r="D974" s="22" t="s">
        <v>2569</v>
      </c>
      <c r="E974" s="22" t="s">
        <v>57</v>
      </c>
      <c r="F974" s="23">
        <v>-85600</v>
      </c>
      <c r="G974" s="24">
        <v>44448</v>
      </c>
      <c r="H974" s="22" t="s">
        <v>703</v>
      </c>
      <c r="I974" s="22" t="s">
        <v>319</v>
      </c>
      <c r="J974" s="22"/>
      <c r="K974" s="22"/>
    </row>
    <row r="975" spans="1:11" x14ac:dyDescent="0.25">
      <c r="A975" s="22" t="s">
        <v>2572</v>
      </c>
      <c r="B975" s="22" t="s">
        <v>201</v>
      </c>
      <c r="C975" s="22" t="s">
        <v>202</v>
      </c>
      <c r="D975" s="22" t="s">
        <v>2571</v>
      </c>
      <c r="E975" s="22" t="s">
        <v>57</v>
      </c>
      <c r="F975" s="23">
        <v>-47200</v>
      </c>
      <c r="G975" s="24">
        <v>44455</v>
      </c>
      <c r="H975" s="22" t="s">
        <v>703</v>
      </c>
      <c r="I975" s="22" t="s">
        <v>319</v>
      </c>
      <c r="J975" s="22"/>
      <c r="K975" s="22"/>
    </row>
    <row r="976" spans="1:11" x14ac:dyDescent="0.25">
      <c r="A976" s="22" t="s">
        <v>2574</v>
      </c>
      <c r="B976" s="22" t="s">
        <v>201</v>
      </c>
      <c r="C976" s="22" t="s">
        <v>202</v>
      </c>
      <c r="D976" s="22" t="s">
        <v>2573</v>
      </c>
      <c r="E976" s="22" t="s">
        <v>57</v>
      </c>
      <c r="F976" s="23">
        <v>-47200</v>
      </c>
      <c r="G976" s="24">
        <v>44441</v>
      </c>
      <c r="H976" s="22" t="s">
        <v>703</v>
      </c>
      <c r="I976" s="22" t="s">
        <v>319</v>
      </c>
      <c r="J976" s="22"/>
      <c r="K976" s="22"/>
    </row>
    <row r="977" spans="1:11" x14ac:dyDescent="0.25">
      <c r="A977" s="22" t="s">
        <v>685</v>
      </c>
      <c r="B977" s="22" t="s">
        <v>201</v>
      </c>
      <c r="C977" s="22" t="s">
        <v>202</v>
      </c>
      <c r="D977" s="22" t="s">
        <v>2575</v>
      </c>
      <c r="E977" s="22" t="s">
        <v>45</v>
      </c>
      <c r="F977" s="23">
        <v>-6426934</v>
      </c>
      <c r="G977" s="24">
        <v>44322</v>
      </c>
      <c r="H977" s="22" t="s">
        <v>684</v>
      </c>
      <c r="I977" s="22" t="s">
        <v>2576</v>
      </c>
      <c r="J977" s="22"/>
      <c r="K977" s="22"/>
    </row>
    <row r="978" spans="1:11" x14ac:dyDescent="0.25">
      <c r="A978" s="22" t="s">
        <v>685</v>
      </c>
      <c r="B978" s="22" t="s">
        <v>201</v>
      </c>
      <c r="C978" s="22" t="s">
        <v>202</v>
      </c>
      <c r="D978" s="22" t="s">
        <v>684</v>
      </c>
      <c r="E978" s="22" t="s">
        <v>45</v>
      </c>
      <c r="F978" s="23">
        <v>-5851076</v>
      </c>
      <c r="G978" s="24">
        <v>44322</v>
      </c>
      <c r="H978" s="22" t="s">
        <v>684</v>
      </c>
      <c r="I978" s="22"/>
      <c r="J978" s="22"/>
      <c r="K978" s="22"/>
    </row>
    <row r="979" spans="1:11" x14ac:dyDescent="0.25">
      <c r="A979" s="22" t="s">
        <v>2581</v>
      </c>
      <c r="B979" s="22" t="s">
        <v>201</v>
      </c>
      <c r="C979" s="22" t="s">
        <v>202</v>
      </c>
      <c r="D979" s="22" t="s">
        <v>2580</v>
      </c>
      <c r="E979" s="22" t="s">
        <v>57</v>
      </c>
      <c r="F979" s="23">
        <v>-114372</v>
      </c>
      <c r="G979" s="24">
        <v>44465</v>
      </c>
      <c r="H979" s="22" t="s">
        <v>684</v>
      </c>
      <c r="I979" s="22" t="s">
        <v>2582</v>
      </c>
      <c r="J979" s="22"/>
      <c r="K979" s="22"/>
    </row>
    <row r="980" spans="1:11" x14ac:dyDescent="0.25">
      <c r="A980" s="22" t="s">
        <v>2586</v>
      </c>
      <c r="B980" s="22" t="s">
        <v>201</v>
      </c>
      <c r="C980" s="22" t="s">
        <v>202</v>
      </c>
      <c r="D980" s="22" t="s">
        <v>2585</v>
      </c>
      <c r="E980" s="22" t="s">
        <v>57</v>
      </c>
      <c r="F980" s="23">
        <v>-47200</v>
      </c>
      <c r="G980" s="24">
        <v>44438</v>
      </c>
      <c r="H980" s="22" t="s">
        <v>862</v>
      </c>
      <c r="I980" s="22" t="s">
        <v>2443</v>
      </c>
      <c r="J980" s="22"/>
      <c r="K980" s="22"/>
    </row>
    <row r="981" spans="1:11" x14ac:dyDescent="0.25">
      <c r="A981" s="22" t="s">
        <v>2588</v>
      </c>
      <c r="B981" s="22" t="s">
        <v>201</v>
      </c>
      <c r="C981" s="22" t="s">
        <v>202</v>
      </c>
      <c r="D981" s="22" t="s">
        <v>2587</v>
      </c>
      <c r="E981" s="22" t="s">
        <v>57</v>
      </c>
      <c r="F981" s="23">
        <v>-71600</v>
      </c>
      <c r="G981" s="24">
        <v>44433</v>
      </c>
      <c r="H981" s="22" t="s">
        <v>862</v>
      </c>
      <c r="I981" s="22" t="s">
        <v>2443</v>
      </c>
      <c r="J981" s="22"/>
      <c r="K981" s="22"/>
    </row>
    <row r="982" spans="1:11" x14ac:dyDescent="0.25">
      <c r="A982" s="22" t="s">
        <v>2590</v>
      </c>
      <c r="B982" s="22" t="s">
        <v>201</v>
      </c>
      <c r="C982" s="22" t="s">
        <v>202</v>
      </c>
      <c r="D982" s="22" t="s">
        <v>2589</v>
      </c>
      <c r="E982" s="22" t="s">
        <v>45</v>
      </c>
      <c r="F982" s="23">
        <v>-26450</v>
      </c>
      <c r="G982" s="24">
        <v>44411</v>
      </c>
      <c r="H982" s="22" t="s">
        <v>877</v>
      </c>
      <c r="I982" s="22" t="s">
        <v>2591</v>
      </c>
      <c r="J982" s="22"/>
      <c r="K982" s="22"/>
    </row>
    <row r="983" spans="1:11" x14ac:dyDescent="0.25">
      <c r="A983" s="22" t="s">
        <v>2593</v>
      </c>
      <c r="B983" s="22" t="s">
        <v>201</v>
      </c>
      <c r="C983" s="22" t="s">
        <v>202</v>
      </c>
      <c r="D983" s="22" t="s">
        <v>2592</v>
      </c>
      <c r="E983" s="22" t="s">
        <v>57</v>
      </c>
      <c r="F983" s="23">
        <v>-53700</v>
      </c>
      <c r="G983" s="24">
        <v>44428</v>
      </c>
      <c r="H983" s="22" t="s">
        <v>691</v>
      </c>
      <c r="I983" s="22" t="s">
        <v>2594</v>
      </c>
      <c r="J983" s="22"/>
      <c r="K983" s="22"/>
    </row>
    <row r="984" spans="1:11" x14ac:dyDescent="0.25">
      <c r="A984" s="22" t="s">
        <v>647</v>
      </c>
      <c r="B984" s="22" t="s">
        <v>201</v>
      </c>
      <c r="C984" s="22" t="s">
        <v>202</v>
      </c>
      <c r="D984" s="22" t="s">
        <v>691</v>
      </c>
      <c r="E984" s="22" t="s">
        <v>45</v>
      </c>
      <c r="F984" s="23">
        <v>-2363519</v>
      </c>
      <c r="G984" s="24">
        <v>44452</v>
      </c>
      <c r="H984" s="22" t="s">
        <v>691</v>
      </c>
      <c r="I984" s="22"/>
      <c r="J984" s="22"/>
      <c r="K984" s="22"/>
    </row>
    <row r="985" spans="1:11" x14ac:dyDescent="0.25">
      <c r="A985" s="22" t="s">
        <v>647</v>
      </c>
      <c r="B985" s="22" t="s">
        <v>201</v>
      </c>
      <c r="C985" s="22" t="s">
        <v>202</v>
      </c>
      <c r="D985" s="22" t="s">
        <v>2595</v>
      </c>
      <c r="E985" s="22" t="s">
        <v>57</v>
      </c>
      <c r="F985" s="23">
        <v>-2135888</v>
      </c>
      <c r="G985" s="24">
        <v>44452</v>
      </c>
      <c r="H985" s="22" t="s">
        <v>691</v>
      </c>
      <c r="I985" s="22" t="s">
        <v>695</v>
      </c>
      <c r="J985" s="22"/>
      <c r="K985" s="22"/>
    </row>
    <row r="986" spans="1:11" x14ac:dyDescent="0.25">
      <c r="A986" s="22" t="s">
        <v>2597</v>
      </c>
      <c r="B986" s="22" t="s">
        <v>201</v>
      </c>
      <c r="C986" s="22" t="s">
        <v>202</v>
      </c>
      <c r="D986" s="22" t="s">
        <v>2596</v>
      </c>
      <c r="E986" s="22" t="s">
        <v>57</v>
      </c>
      <c r="F986" s="23">
        <v>-53700</v>
      </c>
      <c r="G986" s="24">
        <v>44467</v>
      </c>
      <c r="H986" s="22" t="s">
        <v>691</v>
      </c>
      <c r="I986" s="22" t="s">
        <v>695</v>
      </c>
      <c r="J986" s="22"/>
      <c r="K986" s="22"/>
    </row>
    <row r="987" spans="1:11" x14ac:dyDescent="0.25">
      <c r="A987" s="22" t="s">
        <v>2549</v>
      </c>
      <c r="B987" s="22" t="s">
        <v>201</v>
      </c>
      <c r="C987" s="22" t="s">
        <v>202</v>
      </c>
      <c r="D987" s="22" t="s">
        <v>2600</v>
      </c>
      <c r="E987" s="22" t="s">
        <v>57</v>
      </c>
      <c r="F987" s="23">
        <v>-32700</v>
      </c>
      <c r="G987" s="24">
        <v>44417</v>
      </c>
      <c r="H987" s="22" t="s">
        <v>2548</v>
      </c>
      <c r="I987" s="22" t="s">
        <v>332</v>
      </c>
      <c r="J987" s="22"/>
      <c r="K987" s="22"/>
    </row>
    <row r="988" spans="1:11" x14ac:dyDescent="0.25">
      <c r="A988" s="22" t="s">
        <v>2602</v>
      </c>
      <c r="B988" s="22" t="s">
        <v>201</v>
      </c>
      <c r="C988" s="22" t="s">
        <v>202</v>
      </c>
      <c r="D988" s="22" t="s">
        <v>2601</v>
      </c>
      <c r="E988" s="22" t="s">
        <v>57</v>
      </c>
      <c r="F988" s="23">
        <v>-32700</v>
      </c>
      <c r="G988" s="24">
        <v>44417</v>
      </c>
      <c r="H988" s="22" t="s">
        <v>2548</v>
      </c>
      <c r="I988" s="22" t="s">
        <v>332</v>
      </c>
      <c r="J988" s="22"/>
      <c r="K988" s="22"/>
    </row>
    <row r="989" spans="1:11" x14ac:dyDescent="0.25">
      <c r="A989" s="22" t="s">
        <v>2604</v>
      </c>
      <c r="B989" s="22" t="s">
        <v>201</v>
      </c>
      <c r="C989" s="22" t="s">
        <v>202</v>
      </c>
      <c r="D989" s="22" t="s">
        <v>2603</v>
      </c>
      <c r="E989" s="22" t="s">
        <v>57</v>
      </c>
      <c r="F989" s="23">
        <v>-32700</v>
      </c>
      <c r="G989" s="24">
        <v>44412</v>
      </c>
      <c r="H989" s="22" t="s">
        <v>2548</v>
      </c>
      <c r="I989" s="22" t="s">
        <v>2605</v>
      </c>
      <c r="J989" s="22"/>
      <c r="K989" s="22"/>
    </row>
    <row r="990" spans="1:11" x14ac:dyDescent="0.25">
      <c r="A990" s="22" t="s">
        <v>2549</v>
      </c>
      <c r="B990" s="22" t="s">
        <v>201</v>
      </c>
      <c r="C990" s="22" t="s">
        <v>202</v>
      </c>
      <c r="D990" s="22" t="s">
        <v>2548</v>
      </c>
      <c r="E990" s="22" t="s">
        <v>45</v>
      </c>
      <c r="F990" s="23">
        <v>-78750</v>
      </c>
      <c r="G990" s="24">
        <v>44417</v>
      </c>
      <c r="H990" s="22" t="s">
        <v>2548</v>
      </c>
      <c r="I990" s="22"/>
      <c r="J990" s="22"/>
      <c r="K990" s="22"/>
    </row>
    <row r="991" spans="1:11" x14ac:dyDescent="0.25">
      <c r="A991" s="22" t="s">
        <v>2609</v>
      </c>
      <c r="B991" s="22" t="s">
        <v>201</v>
      </c>
      <c r="C991" s="22" t="s">
        <v>202</v>
      </c>
      <c r="D991" s="22" t="s">
        <v>2608</v>
      </c>
      <c r="E991" s="22" t="s">
        <v>57</v>
      </c>
      <c r="F991" s="23">
        <v>-59700</v>
      </c>
      <c r="G991" s="24">
        <v>44431</v>
      </c>
      <c r="H991" s="22" t="s">
        <v>864</v>
      </c>
      <c r="I991" s="22" t="s">
        <v>249</v>
      </c>
      <c r="J991" s="22"/>
      <c r="K991" s="22"/>
    </row>
    <row r="992" spans="1:11" x14ac:dyDescent="0.25">
      <c r="A992" s="22" t="s">
        <v>2611</v>
      </c>
      <c r="B992" s="22" t="s">
        <v>201</v>
      </c>
      <c r="C992" s="22" t="s">
        <v>202</v>
      </c>
      <c r="D992" s="22" t="s">
        <v>2610</v>
      </c>
      <c r="E992" s="22" t="s">
        <v>57</v>
      </c>
      <c r="F992" s="23">
        <v>-90700</v>
      </c>
      <c r="G992" s="24">
        <v>44420</v>
      </c>
      <c r="H992" s="22" t="s">
        <v>864</v>
      </c>
      <c r="I992" s="22" t="s">
        <v>249</v>
      </c>
      <c r="J992" s="22"/>
      <c r="K992" s="22"/>
    </row>
    <row r="993" spans="1:11" x14ac:dyDescent="0.25">
      <c r="A993" s="22" t="s">
        <v>2613</v>
      </c>
      <c r="B993" s="22" t="s">
        <v>201</v>
      </c>
      <c r="C993" s="22" t="s">
        <v>202</v>
      </c>
      <c r="D993" s="22" t="s">
        <v>2612</v>
      </c>
      <c r="E993" s="22" t="s">
        <v>57</v>
      </c>
      <c r="F993" s="23">
        <v>-15300</v>
      </c>
      <c r="G993" s="24">
        <v>44419</v>
      </c>
      <c r="H993" s="22" t="s">
        <v>864</v>
      </c>
      <c r="I993" s="22" t="s">
        <v>249</v>
      </c>
      <c r="J993" s="22"/>
      <c r="K993" s="22"/>
    </row>
    <row r="994" spans="1:11" x14ac:dyDescent="0.25">
      <c r="A994" s="22" t="s">
        <v>2615</v>
      </c>
      <c r="B994" s="22" t="s">
        <v>201</v>
      </c>
      <c r="C994" s="22" t="s">
        <v>202</v>
      </c>
      <c r="D994" s="22" t="s">
        <v>2614</v>
      </c>
      <c r="E994" s="22" t="s">
        <v>57</v>
      </c>
      <c r="F994" s="23">
        <v>-23700</v>
      </c>
      <c r="G994" s="24">
        <v>44419</v>
      </c>
      <c r="H994" s="22" t="s">
        <v>864</v>
      </c>
      <c r="I994" s="22" t="s">
        <v>249</v>
      </c>
      <c r="J994" s="22"/>
      <c r="K994" s="22"/>
    </row>
    <row r="995" spans="1:11" x14ac:dyDescent="0.25">
      <c r="A995" s="22" t="s">
        <v>2617</v>
      </c>
      <c r="B995" s="22" t="s">
        <v>201</v>
      </c>
      <c r="C995" s="22" t="s">
        <v>202</v>
      </c>
      <c r="D995" s="22" t="s">
        <v>2616</v>
      </c>
      <c r="E995" s="22" t="s">
        <v>57</v>
      </c>
      <c r="F995" s="23">
        <v>-146600</v>
      </c>
      <c r="G995" s="24">
        <v>44418</v>
      </c>
      <c r="H995" s="22" t="s">
        <v>864</v>
      </c>
      <c r="I995" s="22" t="s">
        <v>249</v>
      </c>
      <c r="J995" s="22"/>
      <c r="K995" s="22"/>
    </row>
    <row r="996" spans="1:11" x14ac:dyDescent="0.25">
      <c r="A996" s="22" t="s">
        <v>865</v>
      </c>
      <c r="B996" s="22" t="s">
        <v>201</v>
      </c>
      <c r="C996" s="22" t="s">
        <v>202</v>
      </c>
      <c r="D996" s="22" t="s">
        <v>864</v>
      </c>
      <c r="E996" s="22" t="s">
        <v>45</v>
      </c>
      <c r="F996" s="23">
        <v>-5830185</v>
      </c>
      <c r="G996" s="24">
        <v>44449</v>
      </c>
      <c r="H996" s="22" t="s">
        <v>864</v>
      </c>
      <c r="I996" s="22"/>
      <c r="J996" s="22"/>
      <c r="K996" s="22"/>
    </row>
    <row r="997" spans="1:11" x14ac:dyDescent="0.25">
      <c r="A997" s="22" t="s">
        <v>865</v>
      </c>
      <c r="B997" s="22" t="s">
        <v>201</v>
      </c>
      <c r="C997" s="22" t="s">
        <v>202</v>
      </c>
      <c r="D997" s="22" t="s">
        <v>2618</v>
      </c>
      <c r="E997" s="22" t="s">
        <v>57</v>
      </c>
      <c r="F997" s="23">
        <v>-5593781</v>
      </c>
      <c r="G997" s="24">
        <v>44449</v>
      </c>
      <c r="H997" s="22" t="s">
        <v>864</v>
      </c>
      <c r="I997" s="22" t="s">
        <v>249</v>
      </c>
      <c r="J997" s="22"/>
      <c r="K997" s="22"/>
    </row>
    <row r="998" spans="1:11" x14ac:dyDescent="0.25">
      <c r="A998" s="22" t="s">
        <v>2377</v>
      </c>
      <c r="B998" s="22" t="s">
        <v>201</v>
      </c>
      <c r="C998" s="22" t="s">
        <v>202</v>
      </c>
      <c r="D998" s="22" t="s">
        <v>2376</v>
      </c>
      <c r="E998" s="22" t="s">
        <v>45</v>
      </c>
      <c r="F998" s="23">
        <v>-11072004</v>
      </c>
      <c r="G998" s="24">
        <v>44508</v>
      </c>
      <c r="H998" s="22" t="s">
        <v>2376</v>
      </c>
      <c r="I998" s="22"/>
      <c r="J998" s="22"/>
      <c r="K998" s="22"/>
    </row>
    <row r="999" spans="1:11" x14ac:dyDescent="0.25">
      <c r="A999" s="22" t="s">
        <v>2621</v>
      </c>
      <c r="B999" s="22" t="s">
        <v>201</v>
      </c>
      <c r="C999" s="22" t="s">
        <v>202</v>
      </c>
      <c r="D999" s="22" t="s">
        <v>2620</v>
      </c>
      <c r="E999" s="22" t="s">
        <v>45</v>
      </c>
      <c r="F999" s="23">
        <v>-15250</v>
      </c>
      <c r="G999" s="24">
        <v>44412</v>
      </c>
      <c r="H999" s="22" t="s">
        <v>877</v>
      </c>
      <c r="I999" s="22" t="s">
        <v>2591</v>
      </c>
      <c r="J999" s="22"/>
      <c r="K999" s="22"/>
    </row>
    <row r="1000" spans="1:11" x14ac:dyDescent="0.25">
      <c r="A1000" s="22" t="s">
        <v>878</v>
      </c>
      <c r="B1000" s="22" t="s">
        <v>201</v>
      </c>
      <c r="C1000" s="22" t="s">
        <v>202</v>
      </c>
      <c r="D1000" s="22" t="s">
        <v>2622</v>
      </c>
      <c r="E1000" s="22" t="s">
        <v>57</v>
      </c>
      <c r="F1000" s="23">
        <v>-60000</v>
      </c>
      <c r="G1000" s="24">
        <v>44410</v>
      </c>
      <c r="H1000" s="22" t="s">
        <v>877</v>
      </c>
      <c r="I1000" s="22" t="s">
        <v>2623</v>
      </c>
      <c r="J1000" s="22"/>
      <c r="K1000" s="22"/>
    </row>
    <row r="1001" spans="1:11" x14ac:dyDescent="0.25">
      <c r="A1001" s="22" t="s">
        <v>878</v>
      </c>
      <c r="B1001" s="22" t="s">
        <v>201</v>
      </c>
      <c r="C1001" s="22" t="s">
        <v>202</v>
      </c>
      <c r="D1001" s="22" t="s">
        <v>877</v>
      </c>
      <c r="E1001" s="22" t="s">
        <v>45</v>
      </c>
      <c r="F1001" s="23">
        <v>-80000</v>
      </c>
      <c r="G1001" s="24">
        <v>44410</v>
      </c>
      <c r="H1001" s="22" t="s">
        <v>877</v>
      </c>
      <c r="I1001" s="22"/>
      <c r="J1001" s="22"/>
      <c r="K1001" s="22"/>
    </row>
    <row r="1002" spans="1:11" x14ac:dyDescent="0.25">
      <c r="A1002" s="22" t="s">
        <v>2590</v>
      </c>
      <c r="B1002" s="22" t="s">
        <v>201</v>
      </c>
      <c r="C1002" s="22" t="s">
        <v>202</v>
      </c>
      <c r="D1002" s="22" t="s">
        <v>2626</v>
      </c>
      <c r="E1002" s="22" t="s">
        <v>57</v>
      </c>
      <c r="F1002" s="23">
        <v>-37600</v>
      </c>
      <c r="G1002" s="24">
        <v>44411</v>
      </c>
      <c r="H1002" s="22" t="s">
        <v>2589</v>
      </c>
      <c r="I1002" s="22" t="s">
        <v>723</v>
      </c>
      <c r="J1002" s="22"/>
      <c r="K1002" s="22"/>
    </row>
    <row r="1003" spans="1:11" x14ac:dyDescent="0.25">
      <c r="A1003" s="22" t="s">
        <v>2590</v>
      </c>
      <c r="B1003" s="22" t="s">
        <v>201</v>
      </c>
      <c r="C1003" s="22" t="s">
        <v>202</v>
      </c>
      <c r="D1003" s="22" t="s">
        <v>2589</v>
      </c>
      <c r="E1003" s="22" t="s">
        <v>45</v>
      </c>
      <c r="F1003" s="23">
        <v>-11150</v>
      </c>
      <c r="G1003" s="24">
        <v>44411</v>
      </c>
      <c r="H1003" s="22" t="s">
        <v>2589</v>
      </c>
      <c r="I1003" s="22"/>
      <c r="J1003" s="22"/>
      <c r="K1003" s="22"/>
    </row>
    <row r="1004" spans="1:11" x14ac:dyDescent="0.25">
      <c r="A1004" s="22" t="s">
        <v>2621</v>
      </c>
      <c r="B1004" s="22" t="s">
        <v>201</v>
      </c>
      <c r="C1004" s="22" t="s">
        <v>202</v>
      </c>
      <c r="D1004" s="22" t="s">
        <v>2629</v>
      </c>
      <c r="E1004" s="22" t="s">
        <v>57</v>
      </c>
      <c r="F1004" s="23">
        <v>-31600</v>
      </c>
      <c r="G1004" s="24">
        <v>44412</v>
      </c>
      <c r="H1004" s="22" t="s">
        <v>2620</v>
      </c>
      <c r="I1004" s="22" t="s">
        <v>723</v>
      </c>
      <c r="J1004" s="22"/>
      <c r="K1004" s="22"/>
    </row>
    <row r="1005" spans="1:11" x14ac:dyDescent="0.25">
      <c r="A1005" s="22" t="s">
        <v>2621</v>
      </c>
      <c r="B1005" s="22" t="s">
        <v>201</v>
      </c>
      <c r="C1005" s="22" t="s">
        <v>202</v>
      </c>
      <c r="D1005" s="22" t="s">
        <v>2620</v>
      </c>
      <c r="E1005" s="22" t="s">
        <v>45</v>
      </c>
      <c r="F1005" s="23">
        <v>-16350</v>
      </c>
      <c r="G1005" s="24">
        <v>44412</v>
      </c>
      <c r="H1005" s="22" t="s">
        <v>2620</v>
      </c>
      <c r="I1005" s="22"/>
      <c r="J1005" s="22"/>
      <c r="K1005" s="22"/>
    </row>
    <row r="1006" spans="1:11" x14ac:dyDescent="0.25">
      <c r="A1006" s="22" t="s">
        <v>621</v>
      </c>
      <c r="B1006" s="22" t="s">
        <v>201</v>
      </c>
      <c r="C1006" s="22" t="s">
        <v>202</v>
      </c>
      <c r="D1006" s="22" t="s">
        <v>2632</v>
      </c>
      <c r="E1006" s="22" t="s">
        <v>45</v>
      </c>
      <c r="F1006" s="23">
        <v>-953617</v>
      </c>
      <c r="G1006" s="24">
        <v>44438</v>
      </c>
      <c r="H1006" s="22" t="s">
        <v>620</v>
      </c>
      <c r="I1006" s="22" t="s">
        <v>2633</v>
      </c>
      <c r="J1006" s="22"/>
      <c r="K1006" s="22"/>
    </row>
    <row r="1007" spans="1:11" x14ac:dyDescent="0.25">
      <c r="A1007" s="22" t="s">
        <v>621</v>
      </c>
      <c r="B1007" s="22" t="s">
        <v>201</v>
      </c>
      <c r="C1007" s="22" t="s">
        <v>202</v>
      </c>
      <c r="D1007" s="22" t="s">
        <v>620</v>
      </c>
      <c r="E1007" s="22" t="s">
        <v>45</v>
      </c>
      <c r="F1007" s="23">
        <v>-366277</v>
      </c>
      <c r="G1007" s="24">
        <v>44438</v>
      </c>
      <c r="H1007" s="22" t="s">
        <v>620</v>
      </c>
      <c r="I1007" s="22"/>
      <c r="J1007" s="22"/>
      <c r="K1007" s="22"/>
    </row>
    <row r="1008" spans="1:11" x14ac:dyDescent="0.25">
      <c r="A1008" s="22" t="s">
        <v>2637</v>
      </c>
      <c r="B1008" s="22" t="s">
        <v>201</v>
      </c>
      <c r="C1008" s="22" t="s">
        <v>202</v>
      </c>
      <c r="D1008" s="22" t="s">
        <v>2636</v>
      </c>
      <c r="E1008" s="22" t="s">
        <v>57</v>
      </c>
      <c r="F1008" s="23">
        <v>-22300</v>
      </c>
      <c r="G1008" s="24">
        <v>44412</v>
      </c>
      <c r="H1008" s="22" t="s">
        <v>2632</v>
      </c>
      <c r="I1008" s="22" t="s">
        <v>740</v>
      </c>
      <c r="J1008" s="22"/>
      <c r="K1008" s="22"/>
    </row>
    <row r="1009" spans="1:11" x14ac:dyDescent="0.25">
      <c r="A1009" s="22" t="s">
        <v>2639</v>
      </c>
      <c r="B1009" s="22" t="s">
        <v>201</v>
      </c>
      <c r="C1009" s="22" t="s">
        <v>202</v>
      </c>
      <c r="D1009" s="22" t="s">
        <v>2638</v>
      </c>
      <c r="E1009" s="22" t="s">
        <v>57</v>
      </c>
      <c r="F1009" s="23">
        <v>-268100</v>
      </c>
      <c r="G1009" s="24">
        <v>44404</v>
      </c>
      <c r="H1009" s="22" t="s">
        <v>2632</v>
      </c>
      <c r="I1009" s="22" t="s">
        <v>740</v>
      </c>
      <c r="J1009" s="22"/>
      <c r="K1009" s="22"/>
    </row>
    <row r="1010" spans="1:11" x14ac:dyDescent="0.25">
      <c r="A1010" s="22" t="s">
        <v>621</v>
      </c>
      <c r="B1010" s="22" t="s">
        <v>201</v>
      </c>
      <c r="C1010" s="22" t="s">
        <v>202</v>
      </c>
      <c r="D1010" s="22" t="s">
        <v>2640</v>
      </c>
      <c r="E1010" s="22" t="s">
        <v>57</v>
      </c>
      <c r="F1010" s="23">
        <v>-1539449</v>
      </c>
      <c r="G1010" s="24">
        <v>44438</v>
      </c>
      <c r="H1010" s="22" t="s">
        <v>2632</v>
      </c>
      <c r="I1010" s="22" t="s">
        <v>740</v>
      </c>
      <c r="J1010" s="22"/>
      <c r="K1010" s="22"/>
    </row>
    <row r="1011" spans="1:11" x14ac:dyDescent="0.25">
      <c r="A1011" s="22" t="s">
        <v>621</v>
      </c>
      <c r="B1011" s="22" t="s">
        <v>201</v>
      </c>
      <c r="C1011" s="22" t="s">
        <v>202</v>
      </c>
      <c r="D1011" s="22" t="s">
        <v>2632</v>
      </c>
      <c r="E1011" s="22" t="s">
        <v>45</v>
      </c>
      <c r="F1011" s="23">
        <v>-876232</v>
      </c>
      <c r="G1011" s="24">
        <v>44438</v>
      </c>
      <c r="H1011" s="22" t="s">
        <v>2632</v>
      </c>
      <c r="I1011" s="22"/>
      <c r="J1011" s="22"/>
      <c r="K1011" s="22"/>
    </row>
    <row r="1012" spans="1:11" x14ac:dyDescent="0.25">
      <c r="A1012" s="22" t="s">
        <v>2642</v>
      </c>
      <c r="B1012" s="22" t="s">
        <v>201</v>
      </c>
      <c r="C1012" s="22" t="s">
        <v>202</v>
      </c>
      <c r="D1012" s="22" t="s">
        <v>2641</v>
      </c>
      <c r="E1012" s="22" t="s">
        <v>588</v>
      </c>
      <c r="F1012" s="23">
        <v>-144000</v>
      </c>
      <c r="G1012" s="24">
        <v>44322</v>
      </c>
      <c r="H1012" s="22" t="s">
        <v>691</v>
      </c>
      <c r="I1012" s="22" t="s">
        <v>2643</v>
      </c>
      <c r="J1012" s="22"/>
      <c r="K1012" s="22"/>
    </row>
    <row r="1013" spans="1:11" x14ac:dyDescent="0.25">
      <c r="A1013" s="22" t="s">
        <v>2647</v>
      </c>
      <c r="B1013" s="22" t="s">
        <v>201</v>
      </c>
      <c r="C1013" s="22" t="s">
        <v>202</v>
      </c>
      <c r="D1013" s="22" t="s">
        <v>2646</v>
      </c>
      <c r="E1013" s="22" t="s">
        <v>45</v>
      </c>
      <c r="F1013" s="23">
        <v>-170468</v>
      </c>
      <c r="G1013" s="24">
        <v>44384</v>
      </c>
      <c r="H1013" s="22" t="s">
        <v>2646</v>
      </c>
      <c r="I1013" s="22"/>
      <c r="J1013" s="22"/>
      <c r="K1013" s="22"/>
    </row>
    <row r="1014" spans="1:11" x14ac:dyDescent="0.25">
      <c r="A1014" s="22" t="s">
        <v>2652</v>
      </c>
      <c r="B1014" s="22" t="s">
        <v>201</v>
      </c>
      <c r="C1014" s="22" t="s">
        <v>202</v>
      </c>
      <c r="D1014" s="22" t="s">
        <v>2651</v>
      </c>
      <c r="E1014" s="22" t="s">
        <v>57</v>
      </c>
      <c r="F1014" s="23">
        <v>-44700</v>
      </c>
      <c r="G1014" s="24">
        <v>44384</v>
      </c>
      <c r="H1014" s="22" t="s">
        <v>2650</v>
      </c>
      <c r="I1014" s="22" t="s">
        <v>319</v>
      </c>
      <c r="J1014" s="22"/>
      <c r="K1014" s="22"/>
    </row>
    <row r="1015" spans="1:11" x14ac:dyDescent="0.25">
      <c r="A1015" s="22" t="s">
        <v>2654</v>
      </c>
      <c r="B1015" s="22" t="s">
        <v>201</v>
      </c>
      <c r="C1015" s="22" t="s">
        <v>202</v>
      </c>
      <c r="D1015" s="22" t="s">
        <v>2653</v>
      </c>
      <c r="E1015" s="22" t="s">
        <v>45</v>
      </c>
      <c r="F1015" s="23">
        <v>-25093</v>
      </c>
      <c r="G1015" s="24">
        <v>44407</v>
      </c>
      <c r="H1015" s="22" t="s">
        <v>2650</v>
      </c>
      <c r="I1015" s="22" t="s">
        <v>874</v>
      </c>
      <c r="J1015" s="22"/>
      <c r="K1015" s="22"/>
    </row>
    <row r="1016" spans="1:11" x14ac:dyDescent="0.25">
      <c r="A1016" s="22" t="s">
        <v>2654</v>
      </c>
      <c r="B1016" s="22" t="s">
        <v>201</v>
      </c>
      <c r="C1016" s="22" t="s">
        <v>202</v>
      </c>
      <c r="D1016" s="22" t="s">
        <v>2650</v>
      </c>
      <c r="E1016" s="22" t="s">
        <v>45</v>
      </c>
      <c r="F1016" s="23">
        <v>-60689</v>
      </c>
      <c r="G1016" s="24">
        <v>44407</v>
      </c>
      <c r="H1016" s="22" t="s">
        <v>2650</v>
      </c>
      <c r="I1016" s="22"/>
      <c r="J1016" s="22"/>
      <c r="K1016" s="22"/>
    </row>
    <row r="1017" spans="1:11" x14ac:dyDescent="0.25">
      <c r="A1017" s="22" t="s">
        <v>169</v>
      </c>
      <c r="B1017" s="22" t="s">
        <v>201</v>
      </c>
      <c r="C1017" s="22" t="s">
        <v>202</v>
      </c>
      <c r="D1017" s="22" t="s">
        <v>1929</v>
      </c>
      <c r="E1017" s="22" t="s">
        <v>45</v>
      </c>
      <c r="F1017" s="23">
        <v>-2777904</v>
      </c>
      <c r="G1017" s="24">
        <v>44382</v>
      </c>
      <c r="H1017" s="22" t="s">
        <v>2657</v>
      </c>
      <c r="I1017" s="22" t="s">
        <v>2658</v>
      </c>
      <c r="J1017" s="22"/>
      <c r="K1017" s="22"/>
    </row>
    <row r="1018" spans="1:11" x14ac:dyDescent="0.25">
      <c r="A1018" s="22" t="s">
        <v>2663</v>
      </c>
      <c r="B1018" s="22" t="s">
        <v>201</v>
      </c>
      <c r="C1018" s="22" t="s">
        <v>202</v>
      </c>
      <c r="D1018" s="22" t="s">
        <v>2662</v>
      </c>
      <c r="E1018" s="22" t="s">
        <v>45</v>
      </c>
      <c r="F1018" s="23">
        <v>-876343</v>
      </c>
      <c r="G1018" s="24">
        <v>44222</v>
      </c>
      <c r="H1018" s="22" t="s">
        <v>2661</v>
      </c>
      <c r="I1018" s="22" t="s">
        <v>1919</v>
      </c>
      <c r="J1018" s="22"/>
      <c r="K1018" s="22"/>
    </row>
    <row r="1019" spans="1:11" x14ac:dyDescent="0.25">
      <c r="A1019" s="22" t="s">
        <v>2665</v>
      </c>
      <c r="B1019" s="22" t="s">
        <v>201</v>
      </c>
      <c r="C1019" s="22" t="s">
        <v>202</v>
      </c>
      <c r="D1019" s="22" t="s">
        <v>2664</v>
      </c>
      <c r="E1019" s="22" t="s">
        <v>57</v>
      </c>
      <c r="F1019" s="23">
        <v>-1900568</v>
      </c>
      <c r="G1019" s="24">
        <v>44219</v>
      </c>
      <c r="H1019" s="22" t="s">
        <v>2661</v>
      </c>
      <c r="I1019" s="22" t="s">
        <v>2666</v>
      </c>
      <c r="J1019" s="22"/>
      <c r="K1019" s="22"/>
    </row>
    <row r="1020" spans="1:11" x14ac:dyDescent="0.25">
      <c r="A1020" s="22" t="s">
        <v>2665</v>
      </c>
      <c r="B1020" s="22" t="s">
        <v>201</v>
      </c>
      <c r="C1020" s="22" t="s">
        <v>202</v>
      </c>
      <c r="D1020" s="22" t="s">
        <v>2661</v>
      </c>
      <c r="E1020" s="22" t="s">
        <v>45</v>
      </c>
      <c r="F1020" s="23">
        <v>-1195911</v>
      </c>
      <c r="G1020" s="24">
        <v>44219</v>
      </c>
      <c r="H1020" s="22" t="s">
        <v>2661</v>
      </c>
      <c r="I1020" s="22"/>
      <c r="J1020" s="22"/>
      <c r="K1020" s="22"/>
    </row>
    <row r="1021" spans="1:11" x14ac:dyDescent="0.25">
      <c r="A1021" s="22" t="s">
        <v>181</v>
      </c>
      <c r="B1021" s="22" t="s">
        <v>201</v>
      </c>
      <c r="C1021" s="22" t="s">
        <v>202</v>
      </c>
      <c r="D1021" s="22" t="s">
        <v>2669</v>
      </c>
      <c r="E1021" s="22" t="s">
        <v>45</v>
      </c>
      <c r="F1021" s="23">
        <v>-1453222</v>
      </c>
      <c r="G1021" s="24">
        <v>44246</v>
      </c>
      <c r="H1021" s="22" t="s">
        <v>2662</v>
      </c>
      <c r="I1021" s="22" t="s">
        <v>2670</v>
      </c>
      <c r="J1021" s="22"/>
      <c r="K1021" s="22"/>
    </row>
    <row r="1022" spans="1:11" x14ac:dyDescent="0.25">
      <c r="A1022" s="22" t="s">
        <v>2663</v>
      </c>
      <c r="B1022" s="22" t="s">
        <v>201</v>
      </c>
      <c r="C1022" s="22" t="s">
        <v>202</v>
      </c>
      <c r="D1022" s="22" t="s">
        <v>2671</v>
      </c>
      <c r="E1022" s="22" t="s">
        <v>57</v>
      </c>
      <c r="F1022" s="23">
        <v>-943600</v>
      </c>
      <c r="G1022" s="24">
        <v>44222</v>
      </c>
      <c r="H1022" s="22" t="s">
        <v>2662</v>
      </c>
      <c r="I1022" s="22" t="s">
        <v>1805</v>
      </c>
      <c r="J1022" s="22"/>
      <c r="K1022" s="22"/>
    </row>
    <row r="1023" spans="1:11" x14ac:dyDescent="0.25">
      <c r="A1023" s="22" t="s">
        <v>2673</v>
      </c>
      <c r="B1023" s="22" t="s">
        <v>201</v>
      </c>
      <c r="C1023" s="22" t="s">
        <v>202</v>
      </c>
      <c r="D1023" s="22" t="s">
        <v>2672</v>
      </c>
      <c r="E1023" s="22" t="s">
        <v>57</v>
      </c>
      <c r="F1023" s="23">
        <v>-862400</v>
      </c>
      <c r="G1023" s="24">
        <v>44251</v>
      </c>
      <c r="H1023" s="22" t="s">
        <v>2662</v>
      </c>
      <c r="I1023" s="22" t="s">
        <v>836</v>
      </c>
      <c r="J1023" s="22"/>
      <c r="K1023" s="22"/>
    </row>
    <row r="1024" spans="1:11" x14ac:dyDescent="0.25">
      <c r="A1024" s="22" t="s">
        <v>2675</v>
      </c>
      <c r="B1024" s="22" t="s">
        <v>201</v>
      </c>
      <c r="C1024" s="22" t="s">
        <v>202</v>
      </c>
      <c r="D1024" s="22" t="s">
        <v>2674</v>
      </c>
      <c r="E1024" s="22" t="s">
        <v>57</v>
      </c>
      <c r="F1024" s="23">
        <v>-884213</v>
      </c>
      <c r="G1024" s="24">
        <v>44251</v>
      </c>
      <c r="H1024" s="22" t="s">
        <v>2662</v>
      </c>
      <c r="I1024" s="22" t="s">
        <v>1916</v>
      </c>
      <c r="J1024" s="22"/>
      <c r="K1024" s="22"/>
    </row>
    <row r="1025" spans="1:11" x14ac:dyDescent="0.25">
      <c r="A1025" s="22" t="s">
        <v>2663</v>
      </c>
      <c r="B1025" s="22" t="s">
        <v>201</v>
      </c>
      <c r="C1025" s="22" t="s">
        <v>202</v>
      </c>
      <c r="D1025" s="22" t="s">
        <v>2662</v>
      </c>
      <c r="E1025" s="22" t="s">
        <v>45</v>
      </c>
      <c r="F1025" s="23">
        <v>-3267092</v>
      </c>
      <c r="G1025" s="24">
        <v>44222</v>
      </c>
      <c r="H1025" s="22" t="s">
        <v>2662</v>
      </c>
      <c r="I1025" s="22"/>
      <c r="J1025" s="22"/>
      <c r="K1025" s="22"/>
    </row>
    <row r="1026" spans="1:11" x14ac:dyDescent="0.25">
      <c r="A1026" s="22" t="s">
        <v>2680</v>
      </c>
      <c r="B1026" s="22" t="s">
        <v>201</v>
      </c>
      <c r="C1026" s="22" t="s">
        <v>202</v>
      </c>
      <c r="D1026" s="22" t="s">
        <v>2679</v>
      </c>
      <c r="E1026" s="22" t="s">
        <v>57</v>
      </c>
      <c r="F1026" s="23">
        <v>-119400</v>
      </c>
      <c r="G1026" s="24">
        <v>44405</v>
      </c>
      <c r="H1026" s="22" t="s">
        <v>2678</v>
      </c>
      <c r="I1026" s="22" t="s">
        <v>2681</v>
      </c>
      <c r="J1026" s="22"/>
      <c r="K1026" s="22"/>
    </row>
    <row r="1027" spans="1:11" x14ac:dyDescent="0.25">
      <c r="A1027" s="22" t="s">
        <v>2680</v>
      </c>
      <c r="B1027" s="22" t="s">
        <v>201</v>
      </c>
      <c r="C1027" s="22" t="s">
        <v>202</v>
      </c>
      <c r="D1027" s="22" t="s">
        <v>2678</v>
      </c>
      <c r="E1027" s="22" t="s">
        <v>45</v>
      </c>
      <c r="F1027" s="23">
        <v>-27362</v>
      </c>
      <c r="G1027" s="24">
        <v>44405</v>
      </c>
      <c r="H1027" s="22" t="s">
        <v>2678</v>
      </c>
      <c r="I1027" s="22"/>
      <c r="J1027" s="22"/>
      <c r="K1027" s="22"/>
    </row>
    <row r="1028" spans="1:11" x14ac:dyDescent="0.25">
      <c r="A1028" s="22" t="s">
        <v>2686</v>
      </c>
      <c r="B1028" s="22" t="s">
        <v>201</v>
      </c>
      <c r="C1028" s="22" t="s">
        <v>202</v>
      </c>
      <c r="D1028" s="22" t="s">
        <v>2685</v>
      </c>
      <c r="E1028" s="22" t="s">
        <v>57</v>
      </c>
      <c r="F1028" s="23">
        <v>-32700</v>
      </c>
      <c r="G1028" s="24">
        <v>44398</v>
      </c>
      <c r="H1028" s="22" t="s">
        <v>2684</v>
      </c>
      <c r="I1028" s="22" t="s">
        <v>475</v>
      </c>
      <c r="J1028" s="22"/>
      <c r="K1028" s="22"/>
    </row>
    <row r="1029" spans="1:11" x14ac:dyDescent="0.25">
      <c r="A1029" s="22" t="s">
        <v>2686</v>
      </c>
      <c r="B1029" s="22" t="s">
        <v>201</v>
      </c>
      <c r="C1029" s="22" t="s">
        <v>202</v>
      </c>
      <c r="D1029" s="22" t="s">
        <v>2684</v>
      </c>
      <c r="E1029" s="22" t="s">
        <v>45</v>
      </c>
      <c r="F1029" s="23">
        <v>-27500</v>
      </c>
      <c r="G1029" s="24">
        <v>44398</v>
      </c>
      <c r="H1029" s="22" t="s">
        <v>2684</v>
      </c>
      <c r="I1029" s="22"/>
      <c r="J1029" s="22"/>
      <c r="K1029" s="22"/>
    </row>
    <row r="1030" spans="1:11" x14ac:dyDescent="0.25">
      <c r="A1030" s="22" t="s">
        <v>2691</v>
      </c>
      <c r="B1030" s="22" t="s">
        <v>201</v>
      </c>
      <c r="C1030" s="22" t="s">
        <v>202</v>
      </c>
      <c r="D1030" s="22" t="s">
        <v>2690</v>
      </c>
      <c r="E1030" s="22" t="s">
        <v>57</v>
      </c>
      <c r="F1030" s="23">
        <v>-32700</v>
      </c>
      <c r="G1030" s="24">
        <v>44398</v>
      </c>
      <c r="H1030" s="22" t="s">
        <v>2689</v>
      </c>
      <c r="I1030" s="22" t="s">
        <v>2692</v>
      </c>
      <c r="J1030" s="22"/>
      <c r="K1030" s="22"/>
    </row>
    <row r="1031" spans="1:11" x14ac:dyDescent="0.25">
      <c r="A1031" s="22" t="s">
        <v>2691</v>
      </c>
      <c r="B1031" s="22" t="s">
        <v>201</v>
      </c>
      <c r="C1031" s="22" t="s">
        <v>202</v>
      </c>
      <c r="D1031" s="22" t="s">
        <v>2689</v>
      </c>
      <c r="E1031" s="22" t="s">
        <v>45</v>
      </c>
      <c r="F1031" s="23">
        <v>-25950</v>
      </c>
      <c r="G1031" s="24">
        <v>44398</v>
      </c>
      <c r="H1031" s="22" t="s">
        <v>2689</v>
      </c>
      <c r="I1031" s="22"/>
      <c r="J1031" s="22"/>
      <c r="K1031" s="22"/>
    </row>
    <row r="1032" spans="1:11" x14ac:dyDescent="0.25">
      <c r="A1032" s="22" t="s">
        <v>2697</v>
      </c>
      <c r="B1032" s="22" t="s">
        <v>201</v>
      </c>
      <c r="C1032" s="22" t="s">
        <v>202</v>
      </c>
      <c r="D1032" s="22" t="s">
        <v>2696</v>
      </c>
      <c r="E1032" s="22" t="s">
        <v>45</v>
      </c>
      <c r="F1032" s="23">
        <v>-49698</v>
      </c>
      <c r="G1032" s="24">
        <v>44366</v>
      </c>
      <c r="H1032" s="22" t="s">
        <v>2695</v>
      </c>
      <c r="I1032" s="22" t="s">
        <v>2698</v>
      </c>
      <c r="J1032" s="22"/>
      <c r="K1032" s="22"/>
    </row>
    <row r="1033" spans="1:11" x14ac:dyDescent="0.25">
      <c r="A1033" s="22" t="s">
        <v>2647</v>
      </c>
      <c r="B1033" s="22" t="s">
        <v>201</v>
      </c>
      <c r="C1033" s="22" t="s">
        <v>202</v>
      </c>
      <c r="D1033" s="22" t="s">
        <v>2646</v>
      </c>
      <c r="E1033" s="22" t="s">
        <v>45</v>
      </c>
      <c r="F1033" s="23">
        <v>-16136</v>
      </c>
      <c r="G1033" s="24">
        <v>44384</v>
      </c>
      <c r="H1033" s="22" t="s">
        <v>2701</v>
      </c>
      <c r="I1033" s="22" t="s">
        <v>241</v>
      </c>
      <c r="J1033" s="22"/>
      <c r="K1033" s="22"/>
    </row>
    <row r="1034" spans="1:11" x14ac:dyDescent="0.25">
      <c r="A1034" s="22" t="s">
        <v>2703</v>
      </c>
      <c r="B1034" s="22" t="s">
        <v>201</v>
      </c>
      <c r="C1034" s="22" t="s">
        <v>202</v>
      </c>
      <c r="D1034" s="22" t="s">
        <v>2702</v>
      </c>
      <c r="E1034" s="22" t="s">
        <v>57</v>
      </c>
      <c r="F1034" s="23">
        <v>-37100</v>
      </c>
      <c r="G1034" s="24">
        <v>44393</v>
      </c>
      <c r="H1034" s="22" t="s">
        <v>2701</v>
      </c>
      <c r="I1034" s="22" t="s">
        <v>319</v>
      </c>
      <c r="J1034" s="22"/>
      <c r="K1034" s="22"/>
    </row>
    <row r="1035" spans="1:11" x14ac:dyDescent="0.25">
      <c r="A1035" s="22" t="s">
        <v>2703</v>
      </c>
      <c r="B1035" s="22" t="s">
        <v>201</v>
      </c>
      <c r="C1035" s="22" t="s">
        <v>202</v>
      </c>
      <c r="D1035" s="22" t="s">
        <v>2701</v>
      </c>
      <c r="E1035" s="22" t="s">
        <v>45</v>
      </c>
      <c r="F1035" s="23">
        <v>-32775</v>
      </c>
      <c r="G1035" s="24">
        <v>44393</v>
      </c>
      <c r="H1035" s="22" t="s">
        <v>2701</v>
      </c>
      <c r="I1035" s="22"/>
      <c r="J1035" s="22"/>
      <c r="K1035" s="22"/>
    </row>
    <row r="1036" spans="1:11" x14ac:dyDescent="0.25">
      <c r="A1036" s="22" t="s">
        <v>2707</v>
      </c>
      <c r="B1036" s="22" t="s">
        <v>201</v>
      </c>
      <c r="C1036" s="22" t="s">
        <v>202</v>
      </c>
      <c r="D1036" s="22" t="s">
        <v>2706</v>
      </c>
      <c r="E1036" s="22" t="s">
        <v>57</v>
      </c>
      <c r="F1036" s="23">
        <v>-65400</v>
      </c>
      <c r="G1036" s="24">
        <v>44392</v>
      </c>
      <c r="H1036" s="22" t="s">
        <v>2646</v>
      </c>
      <c r="I1036" s="22" t="s">
        <v>319</v>
      </c>
      <c r="J1036" s="22"/>
      <c r="K1036" s="22"/>
    </row>
    <row r="1037" spans="1:11" x14ac:dyDescent="0.25">
      <c r="A1037" s="22" t="s">
        <v>2647</v>
      </c>
      <c r="B1037" s="22" t="s">
        <v>201</v>
      </c>
      <c r="C1037" s="22" t="s">
        <v>202</v>
      </c>
      <c r="D1037" s="22" t="s">
        <v>2708</v>
      </c>
      <c r="E1037" s="22" t="s">
        <v>57</v>
      </c>
      <c r="F1037" s="23">
        <v>-112100</v>
      </c>
      <c r="G1037" s="24">
        <v>44384</v>
      </c>
      <c r="H1037" s="22" t="s">
        <v>2646</v>
      </c>
      <c r="I1037" s="22" t="s">
        <v>319</v>
      </c>
      <c r="J1037" s="22"/>
      <c r="K1037" s="22"/>
    </row>
    <row r="1038" spans="1:11" x14ac:dyDescent="0.25">
      <c r="A1038" s="22" t="s">
        <v>2654</v>
      </c>
      <c r="B1038" s="22" t="s">
        <v>201</v>
      </c>
      <c r="C1038" s="22" t="s">
        <v>202</v>
      </c>
      <c r="D1038" s="22" t="s">
        <v>2650</v>
      </c>
      <c r="E1038" s="22" t="s">
        <v>45</v>
      </c>
      <c r="F1038" s="23">
        <v>-9104</v>
      </c>
      <c r="G1038" s="24">
        <v>44407</v>
      </c>
      <c r="H1038" s="22" t="s">
        <v>2646</v>
      </c>
      <c r="I1038" s="22" t="s">
        <v>2709</v>
      </c>
      <c r="J1038" s="22"/>
      <c r="K1038" s="22"/>
    </row>
    <row r="1039" spans="1:11" x14ac:dyDescent="0.25">
      <c r="A1039" s="22" t="s">
        <v>2711</v>
      </c>
      <c r="B1039" s="22" t="s">
        <v>201</v>
      </c>
      <c r="C1039" s="22" t="s">
        <v>202</v>
      </c>
      <c r="D1039" s="22" t="s">
        <v>2710</v>
      </c>
      <c r="E1039" s="22" t="s">
        <v>588</v>
      </c>
      <c r="F1039" s="23">
        <v>-759601</v>
      </c>
      <c r="G1039" s="24">
        <v>44161</v>
      </c>
      <c r="H1039" s="22" t="s">
        <v>2669</v>
      </c>
      <c r="I1039" s="22" t="s">
        <v>2712</v>
      </c>
      <c r="J1039" s="22"/>
      <c r="K1039" s="22"/>
    </row>
    <row r="1040" spans="1:11" x14ac:dyDescent="0.25">
      <c r="A1040" s="22" t="s">
        <v>2714</v>
      </c>
      <c r="B1040" s="22" t="s">
        <v>201</v>
      </c>
      <c r="C1040" s="22" t="s">
        <v>202</v>
      </c>
      <c r="D1040" s="22" t="s">
        <v>2713</v>
      </c>
      <c r="E1040" s="22" t="s">
        <v>57</v>
      </c>
      <c r="F1040" s="23">
        <v>-18800</v>
      </c>
      <c r="G1040" s="24">
        <v>44403</v>
      </c>
      <c r="H1040" s="22" t="s">
        <v>2715</v>
      </c>
      <c r="I1040" s="22" t="s">
        <v>2329</v>
      </c>
      <c r="J1040" s="22"/>
      <c r="K1040" s="22"/>
    </row>
    <row r="1041" spans="1:11" x14ac:dyDescent="0.25">
      <c r="A1041" s="22" t="s">
        <v>2717</v>
      </c>
      <c r="B1041" s="22" t="s">
        <v>201</v>
      </c>
      <c r="C1041" s="22" t="s">
        <v>202</v>
      </c>
      <c r="D1041" s="22" t="s">
        <v>2716</v>
      </c>
      <c r="E1041" s="22" t="s">
        <v>57</v>
      </c>
      <c r="F1041" s="23">
        <v>-18800</v>
      </c>
      <c r="G1041" s="24">
        <v>44398</v>
      </c>
      <c r="H1041" s="22" t="s">
        <v>2715</v>
      </c>
      <c r="I1041" s="22" t="s">
        <v>280</v>
      </c>
      <c r="J1041" s="22"/>
      <c r="K1041" s="22"/>
    </row>
    <row r="1042" spans="1:11" x14ac:dyDescent="0.25">
      <c r="A1042" s="22" t="s">
        <v>2719</v>
      </c>
      <c r="B1042" s="22" t="s">
        <v>201</v>
      </c>
      <c r="C1042" s="22" t="s">
        <v>202</v>
      </c>
      <c r="D1042" s="22" t="s">
        <v>2718</v>
      </c>
      <c r="E1042" s="22" t="s">
        <v>57</v>
      </c>
      <c r="F1042" s="23">
        <v>-344100</v>
      </c>
      <c r="G1042" s="24">
        <v>44393</v>
      </c>
      <c r="H1042" s="22" t="s">
        <v>2715</v>
      </c>
      <c r="I1042" s="22" t="s">
        <v>309</v>
      </c>
      <c r="J1042" s="22"/>
      <c r="K1042" s="22"/>
    </row>
    <row r="1043" spans="1:11" x14ac:dyDescent="0.25">
      <c r="A1043" s="22" t="s">
        <v>2721</v>
      </c>
      <c r="B1043" s="22" t="s">
        <v>201</v>
      </c>
      <c r="C1043" s="22" t="s">
        <v>202</v>
      </c>
      <c r="D1043" s="22" t="s">
        <v>2720</v>
      </c>
      <c r="E1043" s="22" t="s">
        <v>57</v>
      </c>
      <c r="F1043" s="23">
        <v>-56200</v>
      </c>
      <c r="G1043" s="24">
        <v>44393</v>
      </c>
      <c r="H1043" s="22" t="s">
        <v>2715</v>
      </c>
      <c r="I1043" s="22" t="s">
        <v>897</v>
      </c>
      <c r="J1043" s="22"/>
      <c r="K1043" s="22"/>
    </row>
    <row r="1044" spans="1:11" x14ac:dyDescent="0.25">
      <c r="A1044" s="22" t="s">
        <v>2723</v>
      </c>
      <c r="B1044" s="22" t="s">
        <v>201</v>
      </c>
      <c r="C1044" s="22" t="s">
        <v>202</v>
      </c>
      <c r="D1044" s="22" t="s">
        <v>2722</v>
      </c>
      <c r="E1044" s="22" t="s">
        <v>57</v>
      </c>
      <c r="F1044" s="23">
        <v>-75500</v>
      </c>
      <c r="G1044" s="24">
        <v>44389</v>
      </c>
      <c r="H1044" s="22" t="s">
        <v>2715</v>
      </c>
      <c r="I1044" s="22" t="s">
        <v>280</v>
      </c>
      <c r="J1044" s="22"/>
      <c r="K1044" s="22"/>
    </row>
    <row r="1045" spans="1:11" x14ac:dyDescent="0.25">
      <c r="A1045" s="22" t="s">
        <v>2725</v>
      </c>
      <c r="B1045" s="22" t="s">
        <v>201</v>
      </c>
      <c r="C1045" s="22" t="s">
        <v>202</v>
      </c>
      <c r="D1045" s="22" t="s">
        <v>2724</v>
      </c>
      <c r="E1045" s="22" t="s">
        <v>57</v>
      </c>
      <c r="F1045" s="23">
        <v>-32700</v>
      </c>
      <c r="G1045" s="24">
        <v>44386</v>
      </c>
      <c r="H1045" s="22" t="s">
        <v>2715</v>
      </c>
      <c r="I1045" s="22" t="s">
        <v>2726</v>
      </c>
      <c r="J1045" s="22"/>
      <c r="K1045" s="22"/>
    </row>
    <row r="1046" spans="1:11" x14ac:dyDescent="0.25">
      <c r="A1046" s="22" t="s">
        <v>2728</v>
      </c>
      <c r="B1046" s="22" t="s">
        <v>201</v>
      </c>
      <c r="C1046" s="22" t="s">
        <v>202</v>
      </c>
      <c r="D1046" s="22" t="s">
        <v>2727</v>
      </c>
      <c r="E1046" s="22" t="s">
        <v>57</v>
      </c>
      <c r="F1046" s="23">
        <v>-18800</v>
      </c>
      <c r="G1046" s="24">
        <v>44386</v>
      </c>
      <c r="H1046" s="22" t="s">
        <v>2715</v>
      </c>
      <c r="I1046" s="22" t="s">
        <v>2726</v>
      </c>
      <c r="J1046" s="22"/>
      <c r="K1046" s="22"/>
    </row>
    <row r="1047" spans="1:11" x14ac:dyDescent="0.25">
      <c r="A1047" s="22" t="s">
        <v>2730</v>
      </c>
      <c r="B1047" s="22" t="s">
        <v>201</v>
      </c>
      <c r="C1047" s="22" t="s">
        <v>202</v>
      </c>
      <c r="D1047" s="22" t="s">
        <v>2729</v>
      </c>
      <c r="E1047" s="22" t="s">
        <v>57</v>
      </c>
      <c r="F1047" s="23">
        <v>-99200</v>
      </c>
      <c r="G1047" s="24">
        <v>44384</v>
      </c>
      <c r="H1047" s="22" t="s">
        <v>2715</v>
      </c>
      <c r="I1047" s="22" t="s">
        <v>823</v>
      </c>
      <c r="J1047" s="22"/>
      <c r="K1047" s="22"/>
    </row>
    <row r="1048" spans="1:11" x14ac:dyDescent="0.25">
      <c r="A1048" s="22" t="s">
        <v>2732</v>
      </c>
      <c r="B1048" s="22" t="s">
        <v>201</v>
      </c>
      <c r="C1048" s="22" t="s">
        <v>202</v>
      </c>
      <c r="D1048" s="22" t="s">
        <v>2731</v>
      </c>
      <c r="E1048" s="22" t="s">
        <v>57</v>
      </c>
      <c r="F1048" s="23">
        <v>-43700</v>
      </c>
      <c r="G1048" s="24">
        <v>44383</v>
      </c>
      <c r="H1048" s="22" t="s">
        <v>2715</v>
      </c>
      <c r="I1048" s="22" t="s">
        <v>836</v>
      </c>
      <c r="J1048" s="22"/>
      <c r="K1048" s="22"/>
    </row>
    <row r="1049" spans="1:11" x14ac:dyDescent="0.25">
      <c r="A1049" s="22" t="s">
        <v>2734</v>
      </c>
      <c r="B1049" s="22" t="s">
        <v>201</v>
      </c>
      <c r="C1049" s="22" t="s">
        <v>202</v>
      </c>
      <c r="D1049" s="22" t="s">
        <v>2733</v>
      </c>
      <c r="E1049" s="22" t="s">
        <v>57</v>
      </c>
      <c r="F1049" s="23">
        <v>-29200</v>
      </c>
      <c r="G1049" s="24">
        <v>44379</v>
      </c>
      <c r="H1049" s="22" t="s">
        <v>2715</v>
      </c>
      <c r="I1049" s="22" t="s">
        <v>836</v>
      </c>
      <c r="J1049" s="22"/>
      <c r="K1049" s="22"/>
    </row>
    <row r="1050" spans="1:11" x14ac:dyDescent="0.25">
      <c r="A1050" s="22" t="s">
        <v>2736</v>
      </c>
      <c r="B1050" s="22" t="s">
        <v>201</v>
      </c>
      <c r="C1050" s="22" t="s">
        <v>202</v>
      </c>
      <c r="D1050" s="22" t="s">
        <v>2735</v>
      </c>
      <c r="E1050" s="22" t="s">
        <v>57</v>
      </c>
      <c r="F1050" s="23">
        <v>-43700</v>
      </c>
      <c r="G1050" s="24">
        <v>44379</v>
      </c>
      <c r="H1050" s="22" t="s">
        <v>2715</v>
      </c>
      <c r="I1050" s="22" t="s">
        <v>2737</v>
      </c>
      <c r="J1050" s="22"/>
      <c r="K1050" s="22"/>
    </row>
    <row r="1051" spans="1:11" x14ac:dyDescent="0.25">
      <c r="A1051" s="22" t="s">
        <v>2739</v>
      </c>
      <c r="B1051" s="22" t="s">
        <v>201</v>
      </c>
      <c r="C1051" s="22" t="s">
        <v>202</v>
      </c>
      <c r="D1051" s="22" t="s">
        <v>2738</v>
      </c>
      <c r="E1051" s="22" t="s">
        <v>57</v>
      </c>
      <c r="F1051" s="23">
        <v>-43700</v>
      </c>
      <c r="G1051" s="24">
        <v>44379</v>
      </c>
      <c r="H1051" s="22" t="s">
        <v>2715</v>
      </c>
      <c r="I1051" s="22" t="s">
        <v>2740</v>
      </c>
      <c r="J1051" s="22"/>
      <c r="K1051" s="22"/>
    </row>
    <row r="1052" spans="1:11" x14ac:dyDescent="0.25">
      <c r="A1052" s="22" t="s">
        <v>2742</v>
      </c>
      <c r="B1052" s="22" t="s">
        <v>201</v>
      </c>
      <c r="C1052" s="22" t="s">
        <v>202</v>
      </c>
      <c r="D1052" s="22" t="s">
        <v>2741</v>
      </c>
      <c r="E1052" s="22" t="s">
        <v>57</v>
      </c>
      <c r="F1052" s="23">
        <v>-53700</v>
      </c>
      <c r="G1052" s="24">
        <v>44408</v>
      </c>
      <c r="H1052" s="22" t="s">
        <v>2715</v>
      </c>
      <c r="I1052" s="22" t="s">
        <v>2743</v>
      </c>
      <c r="J1052" s="22"/>
      <c r="K1052" s="22"/>
    </row>
    <row r="1053" spans="1:11" x14ac:dyDescent="0.25">
      <c r="A1053" s="22" t="s">
        <v>2745</v>
      </c>
      <c r="B1053" s="22" t="s">
        <v>201</v>
      </c>
      <c r="C1053" s="22" t="s">
        <v>202</v>
      </c>
      <c r="D1053" s="22" t="s">
        <v>2744</v>
      </c>
      <c r="E1053" s="22" t="s">
        <v>57</v>
      </c>
      <c r="F1053" s="23">
        <v>-37863741</v>
      </c>
      <c r="G1053" s="24">
        <v>44407</v>
      </c>
      <c r="H1053" s="22" t="s">
        <v>2715</v>
      </c>
      <c r="I1053" s="22" t="s">
        <v>2415</v>
      </c>
      <c r="J1053" s="22"/>
      <c r="K1053" s="22"/>
    </row>
    <row r="1054" spans="1:11" x14ac:dyDescent="0.25">
      <c r="A1054" s="22" t="s">
        <v>2747</v>
      </c>
      <c r="B1054" s="22" t="s">
        <v>201</v>
      </c>
      <c r="C1054" s="22" t="s">
        <v>202</v>
      </c>
      <c r="D1054" s="22" t="s">
        <v>2746</v>
      </c>
      <c r="E1054" s="22" t="s">
        <v>57</v>
      </c>
      <c r="F1054" s="23">
        <v>-47200</v>
      </c>
      <c r="G1054" s="24">
        <v>44406</v>
      </c>
      <c r="H1054" s="22" t="s">
        <v>2715</v>
      </c>
      <c r="I1054" s="22" t="s">
        <v>919</v>
      </c>
      <c r="J1054" s="22"/>
      <c r="K1054" s="22"/>
    </row>
    <row r="1055" spans="1:11" x14ac:dyDescent="0.25">
      <c r="A1055" s="22" t="s">
        <v>2749</v>
      </c>
      <c r="B1055" s="22" t="s">
        <v>201</v>
      </c>
      <c r="C1055" s="22" t="s">
        <v>202</v>
      </c>
      <c r="D1055" s="22" t="s">
        <v>2748</v>
      </c>
      <c r="E1055" s="22" t="s">
        <v>57</v>
      </c>
      <c r="F1055" s="23">
        <v>-44700</v>
      </c>
      <c r="G1055" s="24">
        <v>44405</v>
      </c>
      <c r="H1055" s="22" t="s">
        <v>2715</v>
      </c>
      <c r="I1055" s="22" t="s">
        <v>743</v>
      </c>
      <c r="J1055" s="22"/>
      <c r="K1055" s="22"/>
    </row>
    <row r="1056" spans="1:11" x14ac:dyDescent="0.25">
      <c r="A1056" s="22" t="s">
        <v>2751</v>
      </c>
      <c r="B1056" s="22" t="s">
        <v>201</v>
      </c>
      <c r="C1056" s="22" t="s">
        <v>202</v>
      </c>
      <c r="D1056" s="22" t="s">
        <v>2750</v>
      </c>
      <c r="E1056" s="22" t="s">
        <v>57</v>
      </c>
      <c r="F1056" s="23">
        <v>-32700</v>
      </c>
      <c r="G1056" s="24">
        <v>44399</v>
      </c>
      <c r="H1056" s="22" t="s">
        <v>2715</v>
      </c>
      <c r="I1056" s="22" t="s">
        <v>532</v>
      </c>
      <c r="J1056" s="22"/>
      <c r="K1056" s="22"/>
    </row>
    <row r="1057" spans="1:11" x14ac:dyDescent="0.25">
      <c r="A1057" s="22" t="s">
        <v>2753</v>
      </c>
      <c r="B1057" s="22" t="s">
        <v>201</v>
      </c>
      <c r="C1057" s="22" t="s">
        <v>202</v>
      </c>
      <c r="D1057" s="22" t="s">
        <v>2752</v>
      </c>
      <c r="E1057" s="22" t="s">
        <v>57</v>
      </c>
      <c r="F1057" s="23">
        <v>-32700</v>
      </c>
      <c r="G1057" s="24">
        <v>44399</v>
      </c>
      <c r="H1057" s="22" t="s">
        <v>2715</v>
      </c>
      <c r="I1057" s="22" t="s">
        <v>2754</v>
      </c>
      <c r="J1057" s="22"/>
      <c r="K1057" s="22"/>
    </row>
    <row r="1058" spans="1:11" x14ac:dyDescent="0.25">
      <c r="A1058" s="22" t="s">
        <v>2756</v>
      </c>
      <c r="B1058" s="22" t="s">
        <v>201</v>
      </c>
      <c r="C1058" s="22" t="s">
        <v>202</v>
      </c>
      <c r="D1058" s="22" t="s">
        <v>2755</v>
      </c>
      <c r="E1058" s="22" t="s">
        <v>57</v>
      </c>
      <c r="F1058" s="23">
        <v>-32700</v>
      </c>
      <c r="G1058" s="24">
        <v>44398</v>
      </c>
      <c r="H1058" s="22" t="s">
        <v>2715</v>
      </c>
      <c r="I1058" s="22" t="s">
        <v>542</v>
      </c>
      <c r="J1058" s="22"/>
      <c r="K1058" s="22"/>
    </row>
    <row r="1059" spans="1:11" x14ac:dyDescent="0.25">
      <c r="A1059" s="22" t="s">
        <v>2745</v>
      </c>
      <c r="B1059" s="22" t="s">
        <v>201</v>
      </c>
      <c r="C1059" s="22" t="s">
        <v>202</v>
      </c>
      <c r="D1059" s="22" t="s">
        <v>2715</v>
      </c>
      <c r="E1059" s="22" t="s">
        <v>45</v>
      </c>
      <c r="F1059" s="23">
        <v>-15103283</v>
      </c>
      <c r="G1059" s="24">
        <v>44407</v>
      </c>
      <c r="H1059" s="22" t="s">
        <v>2715</v>
      </c>
      <c r="I1059" s="22"/>
      <c r="J1059" s="22"/>
      <c r="K1059" s="22"/>
    </row>
    <row r="1060" spans="1:11" x14ac:dyDescent="0.25">
      <c r="A1060" s="22" t="s">
        <v>2760</v>
      </c>
      <c r="B1060" s="22" t="s">
        <v>201</v>
      </c>
      <c r="C1060" s="22" t="s">
        <v>202</v>
      </c>
      <c r="D1060" s="22" t="s">
        <v>2759</v>
      </c>
      <c r="E1060" s="22" t="s">
        <v>57</v>
      </c>
      <c r="F1060" s="23">
        <v>-462328</v>
      </c>
      <c r="G1060" s="24">
        <v>44413</v>
      </c>
      <c r="H1060" s="22" t="s">
        <v>1892</v>
      </c>
      <c r="I1060" s="22" t="s">
        <v>2761</v>
      </c>
      <c r="J1060" s="22"/>
      <c r="K1060" s="22"/>
    </row>
    <row r="1061" spans="1:11" x14ac:dyDescent="0.25">
      <c r="A1061" s="22" t="s">
        <v>2763</v>
      </c>
      <c r="B1061" s="22" t="s">
        <v>201</v>
      </c>
      <c r="C1061" s="22" t="s">
        <v>202</v>
      </c>
      <c r="D1061" s="22" t="s">
        <v>2762</v>
      </c>
      <c r="E1061" s="22" t="s">
        <v>588</v>
      </c>
      <c r="F1061" s="23">
        <v>-142800</v>
      </c>
      <c r="G1061" s="24">
        <v>44375</v>
      </c>
      <c r="H1061" s="22" t="s">
        <v>2669</v>
      </c>
      <c r="I1061" s="22" t="s">
        <v>2764</v>
      </c>
      <c r="J1061" s="22"/>
      <c r="K1061" s="22"/>
    </row>
    <row r="1062" spans="1:11" x14ac:dyDescent="0.25">
      <c r="A1062" s="22" t="s">
        <v>181</v>
      </c>
      <c r="B1062" s="22" t="s">
        <v>201</v>
      </c>
      <c r="C1062" s="22" t="s">
        <v>202</v>
      </c>
      <c r="D1062" s="22" t="s">
        <v>183</v>
      </c>
      <c r="E1062" s="22" t="s">
        <v>57</v>
      </c>
      <c r="F1062" s="23">
        <v>-3551640</v>
      </c>
      <c r="G1062" s="24">
        <v>44246</v>
      </c>
      <c r="H1062" s="22" t="s">
        <v>2669</v>
      </c>
      <c r="I1062" s="22" t="s">
        <v>2767</v>
      </c>
      <c r="J1062" s="22"/>
      <c r="K1062" s="22"/>
    </row>
    <row r="1063" spans="1:11" x14ac:dyDescent="0.25">
      <c r="A1063" s="22" t="s">
        <v>1894</v>
      </c>
      <c r="B1063" s="22" t="s">
        <v>201</v>
      </c>
      <c r="C1063" s="22" t="s">
        <v>202</v>
      </c>
      <c r="D1063" s="22" t="s">
        <v>1892</v>
      </c>
      <c r="E1063" s="22" t="s">
        <v>45</v>
      </c>
      <c r="F1063" s="23">
        <v>-44737</v>
      </c>
      <c r="G1063" s="24">
        <v>44394</v>
      </c>
      <c r="H1063" s="22" t="s">
        <v>2669</v>
      </c>
      <c r="I1063" s="22" t="s">
        <v>2768</v>
      </c>
      <c r="J1063" s="22"/>
      <c r="K1063" s="22"/>
    </row>
    <row r="1064" spans="1:11" x14ac:dyDescent="0.25">
      <c r="A1064" s="22" t="s">
        <v>2770</v>
      </c>
      <c r="B1064" s="22" t="s">
        <v>201</v>
      </c>
      <c r="C1064" s="22" t="s">
        <v>202</v>
      </c>
      <c r="D1064" s="22" t="s">
        <v>2769</v>
      </c>
      <c r="E1064" s="22" t="s">
        <v>57</v>
      </c>
      <c r="F1064" s="23">
        <v>-32700</v>
      </c>
      <c r="G1064" s="24">
        <v>44398</v>
      </c>
      <c r="H1064" s="22" t="s">
        <v>2669</v>
      </c>
      <c r="I1064" s="22" t="s">
        <v>919</v>
      </c>
      <c r="J1064" s="22"/>
      <c r="K1064" s="22"/>
    </row>
    <row r="1065" spans="1:11" x14ac:dyDescent="0.25">
      <c r="A1065" s="22" t="s">
        <v>2772</v>
      </c>
      <c r="B1065" s="22" t="s">
        <v>201</v>
      </c>
      <c r="C1065" s="22" t="s">
        <v>202</v>
      </c>
      <c r="D1065" s="22" t="s">
        <v>2771</v>
      </c>
      <c r="E1065" s="22" t="s">
        <v>57</v>
      </c>
      <c r="F1065" s="23">
        <v>-60200</v>
      </c>
      <c r="G1065" s="24">
        <v>44392</v>
      </c>
      <c r="H1065" s="22" t="s">
        <v>2669</v>
      </c>
      <c r="I1065" s="22" t="s">
        <v>743</v>
      </c>
      <c r="J1065" s="22"/>
      <c r="K1065" s="22"/>
    </row>
    <row r="1066" spans="1:11" x14ac:dyDescent="0.25">
      <c r="A1066" s="22" t="s">
        <v>2774</v>
      </c>
      <c r="B1066" s="22" t="s">
        <v>201</v>
      </c>
      <c r="C1066" s="22" t="s">
        <v>202</v>
      </c>
      <c r="D1066" s="22" t="s">
        <v>2773</v>
      </c>
      <c r="E1066" s="22" t="s">
        <v>57</v>
      </c>
      <c r="F1066" s="23">
        <v>-32700</v>
      </c>
      <c r="G1066" s="24">
        <v>44392</v>
      </c>
      <c r="H1066" s="22" t="s">
        <v>2669</v>
      </c>
      <c r="I1066" s="22" t="s">
        <v>740</v>
      </c>
      <c r="J1066" s="22"/>
      <c r="K1066" s="22"/>
    </row>
    <row r="1067" spans="1:11" x14ac:dyDescent="0.25">
      <c r="A1067" s="22" t="s">
        <v>2776</v>
      </c>
      <c r="B1067" s="22" t="s">
        <v>201</v>
      </c>
      <c r="C1067" s="22" t="s">
        <v>202</v>
      </c>
      <c r="D1067" s="22" t="s">
        <v>2775</v>
      </c>
      <c r="E1067" s="22" t="s">
        <v>57</v>
      </c>
      <c r="F1067" s="23">
        <v>-47200</v>
      </c>
      <c r="G1067" s="24">
        <v>44389</v>
      </c>
      <c r="H1067" s="22" t="s">
        <v>2669</v>
      </c>
      <c r="I1067" s="22" t="s">
        <v>919</v>
      </c>
      <c r="J1067" s="22"/>
      <c r="K1067" s="22"/>
    </row>
    <row r="1068" spans="1:11" x14ac:dyDescent="0.25">
      <c r="A1068" s="22" t="s">
        <v>2778</v>
      </c>
      <c r="B1068" s="22" t="s">
        <v>201</v>
      </c>
      <c r="C1068" s="22" t="s">
        <v>202</v>
      </c>
      <c r="D1068" s="22" t="s">
        <v>2777</v>
      </c>
      <c r="E1068" s="22" t="s">
        <v>57</v>
      </c>
      <c r="F1068" s="23">
        <v>-47200</v>
      </c>
      <c r="G1068" s="24">
        <v>44380</v>
      </c>
      <c r="H1068" s="22" t="s">
        <v>2669</v>
      </c>
      <c r="I1068" s="22" t="s">
        <v>743</v>
      </c>
      <c r="J1068" s="22"/>
      <c r="K1068" s="22"/>
    </row>
    <row r="1069" spans="1:11" x14ac:dyDescent="0.25">
      <c r="A1069" s="22" t="s">
        <v>2780</v>
      </c>
      <c r="B1069" s="22" t="s">
        <v>201</v>
      </c>
      <c r="C1069" s="22" t="s">
        <v>202</v>
      </c>
      <c r="D1069" s="22" t="s">
        <v>2779</v>
      </c>
      <c r="E1069" s="22" t="s">
        <v>57</v>
      </c>
      <c r="F1069" s="23">
        <v>-50700</v>
      </c>
      <c r="G1069" s="24">
        <v>44379</v>
      </c>
      <c r="H1069" s="22" t="s">
        <v>2669</v>
      </c>
      <c r="I1069" s="22" t="s">
        <v>919</v>
      </c>
      <c r="J1069" s="22"/>
      <c r="K1069" s="22"/>
    </row>
    <row r="1070" spans="1:11" x14ac:dyDescent="0.25">
      <c r="A1070" s="22" t="s">
        <v>2782</v>
      </c>
      <c r="B1070" s="22" t="s">
        <v>201</v>
      </c>
      <c r="C1070" s="22" t="s">
        <v>202</v>
      </c>
      <c r="D1070" s="22" t="s">
        <v>2781</v>
      </c>
      <c r="E1070" s="22" t="s">
        <v>57</v>
      </c>
      <c r="F1070" s="23">
        <v>-47200</v>
      </c>
      <c r="G1070" s="24">
        <v>44379</v>
      </c>
      <c r="H1070" s="22" t="s">
        <v>2669</v>
      </c>
      <c r="I1070" s="22" t="s">
        <v>2783</v>
      </c>
      <c r="J1070" s="22"/>
      <c r="K1070" s="22"/>
    </row>
    <row r="1071" spans="1:11" x14ac:dyDescent="0.25">
      <c r="A1071" s="22" t="s">
        <v>2785</v>
      </c>
      <c r="B1071" s="22" t="s">
        <v>201</v>
      </c>
      <c r="C1071" s="22" t="s">
        <v>202</v>
      </c>
      <c r="D1071" s="22" t="s">
        <v>2784</v>
      </c>
      <c r="E1071" s="22" t="s">
        <v>57</v>
      </c>
      <c r="F1071" s="23">
        <v>-184200</v>
      </c>
      <c r="G1071" s="24">
        <v>44379</v>
      </c>
      <c r="H1071" s="22" t="s">
        <v>2669</v>
      </c>
      <c r="I1071" s="22" t="s">
        <v>743</v>
      </c>
      <c r="J1071" s="22"/>
      <c r="K1071" s="22"/>
    </row>
    <row r="1072" spans="1:11" x14ac:dyDescent="0.25">
      <c r="A1072" s="22" t="s">
        <v>2787</v>
      </c>
      <c r="B1072" s="22" t="s">
        <v>201</v>
      </c>
      <c r="C1072" s="22" t="s">
        <v>202</v>
      </c>
      <c r="D1072" s="22" t="s">
        <v>2786</v>
      </c>
      <c r="E1072" s="22" t="s">
        <v>57</v>
      </c>
      <c r="F1072" s="23">
        <v>-59700</v>
      </c>
      <c r="G1072" s="24">
        <v>44378</v>
      </c>
      <c r="H1072" s="22" t="s">
        <v>2669</v>
      </c>
      <c r="I1072" s="22" t="s">
        <v>764</v>
      </c>
      <c r="J1072" s="22"/>
      <c r="K1072" s="22"/>
    </row>
    <row r="1073" spans="1:11" x14ac:dyDescent="0.25">
      <c r="A1073" s="22" t="s">
        <v>181</v>
      </c>
      <c r="B1073" s="22" t="s">
        <v>201</v>
      </c>
      <c r="C1073" s="22" t="s">
        <v>202</v>
      </c>
      <c r="D1073" s="22" t="s">
        <v>2669</v>
      </c>
      <c r="E1073" s="22" t="s">
        <v>45</v>
      </c>
      <c r="F1073" s="23">
        <v>-2704955</v>
      </c>
      <c r="G1073" s="24">
        <v>44246</v>
      </c>
      <c r="H1073" s="22" t="s">
        <v>2669</v>
      </c>
      <c r="I1073" s="22"/>
      <c r="J1073" s="22"/>
      <c r="K1073" s="22"/>
    </row>
    <row r="1074" spans="1:11" x14ac:dyDescent="0.25">
      <c r="A1074" s="22" t="s">
        <v>2790</v>
      </c>
      <c r="B1074" s="22" t="s">
        <v>201</v>
      </c>
      <c r="C1074" s="22" t="s">
        <v>202</v>
      </c>
      <c r="D1074" s="22" t="s">
        <v>2789</v>
      </c>
      <c r="E1074" s="22" t="s">
        <v>57</v>
      </c>
      <c r="F1074" s="23">
        <v>-54724</v>
      </c>
      <c r="G1074" s="24">
        <v>44390</v>
      </c>
      <c r="H1074" s="22" t="s">
        <v>2715</v>
      </c>
      <c r="I1074" s="22" t="s">
        <v>2791</v>
      </c>
      <c r="J1074" s="22"/>
      <c r="K1074" s="22"/>
    </row>
    <row r="1075" spans="1:11" x14ac:dyDescent="0.25">
      <c r="A1075" s="22" t="s">
        <v>2793</v>
      </c>
      <c r="B1075" s="22" t="s">
        <v>201</v>
      </c>
      <c r="C1075" s="22" t="s">
        <v>202</v>
      </c>
      <c r="D1075" s="22" t="s">
        <v>2792</v>
      </c>
      <c r="E1075" s="22" t="s">
        <v>57</v>
      </c>
      <c r="F1075" s="23">
        <v>-369854</v>
      </c>
      <c r="G1075" s="24">
        <v>44381</v>
      </c>
      <c r="H1075" s="22" t="s">
        <v>2715</v>
      </c>
      <c r="I1075" s="22" t="s">
        <v>2794</v>
      </c>
      <c r="J1075" s="22"/>
      <c r="K1075" s="22"/>
    </row>
    <row r="1076" spans="1:11" x14ac:dyDescent="0.25">
      <c r="A1076" s="22" t="s">
        <v>2796</v>
      </c>
      <c r="B1076" s="22" t="s">
        <v>201</v>
      </c>
      <c r="C1076" s="22" t="s">
        <v>202</v>
      </c>
      <c r="D1076" s="22" t="s">
        <v>2795</v>
      </c>
      <c r="E1076" s="22" t="s">
        <v>57</v>
      </c>
      <c r="F1076" s="23">
        <v>-43700</v>
      </c>
      <c r="G1076" s="24">
        <v>44407</v>
      </c>
      <c r="H1076" s="22" t="s">
        <v>2715</v>
      </c>
      <c r="I1076" s="22" t="s">
        <v>550</v>
      </c>
      <c r="J1076" s="22"/>
      <c r="K1076" s="22"/>
    </row>
    <row r="1077" spans="1:11" x14ac:dyDescent="0.25">
      <c r="A1077" s="22" t="s">
        <v>2798</v>
      </c>
      <c r="B1077" s="22" t="s">
        <v>201</v>
      </c>
      <c r="C1077" s="22" t="s">
        <v>202</v>
      </c>
      <c r="D1077" s="22" t="s">
        <v>2797</v>
      </c>
      <c r="E1077" s="22" t="s">
        <v>57</v>
      </c>
      <c r="F1077" s="23">
        <v>-43700</v>
      </c>
      <c r="G1077" s="24">
        <v>44407</v>
      </c>
      <c r="H1077" s="22" t="s">
        <v>2715</v>
      </c>
      <c r="I1077" s="22" t="s">
        <v>799</v>
      </c>
      <c r="J1077" s="22"/>
      <c r="K1077" s="22"/>
    </row>
    <row r="1078" spans="1:11" x14ac:dyDescent="0.25">
      <c r="A1078" s="22" t="s">
        <v>2800</v>
      </c>
      <c r="B1078" s="22" t="s">
        <v>201</v>
      </c>
      <c r="C1078" s="22" t="s">
        <v>202</v>
      </c>
      <c r="D1078" s="22" t="s">
        <v>2799</v>
      </c>
      <c r="E1078" s="22" t="s">
        <v>57</v>
      </c>
      <c r="F1078" s="23">
        <v>-76700</v>
      </c>
      <c r="G1078" s="24">
        <v>44406</v>
      </c>
      <c r="H1078" s="22" t="s">
        <v>2715</v>
      </c>
      <c r="I1078" s="22" t="s">
        <v>2801</v>
      </c>
      <c r="J1078" s="22"/>
      <c r="K1078" s="22"/>
    </row>
    <row r="1079" spans="1:11" x14ac:dyDescent="0.25">
      <c r="A1079" s="22" t="s">
        <v>2803</v>
      </c>
      <c r="B1079" s="22" t="s">
        <v>201</v>
      </c>
      <c r="C1079" s="22" t="s">
        <v>202</v>
      </c>
      <c r="D1079" s="22" t="s">
        <v>2802</v>
      </c>
      <c r="E1079" s="22" t="s">
        <v>57</v>
      </c>
      <c r="F1079" s="23">
        <v>-28100</v>
      </c>
      <c r="G1079" s="24">
        <v>44406</v>
      </c>
      <c r="H1079" s="22" t="s">
        <v>2715</v>
      </c>
      <c r="I1079" s="22" t="s">
        <v>280</v>
      </c>
      <c r="J1079" s="22"/>
      <c r="K1079" s="22"/>
    </row>
    <row r="1080" spans="1:11" x14ac:dyDescent="0.25">
      <c r="A1080" s="22" t="s">
        <v>2805</v>
      </c>
      <c r="B1080" s="22" t="s">
        <v>201</v>
      </c>
      <c r="C1080" s="22" t="s">
        <v>202</v>
      </c>
      <c r="D1080" s="22" t="s">
        <v>2804</v>
      </c>
      <c r="E1080" s="22" t="s">
        <v>57</v>
      </c>
      <c r="F1080" s="23">
        <v>-15300</v>
      </c>
      <c r="G1080" s="24">
        <v>44403</v>
      </c>
      <c r="H1080" s="22" t="s">
        <v>2715</v>
      </c>
      <c r="I1080" s="22" t="s">
        <v>280</v>
      </c>
      <c r="J1080" s="22"/>
      <c r="K1080" s="22"/>
    </row>
    <row r="1081" spans="1:11" x14ac:dyDescent="0.25">
      <c r="A1081" s="22" t="s">
        <v>2807</v>
      </c>
      <c r="B1081" s="22" t="s">
        <v>201</v>
      </c>
      <c r="C1081" s="22" t="s">
        <v>202</v>
      </c>
      <c r="D1081" s="22" t="s">
        <v>2806</v>
      </c>
      <c r="E1081" s="22" t="s">
        <v>45</v>
      </c>
      <c r="F1081" s="23">
        <v>-28329</v>
      </c>
      <c r="G1081" s="24">
        <v>44209</v>
      </c>
      <c r="H1081" s="22" t="s">
        <v>2808</v>
      </c>
      <c r="I1081" s="22" t="s">
        <v>2809</v>
      </c>
      <c r="J1081" s="22"/>
      <c r="K1081" s="22"/>
    </row>
    <row r="1082" spans="1:11" x14ac:dyDescent="0.25">
      <c r="A1082" s="22" t="s">
        <v>2811</v>
      </c>
      <c r="B1082" s="22" t="s">
        <v>201</v>
      </c>
      <c r="C1082" s="22" t="s">
        <v>202</v>
      </c>
      <c r="D1082" s="22" t="s">
        <v>2810</v>
      </c>
      <c r="E1082" s="22" t="s">
        <v>45</v>
      </c>
      <c r="F1082" s="23">
        <v>-23200</v>
      </c>
      <c r="G1082" s="24">
        <v>44347</v>
      </c>
      <c r="H1082" s="22" t="s">
        <v>2808</v>
      </c>
      <c r="I1082" s="22" t="s">
        <v>2812</v>
      </c>
      <c r="J1082" s="22"/>
      <c r="K1082" s="22"/>
    </row>
    <row r="1083" spans="1:11" x14ac:dyDescent="0.25">
      <c r="A1083" s="22" t="s">
        <v>2814</v>
      </c>
      <c r="B1083" s="22" t="s">
        <v>201</v>
      </c>
      <c r="C1083" s="22" t="s">
        <v>202</v>
      </c>
      <c r="D1083" s="22" t="s">
        <v>2813</v>
      </c>
      <c r="E1083" s="22" t="s">
        <v>57</v>
      </c>
      <c r="F1083" s="23">
        <v>-43700</v>
      </c>
      <c r="G1083" s="24">
        <v>44335</v>
      </c>
      <c r="H1083" s="22" t="s">
        <v>2808</v>
      </c>
      <c r="I1083" s="22" t="s">
        <v>897</v>
      </c>
      <c r="J1083" s="22"/>
      <c r="K1083" s="22"/>
    </row>
    <row r="1084" spans="1:11" x14ac:dyDescent="0.25">
      <c r="A1084" s="22" t="s">
        <v>2816</v>
      </c>
      <c r="B1084" s="22" t="s">
        <v>201</v>
      </c>
      <c r="C1084" s="22" t="s">
        <v>202</v>
      </c>
      <c r="D1084" s="22" t="s">
        <v>2815</v>
      </c>
      <c r="E1084" s="22" t="s">
        <v>57</v>
      </c>
      <c r="F1084" s="23">
        <v>-77400</v>
      </c>
      <c r="G1084" s="24">
        <v>44326</v>
      </c>
      <c r="H1084" s="22" t="s">
        <v>2808</v>
      </c>
      <c r="I1084" s="22" t="s">
        <v>2737</v>
      </c>
      <c r="J1084" s="22"/>
      <c r="K1084" s="22"/>
    </row>
    <row r="1085" spans="1:11" x14ac:dyDescent="0.25">
      <c r="A1085" s="22" t="s">
        <v>2818</v>
      </c>
      <c r="B1085" s="22" t="s">
        <v>201</v>
      </c>
      <c r="C1085" s="22" t="s">
        <v>202</v>
      </c>
      <c r="D1085" s="22" t="s">
        <v>2817</v>
      </c>
      <c r="E1085" s="22" t="s">
        <v>57</v>
      </c>
      <c r="F1085" s="23">
        <v>-77400</v>
      </c>
      <c r="G1085" s="24">
        <v>44326</v>
      </c>
      <c r="H1085" s="22" t="s">
        <v>2808</v>
      </c>
      <c r="I1085" s="22" t="s">
        <v>2740</v>
      </c>
      <c r="J1085" s="22"/>
      <c r="K1085" s="22"/>
    </row>
    <row r="1086" spans="1:11" x14ac:dyDescent="0.25">
      <c r="A1086" s="22" t="s">
        <v>2820</v>
      </c>
      <c r="B1086" s="22" t="s">
        <v>201</v>
      </c>
      <c r="C1086" s="22" t="s">
        <v>202</v>
      </c>
      <c r="D1086" s="22" t="s">
        <v>2819</v>
      </c>
      <c r="E1086" s="22" t="s">
        <v>57</v>
      </c>
      <c r="F1086" s="23">
        <v>-43700</v>
      </c>
      <c r="G1086" s="24">
        <v>44324</v>
      </c>
      <c r="H1086" s="22" t="s">
        <v>2808</v>
      </c>
      <c r="I1086" s="22" t="s">
        <v>836</v>
      </c>
      <c r="J1086" s="22"/>
      <c r="K1086" s="22"/>
    </row>
    <row r="1087" spans="1:11" x14ac:dyDescent="0.25">
      <c r="A1087" s="22" t="s">
        <v>2822</v>
      </c>
      <c r="B1087" s="22" t="s">
        <v>201</v>
      </c>
      <c r="C1087" s="22" t="s">
        <v>202</v>
      </c>
      <c r="D1087" s="22" t="s">
        <v>2821</v>
      </c>
      <c r="E1087" s="22" t="s">
        <v>57</v>
      </c>
      <c r="F1087" s="23">
        <v>-20200</v>
      </c>
      <c r="G1087" s="24">
        <v>44321</v>
      </c>
      <c r="H1087" s="22" t="s">
        <v>2808</v>
      </c>
      <c r="I1087" s="22" t="s">
        <v>280</v>
      </c>
      <c r="J1087" s="22"/>
      <c r="K1087" s="22"/>
    </row>
    <row r="1088" spans="1:11" x14ac:dyDescent="0.25">
      <c r="A1088" s="22" t="s">
        <v>2824</v>
      </c>
      <c r="B1088" s="22" t="s">
        <v>201</v>
      </c>
      <c r="C1088" s="22" t="s">
        <v>202</v>
      </c>
      <c r="D1088" s="22" t="s">
        <v>2823</v>
      </c>
      <c r="E1088" s="22" t="s">
        <v>57</v>
      </c>
      <c r="F1088" s="23">
        <v>-41800</v>
      </c>
      <c r="G1088" s="24">
        <v>44320</v>
      </c>
      <c r="H1088" s="22" t="s">
        <v>2808</v>
      </c>
      <c r="I1088" s="22" t="s">
        <v>282</v>
      </c>
      <c r="J1088" s="22"/>
      <c r="K1088" s="22"/>
    </row>
    <row r="1089" spans="1:11" x14ac:dyDescent="0.25">
      <c r="A1089" s="22" t="s">
        <v>173</v>
      </c>
      <c r="B1089" s="22" t="s">
        <v>201</v>
      </c>
      <c r="C1089" s="22" t="s">
        <v>202</v>
      </c>
      <c r="D1089" s="22" t="s">
        <v>2825</v>
      </c>
      <c r="E1089" s="22" t="s">
        <v>45</v>
      </c>
      <c r="F1089" s="23">
        <v>-138254</v>
      </c>
      <c r="G1089" s="24">
        <v>44410</v>
      </c>
      <c r="H1089" s="22" t="s">
        <v>2808</v>
      </c>
      <c r="I1089" s="22" t="s">
        <v>2826</v>
      </c>
      <c r="J1089" s="22"/>
      <c r="K1089" s="22"/>
    </row>
    <row r="1090" spans="1:11" x14ac:dyDescent="0.25">
      <c r="A1090" s="22" t="s">
        <v>2665</v>
      </c>
      <c r="B1090" s="22" t="s">
        <v>201</v>
      </c>
      <c r="C1090" s="22" t="s">
        <v>202</v>
      </c>
      <c r="D1090" s="22" t="s">
        <v>2808</v>
      </c>
      <c r="E1090" s="22" t="s">
        <v>45</v>
      </c>
      <c r="F1090" s="23">
        <v>-613936</v>
      </c>
      <c r="G1090" s="24">
        <v>44219</v>
      </c>
      <c r="H1090" s="22" t="s">
        <v>2808</v>
      </c>
      <c r="I1090" s="22"/>
      <c r="J1090" s="22"/>
      <c r="K1090" s="22"/>
    </row>
    <row r="1091" spans="1:11" x14ac:dyDescent="0.25">
      <c r="A1091" s="22" t="s">
        <v>2830</v>
      </c>
      <c r="B1091" s="22" t="s">
        <v>201</v>
      </c>
      <c r="C1091" s="22" t="s">
        <v>202</v>
      </c>
      <c r="D1091" s="22" t="s">
        <v>2829</v>
      </c>
      <c r="E1091" s="22" t="s">
        <v>57</v>
      </c>
      <c r="F1091" s="23">
        <v>-97996</v>
      </c>
      <c r="G1091" s="24">
        <v>44219</v>
      </c>
      <c r="H1091" s="22" t="s">
        <v>2806</v>
      </c>
      <c r="I1091" s="22" t="s">
        <v>2062</v>
      </c>
      <c r="J1091" s="22"/>
      <c r="K1091" s="22"/>
    </row>
    <row r="1092" spans="1:11" x14ac:dyDescent="0.25">
      <c r="A1092" s="22" t="s">
        <v>2832</v>
      </c>
      <c r="B1092" s="22" t="s">
        <v>201</v>
      </c>
      <c r="C1092" s="22" t="s">
        <v>202</v>
      </c>
      <c r="D1092" s="22" t="s">
        <v>2831</v>
      </c>
      <c r="E1092" s="22" t="s">
        <v>45</v>
      </c>
      <c r="F1092" s="23">
        <v>-347683</v>
      </c>
      <c r="G1092" s="24">
        <v>44215</v>
      </c>
      <c r="H1092" s="22" t="s">
        <v>2806</v>
      </c>
      <c r="I1092" s="22" t="s">
        <v>2809</v>
      </c>
      <c r="J1092" s="22"/>
      <c r="K1092" s="22"/>
    </row>
    <row r="1093" spans="1:11" x14ac:dyDescent="0.25">
      <c r="A1093" s="22" t="s">
        <v>2834</v>
      </c>
      <c r="B1093" s="22" t="s">
        <v>201</v>
      </c>
      <c r="C1093" s="22" t="s">
        <v>202</v>
      </c>
      <c r="D1093" s="22" t="s">
        <v>2833</v>
      </c>
      <c r="E1093" s="22" t="s">
        <v>57</v>
      </c>
      <c r="F1093" s="23">
        <v>-43700</v>
      </c>
      <c r="G1093" s="24">
        <v>44218</v>
      </c>
      <c r="H1093" s="22" t="s">
        <v>2806</v>
      </c>
      <c r="I1093" s="22" t="s">
        <v>2062</v>
      </c>
      <c r="J1093" s="22"/>
      <c r="K1093" s="22"/>
    </row>
    <row r="1094" spans="1:11" x14ac:dyDescent="0.25">
      <c r="A1094" s="22" t="s">
        <v>2807</v>
      </c>
      <c r="B1094" s="22" t="s">
        <v>201</v>
      </c>
      <c r="C1094" s="22" t="s">
        <v>202</v>
      </c>
      <c r="D1094" s="22" t="s">
        <v>2835</v>
      </c>
      <c r="E1094" s="22" t="s">
        <v>57</v>
      </c>
      <c r="F1094" s="23">
        <v>-43700</v>
      </c>
      <c r="G1094" s="24">
        <v>44209</v>
      </c>
      <c r="H1094" s="22" t="s">
        <v>2806</v>
      </c>
      <c r="I1094" s="22" t="s">
        <v>2062</v>
      </c>
      <c r="J1094" s="22"/>
      <c r="K1094" s="22"/>
    </row>
    <row r="1095" spans="1:11" x14ac:dyDescent="0.25">
      <c r="A1095" s="22" t="s">
        <v>2807</v>
      </c>
      <c r="B1095" s="22" t="s">
        <v>201</v>
      </c>
      <c r="C1095" s="22" t="s">
        <v>202</v>
      </c>
      <c r="D1095" s="22" t="s">
        <v>2806</v>
      </c>
      <c r="E1095" s="22" t="s">
        <v>45</v>
      </c>
      <c r="F1095" s="23">
        <v>-504750</v>
      </c>
      <c r="G1095" s="24">
        <v>44209</v>
      </c>
      <c r="H1095" s="22" t="s">
        <v>2806</v>
      </c>
      <c r="I1095" s="22"/>
      <c r="J1095" s="22"/>
      <c r="K1095" s="22"/>
    </row>
    <row r="1096" spans="1:11" x14ac:dyDescent="0.25">
      <c r="A1096" s="22" t="s">
        <v>2832</v>
      </c>
      <c r="B1096" s="22" t="s">
        <v>201</v>
      </c>
      <c r="C1096" s="22" t="s">
        <v>202</v>
      </c>
      <c r="D1096" s="22" t="s">
        <v>2838</v>
      </c>
      <c r="E1096" s="22" t="s">
        <v>57</v>
      </c>
      <c r="F1096" s="23">
        <v>-849200</v>
      </c>
      <c r="G1096" s="24">
        <v>44215</v>
      </c>
      <c r="H1096" s="22" t="s">
        <v>2831</v>
      </c>
      <c r="I1096" s="22" t="s">
        <v>2062</v>
      </c>
      <c r="J1096" s="22"/>
      <c r="K1096" s="22"/>
    </row>
    <row r="1097" spans="1:11" x14ac:dyDescent="0.25">
      <c r="A1097" s="22" t="s">
        <v>2840</v>
      </c>
      <c r="B1097" s="22" t="s">
        <v>201</v>
      </c>
      <c r="C1097" s="22" t="s">
        <v>202</v>
      </c>
      <c r="D1097" s="22" t="s">
        <v>2839</v>
      </c>
      <c r="E1097" s="22" t="s">
        <v>45</v>
      </c>
      <c r="F1097" s="23">
        <v>-29504</v>
      </c>
      <c r="G1097" s="24">
        <v>44385</v>
      </c>
      <c r="H1097" s="22" t="s">
        <v>2831</v>
      </c>
      <c r="I1097" s="22" t="s">
        <v>2841</v>
      </c>
      <c r="J1097" s="22"/>
      <c r="K1097" s="22"/>
    </row>
    <row r="1098" spans="1:11" x14ac:dyDescent="0.25">
      <c r="A1098" s="22" t="s">
        <v>2832</v>
      </c>
      <c r="B1098" s="22" t="s">
        <v>201</v>
      </c>
      <c r="C1098" s="22" t="s">
        <v>202</v>
      </c>
      <c r="D1098" s="22" t="s">
        <v>2831</v>
      </c>
      <c r="E1098" s="22" t="s">
        <v>45</v>
      </c>
      <c r="F1098" s="23">
        <v>-531021</v>
      </c>
      <c r="G1098" s="24">
        <v>44215</v>
      </c>
      <c r="H1098" s="22" t="s">
        <v>2831</v>
      </c>
      <c r="I1098" s="22"/>
      <c r="J1098" s="22"/>
      <c r="K1098" s="22"/>
    </row>
    <row r="1099" spans="1:11" x14ac:dyDescent="0.25">
      <c r="A1099" s="22" t="s">
        <v>618</v>
      </c>
      <c r="B1099" s="22" t="s">
        <v>201</v>
      </c>
      <c r="C1099" s="22" t="s">
        <v>202</v>
      </c>
      <c r="D1099" s="22" t="s">
        <v>724</v>
      </c>
      <c r="E1099" s="22" t="s">
        <v>45</v>
      </c>
      <c r="F1099" s="23">
        <v>-484334</v>
      </c>
      <c r="G1099" s="24">
        <v>44439</v>
      </c>
      <c r="H1099" s="22" t="s">
        <v>724</v>
      </c>
      <c r="I1099" s="22"/>
      <c r="J1099" s="22"/>
      <c r="K1099" s="22"/>
    </row>
    <row r="1100" spans="1:11" x14ac:dyDescent="0.25">
      <c r="A1100" s="22" t="s">
        <v>613</v>
      </c>
      <c r="B1100" s="22" t="s">
        <v>201</v>
      </c>
      <c r="C1100" s="22" t="s">
        <v>202</v>
      </c>
      <c r="D1100" s="22" t="s">
        <v>2844</v>
      </c>
      <c r="E1100" s="22" t="s">
        <v>57</v>
      </c>
      <c r="F1100" s="23">
        <v>-2305214</v>
      </c>
      <c r="G1100" s="24">
        <v>44433</v>
      </c>
      <c r="H1100" s="22" t="s">
        <v>612</v>
      </c>
      <c r="I1100" s="22" t="s">
        <v>573</v>
      </c>
      <c r="J1100" s="22"/>
      <c r="K1100" s="22"/>
    </row>
    <row r="1101" spans="1:11" x14ac:dyDescent="0.25">
      <c r="A1101" s="22" t="s">
        <v>613</v>
      </c>
      <c r="B1101" s="22" t="s">
        <v>201</v>
      </c>
      <c r="C1101" s="22" t="s">
        <v>202</v>
      </c>
      <c r="D1101" s="22" t="s">
        <v>612</v>
      </c>
      <c r="E1101" s="22" t="s">
        <v>45</v>
      </c>
      <c r="F1101" s="23">
        <v>-1794838</v>
      </c>
      <c r="G1101" s="24">
        <v>44433</v>
      </c>
      <c r="H1101" s="22" t="s">
        <v>612</v>
      </c>
      <c r="I1101" s="22"/>
      <c r="J1101" s="22"/>
      <c r="K1101" s="22"/>
    </row>
    <row r="1102" spans="1:11" x14ac:dyDescent="0.25">
      <c r="A1102" s="22" t="s">
        <v>188</v>
      </c>
      <c r="B1102" s="22" t="s">
        <v>201</v>
      </c>
      <c r="C1102" s="22" t="s">
        <v>202</v>
      </c>
      <c r="D1102" s="22" t="s">
        <v>190</v>
      </c>
      <c r="E1102" s="22" t="s">
        <v>57</v>
      </c>
      <c r="F1102" s="23">
        <v>-8288731</v>
      </c>
      <c r="G1102" s="24">
        <v>44442</v>
      </c>
      <c r="H1102" s="22" t="s">
        <v>2446</v>
      </c>
      <c r="I1102" s="22" t="s">
        <v>2515</v>
      </c>
      <c r="J1102" s="22"/>
      <c r="K1102" s="22"/>
    </row>
    <row r="1103" spans="1:11" x14ac:dyDescent="0.25">
      <c r="A1103" s="22" t="s">
        <v>2848</v>
      </c>
      <c r="B1103" s="22" t="s">
        <v>201</v>
      </c>
      <c r="C1103" s="22" t="s">
        <v>202</v>
      </c>
      <c r="D1103" s="22" t="s">
        <v>2847</v>
      </c>
      <c r="E1103" s="22" t="s">
        <v>57</v>
      </c>
      <c r="F1103" s="23">
        <v>-80864</v>
      </c>
      <c r="G1103" s="24">
        <v>44420</v>
      </c>
      <c r="H1103" s="22" t="s">
        <v>2446</v>
      </c>
      <c r="I1103" s="22" t="s">
        <v>2849</v>
      </c>
      <c r="J1103" s="22"/>
      <c r="K1103" s="22"/>
    </row>
    <row r="1104" spans="1:11" x14ac:dyDescent="0.25">
      <c r="A1104" s="22" t="s">
        <v>2851</v>
      </c>
      <c r="B1104" s="22" t="s">
        <v>201</v>
      </c>
      <c r="C1104" s="22" t="s">
        <v>202</v>
      </c>
      <c r="D1104" s="22" t="s">
        <v>2850</v>
      </c>
      <c r="E1104" s="22" t="s">
        <v>57</v>
      </c>
      <c r="F1104" s="23">
        <v>-1444109</v>
      </c>
      <c r="G1104" s="24">
        <v>44413</v>
      </c>
      <c r="H1104" s="22" t="s">
        <v>2446</v>
      </c>
      <c r="I1104" s="22" t="s">
        <v>2852</v>
      </c>
      <c r="J1104" s="22"/>
      <c r="K1104" s="22"/>
    </row>
    <row r="1105" spans="1:11" x14ac:dyDescent="0.25">
      <c r="A1105" s="22" t="s">
        <v>188</v>
      </c>
      <c r="B1105" s="22" t="s">
        <v>201</v>
      </c>
      <c r="C1105" s="22" t="s">
        <v>202</v>
      </c>
      <c r="D1105" s="22" t="s">
        <v>2446</v>
      </c>
      <c r="E1105" s="22" t="s">
        <v>45</v>
      </c>
      <c r="F1105" s="23">
        <v>-8990550</v>
      </c>
      <c r="G1105" s="24">
        <v>44442</v>
      </c>
      <c r="H1105" s="22" t="s">
        <v>2446</v>
      </c>
      <c r="I1105" s="22"/>
      <c r="J1105" s="22"/>
      <c r="K1105" s="22"/>
    </row>
    <row r="1106" spans="1:11" x14ac:dyDescent="0.25">
      <c r="A1106" s="22" t="s">
        <v>685</v>
      </c>
      <c r="B1106" s="22" t="s">
        <v>201</v>
      </c>
      <c r="C1106" s="22" t="s">
        <v>202</v>
      </c>
      <c r="D1106" s="22" t="s">
        <v>2855</v>
      </c>
      <c r="E1106" s="22" t="s">
        <v>588</v>
      </c>
      <c r="F1106" s="23">
        <v>-6594934</v>
      </c>
      <c r="G1106" s="24">
        <v>44322</v>
      </c>
      <c r="H1106" s="22" t="s">
        <v>2575</v>
      </c>
      <c r="I1106" s="22" t="s">
        <v>2856</v>
      </c>
      <c r="J1106" s="22"/>
      <c r="K1106" s="22"/>
    </row>
    <row r="1107" spans="1:11" x14ac:dyDescent="0.25">
      <c r="A1107" s="22" t="s">
        <v>685</v>
      </c>
      <c r="B1107" s="22" t="s">
        <v>201</v>
      </c>
      <c r="C1107" s="22" t="s">
        <v>202</v>
      </c>
      <c r="D1107" s="22" t="s">
        <v>2575</v>
      </c>
      <c r="E1107" s="22" t="s">
        <v>45</v>
      </c>
      <c r="F1107" s="23">
        <v>-168000</v>
      </c>
      <c r="G1107" s="24">
        <v>44322</v>
      </c>
      <c r="H1107" s="22" t="s">
        <v>2575</v>
      </c>
      <c r="I1107" s="22"/>
      <c r="J1107" s="22"/>
      <c r="K1107" s="22"/>
    </row>
    <row r="1108" spans="1:11" x14ac:dyDescent="0.25">
      <c r="A1108" s="22" t="s">
        <v>184</v>
      </c>
      <c r="B1108" s="22" t="s">
        <v>201</v>
      </c>
      <c r="C1108" s="22" t="s">
        <v>202</v>
      </c>
      <c r="D1108" s="22" t="s">
        <v>186</v>
      </c>
      <c r="E1108" s="22" t="s">
        <v>57</v>
      </c>
      <c r="F1108" s="23">
        <v>-3563696</v>
      </c>
      <c r="G1108" s="24">
        <v>44253</v>
      </c>
      <c r="H1108" s="22" t="s">
        <v>2859</v>
      </c>
      <c r="I1108" s="22" t="s">
        <v>2860</v>
      </c>
      <c r="J1108" s="22"/>
      <c r="K1108" s="22"/>
    </row>
    <row r="1109" spans="1:11" x14ac:dyDescent="0.25">
      <c r="A1109" s="22" t="s">
        <v>2665</v>
      </c>
      <c r="B1109" s="22" t="s">
        <v>201</v>
      </c>
      <c r="C1109" s="22" t="s">
        <v>202</v>
      </c>
      <c r="D1109" s="22" t="s">
        <v>2861</v>
      </c>
      <c r="E1109" s="22" t="s">
        <v>45</v>
      </c>
      <c r="F1109" s="23">
        <v>-411817</v>
      </c>
      <c r="G1109" s="24">
        <v>44219</v>
      </c>
      <c r="H1109" s="22" t="s">
        <v>2859</v>
      </c>
      <c r="I1109" s="22" t="s">
        <v>2862</v>
      </c>
      <c r="J1109" s="22"/>
      <c r="K1109" s="22"/>
    </row>
    <row r="1110" spans="1:11" x14ac:dyDescent="0.25">
      <c r="A1110" s="22" t="s">
        <v>184</v>
      </c>
      <c r="B1110" s="22" t="s">
        <v>201</v>
      </c>
      <c r="C1110" s="22" t="s">
        <v>202</v>
      </c>
      <c r="D1110" s="22" t="s">
        <v>2859</v>
      </c>
      <c r="E1110" s="22" t="s">
        <v>45</v>
      </c>
      <c r="F1110" s="23">
        <v>-1890542</v>
      </c>
      <c r="G1110" s="24">
        <v>44253</v>
      </c>
      <c r="H1110" s="22" t="s">
        <v>2859</v>
      </c>
      <c r="I1110" s="22"/>
      <c r="J1110" s="22"/>
      <c r="K1110" s="22"/>
    </row>
    <row r="1111" spans="1:11" x14ac:dyDescent="0.25">
      <c r="A1111" s="22" t="s">
        <v>2665</v>
      </c>
      <c r="B1111" s="22" t="s">
        <v>201</v>
      </c>
      <c r="C1111" s="22" t="s">
        <v>202</v>
      </c>
      <c r="D1111" s="22" t="s">
        <v>2661</v>
      </c>
      <c r="E1111" s="22" t="s">
        <v>45</v>
      </c>
      <c r="F1111" s="23">
        <v>-1581000</v>
      </c>
      <c r="G1111" s="24">
        <v>44219</v>
      </c>
      <c r="H1111" s="22" t="s">
        <v>2808</v>
      </c>
      <c r="I1111" s="22" t="s">
        <v>2865</v>
      </c>
      <c r="J1111" s="22"/>
      <c r="K1111" s="22"/>
    </row>
    <row r="1112" spans="1:11" x14ac:dyDescent="0.25">
      <c r="A1112" s="22" t="s">
        <v>2869</v>
      </c>
      <c r="B1112" s="22" t="s">
        <v>201</v>
      </c>
      <c r="C1112" s="22" t="s">
        <v>202</v>
      </c>
      <c r="D1112" s="22" t="s">
        <v>2868</v>
      </c>
      <c r="E1112" s="22" t="s">
        <v>45</v>
      </c>
      <c r="F1112" s="23">
        <v>-9447</v>
      </c>
      <c r="G1112" s="24">
        <v>44334</v>
      </c>
      <c r="H1112" s="22" t="s">
        <v>2861</v>
      </c>
      <c r="I1112" s="22" t="s">
        <v>2870</v>
      </c>
      <c r="J1112" s="22"/>
      <c r="K1112" s="22"/>
    </row>
    <row r="1113" spans="1:11" x14ac:dyDescent="0.25">
      <c r="A1113" s="22" t="s">
        <v>2665</v>
      </c>
      <c r="B1113" s="22" t="s">
        <v>201</v>
      </c>
      <c r="C1113" s="22" t="s">
        <v>202</v>
      </c>
      <c r="D1113" s="22" t="s">
        <v>2808</v>
      </c>
      <c r="E1113" s="22" t="s">
        <v>45</v>
      </c>
      <c r="F1113" s="23">
        <v>-1461047</v>
      </c>
      <c r="G1113" s="24">
        <v>44219</v>
      </c>
      <c r="H1113" s="22" t="s">
        <v>2861</v>
      </c>
      <c r="I1113" s="22" t="s">
        <v>2871</v>
      </c>
      <c r="J1113" s="22"/>
      <c r="K1113" s="22"/>
    </row>
    <row r="1114" spans="1:11" x14ac:dyDescent="0.25">
      <c r="A1114" s="22" t="s">
        <v>2665</v>
      </c>
      <c r="B1114" s="22" t="s">
        <v>201</v>
      </c>
      <c r="C1114" s="22" t="s">
        <v>202</v>
      </c>
      <c r="D1114" s="22" t="s">
        <v>2861</v>
      </c>
      <c r="E1114" s="22" t="s">
        <v>45</v>
      </c>
      <c r="F1114" s="23">
        <v>-1058677</v>
      </c>
      <c r="G1114" s="24">
        <v>44219</v>
      </c>
      <c r="H1114" s="22" t="s">
        <v>2861</v>
      </c>
      <c r="I1114" s="22"/>
      <c r="J1114" s="22"/>
      <c r="K1114" s="22"/>
    </row>
    <row r="1115" spans="1:11" x14ac:dyDescent="0.25">
      <c r="A1115" s="22" t="s">
        <v>173</v>
      </c>
      <c r="B1115" s="22" t="s">
        <v>201</v>
      </c>
      <c r="C1115" s="22" t="s">
        <v>202</v>
      </c>
      <c r="D1115" s="22" t="s">
        <v>2874</v>
      </c>
      <c r="E1115" s="22" t="s">
        <v>45</v>
      </c>
      <c r="F1115" s="23">
        <v>-864100</v>
      </c>
      <c r="G1115" s="24">
        <v>44410</v>
      </c>
      <c r="H1115" s="22" t="s">
        <v>2825</v>
      </c>
      <c r="I1115" s="22" t="s">
        <v>2875</v>
      </c>
      <c r="J1115" s="22"/>
      <c r="K1115" s="22"/>
    </row>
    <row r="1116" spans="1:11" x14ac:dyDescent="0.25">
      <c r="A1116" s="22" t="s">
        <v>173</v>
      </c>
      <c r="B1116" s="22" t="s">
        <v>201</v>
      </c>
      <c r="C1116" s="22" t="s">
        <v>202</v>
      </c>
      <c r="D1116" s="22" t="s">
        <v>2825</v>
      </c>
      <c r="E1116" s="22" t="s">
        <v>45</v>
      </c>
      <c r="F1116" s="23">
        <v>-725846</v>
      </c>
      <c r="G1116" s="24">
        <v>44410</v>
      </c>
      <c r="H1116" s="22" t="s">
        <v>2825</v>
      </c>
      <c r="I1116" s="22"/>
      <c r="J1116" s="22"/>
      <c r="K1116" s="22"/>
    </row>
    <row r="1117" spans="1:11" x14ac:dyDescent="0.25">
      <c r="A1117" s="22" t="s">
        <v>2840</v>
      </c>
      <c r="B1117" s="22" t="s">
        <v>201</v>
      </c>
      <c r="C1117" s="22" t="s">
        <v>202</v>
      </c>
      <c r="D1117" s="22" t="s">
        <v>2878</v>
      </c>
      <c r="E1117" s="22" t="s">
        <v>57</v>
      </c>
      <c r="F1117" s="23">
        <v>-32700</v>
      </c>
      <c r="G1117" s="24">
        <v>44385</v>
      </c>
      <c r="H1117" s="22" t="s">
        <v>2839</v>
      </c>
      <c r="I1117" s="22" t="s">
        <v>2681</v>
      </c>
      <c r="J1117" s="22"/>
      <c r="K1117" s="22"/>
    </row>
    <row r="1118" spans="1:11" x14ac:dyDescent="0.25">
      <c r="A1118" s="22" t="s">
        <v>2880</v>
      </c>
      <c r="B1118" s="22" t="s">
        <v>201</v>
      </c>
      <c r="C1118" s="22" t="s">
        <v>202</v>
      </c>
      <c r="D1118" s="22" t="s">
        <v>2879</v>
      </c>
      <c r="E1118" s="22" t="s">
        <v>57</v>
      </c>
      <c r="F1118" s="23">
        <v>-22300</v>
      </c>
      <c r="G1118" s="24">
        <v>44378</v>
      </c>
      <c r="H1118" s="22" t="s">
        <v>2839</v>
      </c>
      <c r="I1118" s="22" t="s">
        <v>723</v>
      </c>
      <c r="J1118" s="22"/>
      <c r="K1118" s="22"/>
    </row>
    <row r="1119" spans="1:11" x14ac:dyDescent="0.25">
      <c r="A1119" s="22" t="s">
        <v>2882</v>
      </c>
      <c r="B1119" s="22" t="s">
        <v>201</v>
      </c>
      <c r="C1119" s="22" t="s">
        <v>202</v>
      </c>
      <c r="D1119" s="22" t="s">
        <v>2881</v>
      </c>
      <c r="E1119" s="22" t="s">
        <v>57</v>
      </c>
      <c r="F1119" s="23">
        <v>-10100</v>
      </c>
      <c r="G1119" s="24">
        <v>44399</v>
      </c>
      <c r="H1119" s="22" t="s">
        <v>2839</v>
      </c>
      <c r="I1119" s="22" t="s">
        <v>1731</v>
      </c>
      <c r="J1119" s="22"/>
      <c r="K1119" s="22"/>
    </row>
    <row r="1120" spans="1:11" x14ac:dyDescent="0.25">
      <c r="A1120" s="22" t="s">
        <v>2884</v>
      </c>
      <c r="B1120" s="22" t="s">
        <v>201</v>
      </c>
      <c r="C1120" s="22" t="s">
        <v>202</v>
      </c>
      <c r="D1120" s="22" t="s">
        <v>2883</v>
      </c>
      <c r="E1120" s="22" t="s">
        <v>45</v>
      </c>
      <c r="F1120" s="23">
        <v>-27504</v>
      </c>
      <c r="G1120" s="24">
        <v>44400</v>
      </c>
      <c r="H1120" s="22" t="s">
        <v>2839</v>
      </c>
      <c r="I1120" s="22" t="s">
        <v>866</v>
      </c>
      <c r="J1120" s="22"/>
      <c r="K1120" s="22"/>
    </row>
    <row r="1121" spans="1:11" x14ac:dyDescent="0.25">
      <c r="A1121" s="22" t="s">
        <v>2840</v>
      </c>
      <c r="B1121" s="22" t="s">
        <v>201</v>
      </c>
      <c r="C1121" s="22" t="s">
        <v>202</v>
      </c>
      <c r="D1121" s="22" t="s">
        <v>2839</v>
      </c>
      <c r="E1121" s="22" t="s">
        <v>45</v>
      </c>
      <c r="F1121" s="23">
        <v>-35596</v>
      </c>
      <c r="G1121" s="24">
        <v>44385</v>
      </c>
      <c r="H1121" s="22" t="s">
        <v>2839</v>
      </c>
      <c r="I1121" s="22"/>
      <c r="J1121" s="22"/>
      <c r="K1121" s="22"/>
    </row>
    <row r="1122" spans="1:11" x14ac:dyDescent="0.25">
      <c r="A1122" s="22" t="s">
        <v>2884</v>
      </c>
      <c r="B1122" s="22" t="s">
        <v>201</v>
      </c>
      <c r="C1122" s="22" t="s">
        <v>202</v>
      </c>
      <c r="D1122" s="22" t="s">
        <v>2887</v>
      </c>
      <c r="E1122" s="22" t="s">
        <v>57</v>
      </c>
      <c r="F1122" s="23">
        <v>-32700</v>
      </c>
      <c r="G1122" s="24">
        <v>44400</v>
      </c>
      <c r="H1122" s="22" t="s">
        <v>2883</v>
      </c>
      <c r="I1122" s="22" t="s">
        <v>249</v>
      </c>
      <c r="J1122" s="22"/>
      <c r="K1122" s="22"/>
    </row>
    <row r="1123" spans="1:11" x14ac:dyDescent="0.25">
      <c r="A1123" s="22" t="s">
        <v>2889</v>
      </c>
      <c r="B1123" s="22" t="s">
        <v>201</v>
      </c>
      <c r="C1123" s="22" t="s">
        <v>202</v>
      </c>
      <c r="D1123" s="22" t="s">
        <v>2888</v>
      </c>
      <c r="E1123" s="22" t="s">
        <v>57</v>
      </c>
      <c r="F1123" s="23">
        <v>-23700</v>
      </c>
      <c r="G1123" s="24">
        <v>44392</v>
      </c>
      <c r="H1123" s="22" t="s">
        <v>2883</v>
      </c>
      <c r="I1123" s="22" t="s">
        <v>249</v>
      </c>
      <c r="J1123" s="22"/>
      <c r="K1123" s="22"/>
    </row>
    <row r="1124" spans="1:11" x14ac:dyDescent="0.25">
      <c r="A1124" s="22" t="s">
        <v>2680</v>
      </c>
      <c r="B1124" s="22" t="s">
        <v>201</v>
      </c>
      <c r="C1124" s="22" t="s">
        <v>202</v>
      </c>
      <c r="D1124" s="22" t="s">
        <v>2678</v>
      </c>
      <c r="E1124" s="22" t="s">
        <v>45</v>
      </c>
      <c r="F1124" s="23">
        <v>-92038</v>
      </c>
      <c r="G1124" s="24">
        <v>44405</v>
      </c>
      <c r="H1124" s="22" t="s">
        <v>2883</v>
      </c>
      <c r="I1124" s="22" t="s">
        <v>2841</v>
      </c>
      <c r="J1124" s="22"/>
      <c r="K1124" s="22"/>
    </row>
    <row r="1125" spans="1:11" x14ac:dyDescent="0.25">
      <c r="A1125" s="22" t="s">
        <v>2686</v>
      </c>
      <c r="B1125" s="22" t="s">
        <v>201</v>
      </c>
      <c r="C1125" s="22" t="s">
        <v>202</v>
      </c>
      <c r="D1125" s="22" t="s">
        <v>2684</v>
      </c>
      <c r="E1125" s="22" t="s">
        <v>45</v>
      </c>
      <c r="F1125" s="23">
        <v>-5200</v>
      </c>
      <c r="G1125" s="24">
        <v>44398</v>
      </c>
      <c r="H1125" s="22" t="s">
        <v>2883</v>
      </c>
      <c r="I1125" s="22" t="s">
        <v>2890</v>
      </c>
      <c r="J1125" s="22"/>
      <c r="K1125" s="22"/>
    </row>
    <row r="1126" spans="1:11" x14ac:dyDescent="0.25">
      <c r="A1126" s="22" t="s">
        <v>2691</v>
      </c>
      <c r="B1126" s="22" t="s">
        <v>201</v>
      </c>
      <c r="C1126" s="22" t="s">
        <v>202</v>
      </c>
      <c r="D1126" s="22" t="s">
        <v>2689</v>
      </c>
      <c r="E1126" s="22" t="s">
        <v>45</v>
      </c>
      <c r="F1126" s="23">
        <v>-6750</v>
      </c>
      <c r="G1126" s="24">
        <v>44398</v>
      </c>
      <c r="H1126" s="22" t="s">
        <v>2883</v>
      </c>
      <c r="I1126" s="22" t="s">
        <v>2891</v>
      </c>
      <c r="J1126" s="22"/>
      <c r="K1126" s="22"/>
    </row>
    <row r="1127" spans="1:11" x14ac:dyDescent="0.25">
      <c r="A1127" s="22" t="s">
        <v>2884</v>
      </c>
      <c r="B1127" s="22" t="s">
        <v>201</v>
      </c>
      <c r="C1127" s="22" t="s">
        <v>202</v>
      </c>
      <c r="D1127" s="22" t="s">
        <v>2883</v>
      </c>
      <c r="E1127" s="22" t="s">
        <v>45</v>
      </c>
      <c r="F1127" s="23">
        <v>-76484</v>
      </c>
      <c r="G1127" s="24">
        <v>44400</v>
      </c>
      <c r="H1127" s="22" t="s">
        <v>2883</v>
      </c>
      <c r="I1127" s="22"/>
      <c r="J1127" s="22"/>
      <c r="K1127" s="22"/>
    </row>
    <row r="1128" spans="1:11" x14ac:dyDescent="0.25">
      <c r="A1128" s="22" t="s">
        <v>2811</v>
      </c>
      <c r="B1128" s="22" t="s">
        <v>201</v>
      </c>
      <c r="C1128" s="22" t="s">
        <v>202</v>
      </c>
      <c r="D1128" s="22" t="s">
        <v>2892</v>
      </c>
      <c r="E1128" s="22" t="s">
        <v>57</v>
      </c>
      <c r="F1128" s="23">
        <v>-43700</v>
      </c>
      <c r="G1128" s="24">
        <v>44347</v>
      </c>
      <c r="H1128" s="22" t="s">
        <v>2810</v>
      </c>
      <c r="I1128" s="22" t="s">
        <v>309</v>
      </c>
      <c r="J1128" s="22"/>
      <c r="K1128" s="22"/>
    </row>
    <row r="1129" spans="1:11" x14ac:dyDescent="0.25">
      <c r="A1129" s="22" t="s">
        <v>2894</v>
      </c>
      <c r="B1129" s="22" t="s">
        <v>201</v>
      </c>
      <c r="C1129" s="22" t="s">
        <v>202</v>
      </c>
      <c r="D1129" s="22" t="s">
        <v>2893</v>
      </c>
      <c r="E1129" s="22" t="s">
        <v>57</v>
      </c>
      <c r="F1129" s="23">
        <v>-43700</v>
      </c>
      <c r="G1129" s="24">
        <v>44342</v>
      </c>
      <c r="H1129" s="22" t="s">
        <v>2810</v>
      </c>
      <c r="I1129" s="22" t="s">
        <v>823</v>
      </c>
      <c r="J1129" s="22"/>
      <c r="K1129" s="22"/>
    </row>
    <row r="1130" spans="1:11" x14ac:dyDescent="0.25">
      <c r="A1130" s="22" t="s">
        <v>2896</v>
      </c>
      <c r="B1130" s="22" t="s">
        <v>201</v>
      </c>
      <c r="C1130" s="22" t="s">
        <v>202</v>
      </c>
      <c r="D1130" s="22" t="s">
        <v>2895</v>
      </c>
      <c r="E1130" s="22" t="s">
        <v>57</v>
      </c>
      <c r="F1130" s="23">
        <v>-29200</v>
      </c>
      <c r="G1130" s="24">
        <v>44341</v>
      </c>
      <c r="H1130" s="22" t="s">
        <v>2810</v>
      </c>
      <c r="I1130" s="22" t="s">
        <v>559</v>
      </c>
      <c r="J1130" s="22"/>
      <c r="K1130" s="22"/>
    </row>
    <row r="1131" spans="1:11" x14ac:dyDescent="0.25">
      <c r="A1131" s="22" t="s">
        <v>2811</v>
      </c>
      <c r="B1131" s="22" t="s">
        <v>201</v>
      </c>
      <c r="C1131" s="22" t="s">
        <v>202</v>
      </c>
      <c r="D1131" s="22" t="s">
        <v>2810</v>
      </c>
      <c r="E1131" s="22" t="s">
        <v>45</v>
      </c>
      <c r="F1131" s="23">
        <v>-93400</v>
      </c>
      <c r="G1131" s="24">
        <v>44347</v>
      </c>
      <c r="H1131" s="22" t="s">
        <v>2810</v>
      </c>
      <c r="I1131" s="22"/>
      <c r="J1131" s="22"/>
      <c r="K1131" s="22"/>
    </row>
    <row r="1132" spans="1:11" x14ac:dyDescent="0.25">
      <c r="A1132" s="22" t="s">
        <v>2869</v>
      </c>
      <c r="B1132" s="22" t="s">
        <v>201</v>
      </c>
      <c r="C1132" s="22" t="s">
        <v>202</v>
      </c>
      <c r="D1132" s="22" t="s">
        <v>2899</v>
      </c>
      <c r="E1132" s="22" t="s">
        <v>57</v>
      </c>
      <c r="F1132" s="23">
        <v>-363600</v>
      </c>
      <c r="G1132" s="24">
        <v>44334</v>
      </c>
      <c r="H1132" s="22" t="s">
        <v>2868</v>
      </c>
      <c r="I1132" s="22" t="s">
        <v>611</v>
      </c>
      <c r="J1132" s="22"/>
      <c r="K1132" s="22"/>
    </row>
    <row r="1133" spans="1:11" x14ac:dyDescent="0.25">
      <c r="A1133" s="22" t="s">
        <v>2901</v>
      </c>
      <c r="B1133" s="22" t="s">
        <v>201</v>
      </c>
      <c r="C1133" s="22" t="s">
        <v>202</v>
      </c>
      <c r="D1133" s="22" t="s">
        <v>2900</v>
      </c>
      <c r="E1133" s="22" t="s">
        <v>57</v>
      </c>
      <c r="F1133" s="23">
        <v>-47200</v>
      </c>
      <c r="G1133" s="24">
        <v>44384</v>
      </c>
      <c r="H1133" s="22" t="s">
        <v>2868</v>
      </c>
      <c r="I1133" s="22" t="s">
        <v>608</v>
      </c>
      <c r="J1133" s="22"/>
      <c r="K1133" s="22"/>
    </row>
    <row r="1134" spans="1:11" x14ac:dyDescent="0.25">
      <c r="A1134" s="22" t="s">
        <v>2903</v>
      </c>
      <c r="B1134" s="22" t="s">
        <v>201</v>
      </c>
      <c r="C1134" s="22" t="s">
        <v>202</v>
      </c>
      <c r="D1134" s="22" t="s">
        <v>2902</v>
      </c>
      <c r="E1134" s="22" t="s">
        <v>57</v>
      </c>
      <c r="F1134" s="23">
        <v>-197700</v>
      </c>
      <c r="G1134" s="24">
        <v>44384</v>
      </c>
      <c r="H1134" s="22" t="s">
        <v>2868</v>
      </c>
      <c r="I1134" s="22" t="s">
        <v>611</v>
      </c>
      <c r="J1134" s="22"/>
      <c r="K1134" s="22"/>
    </row>
    <row r="1135" spans="1:11" x14ac:dyDescent="0.25">
      <c r="A1135" s="22" t="s">
        <v>2905</v>
      </c>
      <c r="B1135" s="22" t="s">
        <v>201</v>
      </c>
      <c r="C1135" s="22" t="s">
        <v>202</v>
      </c>
      <c r="D1135" s="22" t="s">
        <v>2904</v>
      </c>
      <c r="E1135" s="22" t="s">
        <v>57</v>
      </c>
      <c r="F1135" s="23">
        <v>-47200</v>
      </c>
      <c r="G1135" s="24">
        <v>44393</v>
      </c>
      <c r="H1135" s="22" t="s">
        <v>2868</v>
      </c>
      <c r="I1135" s="22" t="s">
        <v>249</v>
      </c>
      <c r="J1135" s="22"/>
      <c r="K1135" s="22"/>
    </row>
    <row r="1136" spans="1:11" x14ac:dyDescent="0.25">
      <c r="A1136" s="22" t="s">
        <v>2907</v>
      </c>
      <c r="B1136" s="22" t="s">
        <v>201</v>
      </c>
      <c r="C1136" s="22" t="s">
        <v>202</v>
      </c>
      <c r="D1136" s="22" t="s">
        <v>2906</v>
      </c>
      <c r="E1136" s="22" t="s">
        <v>57</v>
      </c>
      <c r="F1136" s="23">
        <v>-71600</v>
      </c>
      <c r="G1136" s="24">
        <v>44389</v>
      </c>
      <c r="H1136" s="22" t="s">
        <v>2868</v>
      </c>
      <c r="I1136" s="22" t="s">
        <v>249</v>
      </c>
      <c r="J1136" s="22"/>
      <c r="K1136" s="22"/>
    </row>
    <row r="1137" spans="1:11" x14ac:dyDescent="0.25">
      <c r="A1137" s="22" t="s">
        <v>2909</v>
      </c>
      <c r="B1137" s="22" t="s">
        <v>201</v>
      </c>
      <c r="C1137" s="22" t="s">
        <v>202</v>
      </c>
      <c r="D1137" s="22" t="s">
        <v>2908</v>
      </c>
      <c r="E1137" s="22" t="s">
        <v>57</v>
      </c>
      <c r="F1137" s="23">
        <v>-22300</v>
      </c>
      <c r="G1137" s="24">
        <v>44383</v>
      </c>
      <c r="H1137" s="22" t="s">
        <v>2868</v>
      </c>
      <c r="I1137" s="22" t="s">
        <v>249</v>
      </c>
      <c r="J1137" s="22"/>
      <c r="K1137" s="22"/>
    </row>
    <row r="1138" spans="1:11" x14ac:dyDescent="0.25">
      <c r="A1138" s="22" t="s">
        <v>2911</v>
      </c>
      <c r="B1138" s="22" t="s">
        <v>201</v>
      </c>
      <c r="C1138" s="22" t="s">
        <v>202</v>
      </c>
      <c r="D1138" s="22" t="s">
        <v>2910</v>
      </c>
      <c r="E1138" s="22" t="s">
        <v>57</v>
      </c>
      <c r="F1138" s="23">
        <v>-10100</v>
      </c>
      <c r="G1138" s="24">
        <v>44379</v>
      </c>
      <c r="H1138" s="22" t="s">
        <v>2868</v>
      </c>
      <c r="I1138" s="22" t="s">
        <v>249</v>
      </c>
      <c r="J1138" s="22"/>
      <c r="K1138" s="22"/>
    </row>
    <row r="1139" spans="1:11" x14ac:dyDescent="0.25">
      <c r="A1139" s="22" t="s">
        <v>2869</v>
      </c>
      <c r="B1139" s="22" t="s">
        <v>201</v>
      </c>
      <c r="C1139" s="22" t="s">
        <v>202</v>
      </c>
      <c r="D1139" s="22" t="s">
        <v>2868</v>
      </c>
      <c r="E1139" s="22" t="s">
        <v>45</v>
      </c>
      <c r="F1139" s="23">
        <v>-599053</v>
      </c>
      <c r="G1139" s="24">
        <v>44334</v>
      </c>
      <c r="H1139" s="22" t="s">
        <v>2868</v>
      </c>
      <c r="I1139" s="22"/>
      <c r="J1139" s="22"/>
      <c r="K1139" s="22"/>
    </row>
    <row r="1140" spans="1:11" x14ac:dyDescent="0.25">
      <c r="A1140" s="22" t="s">
        <v>184</v>
      </c>
      <c r="B1140" s="22" t="s">
        <v>201</v>
      </c>
      <c r="C1140" s="22" t="s">
        <v>202</v>
      </c>
      <c r="D1140" s="22" t="s">
        <v>2915</v>
      </c>
      <c r="E1140" s="22" t="s">
        <v>45</v>
      </c>
      <c r="F1140" s="23">
        <v>-329357</v>
      </c>
      <c r="G1140" s="24">
        <v>44253</v>
      </c>
      <c r="H1140" s="22" t="s">
        <v>2914</v>
      </c>
      <c r="I1140" s="22" t="s">
        <v>2916</v>
      </c>
      <c r="J1140" s="22"/>
      <c r="K1140" s="22"/>
    </row>
    <row r="1141" spans="1:11" x14ac:dyDescent="0.25">
      <c r="A1141" s="22" t="s">
        <v>2913</v>
      </c>
      <c r="B1141" s="22" t="s">
        <v>201</v>
      </c>
      <c r="C1141" s="22" t="s">
        <v>202</v>
      </c>
      <c r="D1141" s="22" t="s">
        <v>2914</v>
      </c>
      <c r="E1141" s="22" t="s">
        <v>45</v>
      </c>
      <c r="F1141" s="23">
        <v>-350900</v>
      </c>
      <c r="G1141" s="24">
        <v>44385</v>
      </c>
      <c r="H1141" s="22" t="s">
        <v>2914</v>
      </c>
      <c r="I1141" s="22"/>
      <c r="J1141" s="22"/>
      <c r="K1141" s="22"/>
    </row>
    <row r="1142" spans="1:11" x14ac:dyDescent="0.25">
      <c r="A1142" s="22" t="s">
        <v>184</v>
      </c>
      <c r="B1142" s="22" t="s">
        <v>201</v>
      </c>
      <c r="C1142" s="22" t="s">
        <v>202</v>
      </c>
      <c r="D1142" s="22" t="s">
        <v>2859</v>
      </c>
      <c r="E1142" s="22" t="s">
        <v>45</v>
      </c>
      <c r="F1142" s="23">
        <v>-2084971</v>
      </c>
      <c r="G1142" s="24">
        <v>44253</v>
      </c>
      <c r="H1142" s="22" t="s">
        <v>2915</v>
      </c>
      <c r="I1142" s="22" t="s">
        <v>2919</v>
      </c>
      <c r="J1142" s="22"/>
      <c r="K1142" s="22"/>
    </row>
    <row r="1143" spans="1:11" x14ac:dyDescent="0.25">
      <c r="A1143" s="22" t="s">
        <v>184</v>
      </c>
      <c r="B1143" s="22" t="s">
        <v>201</v>
      </c>
      <c r="C1143" s="22" t="s">
        <v>202</v>
      </c>
      <c r="D1143" s="22" t="s">
        <v>2915</v>
      </c>
      <c r="E1143" s="22" t="s">
        <v>45</v>
      </c>
      <c r="F1143" s="23">
        <v>-1755614</v>
      </c>
      <c r="G1143" s="24">
        <v>44253</v>
      </c>
      <c r="H1143" s="22" t="s">
        <v>2915</v>
      </c>
      <c r="I1143" s="22"/>
      <c r="J1143" s="22"/>
      <c r="K1143" s="22"/>
    </row>
  </sheetData>
  <autoFilter ref="A1:I1143" xr:uid="{00000000-0009-0000-0000-000008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CARTERA IPS</vt:lpstr>
      <vt:lpstr>CRUCE COOSALUD</vt:lpstr>
      <vt:lpstr>RESUMEN</vt:lpstr>
      <vt:lpstr>DEVOLUCIONES</vt:lpstr>
      <vt:lpstr>PAGOS</vt:lpstr>
      <vt:lpstr>GLOSAS X CONCILIAR</vt:lpstr>
      <vt:lpstr>PAGOS X DES</vt:lpstr>
      <vt:lpstr>TODAS LAS P</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Glosas</dc:creator>
  <cp:lastModifiedBy>Laura Reyes Bernal</cp:lastModifiedBy>
  <dcterms:created xsi:type="dcterms:W3CDTF">2022-05-06T15:30:20Z</dcterms:created>
  <dcterms:modified xsi:type="dcterms:W3CDTF">2022-05-23T20:49:52Z</dcterms:modified>
</cp:coreProperties>
</file>