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lreyes\Downloads\"/>
    </mc:Choice>
  </mc:AlternateContent>
  <xr:revisionPtr revIDLastSave="0" documentId="13_ncr:1_{16C1FD6F-DCAF-466A-A758-25D69578FC7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I" sheetId="4" r:id="rId1"/>
    <sheet name="CRUCE900" sheetId="5" r:id="rId2"/>
    <sheet name="RESUMEN" sheetId="6" r:id="rId3"/>
    <sheet name="CRUCE800" sheetId="7" r:id="rId4"/>
  </sheets>
  <definedNames>
    <definedName name="_xlnm._FilterDatabase" localSheetId="3" hidden="1">CRUCE800!$A$1:$R$80</definedName>
    <definedName name="_xlnm._FilterDatabase" localSheetId="1" hidden="1">CRUCE900!$A$1:$Q$214</definedName>
    <definedName name="CANC">CRUCE900!#REF!</definedName>
    <definedName name="GLO">CRUCE900!#REF!</definedName>
    <definedName name="PEND">CRUCE900!#REF!</definedName>
    <definedName name="POR">CRUCE800!$U$1:$V$85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09" i="5" l="1"/>
  <c r="Q114" i="5"/>
  <c r="Q189" i="5"/>
  <c r="Q160" i="5"/>
  <c r="Q143" i="5"/>
  <c r="Q159" i="5"/>
  <c r="Q168" i="5"/>
  <c r="Q173" i="5"/>
  <c r="Q118" i="5"/>
  <c r="Q152" i="5"/>
  <c r="Q121" i="5"/>
  <c r="Q117" i="5"/>
  <c r="Q171" i="5"/>
  <c r="Q129" i="5"/>
  <c r="Q181" i="5"/>
  <c r="Q187" i="5"/>
  <c r="Q210" i="5"/>
  <c r="Q203" i="5"/>
  <c r="Q202" i="5"/>
  <c r="Q186" i="5"/>
  <c r="Q120" i="5"/>
  <c r="Q198" i="5"/>
  <c r="Q8" i="5"/>
  <c r="Q188" i="5"/>
  <c r="Q12" i="5"/>
  <c r="Q183" i="5"/>
  <c r="Q122" i="5"/>
  <c r="Q132" i="5"/>
  <c r="Q164" i="5"/>
  <c r="Q116" i="5"/>
  <c r="Q149" i="5"/>
  <c r="Q161" i="5"/>
  <c r="Q156" i="5"/>
  <c r="Q113" i="5"/>
  <c r="Q127" i="5"/>
  <c r="Q178" i="5"/>
  <c r="Q130" i="5"/>
  <c r="Q112" i="5"/>
  <c r="Q126" i="5"/>
  <c r="Q125" i="5"/>
  <c r="Q131" i="5"/>
  <c r="Q148" i="5"/>
  <c r="Q111" i="5"/>
  <c r="Q169" i="5"/>
  <c r="Q167" i="5"/>
  <c r="Q136" i="5"/>
  <c r="Q175" i="5"/>
  <c r="Q153" i="5"/>
  <c r="Q110" i="5"/>
  <c r="Q109" i="5"/>
  <c r="Q108" i="5"/>
  <c r="Q151" i="5"/>
  <c r="Q177" i="5"/>
  <c r="Q107" i="5"/>
  <c r="Q106" i="5"/>
  <c r="Q105" i="5"/>
  <c r="Q170" i="5"/>
  <c r="Q128" i="5"/>
  <c r="Q155" i="5"/>
  <c r="Q104" i="5"/>
  <c r="Q135" i="5"/>
  <c r="Q103" i="5"/>
  <c r="Q102" i="5"/>
  <c r="Q101" i="5"/>
  <c r="Q100" i="5"/>
  <c r="Q99" i="5"/>
  <c r="Q98" i="5"/>
  <c r="Q5" i="5"/>
  <c r="Q9" i="5"/>
  <c r="Q97" i="5"/>
  <c r="Q96" i="5"/>
  <c r="Q95" i="5"/>
  <c r="Q16" i="5"/>
  <c r="Q142" i="5"/>
  <c r="Q94" i="5"/>
  <c r="Q93" i="5"/>
  <c r="Q92" i="5"/>
  <c r="Q91" i="5"/>
  <c r="Q145" i="5"/>
  <c r="Q4" i="5"/>
  <c r="Q174" i="5"/>
  <c r="Q208" i="5"/>
  <c r="Q90" i="5"/>
  <c r="Q2" i="5"/>
  <c r="Q162" i="5"/>
  <c r="Q19" i="5"/>
  <c r="Q154" i="5"/>
  <c r="Q89" i="5"/>
  <c r="Q88" i="5"/>
  <c r="Q87" i="5"/>
  <c r="Q86" i="5"/>
  <c r="Q11" i="5"/>
  <c r="Q85" i="5"/>
  <c r="Q84" i="5"/>
  <c r="Q13" i="5"/>
  <c r="Q83" i="5"/>
  <c r="Q82" i="5"/>
  <c r="Q21" i="5"/>
  <c r="Q81" i="5"/>
  <c r="Q80" i="5"/>
  <c r="Q79" i="5"/>
  <c r="Q78" i="5"/>
  <c r="Q77" i="5"/>
  <c r="Q76" i="5"/>
  <c r="Q75" i="5"/>
  <c r="Q14" i="5"/>
  <c r="Q74" i="5"/>
  <c r="Q73" i="5"/>
  <c r="Q72" i="5"/>
  <c r="Q71" i="5"/>
  <c r="Q150" i="5"/>
  <c r="Q70" i="5"/>
  <c r="Q69" i="5"/>
  <c r="Q68" i="5"/>
  <c r="Q67" i="5"/>
  <c r="Q66" i="5"/>
  <c r="Q65" i="5"/>
  <c r="Q165" i="5"/>
  <c r="Q64" i="5"/>
  <c r="Q63" i="5"/>
  <c r="Q62" i="5"/>
  <c r="Q61" i="5"/>
  <c r="Q60" i="5"/>
  <c r="Q59" i="5"/>
  <c r="Q58" i="5"/>
  <c r="Q57" i="5"/>
  <c r="Q56" i="5"/>
  <c r="Q3" i="5"/>
  <c r="Q15" i="5"/>
  <c r="Q55" i="5"/>
  <c r="Q54" i="5"/>
  <c r="Q53" i="5"/>
  <c r="Q52" i="5"/>
  <c r="Q51" i="5"/>
  <c r="Q50" i="5"/>
  <c r="Q49" i="5"/>
  <c r="Q48" i="5"/>
  <c r="Q47" i="5"/>
  <c r="Q7" i="5"/>
  <c r="Q46" i="5"/>
  <c r="Q22" i="5"/>
  <c r="Q124" i="5"/>
  <c r="Q6" i="5"/>
  <c r="Q45" i="5"/>
  <c r="Q157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0" i="5"/>
  <c r="Q119" i="5"/>
  <c r="Q138" i="5"/>
  <c r="Q140" i="5"/>
  <c r="Q17" i="5"/>
  <c r="Q137" i="5"/>
  <c r="Q204" i="5"/>
  <c r="Q166" i="5"/>
  <c r="Q195" i="5"/>
  <c r="Q212" i="5"/>
  <c r="Q146" i="5"/>
  <c r="Q201" i="5"/>
  <c r="Q147" i="5"/>
  <c r="Q207" i="5"/>
  <c r="Q194" i="5"/>
  <c r="Q133" i="5"/>
  <c r="Q205" i="5"/>
  <c r="Q10" i="5"/>
  <c r="Q123" i="5"/>
  <c r="Q193" i="5"/>
  <c r="Q139" i="5"/>
  <c r="Q176" i="5"/>
  <c r="Q182" i="5"/>
  <c r="Q206" i="5"/>
  <c r="Q172" i="5"/>
  <c r="Q158" i="5"/>
  <c r="Q115" i="5"/>
  <c r="Q211" i="5"/>
  <c r="Q144" i="5"/>
  <c r="Q192" i="5"/>
  <c r="Q18" i="5"/>
  <c r="Q191" i="5"/>
  <c r="Q141" i="5"/>
  <c r="Q184" i="5"/>
  <c r="Q179" i="5"/>
  <c r="Q163" i="5"/>
  <c r="Q24" i="5"/>
  <c r="Q185" i="5"/>
  <c r="Q180" i="5"/>
  <c r="Q23" i="5"/>
  <c r="Q197" i="5"/>
  <c r="Q199" i="5"/>
  <c r="Q213" i="5"/>
  <c r="Q134" i="5"/>
  <c r="Q200" i="5"/>
  <c r="Q190" i="5"/>
  <c r="Q196" i="5"/>
  <c r="E80" i="7" l="1"/>
  <c r="Q80" i="7"/>
  <c r="P80" i="7"/>
  <c r="O80" i="7"/>
  <c r="N80" i="7"/>
  <c r="M80" i="7"/>
  <c r="L80" i="7"/>
  <c r="K80" i="7"/>
  <c r="J80" i="7"/>
  <c r="I80" i="7"/>
  <c r="H80" i="7"/>
  <c r="G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I19" i="6"/>
  <c r="I22" i="6" s="1"/>
  <c r="I26" i="6" s="1"/>
  <c r="H19" i="6"/>
  <c r="H22" i="6" s="1"/>
  <c r="H26" i="6" s="1"/>
  <c r="G19" i="6"/>
  <c r="G22" i="6" s="1"/>
  <c r="G26" i="6" s="1"/>
  <c r="F22" i="6"/>
  <c r="F26" i="6" s="1"/>
  <c r="F19" i="6"/>
  <c r="E19" i="6"/>
  <c r="E22" i="6" s="1"/>
  <c r="E26" i="6" s="1"/>
  <c r="D26" i="6"/>
  <c r="D22" i="6"/>
  <c r="D19" i="6"/>
  <c r="Q214" i="5"/>
  <c r="J17" i="6" s="1"/>
  <c r="P214" i="5"/>
  <c r="O214" i="5"/>
  <c r="J14" i="6" s="1"/>
  <c r="N214" i="5"/>
  <c r="M214" i="5"/>
  <c r="J15" i="6" s="1"/>
  <c r="L214" i="5"/>
  <c r="J16" i="6" s="1"/>
  <c r="K214" i="5"/>
  <c r="J12" i="6" s="1"/>
  <c r="J214" i="5"/>
  <c r="I214" i="5"/>
  <c r="H214" i="5"/>
  <c r="J13" i="6" s="1"/>
  <c r="G214" i="5"/>
  <c r="E214" i="5"/>
  <c r="J10" i="6" s="1"/>
  <c r="F132" i="5"/>
  <c r="A132" i="5"/>
  <c r="F164" i="5"/>
  <c r="A164" i="5"/>
  <c r="F116" i="5"/>
  <c r="A116" i="5"/>
  <c r="F149" i="5"/>
  <c r="A149" i="5"/>
  <c r="F161" i="5"/>
  <c r="A161" i="5"/>
  <c r="F156" i="5"/>
  <c r="A156" i="5"/>
  <c r="F113" i="5"/>
  <c r="A113" i="5"/>
  <c r="F127" i="5"/>
  <c r="A127" i="5"/>
  <c r="F178" i="5"/>
  <c r="A178" i="5"/>
  <c r="F130" i="5"/>
  <c r="A130" i="5"/>
  <c r="F112" i="5"/>
  <c r="A112" i="5"/>
  <c r="F126" i="5"/>
  <c r="A126" i="5"/>
  <c r="F125" i="5"/>
  <c r="A125" i="5"/>
  <c r="F131" i="5"/>
  <c r="A131" i="5"/>
  <c r="F148" i="5"/>
  <c r="A148" i="5"/>
  <c r="F111" i="5"/>
  <c r="A111" i="5"/>
  <c r="F169" i="5"/>
  <c r="A169" i="5"/>
  <c r="F167" i="5"/>
  <c r="A167" i="5"/>
  <c r="F136" i="5"/>
  <c r="A136" i="5"/>
  <c r="F175" i="5"/>
  <c r="A175" i="5"/>
  <c r="F153" i="5"/>
  <c r="A153" i="5"/>
  <c r="F110" i="5"/>
  <c r="A110" i="5"/>
  <c r="F109" i="5"/>
  <c r="A109" i="5"/>
  <c r="F108" i="5"/>
  <c r="A108" i="5"/>
  <c r="F151" i="5"/>
  <c r="A151" i="5"/>
  <c r="F177" i="5"/>
  <c r="A177" i="5"/>
  <c r="F107" i="5"/>
  <c r="A107" i="5"/>
  <c r="F106" i="5"/>
  <c r="A106" i="5"/>
  <c r="F105" i="5"/>
  <c r="A105" i="5"/>
  <c r="F170" i="5"/>
  <c r="A170" i="5"/>
  <c r="F128" i="5"/>
  <c r="A128" i="5"/>
  <c r="F155" i="5"/>
  <c r="A155" i="5"/>
  <c r="F104" i="5"/>
  <c r="A104" i="5"/>
  <c r="F135" i="5"/>
  <c r="A135" i="5"/>
  <c r="F103" i="5"/>
  <c r="A103" i="5"/>
  <c r="F102" i="5"/>
  <c r="A102" i="5"/>
  <c r="F101" i="5"/>
  <c r="A101" i="5"/>
  <c r="F100" i="5"/>
  <c r="A100" i="5"/>
  <c r="F99" i="5"/>
  <c r="A99" i="5"/>
  <c r="F98" i="5"/>
  <c r="A98" i="5"/>
  <c r="F5" i="5"/>
  <c r="A5" i="5"/>
  <c r="F9" i="5"/>
  <c r="A9" i="5"/>
  <c r="F97" i="5"/>
  <c r="A97" i="5"/>
  <c r="F96" i="5"/>
  <c r="A96" i="5"/>
  <c r="F95" i="5"/>
  <c r="A95" i="5"/>
  <c r="F16" i="5"/>
  <c r="A16" i="5"/>
  <c r="F142" i="5"/>
  <c r="A142" i="5"/>
  <c r="F94" i="5"/>
  <c r="A94" i="5"/>
  <c r="F93" i="5"/>
  <c r="A93" i="5"/>
  <c r="F92" i="5"/>
  <c r="A92" i="5"/>
  <c r="F91" i="5"/>
  <c r="A91" i="5"/>
  <c r="F145" i="5"/>
  <c r="A145" i="5"/>
  <c r="F4" i="5"/>
  <c r="A4" i="5"/>
  <c r="F174" i="5"/>
  <c r="A174" i="5"/>
  <c r="F208" i="5"/>
  <c r="A208" i="5"/>
  <c r="F90" i="5"/>
  <c r="A90" i="5"/>
  <c r="F2" i="5"/>
  <c r="A2" i="5"/>
  <c r="F162" i="5"/>
  <c r="A162" i="5"/>
  <c r="F19" i="5"/>
  <c r="A19" i="5"/>
  <c r="F154" i="5"/>
  <c r="A154" i="5"/>
  <c r="F89" i="5"/>
  <c r="A89" i="5"/>
  <c r="F88" i="5"/>
  <c r="A88" i="5"/>
  <c r="F87" i="5"/>
  <c r="A87" i="5"/>
  <c r="F86" i="5"/>
  <c r="A86" i="5"/>
  <c r="F11" i="5"/>
  <c r="A11" i="5"/>
  <c r="F85" i="5"/>
  <c r="A85" i="5"/>
  <c r="F84" i="5"/>
  <c r="A84" i="5"/>
  <c r="F13" i="5"/>
  <c r="A13" i="5"/>
  <c r="F83" i="5"/>
  <c r="A83" i="5"/>
  <c r="F82" i="5"/>
  <c r="A82" i="5"/>
  <c r="F21" i="5"/>
  <c r="A21" i="5"/>
  <c r="F81" i="5"/>
  <c r="A81" i="5"/>
  <c r="F80" i="5"/>
  <c r="A80" i="5"/>
  <c r="F79" i="5"/>
  <c r="A79" i="5"/>
  <c r="F78" i="5"/>
  <c r="A78" i="5"/>
  <c r="F77" i="5"/>
  <c r="A77" i="5"/>
  <c r="F76" i="5"/>
  <c r="A76" i="5"/>
  <c r="F75" i="5"/>
  <c r="A75" i="5"/>
  <c r="F14" i="5"/>
  <c r="A14" i="5"/>
  <c r="F74" i="5"/>
  <c r="A74" i="5"/>
  <c r="F73" i="5"/>
  <c r="A73" i="5"/>
  <c r="F72" i="5"/>
  <c r="A72" i="5"/>
  <c r="F71" i="5"/>
  <c r="A71" i="5"/>
  <c r="F150" i="5"/>
  <c r="A150" i="5"/>
  <c r="F70" i="5"/>
  <c r="A70" i="5"/>
  <c r="F69" i="5"/>
  <c r="A69" i="5"/>
  <c r="F68" i="5"/>
  <c r="A68" i="5"/>
  <c r="F67" i="5"/>
  <c r="A67" i="5"/>
  <c r="F66" i="5"/>
  <c r="A66" i="5"/>
  <c r="F65" i="5"/>
  <c r="A65" i="5"/>
  <c r="F165" i="5"/>
  <c r="A165" i="5"/>
  <c r="F64" i="5"/>
  <c r="A64" i="5"/>
  <c r="F63" i="5"/>
  <c r="A63" i="5"/>
  <c r="F62" i="5"/>
  <c r="A62" i="5"/>
  <c r="F61" i="5"/>
  <c r="A61" i="5"/>
  <c r="F60" i="5"/>
  <c r="A60" i="5"/>
  <c r="F59" i="5"/>
  <c r="A59" i="5"/>
  <c r="F58" i="5"/>
  <c r="A58" i="5"/>
  <c r="F57" i="5"/>
  <c r="A57" i="5"/>
  <c r="F56" i="5"/>
  <c r="A56" i="5"/>
  <c r="F3" i="5"/>
  <c r="A3" i="5"/>
  <c r="F15" i="5"/>
  <c r="A15" i="5"/>
  <c r="F55" i="5"/>
  <c r="A55" i="5"/>
  <c r="F54" i="5"/>
  <c r="A54" i="5"/>
  <c r="F53" i="5"/>
  <c r="A53" i="5"/>
  <c r="F52" i="5"/>
  <c r="A52" i="5"/>
  <c r="F51" i="5"/>
  <c r="A51" i="5"/>
  <c r="F50" i="5"/>
  <c r="A50" i="5"/>
  <c r="F49" i="5"/>
  <c r="A49" i="5"/>
  <c r="F48" i="5"/>
  <c r="A48" i="5"/>
  <c r="F47" i="5"/>
  <c r="A47" i="5"/>
  <c r="F7" i="5"/>
  <c r="A7" i="5"/>
  <c r="F46" i="5"/>
  <c r="A46" i="5"/>
  <c r="F22" i="5"/>
  <c r="A22" i="5"/>
  <c r="F124" i="5"/>
  <c r="A124" i="5"/>
  <c r="F6" i="5"/>
  <c r="A6" i="5"/>
  <c r="F45" i="5"/>
  <c r="A45" i="5"/>
  <c r="F157" i="5"/>
  <c r="A157" i="5"/>
  <c r="F44" i="5"/>
  <c r="A44" i="5"/>
  <c r="F43" i="5"/>
  <c r="A43" i="5"/>
  <c r="F42" i="5"/>
  <c r="A42" i="5"/>
  <c r="F41" i="5"/>
  <c r="A41" i="5"/>
  <c r="F40" i="5"/>
  <c r="A40" i="5"/>
  <c r="F39" i="5"/>
  <c r="A39" i="5"/>
  <c r="F38" i="5"/>
  <c r="A38" i="5"/>
  <c r="F37" i="5"/>
  <c r="A37" i="5"/>
  <c r="F36" i="5"/>
  <c r="A36" i="5"/>
  <c r="F35" i="5"/>
  <c r="A35" i="5"/>
  <c r="F34" i="5"/>
  <c r="A34" i="5"/>
  <c r="F33" i="5"/>
  <c r="A33" i="5"/>
  <c r="F32" i="5"/>
  <c r="A32" i="5"/>
  <c r="F31" i="5"/>
  <c r="A31" i="5"/>
  <c r="F30" i="5"/>
  <c r="A30" i="5"/>
  <c r="F29" i="5"/>
  <c r="A29" i="5"/>
  <c r="F28" i="5"/>
  <c r="A28" i="5"/>
  <c r="F27" i="5"/>
  <c r="A27" i="5"/>
  <c r="F26" i="5"/>
  <c r="A26" i="5"/>
  <c r="F25" i="5"/>
  <c r="A25" i="5"/>
  <c r="F20" i="5"/>
  <c r="A20" i="5"/>
  <c r="F119" i="5"/>
  <c r="A119" i="5"/>
  <c r="F138" i="5"/>
  <c r="A138" i="5"/>
  <c r="F140" i="5"/>
  <c r="A140" i="5"/>
  <c r="F17" i="5"/>
  <c r="A17" i="5"/>
  <c r="F137" i="5"/>
  <c r="A137" i="5"/>
  <c r="F204" i="5"/>
  <c r="A204" i="5"/>
  <c r="F166" i="5"/>
  <c r="A166" i="5"/>
  <c r="F195" i="5"/>
  <c r="A195" i="5"/>
  <c r="F212" i="5"/>
  <c r="A212" i="5"/>
  <c r="F146" i="5"/>
  <c r="A146" i="5"/>
  <c r="F201" i="5"/>
  <c r="A201" i="5"/>
  <c r="F147" i="5"/>
  <c r="A147" i="5"/>
  <c r="F207" i="5"/>
  <c r="A207" i="5"/>
  <c r="F194" i="5"/>
  <c r="A194" i="5"/>
  <c r="F133" i="5"/>
  <c r="A133" i="5"/>
  <c r="F205" i="5"/>
  <c r="A205" i="5"/>
  <c r="F10" i="5"/>
  <c r="A10" i="5"/>
  <c r="F123" i="5"/>
  <c r="A123" i="5"/>
  <c r="F193" i="5"/>
  <c r="A193" i="5"/>
  <c r="F139" i="5"/>
  <c r="A139" i="5"/>
  <c r="F176" i="5"/>
  <c r="A176" i="5"/>
  <c r="F182" i="5"/>
  <c r="A182" i="5"/>
  <c r="F206" i="5"/>
  <c r="A206" i="5"/>
  <c r="F172" i="5"/>
  <c r="A172" i="5"/>
  <c r="F158" i="5"/>
  <c r="A158" i="5"/>
  <c r="F115" i="5"/>
  <c r="A115" i="5"/>
  <c r="F211" i="5"/>
  <c r="A211" i="5"/>
  <c r="F144" i="5"/>
  <c r="A144" i="5"/>
  <c r="F192" i="5"/>
  <c r="A192" i="5"/>
  <c r="F18" i="5"/>
  <c r="A18" i="5"/>
  <c r="F191" i="5"/>
  <c r="A191" i="5"/>
  <c r="F141" i="5"/>
  <c r="A141" i="5"/>
  <c r="F184" i="5"/>
  <c r="A184" i="5"/>
  <c r="F179" i="5"/>
  <c r="A179" i="5"/>
  <c r="F163" i="5"/>
  <c r="A163" i="5"/>
  <c r="F24" i="5"/>
  <c r="A24" i="5"/>
  <c r="F185" i="5"/>
  <c r="A185" i="5"/>
  <c r="F180" i="5"/>
  <c r="A180" i="5"/>
  <c r="F23" i="5"/>
  <c r="A23" i="5"/>
  <c r="F197" i="5"/>
  <c r="A197" i="5"/>
  <c r="F199" i="5"/>
  <c r="A199" i="5"/>
  <c r="F213" i="5"/>
  <c r="A213" i="5"/>
  <c r="F134" i="5"/>
  <c r="A134" i="5"/>
  <c r="F200" i="5"/>
  <c r="A200" i="5"/>
  <c r="F190" i="5"/>
  <c r="A190" i="5"/>
  <c r="F196" i="5"/>
  <c r="A196" i="5"/>
  <c r="F209" i="5"/>
  <c r="A209" i="5"/>
  <c r="F114" i="5"/>
  <c r="A114" i="5"/>
  <c r="F189" i="5"/>
  <c r="A189" i="5"/>
  <c r="F160" i="5"/>
  <c r="A160" i="5"/>
  <c r="F143" i="5"/>
  <c r="A143" i="5"/>
  <c r="F159" i="5"/>
  <c r="A159" i="5"/>
  <c r="F168" i="5"/>
  <c r="A168" i="5"/>
  <c r="F173" i="5"/>
  <c r="A173" i="5"/>
  <c r="F118" i="5"/>
  <c r="A118" i="5"/>
  <c r="F152" i="5"/>
  <c r="A152" i="5"/>
  <c r="F121" i="5"/>
  <c r="A121" i="5"/>
  <c r="F117" i="5"/>
  <c r="A117" i="5"/>
  <c r="F171" i="5"/>
  <c r="A171" i="5"/>
  <c r="F129" i="5"/>
  <c r="A129" i="5"/>
  <c r="F181" i="5"/>
  <c r="A181" i="5"/>
  <c r="F187" i="5"/>
  <c r="A187" i="5"/>
  <c r="F210" i="5"/>
  <c r="A210" i="5"/>
  <c r="F203" i="5"/>
  <c r="A203" i="5"/>
  <c r="F202" i="5"/>
  <c r="A202" i="5"/>
  <c r="F186" i="5"/>
  <c r="A186" i="5"/>
  <c r="F120" i="5"/>
  <c r="A120" i="5"/>
  <c r="F198" i="5"/>
  <c r="A198" i="5"/>
  <c r="F8" i="5"/>
  <c r="A8" i="5"/>
  <c r="F188" i="5"/>
  <c r="A188" i="5"/>
  <c r="F12" i="5"/>
  <c r="A12" i="5"/>
  <c r="F183" i="5"/>
  <c r="A183" i="5"/>
  <c r="F122" i="5"/>
  <c r="A122" i="5"/>
  <c r="E300" i="4"/>
  <c r="G299" i="4"/>
  <c r="F299" i="4"/>
  <c r="G298" i="4"/>
  <c r="F298" i="4"/>
  <c r="G297" i="4"/>
  <c r="F297" i="4"/>
  <c r="G296" i="4"/>
  <c r="F296" i="4"/>
  <c r="G295" i="4"/>
  <c r="F295" i="4"/>
  <c r="G294" i="4"/>
  <c r="F294" i="4"/>
  <c r="G293" i="4"/>
  <c r="F293" i="4"/>
  <c r="G292" i="4"/>
  <c r="F292" i="4"/>
  <c r="G291" i="4"/>
  <c r="F291" i="4"/>
  <c r="G290" i="4"/>
  <c r="F290" i="4"/>
  <c r="G289" i="4"/>
  <c r="F289" i="4"/>
  <c r="G288" i="4"/>
  <c r="F288" i="4"/>
  <c r="G287" i="4"/>
  <c r="F287" i="4"/>
  <c r="G286" i="4"/>
  <c r="F286" i="4"/>
  <c r="G285" i="4"/>
  <c r="F285" i="4"/>
  <c r="G284" i="4"/>
  <c r="F284" i="4"/>
  <c r="G283" i="4"/>
  <c r="F283" i="4"/>
  <c r="G282" i="4"/>
  <c r="F282" i="4"/>
  <c r="G281" i="4"/>
  <c r="F281" i="4"/>
  <c r="G280" i="4"/>
  <c r="F280" i="4"/>
  <c r="G279" i="4"/>
  <c r="F279" i="4"/>
  <c r="G278" i="4"/>
  <c r="F278" i="4"/>
  <c r="G277" i="4"/>
  <c r="F277" i="4"/>
  <c r="G276" i="4"/>
  <c r="F276" i="4"/>
  <c r="G275" i="4"/>
  <c r="F275" i="4"/>
  <c r="G274" i="4"/>
  <c r="F274" i="4"/>
  <c r="G273" i="4"/>
  <c r="F273" i="4"/>
  <c r="G272" i="4"/>
  <c r="F272" i="4"/>
  <c r="G271" i="4"/>
  <c r="F271" i="4"/>
  <c r="G270" i="4"/>
  <c r="F270" i="4"/>
  <c r="G269" i="4"/>
  <c r="F269" i="4"/>
  <c r="G268" i="4"/>
  <c r="F268" i="4"/>
  <c r="G267" i="4"/>
  <c r="F267" i="4"/>
  <c r="G266" i="4"/>
  <c r="F266" i="4"/>
  <c r="G265" i="4"/>
  <c r="F265" i="4"/>
  <c r="G264" i="4"/>
  <c r="F264" i="4"/>
  <c r="G263" i="4"/>
  <c r="F263" i="4"/>
  <c r="G262" i="4"/>
  <c r="F262" i="4"/>
  <c r="G261" i="4"/>
  <c r="F261" i="4"/>
  <c r="G260" i="4"/>
  <c r="F260" i="4"/>
  <c r="G259" i="4"/>
  <c r="F259" i="4"/>
  <c r="G258" i="4"/>
  <c r="F258" i="4"/>
  <c r="G257" i="4"/>
  <c r="F257" i="4"/>
  <c r="G256" i="4"/>
  <c r="F256" i="4"/>
  <c r="G255" i="4"/>
  <c r="F255" i="4"/>
  <c r="G254" i="4"/>
  <c r="F254" i="4"/>
  <c r="G253" i="4"/>
  <c r="F253" i="4"/>
  <c r="G252" i="4"/>
  <c r="F252" i="4"/>
  <c r="G251" i="4"/>
  <c r="F251" i="4"/>
  <c r="G250" i="4"/>
  <c r="F250" i="4"/>
  <c r="G249" i="4"/>
  <c r="F249" i="4"/>
  <c r="G248" i="4"/>
  <c r="F248" i="4"/>
  <c r="G247" i="4"/>
  <c r="F247" i="4"/>
  <c r="G246" i="4"/>
  <c r="F246" i="4"/>
  <c r="G245" i="4"/>
  <c r="F245" i="4"/>
  <c r="G244" i="4"/>
  <c r="F244" i="4"/>
  <c r="G243" i="4"/>
  <c r="F243" i="4"/>
  <c r="G242" i="4"/>
  <c r="F242" i="4"/>
  <c r="G241" i="4"/>
  <c r="F241" i="4"/>
  <c r="G240" i="4"/>
  <c r="F240" i="4"/>
  <c r="G239" i="4"/>
  <c r="F239" i="4"/>
  <c r="G238" i="4"/>
  <c r="F238" i="4"/>
  <c r="G237" i="4"/>
  <c r="F237" i="4"/>
  <c r="G236" i="4"/>
  <c r="F236" i="4"/>
  <c r="G235" i="4"/>
  <c r="F235" i="4"/>
  <c r="G234" i="4"/>
  <c r="F234" i="4"/>
  <c r="G233" i="4"/>
  <c r="F233" i="4"/>
  <c r="G232" i="4"/>
  <c r="F232" i="4"/>
  <c r="G231" i="4"/>
  <c r="F231" i="4"/>
  <c r="G230" i="4"/>
  <c r="F230" i="4"/>
  <c r="G229" i="4"/>
  <c r="F229" i="4"/>
  <c r="G228" i="4"/>
  <c r="F228" i="4"/>
  <c r="G227" i="4"/>
  <c r="F227" i="4"/>
  <c r="G226" i="4"/>
  <c r="F226" i="4"/>
  <c r="G225" i="4"/>
  <c r="F225" i="4"/>
  <c r="G224" i="4"/>
  <c r="F224" i="4"/>
  <c r="G223" i="4"/>
  <c r="F223" i="4"/>
  <c r="G222" i="4"/>
  <c r="F222" i="4"/>
  <c r="G221" i="4"/>
  <c r="F221" i="4"/>
  <c r="B221" i="4"/>
  <c r="G220" i="4"/>
  <c r="F220" i="4"/>
  <c r="B220" i="4"/>
  <c r="G219" i="4"/>
  <c r="F219" i="4"/>
  <c r="B219" i="4"/>
  <c r="G218" i="4"/>
  <c r="F218" i="4"/>
  <c r="B218" i="4"/>
  <c r="G217" i="4"/>
  <c r="F217" i="4"/>
  <c r="B217" i="4"/>
  <c r="G216" i="4"/>
  <c r="F216" i="4"/>
  <c r="B216" i="4"/>
  <c r="G215" i="4"/>
  <c r="F215" i="4"/>
  <c r="B215" i="4"/>
  <c r="G214" i="4"/>
  <c r="F214" i="4"/>
  <c r="B214" i="4"/>
  <c r="G213" i="4"/>
  <c r="F213" i="4"/>
  <c r="B213" i="4"/>
  <c r="G212" i="4"/>
  <c r="F212" i="4"/>
  <c r="B212" i="4"/>
  <c r="G211" i="4"/>
  <c r="F211" i="4"/>
  <c r="B211" i="4"/>
  <c r="G210" i="4"/>
  <c r="F210" i="4"/>
  <c r="B210" i="4"/>
  <c r="G209" i="4"/>
  <c r="F209" i="4"/>
  <c r="B209" i="4"/>
  <c r="G208" i="4"/>
  <c r="F208" i="4"/>
  <c r="B208" i="4"/>
  <c r="G207" i="4"/>
  <c r="F207" i="4"/>
  <c r="B207" i="4"/>
  <c r="G206" i="4"/>
  <c r="F206" i="4"/>
  <c r="B206" i="4"/>
  <c r="G205" i="4"/>
  <c r="F205" i="4"/>
  <c r="B205" i="4"/>
  <c r="G204" i="4"/>
  <c r="F204" i="4"/>
  <c r="B204" i="4"/>
  <c r="G203" i="4"/>
  <c r="F203" i="4"/>
  <c r="B203" i="4"/>
  <c r="G202" i="4"/>
  <c r="F202" i="4"/>
  <c r="B202" i="4"/>
  <c r="G201" i="4"/>
  <c r="F201" i="4"/>
  <c r="B201" i="4"/>
  <c r="G200" i="4"/>
  <c r="F200" i="4"/>
  <c r="B200" i="4"/>
  <c r="G199" i="4"/>
  <c r="F199" i="4"/>
  <c r="B199" i="4"/>
  <c r="G198" i="4"/>
  <c r="F198" i="4"/>
  <c r="B198" i="4"/>
  <c r="G197" i="4"/>
  <c r="F197" i="4"/>
  <c r="B197" i="4"/>
  <c r="G196" i="4"/>
  <c r="F196" i="4"/>
  <c r="B196" i="4"/>
  <c r="G195" i="4"/>
  <c r="F195" i="4"/>
  <c r="B195" i="4"/>
  <c r="G194" i="4"/>
  <c r="F194" i="4"/>
  <c r="B194" i="4"/>
  <c r="G193" i="4"/>
  <c r="F193" i="4"/>
  <c r="B193" i="4"/>
  <c r="G192" i="4"/>
  <c r="F192" i="4"/>
  <c r="B192" i="4"/>
  <c r="G191" i="4"/>
  <c r="F191" i="4"/>
  <c r="B191" i="4"/>
  <c r="G190" i="4"/>
  <c r="F190" i="4"/>
  <c r="B190" i="4"/>
  <c r="G189" i="4"/>
  <c r="F189" i="4"/>
  <c r="B189" i="4"/>
  <c r="G188" i="4"/>
  <c r="F188" i="4"/>
  <c r="B188" i="4"/>
  <c r="G187" i="4"/>
  <c r="F187" i="4"/>
  <c r="B187" i="4"/>
  <c r="G186" i="4"/>
  <c r="F186" i="4"/>
  <c r="B186" i="4"/>
  <c r="G185" i="4"/>
  <c r="F185" i="4"/>
  <c r="B185" i="4"/>
  <c r="G184" i="4"/>
  <c r="F184" i="4"/>
  <c r="B184" i="4"/>
  <c r="G183" i="4"/>
  <c r="F183" i="4"/>
  <c r="B183" i="4"/>
  <c r="G182" i="4"/>
  <c r="F182" i="4"/>
  <c r="B182" i="4"/>
  <c r="G181" i="4"/>
  <c r="F181" i="4"/>
  <c r="B181" i="4"/>
  <c r="G180" i="4"/>
  <c r="F180" i="4"/>
  <c r="B180" i="4"/>
  <c r="G179" i="4"/>
  <c r="F179" i="4"/>
  <c r="B179" i="4"/>
  <c r="G178" i="4"/>
  <c r="F178" i="4"/>
  <c r="B178" i="4"/>
  <c r="G177" i="4"/>
  <c r="F177" i="4"/>
  <c r="B177" i="4"/>
  <c r="G176" i="4"/>
  <c r="F176" i="4"/>
  <c r="B176" i="4"/>
  <c r="G175" i="4"/>
  <c r="F175" i="4"/>
  <c r="B175" i="4"/>
  <c r="G174" i="4"/>
  <c r="F174" i="4"/>
  <c r="B174" i="4"/>
  <c r="G173" i="4"/>
  <c r="F173" i="4"/>
  <c r="B173" i="4"/>
  <c r="G172" i="4"/>
  <c r="F172" i="4"/>
  <c r="B172" i="4"/>
  <c r="G171" i="4"/>
  <c r="F171" i="4"/>
  <c r="B171" i="4"/>
  <c r="G170" i="4"/>
  <c r="F170" i="4"/>
  <c r="B170" i="4"/>
  <c r="G169" i="4"/>
  <c r="F169" i="4"/>
  <c r="B169" i="4"/>
  <c r="G168" i="4"/>
  <c r="F168" i="4"/>
  <c r="B168" i="4"/>
  <c r="G167" i="4"/>
  <c r="F167" i="4"/>
  <c r="B167" i="4"/>
  <c r="G166" i="4"/>
  <c r="F166" i="4"/>
  <c r="B166" i="4"/>
  <c r="G165" i="4"/>
  <c r="F165" i="4"/>
  <c r="B165" i="4"/>
  <c r="G164" i="4"/>
  <c r="F164" i="4"/>
  <c r="B164" i="4"/>
  <c r="G163" i="4"/>
  <c r="F163" i="4"/>
  <c r="B163" i="4"/>
  <c r="G162" i="4"/>
  <c r="F162" i="4"/>
  <c r="B162" i="4"/>
  <c r="G161" i="4"/>
  <c r="F161" i="4"/>
  <c r="B161" i="4"/>
  <c r="G160" i="4"/>
  <c r="F160" i="4"/>
  <c r="B160" i="4"/>
  <c r="G159" i="4"/>
  <c r="F159" i="4"/>
  <c r="B159" i="4"/>
  <c r="G158" i="4"/>
  <c r="F158" i="4"/>
  <c r="B158" i="4"/>
  <c r="G157" i="4"/>
  <c r="F157" i="4"/>
  <c r="B157" i="4"/>
  <c r="G156" i="4"/>
  <c r="F156" i="4"/>
  <c r="B156" i="4"/>
  <c r="G155" i="4"/>
  <c r="F155" i="4"/>
  <c r="B155" i="4"/>
  <c r="G154" i="4"/>
  <c r="F154" i="4"/>
  <c r="B154" i="4"/>
  <c r="G153" i="4"/>
  <c r="F153" i="4"/>
  <c r="B153" i="4"/>
  <c r="G152" i="4"/>
  <c r="F152" i="4"/>
  <c r="B152" i="4"/>
  <c r="G151" i="4"/>
  <c r="F151" i="4"/>
  <c r="B151" i="4"/>
  <c r="G150" i="4"/>
  <c r="F150" i="4"/>
  <c r="B150" i="4"/>
  <c r="G149" i="4"/>
  <c r="F149" i="4"/>
  <c r="B149" i="4"/>
  <c r="G148" i="4"/>
  <c r="F148" i="4"/>
  <c r="B148" i="4"/>
  <c r="G147" i="4"/>
  <c r="F147" i="4"/>
  <c r="B147" i="4"/>
  <c r="G146" i="4"/>
  <c r="F146" i="4"/>
  <c r="B146" i="4"/>
  <c r="G145" i="4"/>
  <c r="F145" i="4"/>
  <c r="B145" i="4"/>
  <c r="G144" i="4"/>
  <c r="F144" i="4"/>
  <c r="B144" i="4"/>
  <c r="G143" i="4"/>
  <c r="F143" i="4"/>
  <c r="B143" i="4"/>
  <c r="G142" i="4"/>
  <c r="F142" i="4"/>
  <c r="B142" i="4"/>
  <c r="G141" i="4"/>
  <c r="F141" i="4"/>
  <c r="B141" i="4"/>
  <c r="G140" i="4"/>
  <c r="F140" i="4"/>
  <c r="B140" i="4"/>
  <c r="G139" i="4"/>
  <c r="F139" i="4"/>
  <c r="B139" i="4"/>
  <c r="G138" i="4"/>
  <c r="F138" i="4"/>
  <c r="B138" i="4"/>
  <c r="G137" i="4"/>
  <c r="F137" i="4"/>
  <c r="B137" i="4"/>
  <c r="G136" i="4"/>
  <c r="F136" i="4"/>
  <c r="B136" i="4"/>
  <c r="G135" i="4"/>
  <c r="F135" i="4"/>
  <c r="B135" i="4"/>
  <c r="G134" i="4"/>
  <c r="F134" i="4"/>
  <c r="B134" i="4"/>
  <c r="G133" i="4"/>
  <c r="F133" i="4"/>
  <c r="B133" i="4"/>
  <c r="G132" i="4"/>
  <c r="F132" i="4"/>
  <c r="B132" i="4"/>
  <c r="G131" i="4"/>
  <c r="F131" i="4"/>
  <c r="B131" i="4"/>
  <c r="G130" i="4"/>
  <c r="F130" i="4"/>
  <c r="B130" i="4"/>
  <c r="G129" i="4"/>
  <c r="F129" i="4"/>
  <c r="B129" i="4"/>
  <c r="G128" i="4"/>
  <c r="F128" i="4"/>
  <c r="B128" i="4"/>
  <c r="G127" i="4"/>
  <c r="F127" i="4"/>
  <c r="B127" i="4"/>
  <c r="G126" i="4"/>
  <c r="F126" i="4"/>
  <c r="B126" i="4"/>
  <c r="G125" i="4"/>
  <c r="F125" i="4"/>
  <c r="B125" i="4"/>
  <c r="G124" i="4"/>
  <c r="F124" i="4"/>
  <c r="B124" i="4"/>
  <c r="G123" i="4"/>
  <c r="F123" i="4"/>
  <c r="B123" i="4"/>
  <c r="G122" i="4"/>
  <c r="F122" i="4"/>
  <c r="B122" i="4"/>
  <c r="G121" i="4"/>
  <c r="F121" i="4"/>
  <c r="B121" i="4"/>
  <c r="G120" i="4"/>
  <c r="F120" i="4"/>
  <c r="B120" i="4"/>
  <c r="G119" i="4"/>
  <c r="F119" i="4"/>
  <c r="B119" i="4"/>
  <c r="G118" i="4"/>
  <c r="F118" i="4"/>
  <c r="B118" i="4"/>
  <c r="G117" i="4"/>
  <c r="F117" i="4"/>
  <c r="B117" i="4"/>
  <c r="G116" i="4"/>
  <c r="F116" i="4"/>
  <c r="B116" i="4"/>
  <c r="G115" i="4"/>
  <c r="F115" i="4"/>
  <c r="B115" i="4"/>
  <c r="G114" i="4"/>
  <c r="F114" i="4"/>
  <c r="B114" i="4"/>
  <c r="G113" i="4"/>
  <c r="F113" i="4"/>
  <c r="B113" i="4"/>
  <c r="G112" i="4"/>
  <c r="F112" i="4"/>
  <c r="B112" i="4"/>
  <c r="G111" i="4"/>
  <c r="F111" i="4"/>
  <c r="B111" i="4"/>
  <c r="G110" i="4"/>
  <c r="F110" i="4"/>
  <c r="B110" i="4"/>
  <c r="G109" i="4"/>
  <c r="F109" i="4"/>
  <c r="B109" i="4"/>
  <c r="G108" i="4"/>
  <c r="F108" i="4"/>
  <c r="B108" i="4"/>
  <c r="G107" i="4"/>
  <c r="F107" i="4"/>
  <c r="B107" i="4"/>
  <c r="G106" i="4"/>
  <c r="F106" i="4"/>
  <c r="B106" i="4"/>
  <c r="G105" i="4"/>
  <c r="F105" i="4"/>
  <c r="B105" i="4"/>
  <c r="G104" i="4"/>
  <c r="F104" i="4"/>
  <c r="B104" i="4"/>
  <c r="G103" i="4"/>
  <c r="F103" i="4"/>
  <c r="B103" i="4"/>
  <c r="G102" i="4"/>
  <c r="F102" i="4"/>
  <c r="B102" i="4"/>
  <c r="G101" i="4"/>
  <c r="F101" i="4"/>
  <c r="B101" i="4"/>
  <c r="G100" i="4"/>
  <c r="F100" i="4"/>
  <c r="B100" i="4"/>
  <c r="G99" i="4"/>
  <c r="F99" i="4"/>
  <c r="B99" i="4"/>
  <c r="G98" i="4"/>
  <c r="F98" i="4"/>
  <c r="B98" i="4"/>
  <c r="G97" i="4"/>
  <c r="F97" i="4"/>
  <c r="B97" i="4"/>
  <c r="G96" i="4"/>
  <c r="F96" i="4"/>
  <c r="B96" i="4"/>
  <c r="G95" i="4"/>
  <c r="F95" i="4"/>
  <c r="B95" i="4"/>
  <c r="G94" i="4"/>
  <c r="F94" i="4"/>
  <c r="B94" i="4"/>
  <c r="G93" i="4"/>
  <c r="F93" i="4"/>
  <c r="B93" i="4"/>
  <c r="G92" i="4"/>
  <c r="F92" i="4"/>
  <c r="B92" i="4"/>
  <c r="G91" i="4"/>
  <c r="F91" i="4"/>
  <c r="B91" i="4"/>
  <c r="G90" i="4"/>
  <c r="F90" i="4"/>
  <c r="B90" i="4"/>
  <c r="G89" i="4"/>
  <c r="F89" i="4"/>
  <c r="B89" i="4"/>
  <c r="G88" i="4"/>
  <c r="F88" i="4"/>
  <c r="B88" i="4"/>
  <c r="G87" i="4"/>
  <c r="F87" i="4"/>
  <c r="B87" i="4"/>
  <c r="G86" i="4"/>
  <c r="F86" i="4"/>
  <c r="B86" i="4"/>
  <c r="G85" i="4"/>
  <c r="F85" i="4"/>
  <c r="B85" i="4"/>
  <c r="G84" i="4"/>
  <c r="F84" i="4"/>
  <c r="B84" i="4"/>
  <c r="G83" i="4"/>
  <c r="F83" i="4"/>
  <c r="B83" i="4"/>
  <c r="G82" i="4"/>
  <c r="F82" i="4"/>
  <c r="B82" i="4"/>
  <c r="G81" i="4"/>
  <c r="F81" i="4"/>
  <c r="B81" i="4"/>
  <c r="G80" i="4"/>
  <c r="F80" i="4"/>
  <c r="B80" i="4"/>
  <c r="G79" i="4"/>
  <c r="F79" i="4"/>
  <c r="B79" i="4"/>
  <c r="G78" i="4"/>
  <c r="F78" i="4"/>
  <c r="B78" i="4"/>
  <c r="G77" i="4"/>
  <c r="F77" i="4"/>
  <c r="B77" i="4"/>
  <c r="G76" i="4"/>
  <c r="F76" i="4"/>
  <c r="B76" i="4"/>
  <c r="G75" i="4"/>
  <c r="F75" i="4"/>
  <c r="B75" i="4"/>
  <c r="G74" i="4"/>
  <c r="F74" i="4"/>
  <c r="B74" i="4"/>
  <c r="G73" i="4"/>
  <c r="F73" i="4"/>
  <c r="B73" i="4"/>
  <c r="G72" i="4"/>
  <c r="F72" i="4"/>
  <c r="B72" i="4"/>
  <c r="G71" i="4"/>
  <c r="F71" i="4"/>
  <c r="B71" i="4"/>
  <c r="G70" i="4"/>
  <c r="F70" i="4"/>
  <c r="B70" i="4"/>
  <c r="G69" i="4"/>
  <c r="F69" i="4"/>
  <c r="B69" i="4"/>
  <c r="G68" i="4"/>
  <c r="F68" i="4"/>
  <c r="B68" i="4"/>
  <c r="G67" i="4"/>
  <c r="F67" i="4"/>
  <c r="B67" i="4"/>
  <c r="G66" i="4"/>
  <c r="F66" i="4"/>
  <c r="B66" i="4"/>
  <c r="G65" i="4"/>
  <c r="F65" i="4"/>
  <c r="B65" i="4"/>
  <c r="G64" i="4"/>
  <c r="F64" i="4"/>
  <c r="B64" i="4"/>
  <c r="G63" i="4"/>
  <c r="F63" i="4"/>
  <c r="B63" i="4"/>
  <c r="G62" i="4"/>
  <c r="F62" i="4"/>
  <c r="B62" i="4"/>
  <c r="G61" i="4"/>
  <c r="F61" i="4"/>
  <c r="B61" i="4"/>
  <c r="G60" i="4"/>
  <c r="F60" i="4"/>
  <c r="B60" i="4"/>
  <c r="G59" i="4"/>
  <c r="F59" i="4"/>
  <c r="B59" i="4"/>
  <c r="G58" i="4"/>
  <c r="F58" i="4"/>
  <c r="B58" i="4"/>
  <c r="G57" i="4"/>
  <c r="F57" i="4"/>
  <c r="B57" i="4"/>
  <c r="G56" i="4"/>
  <c r="F56" i="4"/>
  <c r="B56" i="4"/>
  <c r="G55" i="4"/>
  <c r="F55" i="4"/>
  <c r="B55" i="4"/>
  <c r="G54" i="4"/>
  <c r="F54" i="4"/>
  <c r="B54" i="4"/>
  <c r="G53" i="4"/>
  <c r="F53" i="4"/>
  <c r="B53" i="4"/>
  <c r="G52" i="4"/>
  <c r="F52" i="4"/>
  <c r="B52" i="4"/>
  <c r="G51" i="4"/>
  <c r="F51" i="4"/>
  <c r="B51" i="4"/>
  <c r="G50" i="4"/>
  <c r="F50" i="4"/>
  <c r="B50" i="4"/>
  <c r="G49" i="4"/>
  <c r="F49" i="4"/>
  <c r="B49" i="4"/>
  <c r="G48" i="4"/>
  <c r="F48" i="4"/>
  <c r="B48" i="4"/>
  <c r="G47" i="4"/>
  <c r="F47" i="4"/>
  <c r="B47" i="4"/>
  <c r="G46" i="4"/>
  <c r="F46" i="4"/>
  <c r="B46" i="4"/>
  <c r="G45" i="4"/>
  <c r="F45" i="4"/>
  <c r="B45" i="4"/>
  <c r="G44" i="4"/>
  <c r="F44" i="4"/>
  <c r="B44" i="4"/>
  <c r="G43" i="4"/>
  <c r="F43" i="4"/>
  <c r="B43" i="4"/>
  <c r="G42" i="4"/>
  <c r="F42" i="4"/>
  <c r="B42" i="4"/>
  <c r="G41" i="4"/>
  <c r="F41" i="4"/>
  <c r="B41" i="4"/>
  <c r="G40" i="4"/>
  <c r="F40" i="4"/>
  <c r="B40" i="4"/>
  <c r="G39" i="4"/>
  <c r="F39" i="4"/>
  <c r="B39" i="4"/>
  <c r="G38" i="4"/>
  <c r="F38" i="4"/>
  <c r="B38" i="4"/>
  <c r="G37" i="4"/>
  <c r="F37" i="4"/>
  <c r="B37" i="4"/>
  <c r="G36" i="4"/>
  <c r="F36" i="4"/>
  <c r="B36" i="4"/>
  <c r="G35" i="4"/>
  <c r="F35" i="4"/>
  <c r="B35" i="4"/>
  <c r="G34" i="4"/>
  <c r="F34" i="4"/>
  <c r="B34" i="4"/>
  <c r="G33" i="4"/>
  <c r="F33" i="4"/>
  <c r="B33" i="4"/>
  <c r="G32" i="4"/>
  <c r="F32" i="4"/>
  <c r="B32" i="4"/>
  <c r="G31" i="4"/>
  <c r="F31" i="4"/>
  <c r="B31" i="4"/>
  <c r="G30" i="4"/>
  <c r="F30" i="4"/>
  <c r="B30" i="4"/>
  <c r="G29" i="4"/>
  <c r="F29" i="4"/>
  <c r="B29" i="4"/>
  <c r="G28" i="4"/>
  <c r="F28" i="4"/>
  <c r="B28" i="4"/>
  <c r="G27" i="4"/>
  <c r="F27" i="4"/>
  <c r="B27" i="4"/>
  <c r="G26" i="4"/>
  <c r="F26" i="4"/>
  <c r="B26" i="4"/>
  <c r="G25" i="4"/>
  <c r="F25" i="4"/>
  <c r="B25" i="4"/>
  <c r="G24" i="4"/>
  <c r="F24" i="4"/>
  <c r="B24" i="4"/>
  <c r="G23" i="4"/>
  <c r="F23" i="4"/>
  <c r="B23" i="4"/>
  <c r="G22" i="4"/>
  <c r="F22" i="4"/>
  <c r="B22" i="4"/>
  <c r="G21" i="4"/>
  <c r="F21" i="4"/>
  <c r="B21" i="4"/>
  <c r="G20" i="4"/>
  <c r="F20" i="4"/>
  <c r="B20" i="4"/>
  <c r="G19" i="4"/>
  <c r="F19" i="4"/>
  <c r="B19" i="4"/>
  <c r="G18" i="4"/>
  <c r="F18" i="4"/>
  <c r="B18" i="4"/>
  <c r="G17" i="4"/>
  <c r="F17" i="4"/>
  <c r="B17" i="4"/>
  <c r="G16" i="4"/>
  <c r="F16" i="4"/>
  <c r="B16" i="4"/>
  <c r="G15" i="4"/>
  <c r="F15" i="4"/>
  <c r="B15" i="4"/>
  <c r="G14" i="4"/>
  <c r="F14" i="4"/>
  <c r="B14" i="4"/>
  <c r="G13" i="4"/>
  <c r="F13" i="4"/>
  <c r="B13" i="4"/>
  <c r="G12" i="4"/>
  <c r="F12" i="4"/>
  <c r="B12" i="4"/>
  <c r="G11" i="4"/>
  <c r="F11" i="4"/>
  <c r="B11" i="4"/>
  <c r="G10" i="4"/>
  <c r="F10" i="4"/>
  <c r="B10" i="4"/>
  <c r="J19" i="6" l="1"/>
  <c r="J22" i="6" s="1"/>
  <c r="J26" i="6" s="1"/>
</calcChain>
</file>

<file path=xl/sharedStrings.xml><?xml version="1.0" encoding="utf-8"?>
<sst xmlns="http://schemas.openxmlformats.org/spreadsheetml/2006/main" count="221" uniqueCount="119">
  <si>
    <t>Factura Numero</t>
  </si>
  <si>
    <t>Factura Fecha</t>
  </si>
  <si>
    <t>Factura Valor</t>
  </si>
  <si>
    <t>Factura Saldo</t>
  </si>
  <si>
    <t>COOSALUD ENTIDAD PROMOTORA DE SALUD S.A.</t>
  </si>
  <si>
    <t>TOTAL ESTADO DE CUENTA</t>
  </si>
  <si>
    <t>Tercero Codigo</t>
  </si>
  <si>
    <t>Tercero Nombre</t>
  </si>
  <si>
    <t>HSRF0011933188</t>
  </si>
  <si>
    <t>HSRF0011935071</t>
  </si>
  <si>
    <t>HSRF0012020230</t>
  </si>
  <si>
    <t>HSRF0012040201</t>
  </si>
  <si>
    <t>HSRF0012092091</t>
  </si>
  <si>
    <t>HSRF0012096426</t>
  </si>
  <si>
    <t>HSRF0012111324</t>
  </si>
  <si>
    <t>HSRF0012112203</t>
  </si>
  <si>
    <t>HSRF0012198315</t>
  </si>
  <si>
    <t>HSRF0012256868</t>
  </si>
  <si>
    <t>HSRF0012274833</t>
  </si>
  <si>
    <t>HSRF0012493637</t>
  </si>
  <si>
    <t>HSRF0012718621</t>
  </si>
  <si>
    <t>HSRF0012793384</t>
  </si>
  <si>
    <t>HSRF0012799273</t>
  </si>
  <si>
    <t>HSRF0012845201</t>
  </si>
  <si>
    <t>HSRF0012883655</t>
  </si>
  <si>
    <t>HSRF0012885777</t>
  </si>
  <si>
    <t>HSRF0012998657</t>
  </si>
  <si>
    <t>HSRF0013020942</t>
  </si>
  <si>
    <t>HSRF0013024940</t>
  </si>
  <si>
    <t>HSRF0013025237</t>
  </si>
  <si>
    <t>HSRF0013041227</t>
  </si>
  <si>
    <t>HSRF0013071277</t>
  </si>
  <si>
    <t>HSRF0013071729</t>
  </si>
  <si>
    <t>HSRF0013075148</t>
  </si>
  <si>
    <t>HSRF0013076808</t>
  </si>
  <si>
    <t>HSRF0013093303</t>
  </si>
  <si>
    <t>HSRF0013124611</t>
  </si>
  <si>
    <t>HSRF0013125485</t>
  </si>
  <si>
    <t>HSRF0013135830</t>
  </si>
  <si>
    <t>HSRF0013136530</t>
  </si>
  <si>
    <t>HSRF0013157759</t>
  </si>
  <si>
    <t>HSRF0013171301</t>
  </si>
  <si>
    <t>HSRF0013171341</t>
  </si>
  <si>
    <t>HSRF0013176738</t>
  </si>
  <si>
    <t>HSRF0013182515</t>
  </si>
  <si>
    <t>HSRF0013184943</t>
  </si>
  <si>
    <t>HSRF0013184969</t>
  </si>
  <si>
    <t>HSRF0013187757</t>
  </si>
  <si>
    <t>HSRF0013197851</t>
  </si>
  <si>
    <t>HSRF0013197935</t>
  </si>
  <si>
    <t>HSRF0013198730</t>
  </si>
  <si>
    <t>HSRF0013203148</t>
  </si>
  <si>
    <t>HSRF0013216988</t>
  </si>
  <si>
    <t>HSRF0013220996</t>
  </si>
  <si>
    <t>HSRF0013239632</t>
  </si>
  <si>
    <t>HSRF0013255528</t>
  </si>
  <si>
    <t>HSRF0013259369</t>
  </si>
  <si>
    <t>HSRF0013259377</t>
  </si>
  <si>
    <t>HSRF0013262163</t>
  </si>
  <si>
    <t>HSRF0013262513</t>
  </si>
  <si>
    <t>HSRF0013264956</t>
  </si>
  <si>
    <t>HSRF0013282309</t>
  </si>
  <si>
    <t>HSRF0013282404</t>
  </si>
  <si>
    <t>HSRF0013284854</t>
  </si>
  <si>
    <t>HSRF0013289785</t>
  </si>
  <si>
    <t>HSRF0013296960</t>
  </si>
  <si>
    <t>HSRF0013300858</t>
  </si>
  <si>
    <t>HSRF0013309108</t>
  </si>
  <si>
    <t>HSRF0013309183</t>
  </si>
  <si>
    <t>HSRF0013321823</t>
  </si>
  <si>
    <t>HSRF0013323180</t>
  </si>
  <si>
    <t>HSRF0013326409</t>
  </si>
  <si>
    <t>HSRF0013336398</t>
  </si>
  <si>
    <t>HSRF0013344011</t>
  </si>
  <si>
    <t>HSRF0013348123</t>
  </si>
  <si>
    <t>HSRF0013349575</t>
  </si>
  <si>
    <t>HSRF0013356982</t>
  </si>
  <si>
    <t>HSRF0013359576</t>
  </si>
  <si>
    <t>HSRF0013363076</t>
  </si>
  <si>
    <t>HSRF0013364422</t>
  </si>
  <si>
    <t>HSRF0013383606</t>
  </si>
  <si>
    <t>HSRF0013383706</t>
  </si>
  <si>
    <t>HSRF0013383749</t>
  </si>
  <si>
    <t>HSRF0013389445</t>
  </si>
  <si>
    <t>HSRF0013396281</t>
  </si>
  <si>
    <t>HSRF0013401876</t>
  </si>
  <si>
    <t>COOSALUD EPS SA</t>
  </si>
  <si>
    <t>DETALLE DE CARTERA IPS</t>
  </si>
  <si>
    <t>COOSALUD  NIT 900,226,715</t>
  </si>
  <si>
    <t>Cartera presentada  ESE</t>
  </si>
  <si>
    <t>Facturas sin evidencia de radicación</t>
  </si>
  <si>
    <t>Devoluciones</t>
  </si>
  <si>
    <t>Facturas Pagadas y No descargadas por la IPS</t>
  </si>
  <si>
    <t>Glosas Aceptadas por la IPS</t>
  </si>
  <si>
    <t>Glosas por  Conciliar</t>
  </si>
  <si>
    <t>Diferencias a revisar por el Proveedor</t>
  </si>
  <si>
    <t>Saldo</t>
  </si>
  <si>
    <t>Facturas en proceso de auditoria Aplistaff</t>
  </si>
  <si>
    <t>Saldo Final</t>
  </si>
  <si>
    <t>Giros de la EPS por legalizar</t>
  </si>
  <si>
    <t>Saldo Disponible a Favor de COOSALUD  Corte 31/03/2022</t>
  </si>
  <si>
    <t>CARTERA RECONOCIDA PARA PAGO</t>
  </si>
  <si>
    <t>FACTURAS DEVUELTAS</t>
  </si>
  <si>
    <t>FACTURAS EN PROCESO DE AUDITORIA</t>
  </si>
  <si>
    <t>FACTURAS COVID</t>
  </si>
  <si>
    <t>FACTURAS A VERIFICAR RADICACIÓN</t>
  </si>
  <si>
    <t>GLOSAS PENDIENTES POR CONCILIAR</t>
  </si>
  <si>
    <t>GLOSAS ACEPTADAS POR PARTE DE LA IPS</t>
  </si>
  <si>
    <t>RETENCIÓN EN LA FUENTE</t>
  </si>
  <si>
    <t>FACTURAS CANCELADAS PENDIENTES POR DESCARGAR IPS</t>
  </si>
  <si>
    <t>DOCUMENTO</t>
  </si>
  <si>
    <t>DIFERENCIA</t>
  </si>
  <si>
    <t>MOTIVO DEVOLUCIÓN</t>
  </si>
  <si>
    <t>ESTADO DE CARTERA HOSPITAL SAN RAFAEL DE FUSAGASUGA NIT :  890,680,025</t>
  </si>
  <si>
    <t>FACTURA</t>
  </si>
  <si>
    <t>Referencia</t>
  </si>
  <si>
    <t>Importe en moneda local</t>
  </si>
  <si>
    <t>FACTURAS A CRUZAR CON ANTICIPOS</t>
  </si>
  <si>
    <t>CANCELADA AL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</si>
</sst>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dd/mm/yy;@"/>
    <numFmt numFmtId="166" formatCode="[$$-240A]\ #,##0.00;[Red]\-[$$-240A]\ #,##0.00"/>
    <numFmt numFmtId="167" formatCode="[$$-240A]\ #,##0;[Red]\-[$$-240A]\ 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Rounded MT Bold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3" fillId="0" borderId="0"/>
  </cellStyleXfs>
  <cellXfs count="41">
    <xf numFmtId="0" fontId="0" fillId="0" borderId="0" xfId="0"/>
    <xf numFmtId="0" fontId="0" fillId="0" borderId="0" xfId="0"/>
    <xf numFmtId="0" fontId="0" fillId="0" borderId="10" xfId="0" applyBorder="1"/>
    <xf numFmtId="166" fontId="16" fillId="0" borderId="10" xfId="0" applyNumberFormat="1" applyFont="1" applyBorder="1"/>
    <xf numFmtId="0" fontId="16" fillId="0" borderId="10" xfId="0" applyFont="1" applyBorder="1" applyAlignment="1">
      <alignment horizontal="center"/>
    </xf>
    <xf numFmtId="166" fontId="0" fillId="0" borderId="10" xfId="0" applyNumberFormat="1" applyBorder="1"/>
    <xf numFmtId="165" fontId="0" fillId="0" borderId="10" xfId="0" applyNumberFormat="1" applyBorder="1"/>
    <xf numFmtId="0" fontId="16" fillId="0" borderId="10" xfId="0" applyFont="1" applyBorder="1" applyAlignment="1">
      <alignment horizontal="center"/>
    </xf>
    <xf numFmtId="167" fontId="0" fillId="0" borderId="10" xfId="0" applyNumberFormat="1" applyBorder="1"/>
    <xf numFmtId="0" fontId="19" fillId="0" borderId="0" xfId="0" applyFont="1"/>
    <xf numFmtId="0" fontId="20" fillId="0" borderId="0" xfId="0" applyFont="1"/>
    <xf numFmtId="0" fontId="21" fillId="33" borderId="0" xfId="0" applyFont="1" applyFill="1" applyAlignment="1">
      <alignment vertical="center"/>
    </xf>
    <xf numFmtId="0" fontId="21" fillId="34" borderId="0" xfId="0" applyFont="1" applyFill="1" applyAlignment="1">
      <alignment vertical="center"/>
    </xf>
    <xf numFmtId="0" fontId="22" fillId="33" borderId="0" xfId="0" applyFont="1" applyFill="1"/>
    <xf numFmtId="3" fontId="22" fillId="33" borderId="0" xfId="0" applyNumberFormat="1" applyFont="1" applyFill="1"/>
    <xf numFmtId="3" fontId="23" fillId="0" borderId="0" xfId="0" applyNumberFormat="1" applyFont="1" applyAlignment="1">
      <alignment horizontal="right"/>
    </xf>
    <xf numFmtId="0" fontId="24" fillId="0" borderId="0" xfId="0" applyFont="1"/>
    <xf numFmtId="3" fontId="24" fillId="0" borderId="0" xfId="0" applyNumberFormat="1" applyFont="1"/>
    <xf numFmtId="3" fontId="22" fillId="35" borderId="0" xfId="0" applyNumberFormat="1" applyFont="1" applyFill="1"/>
    <xf numFmtId="3" fontId="25" fillId="36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0" fillId="0" borderId="10" xfId="0" applyNumberFormat="1" applyBorder="1"/>
    <xf numFmtId="3" fontId="0" fillId="0" borderId="0" xfId="0" applyNumberFormat="1"/>
    <xf numFmtId="0" fontId="23" fillId="0" borderId="0" xfId="43"/>
    <xf numFmtId="166" fontId="0" fillId="0" borderId="12" xfId="0" applyNumberFormat="1" applyBorder="1"/>
    <xf numFmtId="3" fontId="0" fillId="0" borderId="12" xfId="0" applyNumberFormat="1" applyBorder="1"/>
    <xf numFmtId="166" fontId="16" fillId="38" borderId="11" xfId="0" applyNumberFormat="1" applyFont="1" applyFill="1" applyBorder="1"/>
    <xf numFmtId="166" fontId="16" fillId="38" borderId="13" xfId="0" applyNumberFormat="1" applyFont="1" applyFill="1" applyBorder="1"/>
    <xf numFmtId="166" fontId="16" fillId="38" borderId="14" xfId="0" applyNumberFormat="1" applyFont="1" applyFill="1" applyBorder="1"/>
    <xf numFmtId="166" fontId="16" fillId="38" borderId="15" xfId="0" applyNumberFormat="1" applyFont="1" applyFill="1" applyBorder="1"/>
    <xf numFmtId="0" fontId="0" fillId="0" borderId="12" xfId="0" applyBorder="1"/>
    <xf numFmtId="165" fontId="0" fillId="0" borderId="12" xfId="0" applyNumberFormat="1" applyBorder="1"/>
    <xf numFmtId="14" fontId="23" fillId="0" borderId="0" xfId="43" applyNumberFormat="1" applyAlignment="1">
      <alignment horizontal="right"/>
    </xf>
    <xf numFmtId="0" fontId="23" fillId="0" borderId="0" xfId="0" applyFont="1"/>
    <xf numFmtId="0" fontId="23" fillId="37" borderId="10" xfId="0" applyFont="1" applyFill="1" applyBorder="1"/>
    <xf numFmtId="3" fontId="16" fillId="0" borderId="10" xfId="0" applyNumberFormat="1" applyFont="1" applyBorder="1"/>
    <xf numFmtId="0" fontId="18" fillId="0" borderId="0" xfId="0" applyFont="1" applyAlignment="1">
      <alignment horizontal="right" wrapText="1"/>
    </xf>
    <xf numFmtId="0" fontId="16" fillId="0" borderId="10" xfId="0" applyFont="1" applyBorder="1" applyAlignment="1">
      <alignment horizontal="center"/>
    </xf>
    <xf numFmtId="0" fontId="16" fillId="38" borderId="13" xfId="0" applyFont="1" applyFill="1" applyBorder="1" applyAlignment="1">
      <alignment horizontal="center"/>
    </xf>
    <xf numFmtId="0" fontId="16" fillId="38" borderId="14" xfId="0" applyFont="1" applyFill="1" applyBorder="1" applyAlignment="1">
      <alignment horizontal="center"/>
    </xf>
    <xf numFmtId="0" fontId="16" fillId="38" borderId="15" xfId="0" applyFont="1" applyFill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 2" xfId="42" xr:uid="{00000000-0005-0000-0000-000020000000}"/>
    <cellStyle name="Neutral" xfId="8" builtinId="28" customBuiltin="1"/>
    <cellStyle name="Normal" xfId="0" builtinId="0"/>
    <cellStyle name="Normal 2" xfId="43" xr:uid="{7D48150F-4D85-4F17-A19A-6B1B71970AE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104776</xdr:rowOff>
    </xdr:from>
    <xdr:to>
      <xdr:col>4</xdr:col>
      <xdr:colOff>1457325</xdr:colOff>
      <xdr:row>5</xdr:row>
      <xdr:rowOff>66676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099" y="104776"/>
          <a:ext cx="5638801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</xdr:rowOff>
    </xdr:from>
    <xdr:to>
      <xdr:col>2</xdr:col>
      <xdr:colOff>2943225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6A685F-D012-4D26-B6B8-70D8100BE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943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0"/>
  <sheetViews>
    <sheetView showGridLines="0" topLeftCell="A267" zoomScaleNormal="100" workbookViewId="0">
      <selection activeCell="E299" sqref="E299"/>
    </sheetView>
  </sheetViews>
  <sheetFormatPr baseColWidth="10" defaultRowHeight="15" x14ac:dyDescent="0.25"/>
  <cols>
    <col min="2" max="2" width="17.7109375" customWidth="1"/>
    <col min="3" max="3" width="22.7109375" customWidth="1"/>
    <col min="4" max="4" width="22.85546875" customWidth="1"/>
    <col min="5" max="5" width="23" customWidth="1"/>
    <col min="6" max="6" width="22.7109375" customWidth="1"/>
    <col min="7" max="7" width="44.7109375" bestFit="1" customWidth="1"/>
  </cols>
  <sheetData>
    <row r="1" spans="1:7" ht="15" customHeight="1" x14ac:dyDescent="0.25">
      <c r="A1" s="36" t="s">
        <v>4</v>
      </c>
      <c r="B1" s="36"/>
      <c r="C1" s="36"/>
      <c r="D1" s="36"/>
      <c r="E1" s="36"/>
      <c r="F1" s="36"/>
      <c r="G1" s="36"/>
    </row>
    <row r="2" spans="1:7" x14ac:dyDescent="0.25">
      <c r="A2" s="36"/>
      <c r="B2" s="36"/>
      <c r="C2" s="36"/>
      <c r="D2" s="36"/>
      <c r="E2" s="36"/>
      <c r="F2" s="36"/>
      <c r="G2" s="36"/>
    </row>
    <row r="3" spans="1:7" x14ac:dyDescent="0.25">
      <c r="A3" s="36"/>
      <c r="B3" s="36"/>
      <c r="C3" s="36"/>
      <c r="D3" s="36"/>
      <c r="E3" s="36"/>
      <c r="F3" s="36"/>
      <c r="G3" s="36"/>
    </row>
    <row r="4" spans="1:7" x14ac:dyDescent="0.25">
      <c r="A4" s="36"/>
      <c r="B4" s="36"/>
      <c r="C4" s="36"/>
      <c r="D4" s="36"/>
      <c r="E4" s="36"/>
      <c r="F4" s="36"/>
      <c r="G4" s="36"/>
    </row>
    <row r="5" spans="1:7" x14ac:dyDescent="0.25">
      <c r="A5" s="36"/>
      <c r="B5" s="36"/>
      <c r="C5" s="36"/>
      <c r="D5" s="36"/>
      <c r="E5" s="36"/>
      <c r="F5" s="36"/>
      <c r="G5" s="36"/>
    </row>
    <row r="6" spans="1:7" x14ac:dyDescent="0.25">
      <c r="A6" s="36"/>
      <c r="B6" s="36"/>
      <c r="C6" s="36"/>
      <c r="D6" s="36"/>
      <c r="E6" s="36"/>
      <c r="F6" s="36"/>
      <c r="G6" s="36"/>
    </row>
    <row r="7" spans="1:7" x14ac:dyDescent="0.25">
      <c r="A7" s="36"/>
      <c r="B7" s="36"/>
      <c r="C7" s="36"/>
      <c r="D7" s="36"/>
      <c r="E7" s="36"/>
      <c r="F7" s="36"/>
      <c r="G7" s="36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4" t="s">
        <v>0</v>
      </c>
      <c r="C9" s="4" t="s">
        <v>1</v>
      </c>
      <c r="D9" s="4" t="s">
        <v>2</v>
      </c>
      <c r="E9" s="4" t="s">
        <v>3</v>
      </c>
      <c r="F9" s="4" t="s">
        <v>6</v>
      </c>
      <c r="G9" s="4" t="s">
        <v>7</v>
      </c>
    </row>
    <row r="10" spans="1:7" x14ac:dyDescent="0.25">
      <c r="A10" s="1"/>
      <c r="B10" s="2" t="str">
        <f>"HSRF0013804350"</f>
        <v>HSRF0013804350</v>
      </c>
      <c r="C10" s="6">
        <v>43467.393020833333</v>
      </c>
      <c r="D10" s="5">
        <v>59212</v>
      </c>
      <c r="E10" s="5">
        <v>59212</v>
      </c>
      <c r="F10" s="2" t="str">
        <f>"900226715"</f>
        <v>900226715</v>
      </c>
      <c r="G10" s="2" t="str">
        <f>"COOSALUD ENTIDAD PROMOTORA DE SALUD S.A."</f>
        <v>COOSALUD ENTIDAD PROMOTORA DE SALUD S.A.</v>
      </c>
    </row>
    <row r="11" spans="1:7" x14ac:dyDescent="0.25">
      <c r="A11" s="1"/>
      <c r="B11" s="2" t="str">
        <f>"HSRF0013827137"</f>
        <v>HSRF0013827137</v>
      </c>
      <c r="C11" s="6">
        <v>43494.020428240743</v>
      </c>
      <c r="D11" s="5">
        <v>1006880</v>
      </c>
      <c r="E11" s="5">
        <v>1006880</v>
      </c>
      <c r="F11" s="2" t="str">
        <f t="shared" ref="F11:F13" si="0">"900226715"</f>
        <v>900226715</v>
      </c>
      <c r="G11" s="2" t="str">
        <f t="shared" ref="G11:G13" si="1">"COOSALUD ENTIDAD PROMOTORA DE SALUD S.A."</f>
        <v>COOSALUD ENTIDAD PROMOTORA DE SALUD S.A.</v>
      </c>
    </row>
    <row r="12" spans="1:7" x14ac:dyDescent="0.25">
      <c r="A12" s="1"/>
      <c r="B12" s="2" t="str">
        <f>"HSRF0013985748"</f>
        <v>HSRF0013985748</v>
      </c>
      <c r="C12" s="6">
        <v>43637.401504629626</v>
      </c>
      <c r="D12" s="5">
        <v>285100</v>
      </c>
      <c r="E12" s="5">
        <v>79200</v>
      </c>
      <c r="F12" s="2" t="str">
        <f t="shared" si="0"/>
        <v>900226715</v>
      </c>
      <c r="G12" s="2" t="str">
        <f t="shared" si="1"/>
        <v>COOSALUD ENTIDAD PROMOTORA DE SALUD S.A.</v>
      </c>
    </row>
    <row r="13" spans="1:7" x14ac:dyDescent="0.25">
      <c r="A13" s="1"/>
      <c r="B13" s="2" t="str">
        <f>"HSRF0013992344"</f>
        <v>HSRF0013992344</v>
      </c>
      <c r="C13" s="6">
        <v>43643.699189814812</v>
      </c>
      <c r="D13" s="5">
        <v>1430415</v>
      </c>
      <c r="E13" s="5">
        <v>1430415</v>
      </c>
      <c r="F13" s="2" t="str">
        <f t="shared" si="0"/>
        <v>900226715</v>
      </c>
      <c r="G13" s="2" t="str">
        <f t="shared" si="1"/>
        <v>COOSALUD ENTIDAD PROMOTORA DE SALUD S.A.</v>
      </c>
    </row>
    <row r="14" spans="1:7" x14ac:dyDescent="0.25">
      <c r="A14" s="1"/>
      <c r="B14" s="2" t="str">
        <f>"HSRF0014017815"</f>
        <v>HSRF0014017815</v>
      </c>
      <c r="C14" s="6">
        <v>43669.270451388889</v>
      </c>
      <c r="D14" s="5">
        <v>870400</v>
      </c>
      <c r="E14" s="5">
        <v>158400</v>
      </c>
      <c r="F14" s="2" t="str">
        <f>"900226715"</f>
        <v>900226715</v>
      </c>
      <c r="G14" s="2" t="str">
        <f>"COOSALUD ENTIDAD PROMOTORA DE SALUD S.A."</f>
        <v>COOSALUD ENTIDAD PROMOTORA DE SALUD S.A.</v>
      </c>
    </row>
    <row r="15" spans="1:7" x14ac:dyDescent="0.25">
      <c r="A15" s="1"/>
      <c r="B15" s="2" t="str">
        <f>"HSRF0014060511"</f>
        <v>HSRF0014060511</v>
      </c>
      <c r="C15" s="6">
        <v>43707.514236111114</v>
      </c>
      <c r="D15" s="5">
        <v>2482749</v>
      </c>
      <c r="E15" s="5">
        <v>2482749</v>
      </c>
      <c r="F15" s="2" t="str">
        <f>"900226715"</f>
        <v>900226715</v>
      </c>
      <c r="G15" s="2" t="str">
        <f>"COOSALUD ENTIDAD PROMOTORA DE SALUD S.A."</f>
        <v>COOSALUD ENTIDAD PROMOTORA DE SALUD S.A.</v>
      </c>
    </row>
    <row r="16" spans="1:7" x14ac:dyDescent="0.25">
      <c r="A16" s="1"/>
      <c r="B16" s="2" t="str">
        <f>"HSRF0014077197"</f>
        <v>HSRF0014077197</v>
      </c>
      <c r="C16" s="6">
        <v>43724.905046296299</v>
      </c>
      <c r="D16" s="5">
        <v>54400</v>
      </c>
      <c r="E16" s="5">
        <v>54400</v>
      </c>
      <c r="F16" s="2" t="str">
        <f t="shared" ref="F16:F79" si="2">"900226715"</f>
        <v>900226715</v>
      </c>
      <c r="G16" s="2" t="str">
        <f t="shared" ref="G16:G79" si="3">"COOSALUD ENTIDAD PROMOTORA DE SALUD S.A."</f>
        <v>COOSALUD ENTIDAD PROMOTORA DE SALUD S.A.</v>
      </c>
    </row>
    <row r="17" spans="1:7" x14ac:dyDescent="0.25">
      <c r="A17" s="1"/>
      <c r="B17" s="2" t="str">
        <f>"HSRF0014112238"</f>
        <v>HSRF0014112238</v>
      </c>
      <c r="C17" s="6">
        <v>43757.238229166665</v>
      </c>
      <c r="D17" s="5">
        <v>1222989</v>
      </c>
      <c r="E17" s="5">
        <v>1222989</v>
      </c>
      <c r="F17" s="2" t="str">
        <f t="shared" si="2"/>
        <v>900226715</v>
      </c>
      <c r="G17" s="2" t="str">
        <f t="shared" si="3"/>
        <v>COOSALUD ENTIDAD PROMOTORA DE SALUD S.A.</v>
      </c>
    </row>
    <row r="18" spans="1:7" x14ac:dyDescent="0.25">
      <c r="A18" s="1"/>
      <c r="B18" s="2" t="str">
        <f>"HSRF0014154915"</f>
        <v>HSRF0014154915</v>
      </c>
      <c r="C18" s="6">
        <v>43796.480347222219</v>
      </c>
      <c r="D18" s="5">
        <v>2759216</v>
      </c>
      <c r="E18" s="5">
        <v>2759216</v>
      </c>
      <c r="F18" s="2" t="str">
        <f t="shared" si="2"/>
        <v>900226715</v>
      </c>
      <c r="G18" s="2" t="str">
        <f t="shared" si="3"/>
        <v>COOSALUD ENTIDAD PROMOTORA DE SALUD S.A.</v>
      </c>
    </row>
    <row r="19" spans="1:7" x14ac:dyDescent="0.25">
      <c r="A19" s="1"/>
      <c r="B19" s="2" t="str">
        <f>"HSRF0014189208"</f>
        <v>HSRF0014189208</v>
      </c>
      <c r="C19" s="6">
        <v>43828.627974537034</v>
      </c>
      <c r="D19" s="5">
        <v>2832177</v>
      </c>
      <c r="E19" s="5">
        <v>2832177</v>
      </c>
      <c r="F19" s="2" t="str">
        <f t="shared" si="2"/>
        <v>900226715</v>
      </c>
      <c r="G19" s="2" t="str">
        <f t="shared" si="3"/>
        <v>COOSALUD ENTIDAD PROMOTORA DE SALUD S.A.</v>
      </c>
    </row>
    <row r="20" spans="1:7" x14ac:dyDescent="0.25">
      <c r="A20" s="1"/>
      <c r="B20" s="2" t="str">
        <f>"HSRF0014189497"</f>
        <v>HSRF0014189497</v>
      </c>
      <c r="C20" s="6">
        <v>43829.318229166667</v>
      </c>
      <c r="D20" s="5">
        <v>8990327</v>
      </c>
      <c r="E20" s="5">
        <v>8990327</v>
      </c>
      <c r="F20" s="2" t="str">
        <f t="shared" si="2"/>
        <v>900226715</v>
      </c>
      <c r="G20" s="2" t="str">
        <f t="shared" si="3"/>
        <v>COOSALUD ENTIDAD PROMOTORA DE SALUD S.A.</v>
      </c>
    </row>
    <row r="21" spans="1:7" x14ac:dyDescent="0.25">
      <c r="A21" s="1"/>
      <c r="B21" s="2" t="str">
        <f>"HSRF0014196884"</f>
        <v>HSRF0014196884</v>
      </c>
      <c r="C21" s="6">
        <v>43840.303923611114</v>
      </c>
      <c r="D21" s="5">
        <v>1294827</v>
      </c>
      <c r="E21" s="5">
        <v>1294827</v>
      </c>
      <c r="F21" s="2" t="str">
        <f t="shared" si="2"/>
        <v>900226715</v>
      </c>
      <c r="G21" s="2" t="str">
        <f t="shared" si="3"/>
        <v>COOSALUD ENTIDAD PROMOTORA DE SALUD S.A.</v>
      </c>
    </row>
    <row r="22" spans="1:7" x14ac:dyDescent="0.25">
      <c r="A22" s="1"/>
      <c r="B22" s="2" t="str">
        <f>"HSRF0014217390"</f>
        <v>HSRF0014217390</v>
      </c>
      <c r="C22" s="6">
        <v>43860.116631944446</v>
      </c>
      <c r="D22" s="5">
        <v>940454</v>
      </c>
      <c r="E22" s="5">
        <v>940454</v>
      </c>
      <c r="F22" s="2" t="str">
        <f t="shared" si="2"/>
        <v>900226715</v>
      </c>
      <c r="G22" s="2" t="str">
        <f t="shared" si="3"/>
        <v>COOSALUD ENTIDAD PROMOTORA DE SALUD S.A.</v>
      </c>
    </row>
    <row r="23" spans="1:7" x14ac:dyDescent="0.25">
      <c r="A23" s="1"/>
      <c r="B23" s="2" t="str">
        <f>"HSRF0014226039"</f>
        <v>HSRF0014226039</v>
      </c>
      <c r="C23" s="6">
        <v>43868.017071759263</v>
      </c>
      <c r="D23" s="5">
        <v>70495</v>
      </c>
      <c r="E23" s="5">
        <v>70495</v>
      </c>
      <c r="F23" s="2" t="str">
        <f t="shared" si="2"/>
        <v>900226715</v>
      </c>
      <c r="G23" s="2" t="str">
        <f t="shared" si="3"/>
        <v>COOSALUD ENTIDAD PROMOTORA DE SALUD S.A.</v>
      </c>
    </row>
    <row r="24" spans="1:7" x14ac:dyDescent="0.25">
      <c r="A24" s="1"/>
      <c r="B24" s="2" t="str">
        <f>"HSRF0014243837"</f>
        <v>HSRF0014243837</v>
      </c>
      <c r="C24" s="6">
        <v>43882.662094907406</v>
      </c>
      <c r="D24" s="5">
        <v>563632</v>
      </c>
      <c r="E24" s="5">
        <v>563632</v>
      </c>
      <c r="F24" s="2" t="str">
        <f t="shared" si="2"/>
        <v>900226715</v>
      </c>
      <c r="G24" s="2" t="str">
        <f t="shared" si="3"/>
        <v>COOSALUD ENTIDAD PROMOTORA DE SALUD S.A.</v>
      </c>
    </row>
    <row r="25" spans="1:7" x14ac:dyDescent="0.25">
      <c r="A25" s="1"/>
      <c r="B25" s="2" t="str">
        <f>"HSRF0014247839"</f>
        <v>HSRF0014247839</v>
      </c>
      <c r="C25" s="6">
        <v>43886.61577546296</v>
      </c>
      <c r="D25" s="5">
        <v>35100</v>
      </c>
      <c r="E25" s="5">
        <v>35100</v>
      </c>
      <c r="F25" s="2" t="str">
        <f t="shared" si="2"/>
        <v>900226715</v>
      </c>
      <c r="G25" s="2" t="str">
        <f t="shared" si="3"/>
        <v>COOSALUD ENTIDAD PROMOTORA DE SALUD S.A.</v>
      </c>
    </row>
    <row r="26" spans="1:7" x14ac:dyDescent="0.25">
      <c r="A26" s="1"/>
      <c r="B26" s="2" t="str">
        <f>"HSRF0014261869"</f>
        <v>HSRF0014261869</v>
      </c>
      <c r="C26" s="6">
        <v>43897.975104166668</v>
      </c>
      <c r="D26" s="5">
        <v>57600</v>
      </c>
      <c r="E26" s="5">
        <v>57600</v>
      </c>
      <c r="F26" s="2" t="str">
        <f t="shared" si="2"/>
        <v>900226715</v>
      </c>
      <c r="G26" s="2" t="str">
        <f t="shared" si="3"/>
        <v>COOSALUD ENTIDAD PROMOTORA DE SALUD S.A.</v>
      </c>
    </row>
    <row r="27" spans="1:7" x14ac:dyDescent="0.25">
      <c r="A27" s="1"/>
      <c r="B27" s="2" t="str">
        <f>"HSRF0014275386"</f>
        <v>HSRF0014275386</v>
      </c>
      <c r="C27" s="6">
        <v>43912.140474537038</v>
      </c>
      <c r="D27" s="5">
        <v>226905</v>
      </c>
      <c r="E27" s="5">
        <v>226905</v>
      </c>
      <c r="F27" s="2" t="str">
        <f t="shared" si="2"/>
        <v>900226715</v>
      </c>
      <c r="G27" s="2" t="str">
        <f t="shared" si="3"/>
        <v>COOSALUD ENTIDAD PROMOTORA DE SALUD S.A.</v>
      </c>
    </row>
    <row r="28" spans="1:7" x14ac:dyDescent="0.25">
      <c r="A28" s="1"/>
      <c r="B28" s="2" t="str">
        <f>"HSRF0014305949"</f>
        <v>HSRF0014305949</v>
      </c>
      <c r="C28" s="6">
        <v>43974.432708333334</v>
      </c>
      <c r="D28" s="5">
        <v>35100</v>
      </c>
      <c r="E28" s="5">
        <v>35100</v>
      </c>
      <c r="F28" s="2" t="str">
        <f t="shared" si="2"/>
        <v>900226715</v>
      </c>
      <c r="G28" s="2" t="str">
        <f t="shared" si="3"/>
        <v>COOSALUD ENTIDAD PROMOTORA DE SALUD S.A.</v>
      </c>
    </row>
    <row r="29" spans="1:7" x14ac:dyDescent="0.25">
      <c r="A29" s="1"/>
      <c r="B29" s="2" t="str">
        <f>"HSRF0014352308"</f>
        <v>HSRF0014352308</v>
      </c>
      <c r="C29" s="6">
        <v>44036.436354166668</v>
      </c>
      <c r="D29" s="5">
        <v>584583</v>
      </c>
      <c r="E29" s="5">
        <v>584583</v>
      </c>
      <c r="F29" s="2" t="str">
        <f t="shared" si="2"/>
        <v>900226715</v>
      </c>
      <c r="G29" s="2" t="str">
        <f t="shared" si="3"/>
        <v>COOSALUD ENTIDAD PROMOTORA DE SALUD S.A.</v>
      </c>
    </row>
    <row r="30" spans="1:7" x14ac:dyDescent="0.25">
      <c r="A30" s="1"/>
      <c r="B30" s="2" t="str">
        <f>"HSRF0014381026"</f>
        <v>HSRF0014381026</v>
      </c>
      <c r="C30" s="6">
        <v>44071.255474537036</v>
      </c>
      <c r="D30" s="5">
        <v>502764</v>
      </c>
      <c r="E30" s="5">
        <v>502764</v>
      </c>
      <c r="F30" s="2" t="str">
        <f t="shared" si="2"/>
        <v>900226715</v>
      </c>
      <c r="G30" s="2" t="str">
        <f t="shared" si="3"/>
        <v>COOSALUD ENTIDAD PROMOTORA DE SALUD S.A.</v>
      </c>
    </row>
    <row r="31" spans="1:7" x14ac:dyDescent="0.25">
      <c r="A31" s="1"/>
      <c r="B31" s="2" t="str">
        <f>"HSRF0014387566"</f>
        <v>HSRF0014387566</v>
      </c>
      <c r="C31" s="6">
        <v>44077.76835648148</v>
      </c>
      <c r="D31" s="5">
        <v>297856</v>
      </c>
      <c r="E31" s="5">
        <v>297856</v>
      </c>
      <c r="F31" s="2" t="str">
        <f t="shared" si="2"/>
        <v>900226715</v>
      </c>
      <c r="G31" s="2" t="str">
        <f t="shared" si="3"/>
        <v>COOSALUD ENTIDAD PROMOTORA DE SALUD S.A.</v>
      </c>
    </row>
    <row r="32" spans="1:7" x14ac:dyDescent="0.25">
      <c r="A32" s="1"/>
      <c r="B32" s="2" t="str">
        <f>"HSRF0014390625"</f>
        <v>HSRF0014390625</v>
      </c>
      <c r="C32" s="6">
        <v>44081.778553240743</v>
      </c>
      <c r="D32" s="5">
        <v>164780</v>
      </c>
      <c r="E32" s="5">
        <v>164780</v>
      </c>
      <c r="F32" s="2" t="str">
        <f t="shared" si="2"/>
        <v>900226715</v>
      </c>
      <c r="G32" s="2" t="str">
        <f t="shared" si="3"/>
        <v>COOSALUD ENTIDAD PROMOTORA DE SALUD S.A.</v>
      </c>
    </row>
    <row r="33" spans="1:7" x14ac:dyDescent="0.25">
      <c r="A33" s="1"/>
      <c r="B33" s="2" t="str">
        <f>"HSRF0014401070"</f>
        <v>HSRF0014401070</v>
      </c>
      <c r="C33" s="6">
        <v>44091.663541666669</v>
      </c>
      <c r="D33" s="5">
        <v>311000</v>
      </c>
      <c r="E33" s="5">
        <v>311000</v>
      </c>
      <c r="F33" s="2" t="str">
        <f t="shared" si="2"/>
        <v>900226715</v>
      </c>
      <c r="G33" s="2" t="str">
        <f t="shared" si="3"/>
        <v>COOSALUD ENTIDAD PROMOTORA DE SALUD S.A.</v>
      </c>
    </row>
    <row r="34" spans="1:7" x14ac:dyDescent="0.25">
      <c r="A34" s="1"/>
      <c r="B34" s="2" t="str">
        <f>"HSRF0014408278"</f>
        <v>HSRF0014408278</v>
      </c>
      <c r="C34" s="6">
        <v>44099.707430555558</v>
      </c>
      <c r="D34" s="5">
        <v>2476583</v>
      </c>
      <c r="E34" s="5">
        <v>1544595</v>
      </c>
      <c r="F34" s="2" t="str">
        <f t="shared" si="2"/>
        <v>900226715</v>
      </c>
      <c r="G34" s="2" t="str">
        <f t="shared" si="3"/>
        <v>COOSALUD ENTIDAD PROMOTORA DE SALUD S.A.</v>
      </c>
    </row>
    <row r="35" spans="1:7" x14ac:dyDescent="0.25">
      <c r="A35" s="1"/>
      <c r="B35" s="2" t="str">
        <f>"HSRF0014408279"</f>
        <v>HSRF0014408279</v>
      </c>
      <c r="C35" s="6">
        <v>44099.707430555558</v>
      </c>
      <c r="D35" s="5">
        <v>8988</v>
      </c>
      <c r="E35" s="5">
        <v>8988</v>
      </c>
      <c r="F35" s="2" t="str">
        <f t="shared" si="2"/>
        <v>900226715</v>
      </c>
      <c r="G35" s="2" t="str">
        <f t="shared" si="3"/>
        <v>COOSALUD ENTIDAD PROMOTORA DE SALUD S.A.</v>
      </c>
    </row>
    <row r="36" spans="1:7" x14ac:dyDescent="0.25">
      <c r="A36" s="1"/>
      <c r="B36" s="2" t="str">
        <f>"HSRF0014411211"</f>
        <v>HSRF0014411211</v>
      </c>
      <c r="C36" s="6">
        <v>44104.757951388892</v>
      </c>
      <c r="D36" s="5">
        <v>8605118</v>
      </c>
      <c r="E36" s="5">
        <v>8605118</v>
      </c>
      <c r="F36" s="2" t="str">
        <f t="shared" si="2"/>
        <v>900226715</v>
      </c>
      <c r="G36" s="2" t="str">
        <f t="shared" si="3"/>
        <v>COOSALUD ENTIDAD PROMOTORA DE SALUD S.A.</v>
      </c>
    </row>
    <row r="37" spans="1:7" x14ac:dyDescent="0.25">
      <c r="A37" s="1"/>
      <c r="B37" s="2" t="str">
        <f>"HOSF0000010315"</f>
        <v>HOSF0000010315</v>
      </c>
      <c r="C37" s="6">
        <v>44125.491620370369</v>
      </c>
      <c r="D37" s="5">
        <v>2140488</v>
      </c>
      <c r="E37" s="5">
        <v>2140488</v>
      </c>
      <c r="F37" s="2" t="str">
        <f t="shared" si="2"/>
        <v>900226715</v>
      </c>
      <c r="G37" s="2" t="str">
        <f t="shared" si="3"/>
        <v>COOSALUD ENTIDAD PROMOTORA DE SALUD S.A.</v>
      </c>
    </row>
    <row r="38" spans="1:7" x14ac:dyDescent="0.25">
      <c r="A38" s="1"/>
      <c r="B38" s="2" t="str">
        <f>"HOSF0000017060"</f>
        <v>HOSF0000017060</v>
      </c>
      <c r="C38" s="6">
        <v>44134.71398148148</v>
      </c>
      <c r="D38" s="5">
        <v>1727861</v>
      </c>
      <c r="E38" s="5">
        <v>1727861</v>
      </c>
      <c r="F38" s="2" t="str">
        <f t="shared" si="2"/>
        <v>900226715</v>
      </c>
      <c r="G38" s="2" t="str">
        <f t="shared" si="3"/>
        <v>COOSALUD ENTIDAD PROMOTORA DE SALUD S.A.</v>
      </c>
    </row>
    <row r="39" spans="1:7" x14ac:dyDescent="0.25">
      <c r="A39" s="1"/>
      <c r="B39" s="2" t="str">
        <f>"HOSF0000018915"</f>
        <v>HOSF0000018915</v>
      </c>
      <c r="C39" s="6">
        <v>44139.548182870371</v>
      </c>
      <c r="D39" s="5">
        <v>2700133</v>
      </c>
      <c r="E39" s="5">
        <v>2642533</v>
      </c>
      <c r="F39" s="2" t="str">
        <f t="shared" si="2"/>
        <v>900226715</v>
      </c>
      <c r="G39" s="2" t="str">
        <f t="shared" si="3"/>
        <v>COOSALUD ENTIDAD PROMOTORA DE SALUD S.A.</v>
      </c>
    </row>
    <row r="40" spans="1:7" x14ac:dyDescent="0.25">
      <c r="A40" s="1"/>
      <c r="B40" s="2" t="str">
        <f>"HOSF0000020989"</f>
        <v>HOSF0000020989</v>
      </c>
      <c r="C40" s="6">
        <v>44144.681759259256</v>
      </c>
      <c r="D40" s="5">
        <v>88092</v>
      </c>
      <c r="E40" s="5">
        <v>88092</v>
      </c>
      <c r="F40" s="2" t="str">
        <f t="shared" si="2"/>
        <v>900226715</v>
      </c>
      <c r="G40" s="2" t="str">
        <f t="shared" si="3"/>
        <v>COOSALUD ENTIDAD PROMOTORA DE SALUD S.A.</v>
      </c>
    </row>
    <row r="41" spans="1:7" x14ac:dyDescent="0.25">
      <c r="A41" s="1"/>
      <c r="B41" s="2" t="str">
        <f>"HOSF0000025928"</f>
        <v>HOSF0000025928</v>
      </c>
      <c r="C41" s="6">
        <v>44153.705960648149</v>
      </c>
      <c r="D41" s="5">
        <v>19714503</v>
      </c>
      <c r="E41" s="5">
        <v>19634503</v>
      </c>
      <c r="F41" s="2" t="str">
        <f t="shared" si="2"/>
        <v>900226715</v>
      </c>
      <c r="G41" s="2" t="str">
        <f t="shared" si="3"/>
        <v>COOSALUD ENTIDAD PROMOTORA DE SALUD S.A.</v>
      </c>
    </row>
    <row r="42" spans="1:7" x14ac:dyDescent="0.25">
      <c r="A42" s="1"/>
      <c r="B42" s="2" t="str">
        <f>"HOSF0000025929"</f>
        <v>HOSF0000025929</v>
      </c>
      <c r="C42" s="6">
        <v>44153.705960648149</v>
      </c>
      <c r="D42" s="5">
        <v>2495500</v>
      </c>
      <c r="E42" s="5">
        <v>2495500</v>
      </c>
      <c r="F42" s="2" t="str">
        <f t="shared" si="2"/>
        <v>900226715</v>
      </c>
      <c r="G42" s="2" t="str">
        <f t="shared" si="3"/>
        <v>COOSALUD ENTIDAD PROMOTORA DE SALUD S.A.</v>
      </c>
    </row>
    <row r="43" spans="1:7" x14ac:dyDescent="0.25">
      <c r="A43" s="1"/>
      <c r="B43" s="2" t="str">
        <f>"HOSF0000035818"</f>
        <v>HOSF0000035818</v>
      </c>
      <c r="C43" s="6">
        <v>44174.62332175926</v>
      </c>
      <c r="D43" s="5">
        <v>2259120</v>
      </c>
      <c r="E43" s="5">
        <v>2259120</v>
      </c>
      <c r="F43" s="2" t="str">
        <f t="shared" si="2"/>
        <v>900226715</v>
      </c>
      <c r="G43" s="2" t="str">
        <f t="shared" si="3"/>
        <v>COOSALUD ENTIDAD PROMOTORA DE SALUD S.A.</v>
      </c>
    </row>
    <row r="44" spans="1:7" x14ac:dyDescent="0.25">
      <c r="A44" s="1"/>
      <c r="B44" s="2" t="str">
        <f>"HOSF0000039326"</f>
        <v>HOSF0000039326</v>
      </c>
      <c r="C44" s="6">
        <v>44182.988715277781</v>
      </c>
      <c r="D44" s="5">
        <v>297073</v>
      </c>
      <c r="E44" s="5">
        <v>297073</v>
      </c>
      <c r="F44" s="2" t="str">
        <f t="shared" si="2"/>
        <v>900226715</v>
      </c>
      <c r="G44" s="2" t="str">
        <f t="shared" si="3"/>
        <v>COOSALUD ENTIDAD PROMOTORA DE SALUD S.A.</v>
      </c>
    </row>
    <row r="45" spans="1:7" x14ac:dyDescent="0.25">
      <c r="A45" s="1"/>
      <c r="B45" s="2" t="str">
        <f>"HOSF0000041437"</f>
        <v>HOSF0000041437</v>
      </c>
      <c r="C45" s="6">
        <v>44188.416967592595</v>
      </c>
      <c r="D45" s="5">
        <v>934858</v>
      </c>
      <c r="E45" s="5">
        <v>934858</v>
      </c>
      <c r="F45" s="2" t="str">
        <f t="shared" si="2"/>
        <v>900226715</v>
      </c>
      <c r="G45" s="2" t="str">
        <f t="shared" si="3"/>
        <v>COOSALUD ENTIDAD PROMOTORA DE SALUD S.A.</v>
      </c>
    </row>
    <row r="46" spans="1:7" x14ac:dyDescent="0.25">
      <c r="A46" s="1"/>
      <c r="B46" s="2" t="str">
        <f>"HOSF0000041975"</f>
        <v>HOSF0000041975</v>
      </c>
      <c r="C46" s="6">
        <v>44189.962384259263</v>
      </c>
      <c r="D46" s="5">
        <v>1161203</v>
      </c>
      <c r="E46" s="5">
        <v>1161203</v>
      </c>
      <c r="F46" s="2" t="str">
        <f t="shared" si="2"/>
        <v>900226715</v>
      </c>
      <c r="G46" s="2" t="str">
        <f t="shared" si="3"/>
        <v>COOSALUD ENTIDAD PROMOTORA DE SALUD S.A.</v>
      </c>
    </row>
    <row r="47" spans="1:7" x14ac:dyDescent="0.25">
      <c r="A47" s="1"/>
      <c r="B47" s="2" t="str">
        <f>"HOSF0000042030"</f>
        <v>HOSF0000042030</v>
      </c>
      <c r="C47" s="6">
        <v>44190.62804398148</v>
      </c>
      <c r="D47" s="5">
        <v>697456</v>
      </c>
      <c r="E47" s="5">
        <v>697456</v>
      </c>
      <c r="F47" s="2" t="str">
        <f t="shared" si="2"/>
        <v>900226715</v>
      </c>
      <c r="G47" s="2" t="str">
        <f t="shared" si="3"/>
        <v>COOSALUD ENTIDAD PROMOTORA DE SALUD S.A.</v>
      </c>
    </row>
    <row r="48" spans="1:7" x14ac:dyDescent="0.25">
      <c r="A48" s="1"/>
      <c r="B48" s="2" t="str">
        <f>"HOSF0000042257"</f>
        <v>HOSF0000042257</v>
      </c>
      <c r="C48" s="6">
        <v>44192.851840277777</v>
      </c>
      <c r="D48" s="5">
        <v>385920</v>
      </c>
      <c r="E48" s="5">
        <v>385920</v>
      </c>
      <c r="F48" s="2" t="str">
        <f t="shared" si="2"/>
        <v>900226715</v>
      </c>
      <c r="G48" s="2" t="str">
        <f t="shared" si="3"/>
        <v>COOSALUD ENTIDAD PROMOTORA DE SALUD S.A.</v>
      </c>
    </row>
    <row r="49" spans="1:7" x14ac:dyDescent="0.25">
      <c r="A49" s="1"/>
      <c r="B49" s="2" t="str">
        <f>"HOSF0000042708"</f>
        <v>HOSF0000042708</v>
      </c>
      <c r="C49" s="6">
        <v>44193.619166666664</v>
      </c>
      <c r="D49" s="5">
        <v>855487</v>
      </c>
      <c r="E49" s="5">
        <v>855487</v>
      </c>
      <c r="F49" s="2" t="str">
        <f t="shared" si="2"/>
        <v>900226715</v>
      </c>
      <c r="G49" s="2" t="str">
        <f t="shared" si="3"/>
        <v>COOSALUD ENTIDAD PROMOTORA DE SALUD S.A.</v>
      </c>
    </row>
    <row r="50" spans="1:7" x14ac:dyDescent="0.25">
      <c r="A50" s="1"/>
      <c r="B50" s="2" t="str">
        <f>"HOSF0000044080"</f>
        <v>HOSF0000044080</v>
      </c>
      <c r="C50" s="6">
        <v>44196.63484953704</v>
      </c>
      <c r="D50" s="5">
        <v>1072766</v>
      </c>
      <c r="E50" s="5">
        <v>1072766</v>
      </c>
      <c r="F50" s="2" t="str">
        <f t="shared" si="2"/>
        <v>900226715</v>
      </c>
      <c r="G50" s="2" t="str">
        <f t="shared" si="3"/>
        <v>COOSALUD ENTIDAD PROMOTORA DE SALUD S.A.</v>
      </c>
    </row>
    <row r="51" spans="1:7" x14ac:dyDescent="0.25">
      <c r="A51" s="1"/>
      <c r="B51" s="2" t="str">
        <f>"HOSF0000044087"</f>
        <v>HOSF0000044087</v>
      </c>
      <c r="C51" s="6">
        <v>44196.641886574071</v>
      </c>
      <c r="D51" s="5">
        <v>136000</v>
      </c>
      <c r="E51" s="5">
        <v>136000</v>
      </c>
      <c r="F51" s="2" t="str">
        <f t="shared" si="2"/>
        <v>900226715</v>
      </c>
      <c r="G51" s="2" t="str">
        <f t="shared" si="3"/>
        <v>COOSALUD ENTIDAD PROMOTORA DE SALUD S.A.</v>
      </c>
    </row>
    <row r="52" spans="1:7" x14ac:dyDescent="0.25">
      <c r="A52" s="1"/>
      <c r="B52" s="2" t="str">
        <f>"HOSF0000050216"</f>
        <v>HOSF0000050216</v>
      </c>
      <c r="C52" s="6">
        <v>44216.657256944447</v>
      </c>
      <c r="D52" s="5">
        <v>1742972</v>
      </c>
      <c r="E52" s="5">
        <v>1742972</v>
      </c>
      <c r="F52" s="2" t="str">
        <f t="shared" si="2"/>
        <v>900226715</v>
      </c>
      <c r="G52" s="2" t="str">
        <f t="shared" si="3"/>
        <v>COOSALUD ENTIDAD PROMOTORA DE SALUD S.A.</v>
      </c>
    </row>
    <row r="53" spans="1:7" x14ac:dyDescent="0.25">
      <c r="A53" s="1"/>
      <c r="B53" s="2" t="str">
        <f>"HOSF0000050237"</f>
        <v>HOSF0000050237</v>
      </c>
      <c r="C53" s="6">
        <v>44216.693414351852</v>
      </c>
      <c r="D53" s="5">
        <v>805587</v>
      </c>
      <c r="E53" s="5">
        <v>84000</v>
      </c>
      <c r="F53" s="2" t="str">
        <f t="shared" si="2"/>
        <v>900226715</v>
      </c>
      <c r="G53" s="2" t="str">
        <f t="shared" si="3"/>
        <v>COOSALUD ENTIDAD PROMOTORA DE SALUD S.A.</v>
      </c>
    </row>
    <row r="54" spans="1:7" x14ac:dyDescent="0.25">
      <c r="A54" s="1"/>
      <c r="B54" s="2" t="str">
        <f>"HOSF0000051038"</f>
        <v>HOSF0000051038</v>
      </c>
      <c r="C54" s="6">
        <v>44218.466041666667</v>
      </c>
      <c r="D54" s="5">
        <v>1745633</v>
      </c>
      <c r="E54" s="5">
        <v>1745633</v>
      </c>
      <c r="F54" s="2" t="str">
        <f t="shared" si="2"/>
        <v>900226715</v>
      </c>
      <c r="G54" s="2" t="str">
        <f t="shared" si="3"/>
        <v>COOSALUD ENTIDAD PROMOTORA DE SALUD S.A.</v>
      </c>
    </row>
    <row r="55" spans="1:7" x14ac:dyDescent="0.25">
      <c r="A55" s="1"/>
      <c r="B55" s="2" t="str">
        <f>"HOSF0000052595"</f>
        <v>HOSF0000052595</v>
      </c>
      <c r="C55" s="6">
        <v>44222.597384259258</v>
      </c>
      <c r="D55" s="5">
        <v>172550</v>
      </c>
      <c r="E55" s="5">
        <v>172550</v>
      </c>
      <c r="F55" s="2" t="str">
        <f t="shared" si="2"/>
        <v>900226715</v>
      </c>
      <c r="G55" s="2" t="str">
        <f t="shared" si="3"/>
        <v>COOSALUD ENTIDAD PROMOTORA DE SALUD S.A.</v>
      </c>
    </row>
    <row r="56" spans="1:7" x14ac:dyDescent="0.25">
      <c r="A56" s="1"/>
      <c r="B56" s="2" t="str">
        <f>"HOSF0000053867"</f>
        <v>HOSF0000053867</v>
      </c>
      <c r="C56" s="6">
        <v>44224.656805555554</v>
      </c>
      <c r="D56" s="5">
        <v>9969704</v>
      </c>
      <c r="E56" s="5">
        <v>9969704</v>
      </c>
      <c r="F56" s="2" t="str">
        <f t="shared" si="2"/>
        <v>900226715</v>
      </c>
      <c r="G56" s="2" t="str">
        <f t="shared" si="3"/>
        <v>COOSALUD ENTIDAD PROMOTORA DE SALUD S.A.</v>
      </c>
    </row>
    <row r="57" spans="1:7" x14ac:dyDescent="0.25">
      <c r="A57" s="1"/>
      <c r="B57" s="2" t="str">
        <f>"HOSF0000053868"</f>
        <v>HOSF0000053868</v>
      </c>
      <c r="C57" s="6">
        <v>44224.656805555554</v>
      </c>
      <c r="D57" s="5">
        <v>26898</v>
      </c>
      <c r="E57" s="5">
        <v>26898</v>
      </c>
      <c r="F57" s="2" t="str">
        <f t="shared" si="2"/>
        <v>900226715</v>
      </c>
      <c r="G57" s="2" t="str">
        <f t="shared" si="3"/>
        <v>COOSALUD ENTIDAD PROMOTORA DE SALUD S.A.</v>
      </c>
    </row>
    <row r="58" spans="1:7" x14ac:dyDescent="0.25">
      <c r="A58" s="1"/>
      <c r="B58" s="2" t="str">
        <f>"HOSF0000059450"</f>
        <v>HOSF0000059450</v>
      </c>
      <c r="C58" s="6">
        <v>44239.013055555559</v>
      </c>
      <c r="D58" s="5">
        <v>285384</v>
      </c>
      <c r="E58" s="5">
        <v>285384</v>
      </c>
      <c r="F58" s="2" t="str">
        <f t="shared" si="2"/>
        <v>900226715</v>
      </c>
      <c r="G58" s="2" t="str">
        <f t="shared" si="3"/>
        <v>COOSALUD ENTIDAD PROMOTORA DE SALUD S.A.</v>
      </c>
    </row>
    <row r="59" spans="1:7" x14ac:dyDescent="0.25">
      <c r="A59" s="1"/>
      <c r="B59" s="2" t="str">
        <f>"HOSF0000060319"</f>
        <v>HOSF0000060319</v>
      </c>
      <c r="C59" s="6">
        <v>44242.352337962962</v>
      </c>
      <c r="D59" s="5">
        <v>564900</v>
      </c>
      <c r="E59" s="5">
        <v>564900</v>
      </c>
      <c r="F59" s="2" t="str">
        <f t="shared" si="2"/>
        <v>900226715</v>
      </c>
      <c r="G59" s="2" t="str">
        <f t="shared" si="3"/>
        <v>COOSALUD ENTIDAD PROMOTORA DE SALUD S.A.</v>
      </c>
    </row>
    <row r="60" spans="1:7" x14ac:dyDescent="0.25">
      <c r="A60" s="1"/>
      <c r="B60" s="2" t="str">
        <f>"HOSF0000060684"</f>
        <v>HOSF0000060684</v>
      </c>
      <c r="C60" s="6">
        <v>44242.688240740739</v>
      </c>
      <c r="D60" s="5">
        <v>4620737</v>
      </c>
      <c r="E60" s="5">
        <v>4620737</v>
      </c>
      <c r="F60" s="2" t="str">
        <f t="shared" si="2"/>
        <v>900226715</v>
      </c>
      <c r="G60" s="2" t="str">
        <f t="shared" si="3"/>
        <v>COOSALUD ENTIDAD PROMOTORA DE SALUD S.A.</v>
      </c>
    </row>
    <row r="61" spans="1:7" x14ac:dyDescent="0.25">
      <c r="A61" s="1"/>
      <c r="B61" s="2" t="str">
        <f>"HOSF0000065748"</f>
        <v>HOSF0000065748</v>
      </c>
      <c r="C61" s="6">
        <v>44252.567476851851</v>
      </c>
      <c r="D61" s="5">
        <v>958189</v>
      </c>
      <c r="E61" s="5">
        <v>958189</v>
      </c>
      <c r="F61" s="2" t="str">
        <f t="shared" si="2"/>
        <v>900226715</v>
      </c>
      <c r="G61" s="2" t="str">
        <f t="shared" si="3"/>
        <v>COOSALUD ENTIDAD PROMOTORA DE SALUD S.A.</v>
      </c>
    </row>
    <row r="62" spans="1:7" x14ac:dyDescent="0.25">
      <c r="A62" s="1"/>
      <c r="B62" s="2" t="str">
        <f>"HOSF0000067726"</f>
        <v>HOSF0000067726</v>
      </c>
      <c r="C62" s="6">
        <v>44257.273900462962</v>
      </c>
      <c r="D62" s="5">
        <v>773200</v>
      </c>
      <c r="E62" s="5">
        <v>773200</v>
      </c>
      <c r="F62" s="2" t="str">
        <f t="shared" si="2"/>
        <v>900226715</v>
      </c>
      <c r="G62" s="2" t="str">
        <f t="shared" si="3"/>
        <v>COOSALUD ENTIDAD PROMOTORA DE SALUD S.A.</v>
      </c>
    </row>
    <row r="63" spans="1:7" x14ac:dyDescent="0.25">
      <c r="A63" s="1"/>
      <c r="B63" s="2" t="str">
        <f>"HOSF0000068072"</f>
        <v>HOSF0000068072</v>
      </c>
      <c r="C63" s="6">
        <v>44257.576203703706</v>
      </c>
      <c r="D63" s="5">
        <v>124600</v>
      </c>
      <c r="E63" s="5">
        <v>124600</v>
      </c>
      <c r="F63" s="2" t="str">
        <f t="shared" si="2"/>
        <v>900226715</v>
      </c>
      <c r="G63" s="2" t="str">
        <f t="shared" si="3"/>
        <v>COOSALUD ENTIDAD PROMOTORA DE SALUD S.A.</v>
      </c>
    </row>
    <row r="64" spans="1:7" x14ac:dyDescent="0.25">
      <c r="A64" s="1"/>
      <c r="B64" s="2" t="str">
        <f>"HOSF0000080190"</f>
        <v>HOSF0000080190</v>
      </c>
      <c r="C64" s="6">
        <v>44279.437557870369</v>
      </c>
      <c r="D64" s="5">
        <v>1920866</v>
      </c>
      <c r="E64" s="5">
        <v>1920866</v>
      </c>
      <c r="F64" s="2" t="str">
        <f t="shared" si="2"/>
        <v>900226715</v>
      </c>
      <c r="G64" s="2" t="str">
        <f t="shared" si="3"/>
        <v>COOSALUD ENTIDAD PROMOTORA DE SALUD S.A.</v>
      </c>
    </row>
    <row r="65" spans="1:7" x14ac:dyDescent="0.25">
      <c r="A65" s="1"/>
      <c r="B65" s="2" t="str">
        <f>"HOSF0000084407"</f>
        <v>HOSF0000084407</v>
      </c>
      <c r="C65" s="6">
        <v>44285.68681712963</v>
      </c>
      <c r="D65" s="5">
        <v>59700</v>
      </c>
      <c r="E65" s="5">
        <v>59700</v>
      </c>
      <c r="F65" s="2" t="str">
        <f t="shared" si="2"/>
        <v>900226715</v>
      </c>
      <c r="G65" s="2" t="str">
        <f t="shared" si="3"/>
        <v>COOSALUD ENTIDAD PROMOTORA DE SALUD S.A.</v>
      </c>
    </row>
    <row r="66" spans="1:7" x14ac:dyDescent="0.25">
      <c r="A66" s="1"/>
      <c r="B66" s="2" t="str">
        <f>"HOSF0000084582"</f>
        <v>HOSF0000084582</v>
      </c>
      <c r="C66" s="6">
        <v>44286.029872685183</v>
      </c>
      <c r="D66" s="5">
        <v>239691</v>
      </c>
      <c r="E66" s="5">
        <v>6100</v>
      </c>
      <c r="F66" s="2" t="str">
        <f t="shared" si="2"/>
        <v>900226715</v>
      </c>
      <c r="G66" s="2" t="str">
        <f t="shared" si="3"/>
        <v>COOSALUD ENTIDAD PROMOTORA DE SALUD S.A.</v>
      </c>
    </row>
    <row r="67" spans="1:7" x14ac:dyDescent="0.25">
      <c r="A67" s="1"/>
      <c r="B67" s="2" t="str">
        <f>"HOSF0000088005"</f>
        <v>HOSF0000088005</v>
      </c>
      <c r="C67" s="6">
        <v>44293.669953703706</v>
      </c>
      <c r="D67" s="5">
        <v>4047521</v>
      </c>
      <c r="E67" s="5">
        <v>4047521</v>
      </c>
      <c r="F67" s="2" t="str">
        <f t="shared" si="2"/>
        <v>900226715</v>
      </c>
      <c r="G67" s="2" t="str">
        <f t="shared" si="3"/>
        <v>COOSALUD ENTIDAD PROMOTORA DE SALUD S.A.</v>
      </c>
    </row>
    <row r="68" spans="1:7" x14ac:dyDescent="0.25">
      <c r="A68" s="1"/>
      <c r="B68" s="2" t="str">
        <f>"HOSF0000088019"</f>
        <v>HOSF0000088019</v>
      </c>
      <c r="C68" s="6">
        <v>44293.678472222222</v>
      </c>
      <c r="D68" s="5">
        <v>80000</v>
      </c>
      <c r="E68" s="5">
        <v>80000</v>
      </c>
      <c r="F68" s="2" t="str">
        <f t="shared" si="2"/>
        <v>900226715</v>
      </c>
      <c r="G68" s="2" t="str">
        <f t="shared" si="3"/>
        <v>COOSALUD ENTIDAD PROMOTORA DE SALUD S.A.</v>
      </c>
    </row>
    <row r="69" spans="1:7" x14ac:dyDescent="0.25">
      <c r="A69" s="1"/>
      <c r="B69" s="2" t="str">
        <f>"HOSF0000096742"</f>
        <v>HOSF0000096742</v>
      </c>
      <c r="C69" s="6">
        <v>44307.517951388887</v>
      </c>
      <c r="D69" s="5">
        <v>2044167</v>
      </c>
      <c r="E69" s="5">
        <v>2044167</v>
      </c>
      <c r="F69" s="2" t="str">
        <f t="shared" si="2"/>
        <v>900226715</v>
      </c>
      <c r="G69" s="2" t="str">
        <f t="shared" si="3"/>
        <v>COOSALUD ENTIDAD PROMOTORA DE SALUD S.A.</v>
      </c>
    </row>
    <row r="70" spans="1:7" x14ac:dyDescent="0.25">
      <c r="A70" s="1"/>
      <c r="B70" s="2" t="str">
        <f>"HOSF0000099750"</f>
        <v>HOSF0000099750</v>
      </c>
      <c r="C70" s="6">
        <v>44312.441481481481</v>
      </c>
      <c r="D70" s="5">
        <v>7941688</v>
      </c>
      <c r="E70" s="5">
        <v>7941688</v>
      </c>
      <c r="F70" s="2" t="str">
        <f t="shared" si="2"/>
        <v>900226715</v>
      </c>
      <c r="G70" s="2" t="str">
        <f t="shared" si="3"/>
        <v>COOSALUD ENTIDAD PROMOTORA DE SALUD S.A.</v>
      </c>
    </row>
    <row r="71" spans="1:7" x14ac:dyDescent="0.25">
      <c r="A71" s="1"/>
      <c r="B71" s="2" t="str">
        <f>"HOSF0000099792"</f>
        <v>HOSF0000099792</v>
      </c>
      <c r="C71" s="6">
        <v>44312.462476851855</v>
      </c>
      <c r="D71" s="5">
        <v>201200</v>
      </c>
      <c r="E71" s="5">
        <v>201200</v>
      </c>
      <c r="F71" s="2" t="str">
        <f t="shared" si="2"/>
        <v>900226715</v>
      </c>
      <c r="G71" s="2" t="str">
        <f t="shared" si="3"/>
        <v>COOSALUD ENTIDAD PROMOTORA DE SALUD S.A.</v>
      </c>
    </row>
    <row r="72" spans="1:7" x14ac:dyDescent="0.25">
      <c r="A72" s="1"/>
      <c r="B72" s="2" t="str">
        <f>"HOSF0000101440"</f>
        <v>HOSF0000101440</v>
      </c>
      <c r="C72" s="6">
        <v>44314.633599537039</v>
      </c>
      <c r="D72" s="5">
        <v>2700203</v>
      </c>
      <c r="E72" s="5">
        <v>2700203</v>
      </c>
      <c r="F72" s="2" t="str">
        <f t="shared" si="2"/>
        <v>900226715</v>
      </c>
      <c r="G72" s="2" t="str">
        <f t="shared" si="3"/>
        <v>COOSALUD ENTIDAD PROMOTORA DE SALUD S.A.</v>
      </c>
    </row>
    <row r="73" spans="1:7" x14ac:dyDescent="0.25">
      <c r="A73" s="1"/>
      <c r="B73" s="2" t="str">
        <f>"HOSF0000101441"</f>
        <v>HOSF0000101441</v>
      </c>
      <c r="C73" s="6">
        <v>44314.633599537039</v>
      </c>
      <c r="D73" s="5">
        <v>194352</v>
      </c>
      <c r="E73" s="5">
        <v>194352</v>
      </c>
      <c r="F73" s="2" t="str">
        <f t="shared" si="2"/>
        <v>900226715</v>
      </c>
      <c r="G73" s="2" t="str">
        <f t="shared" si="3"/>
        <v>COOSALUD ENTIDAD PROMOTORA DE SALUD S.A.</v>
      </c>
    </row>
    <row r="74" spans="1:7" x14ac:dyDescent="0.25">
      <c r="A74" s="1"/>
      <c r="B74" s="2" t="str">
        <f>"HOSF0000102087"</f>
        <v>HOSF0000102087</v>
      </c>
      <c r="C74" s="6">
        <v>44315.71539351852</v>
      </c>
      <c r="D74" s="5">
        <v>13974922</v>
      </c>
      <c r="E74" s="5">
        <v>13974922</v>
      </c>
      <c r="F74" s="2" t="str">
        <f t="shared" si="2"/>
        <v>900226715</v>
      </c>
      <c r="G74" s="2" t="str">
        <f t="shared" si="3"/>
        <v>COOSALUD ENTIDAD PROMOTORA DE SALUD S.A.</v>
      </c>
    </row>
    <row r="75" spans="1:7" x14ac:dyDescent="0.25">
      <c r="A75" s="1"/>
      <c r="B75" s="2" t="str">
        <f>"HOSF0000102693"</f>
        <v>HOSF0000102693</v>
      </c>
      <c r="C75" s="6">
        <v>44316.516655092593</v>
      </c>
      <c r="D75" s="5">
        <v>2065238</v>
      </c>
      <c r="E75" s="5">
        <v>2065238</v>
      </c>
      <c r="F75" s="2" t="str">
        <f t="shared" si="2"/>
        <v>900226715</v>
      </c>
      <c r="G75" s="2" t="str">
        <f t="shared" si="3"/>
        <v>COOSALUD ENTIDAD PROMOTORA DE SALUD S.A.</v>
      </c>
    </row>
    <row r="76" spans="1:7" x14ac:dyDescent="0.25">
      <c r="A76" s="1"/>
      <c r="B76" s="2" t="str">
        <f>"HOSF0000105769"</f>
        <v>HOSF0000105769</v>
      </c>
      <c r="C76" s="6">
        <v>44323.498113425929</v>
      </c>
      <c r="D76" s="5">
        <v>461539</v>
      </c>
      <c r="E76" s="5">
        <v>461539</v>
      </c>
      <c r="F76" s="2" t="str">
        <f t="shared" si="2"/>
        <v>900226715</v>
      </c>
      <c r="G76" s="2" t="str">
        <f t="shared" si="3"/>
        <v>COOSALUD ENTIDAD PROMOTORA DE SALUD S.A.</v>
      </c>
    </row>
    <row r="77" spans="1:7" x14ac:dyDescent="0.25">
      <c r="A77" s="1"/>
      <c r="B77" s="2" t="str">
        <f>"HOSF0000109050"</f>
        <v>HOSF0000109050</v>
      </c>
      <c r="C77" s="6">
        <v>44330.510925925926</v>
      </c>
      <c r="D77" s="5">
        <v>3134239</v>
      </c>
      <c r="E77" s="5">
        <v>3134239</v>
      </c>
      <c r="F77" s="2" t="str">
        <f t="shared" si="2"/>
        <v>900226715</v>
      </c>
      <c r="G77" s="2" t="str">
        <f t="shared" si="3"/>
        <v>COOSALUD ENTIDAD PROMOTORA DE SALUD S.A.</v>
      </c>
    </row>
    <row r="78" spans="1:7" x14ac:dyDescent="0.25">
      <c r="A78" s="1"/>
      <c r="B78" s="2" t="str">
        <f>"HOSF0000109056"</f>
        <v>HOSF0000109056</v>
      </c>
      <c r="C78" s="6">
        <v>44330.515740740739</v>
      </c>
      <c r="D78" s="5">
        <v>113900</v>
      </c>
      <c r="E78" s="5">
        <v>113900</v>
      </c>
      <c r="F78" s="2" t="str">
        <f t="shared" si="2"/>
        <v>900226715</v>
      </c>
      <c r="G78" s="2" t="str">
        <f t="shared" si="3"/>
        <v>COOSALUD ENTIDAD PROMOTORA DE SALUD S.A.</v>
      </c>
    </row>
    <row r="79" spans="1:7" x14ac:dyDescent="0.25">
      <c r="A79" s="1"/>
      <c r="B79" s="2" t="str">
        <f>"HOSF0000117780"</f>
        <v>HOSF0000117780</v>
      </c>
      <c r="C79" s="6">
        <v>44347.839722222219</v>
      </c>
      <c r="D79" s="5">
        <v>3380900</v>
      </c>
      <c r="E79" s="5">
        <v>246100</v>
      </c>
      <c r="F79" s="2" t="str">
        <f t="shared" si="2"/>
        <v>900226715</v>
      </c>
      <c r="G79" s="2" t="str">
        <f t="shared" si="3"/>
        <v>COOSALUD ENTIDAD PROMOTORA DE SALUD S.A.</v>
      </c>
    </row>
    <row r="80" spans="1:7" x14ac:dyDescent="0.25">
      <c r="A80" s="1"/>
      <c r="B80" s="2" t="str">
        <f>"HOSF0000119749"</f>
        <v>HOSF0000119749</v>
      </c>
      <c r="C80" s="6">
        <v>44350.475740740738</v>
      </c>
      <c r="D80" s="5">
        <v>124600</v>
      </c>
      <c r="E80" s="5">
        <v>124600</v>
      </c>
      <c r="F80" s="2" t="str">
        <f t="shared" ref="F80:F133" si="4">"900226715"</f>
        <v>900226715</v>
      </c>
      <c r="G80" s="2" t="str">
        <f t="shared" ref="G80:G133" si="5">"COOSALUD ENTIDAD PROMOTORA DE SALUD S.A."</f>
        <v>COOSALUD ENTIDAD PROMOTORA DE SALUD S.A.</v>
      </c>
    </row>
    <row r="81" spans="1:7" x14ac:dyDescent="0.25">
      <c r="A81" s="1"/>
      <c r="B81" s="2" t="str">
        <f>"HOSF0000119753"</f>
        <v>HOSF0000119753</v>
      </c>
      <c r="C81" s="6">
        <v>44350.48027777778</v>
      </c>
      <c r="D81" s="5">
        <v>117400</v>
      </c>
      <c r="E81" s="5">
        <v>117400</v>
      </c>
      <c r="F81" s="2" t="str">
        <f t="shared" si="4"/>
        <v>900226715</v>
      </c>
      <c r="G81" s="2" t="str">
        <f t="shared" si="5"/>
        <v>COOSALUD ENTIDAD PROMOTORA DE SALUD S.A.</v>
      </c>
    </row>
    <row r="82" spans="1:7" x14ac:dyDescent="0.25">
      <c r="A82" s="1"/>
      <c r="B82" s="2" t="str">
        <f>"HOSF0000122448"</f>
        <v>HOSF0000122448</v>
      </c>
      <c r="C82" s="6">
        <v>44356.640694444446</v>
      </c>
      <c r="D82" s="5">
        <v>42700</v>
      </c>
      <c r="E82" s="5">
        <v>42700</v>
      </c>
      <c r="F82" s="2" t="str">
        <f t="shared" si="4"/>
        <v>900226715</v>
      </c>
      <c r="G82" s="2" t="str">
        <f t="shared" si="5"/>
        <v>COOSALUD ENTIDAD PROMOTORA DE SALUD S.A.</v>
      </c>
    </row>
    <row r="83" spans="1:7" x14ac:dyDescent="0.25">
      <c r="A83" s="1"/>
      <c r="B83" s="2" t="str">
        <f>"HOSF0000124696"</f>
        <v>HOSF0000124696</v>
      </c>
      <c r="C83" s="6">
        <v>44362.332256944443</v>
      </c>
      <c r="D83" s="5">
        <v>434839</v>
      </c>
      <c r="E83" s="5">
        <v>56300</v>
      </c>
      <c r="F83" s="2" t="str">
        <f t="shared" si="4"/>
        <v>900226715</v>
      </c>
      <c r="G83" s="2" t="str">
        <f t="shared" si="5"/>
        <v>COOSALUD ENTIDAD PROMOTORA DE SALUD S.A.</v>
      </c>
    </row>
    <row r="84" spans="1:7" x14ac:dyDescent="0.25">
      <c r="A84" s="1"/>
      <c r="B84" s="2" t="str">
        <f>"HOSF0000132001"</f>
        <v>HOSF0000132001</v>
      </c>
      <c r="C84" s="6">
        <v>44374.684791666667</v>
      </c>
      <c r="D84" s="5">
        <v>336340</v>
      </c>
      <c r="E84" s="5">
        <v>336340</v>
      </c>
      <c r="F84" s="2" t="str">
        <f t="shared" si="4"/>
        <v>900226715</v>
      </c>
      <c r="G84" s="2" t="str">
        <f t="shared" si="5"/>
        <v>COOSALUD ENTIDAD PROMOTORA DE SALUD S.A.</v>
      </c>
    </row>
    <row r="85" spans="1:7" x14ac:dyDescent="0.25">
      <c r="A85" s="1"/>
      <c r="B85" s="2" t="str">
        <f>"HOSF0000134844"</f>
        <v>HOSF0000134844</v>
      </c>
      <c r="C85" s="6">
        <v>44378.287974537037</v>
      </c>
      <c r="D85" s="5">
        <v>228469</v>
      </c>
      <c r="E85" s="5">
        <v>228469</v>
      </c>
      <c r="F85" s="2" t="str">
        <f t="shared" si="4"/>
        <v>900226715</v>
      </c>
      <c r="G85" s="2" t="str">
        <f t="shared" si="5"/>
        <v>COOSALUD ENTIDAD PROMOTORA DE SALUD S.A.</v>
      </c>
    </row>
    <row r="86" spans="1:7" x14ac:dyDescent="0.25">
      <c r="A86" s="1"/>
      <c r="B86" s="2" t="str">
        <f>"HOSF0000140404"</f>
        <v>HOSF0000140404</v>
      </c>
      <c r="C86" s="6">
        <v>44389.636932870373</v>
      </c>
      <c r="D86" s="5">
        <v>59700</v>
      </c>
      <c r="E86" s="5">
        <v>59700</v>
      </c>
      <c r="F86" s="2" t="str">
        <f t="shared" si="4"/>
        <v>900226715</v>
      </c>
      <c r="G86" s="2" t="str">
        <f t="shared" si="5"/>
        <v>COOSALUD ENTIDAD PROMOTORA DE SALUD S.A.</v>
      </c>
    </row>
    <row r="87" spans="1:7" x14ac:dyDescent="0.25">
      <c r="A87" s="1"/>
      <c r="B87" s="2" t="str">
        <f>"HOSF0000140813"</f>
        <v>HOSF0000140813</v>
      </c>
      <c r="C87" s="6">
        <v>44390.381898148145</v>
      </c>
      <c r="D87" s="5">
        <v>237700</v>
      </c>
      <c r="E87" s="5">
        <v>237700</v>
      </c>
      <c r="F87" s="2" t="str">
        <f t="shared" si="4"/>
        <v>900226715</v>
      </c>
      <c r="G87" s="2" t="str">
        <f t="shared" si="5"/>
        <v>COOSALUD ENTIDAD PROMOTORA DE SALUD S.A.</v>
      </c>
    </row>
    <row r="88" spans="1:7" x14ac:dyDescent="0.25">
      <c r="A88" s="1"/>
      <c r="B88" s="2" t="str">
        <f>"HOSF0000141347"</f>
        <v>HOSF0000141347</v>
      </c>
      <c r="C88" s="6">
        <v>44391.274745370371</v>
      </c>
      <c r="D88" s="5">
        <v>169200</v>
      </c>
      <c r="E88" s="5">
        <v>169200</v>
      </c>
      <c r="F88" s="2" t="str">
        <f t="shared" si="4"/>
        <v>900226715</v>
      </c>
      <c r="G88" s="2" t="str">
        <f t="shared" si="5"/>
        <v>COOSALUD ENTIDAD PROMOTORA DE SALUD S.A.</v>
      </c>
    </row>
    <row r="89" spans="1:7" x14ac:dyDescent="0.25">
      <c r="A89" s="1"/>
      <c r="B89" s="2" t="str">
        <f>"HOSF0000143874"</f>
        <v>HOSF0000143874</v>
      </c>
      <c r="C89" s="6">
        <v>44395.65761574074</v>
      </c>
      <c r="D89" s="5">
        <v>61044</v>
      </c>
      <c r="E89" s="5">
        <v>61044</v>
      </c>
      <c r="F89" s="2" t="str">
        <f t="shared" si="4"/>
        <v>900226715</v>
      </c>
      <c r="G89" s="2" t="str">
        <f t="shared" si="5"/>
        <v>COOSALUD ENTIDAD PROMOTORA DE SALUD S.A.</v>
      </c>
    </row>
    <row r="90" spans="1:7" x14ac:dyDescent="0.25">
      <c r="A90" s="1"/>
      <c r="B90" s="2" t="str">
        <f>"HOSF0000143898"</f>
        <v>HOSF0000143898</v>
      </c>
      <c r="C90" s="6">
        <v>44395.786770833336</v>
      </c>
      <c r="D90" s="5">
        <v>419180</v>
      </c>
      <c r="E90" s="5">
        <v>419180</v>
      </c>
      <c r="F90" s="2" t="str">
        <f t="shared" si="4"/>
        <v>900226715</v>
      </c>
      <c r="G90" s="2" t="str">
        <f t="shared" si="5"/>
        <v>COOSALUD ENTIDAD PROMOTORA DE SALUD S.A.</v>
      </c>
    </row>
    <row r="91" spans="1:7" x14ac:dyDescent="0.25">
      <c r="A91" s="1"/>
      <c r="B91" s="2" t="str">
        <f>"HOSF0000144698"</f>
        <v>HOSF0000144698</v>
      </c>
      <c r="C91" s="6">
        <v>44396.798877314817</v>
      </c>
      <c r="D91" s="5">
        <v>163175</v>
      </c>
      <c r="E91" s="5">
        <v>163175</v>
      </c>
      <c r="F91" s="2" t="str">
        <f t="shared" si="4"/>
        <v>900226715</v>
      </c>
      <c r="G91" s="2" t="str">
        <f t="shared" si="5"/>
        <v>COOSALUD ENTIDAD PROMOTORA DE SALUD S.A.</v>
      </c>
    </row>
    <row r="92" spans="1:7" x14ac:dyDescent="0.25">
      <c r="A92" s="1"/>
      <c r="B92" s="2" t="str">
        <f>"HOSF0000145383"</f>
        <v>HOSF0000145383</v>
      </c>
      <c r="C92" s="6">
        <v>44398.427303240744</v>
      </c>
      <c r="D92" s="5">
        <v>49600</v>
      </c>
      <c r="E92" s="5">
        <v>49600</v>
      </c>
      <c r="F92" s="2" t="str">
        <f t="shared" si="4"/>
        <v>900226715</v>
      </c>
      <c r="G92" s="2" t="str">
        <f t="shared" si="5"/>
        <v>COOSALUD ENTIDAD PROMOTORA DE SALUD S.A.</v>
      </c>
    </row>
    <row r="93" spans="1:7" x14ac:dyDescent="0.25">
      <c r="A93" s="1"/>
      <c r="B93" s="2" t="str">
        <f>"HOSF0000145617"</f>
        <v>HOSF0000145617</v>
      </c>
      <c r="C93" s="6">
        <v>44398.579085648147</v>
      </c>
      <c r="D93" s="5">
        <v>72700</v>
      </c>
      <c r="E93" s="5">
        <v>72700</v>
      </c>
      <c r="F93" s="2" t="str">
        <f t="shared" si="4"/>
        <v>900226715</v>
      </c>
      <c r="G93" s="2" t="str">
        <f t="shared" si="5"/>
        <v>COOSALUD ENTIDAD PROMOTORA DE SALUD S.A.</v>
      </c>
    </row>
    <row r="94" spans="1:7" x14ac:dyDescent="0.25">
      <c r="A94" s="1"/>
      <c r="B94" s="2" t="str">
        <f>"HOSF0000147443"</f>
        <v>HOSF0000147443</v>
      </c>
      <c r="C94" s="6">
        <v>44400.857453703706</v>
      </c>
      <c r="D94" s="5">
        <v>171680</v>
      </c>
      <c r="E94" s="5">
        <v>171680</v>
      </c>
      <c r="F94" s="2" t="str">
        <f t="shared" si="4"/>
        <v>900226715</v>
      </c>
      <c r="G94" s="2" t="str">
        <f t="shared" si="5"/>
        <v>COOSALUD ENTIDAD PROMOTORA DE SALUD S.A.</v>
      </c>
    </row>
    <row r="95" spans="1:7" x14ac:dyDescent="0.25">
      <c r="A95" s="1"/>
      <c r="B95" s="2" t="str">
        <f>"HOSF0000147950"</f>
        <v>HOSF0000147950</v>
      </c>
      <c r="C95" s="6">
        <v>44403.14806712963</v>
      </c>
      <c r="D95" s="5">
        <v>183300</v>
      </c>
      <c r="E95" s="5">
        <v>183300</v>
      </c>
      <c r="F95" s="2" t="str">
        <f t="shared" si="4"/>
        <v>900226715</v>
      </c>
      <c r="G95" s="2" t="str">
        <f t="shared" si="5"/>
        <v>COOSALUD ENTIDAD PROMOTORA DE SALUD S.A.</v>
      </c>
    </row>
    <row r="96" spans="1:7" x14ac:dyDescent="0.25">
      <c r="A96" s="1"/>
      <c r="B96" s="2" t="str">
        <f>"HOSF0000148407"</f>
        <v>HOSF0000148407</v>
      </c>
      <c r="C96" s="6">
        <v>44403.488182870373</v>
      </c>
      <c r="D96" s="5">
        <v>52400</v>
      </c>
      <c r="E96" s="5">
        <v>52400</v>
      </c>
      <c r="F96" s="2" t="str">
        <f t="shared" si="4"/>
        <v>900226715</v>
      </c>
      <c r="G96" s="2" t="str">
        <f t="shared" si="5"/>
        <v>COOSALUD ENTIDAD PROMOTORA DE SALUD S.A.</v>
      </c>
    </row>
    <row r="97" spans="1:7" x14ac:dyDescent="0.25">
      <c r="A97" s="1"/>
      <c r="B97" s="2" t="str">
        <f>"HOSF0000148906"</f>
        <v>HOSF0000148906</v>
      </c>
      <c r="C97" s="6">
        <v>44404.313252314816</v>
      </c>
      <c r="D97" s="5">
        <v>52400</v>
      </c>
      <c r="E97" s="5">
        <v>52400</v>
      </c>
      <c r="F97" s="2" t="str">
        <f t="shared" si="4"/>
        <v>900226715</v>
      </c>
      <c r="G97" s="2" t="str">
        <f t="shared" si="5"/>
        <v>COOSALUD ENTIDAD PROMOTORA DE SALUD S.A.</v>
      </c>
    </row>
    <row r="98" spans="1:7" x14ac:dyDescent="0.25">
      <c r="A98" s="1"/>
      <c r="B98" s="2" t="str">
        <f>"HOSF0000149813"</f>
        <v>HOSF0000149813</v>
      </c>
      <c r="C98" s="6">
        <v>44405.327303240738</v>
      </c>
      <c r="D98" s="5">
        <v>624600</v>
      </c>
      <c r="E98" s="5">
        <v>624600</v>
      </c>
      <c r="F98" s="2" t="str">
        <f t="shared" si="4"/>
        <v>900226715</v>
      </c>
      <c r="G98" s="2" t="str">
        <f t="shared" si="5"/>
        <v>COOSALUD ENTIDAD PROMOTORA DE SALUD S.A.</v>
      </c>
    </row>
    <row r="99" spans="1:7" x14ac:dyDescent="0.25">
      <c r="B99" s="2" t="str">
        <f>"HOSF0000151134"</f>
        <v>HOSF0000151134</v>
      </c>
      <c r="C99" s="6">
        <v>44406.630289351851</v>
      </c>
      <c r="D99" s="5">
        <v>269071</v>
      </c>
      <c r="E99" s="5">
        <v>269071</v>
      </c>
      <c r="F99" s="2" t="str">
        <f t="shared" si="4"/>
        <v>900226715</v>
      </c>
      <c r="G99" s="2" t="str">
        <f t="shared" si="5"/>
        <v>COOSALUD ENTIDAD PROMOTORA DE SALUD S.A.</v>
      </c>
    </row>
    <row r="100" spans="1:7" x14ac:dyDescent="0.25">
      <c r="B100" s="2" t="str">
        <f>"HOSF0000151322"</f>
        <v>HOSF0000151322</v>
      </c>
      <c r="C100" s="6">
        <v>44406.780821759261</v>
      </c>
      <c r="D100" s="5">
        <v>321300</v>
      </c>
      <c r="E100" s="5">
        <v>321300</v>
      </c>
      <c r="F100" s="2" t="str">
        <f t="shared" si="4"/>
        <v>900226715</v>
      </c>
      <c r="G100" s="2" t="str">
        <f t="shared" si="5"/>
        <v>COOSALUD ENTIDAD PROMOTORA DE SALUD S.A.</v>
      </c>
    </row>
    <row r="101" spans="1:7" x14ac:dyDescent="0.25">
      <c r="B101" s="2" t="str">
        <f>"HOSF0000151401"</f>
        <v>HOSF0000151401</v>
      </c>
      <c r="C101" s="6">
        <v>44406.919409722221</v>
      </c>
      <c r="D101" s="5">
        <v>335687</v>
      </c>
      <c r="E101" s="5">
        <v>335687</v>
      </c>
      <c r="F101" s="2" t="str">
        <f t="shared" si="4"/>
        <v>900226715</v>
      </c>
      <c r="G101" s="2" t="str">
        <f t="shared" si="5"/>
        <v>COOSALUD ENTIDAD PROMOTORA DE SALUD S.A.</v>
      </c>
    </row>
    <row r="102" spans="1:7" x14ac:dyDescent="0.25">
      <c r="B102" s="2" t="str">
        <f>"HOSF0000152456"</f>
        <v>HOSF0000152456</v>
      </c>
      <c r="C102" s="6">
        <v>44408.687268518515</v>
      </c>
      <c r="D102" s="5">
        <v>196496</v>
      </c>
      <c r="E102" s="5">
        <v>196496</v>
      </c>
      <c r="F102" s="2" t="str">
        <f t="shared" si="4"/>
        <v>900226715</v>
      </c>
      <c r="G102" s="2" t="str">
        <f t="shared" si="5"/>
        <v>COOSALUD ENTIDAD PROMOTORA DE SALUD S.A.</v>
      </c>
    </row>
    <row r="103" spans="1:7" x14ac:dyDescent="0.25">
      <c r="B103" s="2" t="str">
        <f>"HOSF0000152552"</f>
        <v>HOSF0000152552</v>
      </c>
      <c r="C103" s="6">
        <v>44408.890856481485</v>
      </c>
      <c r="D103" s="5">
        <v>369341</v>
      </c>
      <c r="E103" s="5">
        <v>369341</v>
      </c>
      <c r="F103" s="2" t="str">
        <f t="shared" si="4"/>
        <v>900226715</v>
      </c>
      <c r="G103" s="2" t="str">
        <f t="shared" si="5"/>
        <v>COOSALUD ENTIDAD PROMOTORA DE SALUD S.A.</v>
      </c>
    </row>
    <row r="104" spans="1:7" x14ac:dyDescent="0.25">
      <c r="B104" s="2" t="str">
        <f>"HOSF0000152605"</f>
        <v>HOSF0000152605</v>
      </c>
      <c r="C104" s="6">
        <v>44409.346250000002</v>
      </c>
      <c r="D104" s="5">
        <v>281913</v>
      </c>
      <c r="E104" s="5">
        <v>281913</v>
      </c>
      <c r="F104" s="2" t="str">
        <f t="shared" si="4"/>
        <v>900226715</v>
      </c>
      <c r="G104" s="2" t="str">
        <f t="shared" si="5"/>
        <v>COOSALUD ENTIDAD PROMOTORA DE SALUD S.A.</v>
      </c>
    </row>
    <row r="105" spans="1:7" x14ac:dyDescent="0.25">
      <c r="B105" s="2" t="str">
        <f>"HOSF0000154564"</f>
        <v>HOSF0000154564</v>
      </c>
      <c r="C105" s="6">
        <v>44413.069131944445</v>
      </c>
      <c r="D105" s="5">
        <v>163444</v>
      </c>
      <c r="E105" s="5">
        <v>163444</v>
      </c>
      <c r="F105" s="2" t="str">
        <f t="shared" si="4"/>
        <v>900226715</v>
      </c>
      <c r="G105" s="2" t="str">
        <f t="shared" si="5"/>
        <v>COOSALUD ENTIDAD PROMOTORA DE SALUD S.A.</v>
      </c>
    </row>
    <row r="106" spans="1:7" x14ac:dyDescent="0.25">
      <c r="B106" s="2" t="str">
        <f>"HOSF0000156987"</f>
        <v>HOSF0000156987</v>
      </c>
      <c r="C106" s="6">
        <v>44418.508402777778</v>
      </c>
      <c r="D106" s="5">
        <v>2879285</v>
      </c>
      <c r="E106" s="5">
        <v>1784536</v>
      </c>
      <c r="F106" s="2" t="str">
        <f t="shared" si="4"/>
        <v>900226715</v>
      </c>
      <c r="G106" s="2" t="str">
        <f t="shared" si="5"/>
        <v>COOSALUD ENTIDAD PROMOTORA DE SALUD S.A.</v>
      </c>
    </row>
    <row r="107" spans="1:7" x14ac:dyDescent="0.25">
      <c r="B107" s="2" t="str">
        <f>"HOSF0000156989"</f>
        <v>HOSF0000156989</v>
      </c>
      <c r="C107" s="6">
        <v>44418.51226851852</v>
      </c>
      <c r="D107" s="5">
        <v>59700</v>
      </c>
      <c r="E107" s="5">
        <v>59700</v>
      </c>
      <c r="F107" s="2" t="str">
        <f t="shared" si="4"/>
        <v>900226715</v>
      </c>
      <c r="G107" s="2" t="str">
        <f t="shared" si="5"/>
        <v>COOSALUD ENTIDAD PROMOTORA DE SALUD S.A.</v>
      </c>
    </row>
    <row r="108" spans="1:7" x14ac:dyDescent="0.25">
      <c r="B108" s="2" t="str">
        <f>"HOSF0000160114"</f>
        <v>HOSF0000160114</v>
      </c>
      <c r="C108" s="6">
        <v>44426.566678240742</v>
      </c>
      <c r="D108" s="5">
        <v>352849</v>
      </c>
      <c r="E108" s="5">
        <v>239152</v>
      </c>
      <c r="F108" s="2" t="str">
        <f t="shared" si="4"/>
        <v>900226715</v>
      </c>
      <c r="G108" s="2" t="str">
        <f t="shared" si="5"/>
        <v>COOSALUD ENTIDAD PROMOTORA DE SALUD S.A.</v>
      </c>
    </row>
    <row r="109" spans="1:7" x14ac:dyDescent="0.25">
      <c r="B109" s="2" t="str">
        <f>"HOSF0000160329"</f>
        <v>HOSF0000160329</v>
      </c>
      <c r="C109" s="6">
        <v>44427.003125000003</v>
      </c>
      <c r="D109" s="5">
        <v>186343</v>
      </c>
      <c r="E109" s="5">
        <v>186343</v>
      </c>
      <c r="F109" s="2" t="str">
        <f t="shared" si="4"/>
        <v>900226715</v>
      </c>
      <c r="G109" s="2" t="str">
        <f t="shared" si="5"/>
        <v>COOSALUD ENTIDAD PROMOTORA DE SALUD S.A.</v>
      </c>
    </row>
    <row r="110" spans="1:7" x14ac:dyDescent="0.25">
      <c r="B110" s="2" t="str">
        <f>"HOSF0000161092"</f>
        <v>HOSF0000161092</v>
      </c>
      <c r="C110" s="6">
        <v>44428.354583333334</v>
      </c>
      <c r="D110" s="5">
        <v>1153746</v>
      </c>
      <c r="E110" s="5">
        <v>597456</v>
      </c>
      <c r="F110" s="2" t="str">
        <f t="shared" si="4"/>
        <v>900226715</v>
      </c>
      <c r="G110" s="2" t="str">
        <f t="shared" si="5"/>
        <v>COOSALUD ENTIDAD PROMOTORA DE SALUD S.A.</v>
      </c>
    </row>
    <row r="111" spans="1:7" x14ac:dyDescent="0.25">
      <c r="B111" s="2" t="str">
        <f>"HOSF0000161848"</f>
        <v>HOSF0000161848</v>
      </c>
      <c r="C111" s="6">
        <v>44430.520254629628</v>
      </c>
      <c r="D111" s="5">
        <v>447828</v>
      </c>
      <c r="E111" s="5">
        <v>447828</v>
      </c>
      <c r="F111" s="2" t="str">
        <f t="shared" si="4"/>
        <v>900226715</v>
      </c>
      <c r="G111" s="2" t="str">
        <f t="shared" si="5"/>
        <v>COOSALUD ENTIDAD PROMOTORA DE SALUD S.A.</v>
      </c>
    </row>
    <row r="112" spans="1:7" x14ac:dyDescent="0.25">
      <c r="B112" s="2" t="str">
        <f>"HOSF0000161883"</f>
        <v>HOSF0000161883</v>
      </c>
      <c r="C112" s="6">
        <v>44430.642222222225</v>
      </c>
      <c r="D112" s="5">
        <v>121430</v>
      </c>
      <c r="E112" s="5">
        <v>121430</v>
      </c>
      <c r="F112" s="2" t="str">
        <f t="shared" si="4"/>
        <v>900226715</v>
      </c>
      <c r="G112" s="2" t="str">
        <f t="shared" si="5"/>
        <v>COOSALUD ENTIDAD PROMOTORA DE SALUD S.A.</v>
      </c>
    </row>
    <row r="113" spans="2:7" x14ac:dyDescent="0.25">
      <c r="B113" s="2" t="str">
        <f>"HOSF0000163626"</f>
        <v>HOSF0000163626</v>
      </c>
      <c r="C113" s="6">
        <v>44433.344236111108</v>
      </c>
      <c r="D113" s="5">
        <v>568351</v>
      </c>
      <c r="E113" s="5">
        <v>568351</v>
      </c>
      <c r="F113" s="2" t="str">
        <f t="shared" si="4"/>
        <v>900226715</v>
      </c>
      <c r="G113" s="2" t="str">
        <f t="shared" si="5"/>
        <v>COOSALUD ENTIDAD PROMOTORA DE SALUD S.A.</v>
      </c>
    </row>
    <row r="114" spans="2:7" x14ac:dyDescent="0.25">
      <c r="B114" s="2" t="str">
        <f>"HOSF0000163788"</f>
        <v>HOSF0000163788</v>
      </c>
      <c r="C114" s="6">
        <v>44433.423576388886</v>
      </c>
      <c r="D114" s="5">
        <v>760494</v>
      </c>
      <c r="E114" s="5">
        <v>760494</v>
      </c>
      <c r="F114" s="2" t="str">
        <f t="shared" si="4"/>
        <v>900226715</v>
      </c>
      <c r="G114" s="2" t="str">
        <f t="shared" si="5"/>
        <v>COOSALUD ENTIDAD PROMOTORA DE SALUD S.A.</v>
      </c>
    </row>
    <row r="115" spans="2:7" x14ac:dyDescent="0.25">
      <c r="B115" s="2" t="str">
        <f>"HOSF0000164065"</f>
        <v>HOSF0000164065</v>
      </c>
      <c r="C115" s="6">
        <v>44433.670983796299</v>
      </c>
      <c r="D115" s="5">
        <v>59700</v>
      </c>
      <c r="E115" s="5">
        <v>59700</v>
      </c>
      <c r="F115" s="2" t="str">
        <f t="shared" si="4"/>
        <v>900226715</v>
      </c>
      <c r="G115" s="2" t="str">
        <f t="shared" si="5"/>
        <v>COOSALUD ENTIDAD PROMOTORA DE SALUD S.A.</v>
      </c>
    </row>
    <row r="116" spans="2:7" x14ac:dyDescent="0.25">
      <c r="B116" s="2" t="str">
        <f>"HOSF0000164743"</f>
        <v>HOSF0000164743</v>
      </c>
      <c r="C116" s="6">
        <v>44434.619016203702</v>
      </c>
      <c r="D116" s="5">
        <v>347333</v>
      </c>
      <c r="E116" s="5">
        <v>347333</v>
      </c>
      <c r="F116" s="2" t="str">
        <f t="shared" si="4"/>
        <v>900226715</v>
      </c>
      <c r="G116" s="2" t="str">
        <f t="shared" si="5"/>
        <v>COOSALUD ENTIDAD PROMOTORA DE SALUD S.A.</v>
      </c>
    </row>
    <row r="117" spans="2:7" x14ac:dyDescent="0.25">
      <c r="B117" s="2" t="str">
        <f>"HOSF0000164914"</f>
        <v>HOSF0000164914</v>
      </c>
      <c r="C117" s="6">
        <v>44435.217210648145</v>
      </c>
      <c r="D117" s="5">
        <v>884264</v>
      </c>
      <c r="E117" s="5">
        <v>884264</v>
      </c>
      <c r="F117" s="2" t="str">
        <f t="shared" si="4"/>
        <v>900226715</v>
      </c>
      <c r="G117" s="2" t="str">
        <f t="shared" si="5"/>
        <v>COOSALUD ENTIDAD PROMOTORA DE SALUD S.A.</v>
      </c>
    </row>
    <row r="118" spans="2:7" x14ac:dyDescent="0.25">
      <c r="B118" s="2" t="str">
        <f>"HOSF0000165033"</f>
        <v>HOSF0000165033</v>
      </c>
      <c r="C118" s="6">
        <v>44435.327974537038</v>
      </c>
      <c r="D118" s="5">
        <v>154964</v>
      </c>
      <c r="E118" s="5">
        <v>154964</v>
      </c>
      <c r="F118" s="2" t="str">
        <f t="shared" si="4"/>
        <v>900226715</v>
      </c>
      <c r="G118" s="2" t="str">
        <f t="shared" si="5"/>
        <v>COOSALUD ENTIDAD PROMOTORA DE SALUD S.A.</v>
      </c>
    </row>
    <row r="119" spans="2:7" x14ac:dyDescent="0.25">
      <c r="B119" s="2" t="str">
        <f>"HOSF0000165382"</f>
        <v>HOSF0000165382</v>
      </c>
      <c r="C119" s="6">
        <v>44435.635787037034</v>
      </c>
      <c r="D119" s="5">
        <v>59700</v>
      </c>
      <c r="E119" s="5">
        <v>59700</v>
      </c>
      <c r="F119" s="2" t="str">
        <f t="shared" si="4"/>
        <v>900226715</v>
      </c>
      <c r="G119" s="2" t="str">
        <f t="shared" si="5"/>
        <v>COOSALUD ENTIDAD PROMOTORA DE SALUD S.A.</v>
      </c>
    </row>
    <row r="120" spans="2:7" x14ac:dyDescent="0.25">
      <c r="B120" s="2" t="str">
        <f>"HOSF0000165664"</f>
        <v>HOSF0000165664</v>
      </c>
      <c r="C120" s="6">
        <v>44436.716145833336</v>
      </c>
      <c r="D120" s="5">
        <v>61630</v>
      </c>
      <c r="E120" s="5">
        <v>11070</v>
      </c>
      <c r="F120" s="2" t="str">
        <f t="shared" si="4"/>
        <v>900226715</v>
      </c>
      <c r="G120" s="2" t="str">
        <f t="shared" si="5"/>
        <v>COOSALUD ENTIDAD PROMOTORA DE SALUD S.A.</v>
      </c>
    </row>
    <row r="121" spans="2:7" x14ac:dyDescent="0.25">
      <c r="B121" s="2" t="str">
        <f>"HOSF0000167983"</f>
        <v>HOSF0000167983</v>
      </c>
      <c r="C121" s="6">
        <v>44440.534907407404</v>
      </c>
      <c r="D121" s="5">
        <v>5617288</v>
      </c>
      <c r="E121" s="5">
        <v>1887718</v>
      </c>
      <c r="F121" s="2" t="str">
        <f t="shared" si="4"/>
        <v>900226715</v>
      </c>
      <c r="G121" s="2" t="str">
        <f t="shared" si="5"/>
        <v>COOSALUD ENTIDAD PROMOTORA DE SALUD S.A.</v>
      </c>
    </row>
    <row r="122" spans="2:7" x14ac:dyDescent="0.25">
      <c r="B122" s="2" t="str">
        <f>"HOSF0000168879"</f>
        <v>HOSF0000168879</v>
      </c>
      <c r="C122" s="6">
        <v>44441.701307870368</v>
      </c>
      <c r="D122" s="5">
        <v>961032</v>
      </c>
      <c r="E122" s="5">
        <v>961032</v>
      </c>
      <c r="F122" s="2" t="str">
        <f t="shared" si="4"/>
        <v>900226715</v>
      </c>
      <c r="G122" s="2" t="str">
        <f t="shared" si="5"/>
        <v>COOSALUD ENTIDAD PROMOTORA DE SALUD S.A.</v>
      </c>
    </row>
    <row r="123" spans="2:7" x14ac:dyDescent="0.25">
      <c r="B123" s="2" t="str">
        <f>"HOSF0000168951"</f>
        <v>HOSF0000168951</v>
      </c>
      <c r="C123" s="6">
        <v>44442.192048611112</v>
      </c>
      <c r="D123" s="5">
        <v>131871</v>
      </c>
      <c r="E123" s="5">
        <v>131871</v>
      </c>
      <c r="F123" s="2" t="str">
        <f t="shared" si="4"/>
        <v>900226715</v>
      </c>
      <c r="G123" s="2" t="str">
        <f t="shared" si="5"/>
        <v>COOSALUD ENTIDAD PROMOTORA DE SALUD S.A.</v>
      </c>
    </row>
    <row r="124" spans="2:7" x14ac:dyDescent="0.25">
      <c r="B124" s="2" t="str">
        <f>"HOSF0000169812"</f>
        <v>HOSF0000169812</v>
      </c>
      <c r="C124" s="6">
        <v>44444.75203703704</v>
      </c>
      <c r="D124" s="5">
        <v>704496</v>
      </c>
      <c r="E124" s="5">
        <v>704496</v>
      </c>
      <c r="F124" s="2" t="str">
        <f t="shared" si="4"/>
        <v>900226715</v>
      </c>
      <c r="G124" s="2" t="str">
        <f t="shared" si="5"/>
        <v>COOSALUD ENTIDAD PROMOTORA DE SALUD S.A.</v>
      </c>
    </row>
    <row r="125" spans="2:7" x14ac:dyDescent="0.25">
      <c r="B125" s="2" t="str">
        <f>"HOSF0000170424"</f>
        <v>HOSF0000170424</v>
      </c>
      <c r="C125" s="6">
        <v>44445.777326388888</v>
      </c>
      <c r="D125" s="5">
        <v>127546</v>
      </c>
      <c r="E125" s="5">
        <v>127546</v>
      </c>
      <c r="F125" s="2" t="str">
        <f t="shared" si="4"/>
        <v>900226715</v>
      </c>
      <c r="G125" s="2" t="str">
        <f t="shared" si="5"/>
        <v>COOSALUD ENTIDAD PROMOTORA DE SALUD S.A.</v>
      </c>
    </row>
    <row r="126" spans="2:7" x14ac:dyDescent="0.25">
      <c r="B126" s="2" t="str">
        <f>"HOSF0000173064"</f>
        <v>HOSF0000173064</v>
      </c>
      <c r="C126" s="6">
        <v>44450.62605324074</v>
      </c>
      <c r="D126" s="5">
        <v>70202</v>
      </c>
      <c r="E126" s="5">
        <v>70202</v>
      </c>
      <c r="F126" s="2" t="str">
        <f t="shared" si="4"/>
        <v>900226715</v>
      </c>
      <c r="G126" s="2" t="str">
        <f t="shared" si="5"/>
        <v>COOSALUD ENTIDAD PROMOTORA DE SALUD S.A.</v>
      </c>
    </row>
    <row r="127" spans="2:7" x14ac:dyDescent="0.25">
      <c r="B127" s="2" t="str">
        <f>"HOSF0000174567"</f>
        <v>HOSF0000174567</v>
      </c>
      <c r="C127" s="6">
        <v>44453.659513888888</v>
      </c>
      <c r="D127" s="5">
        <v>315100</v>
      </c>
      <c r="E127" s="5">
        <v>315100</v>
      </c>
      <c r="F127" s="2" t="str">
        <f t="shared" si="4"/>
        <v>900226715</v>
      </c>
      <c r="G127" s="2" t="str">
        <f t="shared" si="5"/>
        <v>COOSALUD ENTIDAD PROMOTORA DE SALUD S.A.</v>
      </c>
    </row>
    <row r="128" spans="2:7" x14ac:dyDescent="0.25">
      <c r="B128" s="2" t="str">
        <f>"HOSF0000177694"</f>
        <v>HOSF0000177694</v>
      </c>
      <c r="C128" s="6">
        <v>44459.637453703705</v>
      </c>
      <c r="D128" s="5">
        <v>657006</v>
      </c>
      <c r="E128" s="5">
        <v>657006</v>
      </c>
      <c r="F128" s="2" t="str">
        <f t="shared" si="4"/>
        <v>900226715</v>
      </c>
      <c r="G128" s="2" t="str">
        <f t="shared" si="5"/>
        <v>COOSALUD ENTIDAD PROMOTORA DE SALUD S.A.</v>
      </c>
    </row>
    <row r="129" spans="2:7" x14ac:dyDescent="0.25">
      <c r="B129" s="2" t="str">
        <f>"HOSF0000179023"</f>
        <v>HOSF0000179023</v>
      </c>
      <c r="C129" s="6">
        <v>44461.456585648149</v>
      </c>
      <c r="D129" s="5">
        <v>310308</v>
      </c>
      <c r="E129" s="5">
        <v>310308</v>
      </c>
      <c r="F129" s="2" t="str">
        <f t="shared" si="4"/>
        <v>900226715</v>
      </c>
      <c r="G129" s="2" t="str">
        <f t="shared" si="5"/>
        <v>COOSALUD ENTIDAD PROMOTORA DE SALUD S.A.</v>
      </c>
    </row>
    <row r="130" spans="2:7" x14ac:dyDescent="0.25">
      <c r="B130" s="2" t="str">
        <f>"HOSF0000179370"</f>
        <v>HOSF0000179370</v>
      </c>
      <c r="C130" s="6">
        <v>44462.281087962961</v>
      </c>
      <c r="D130" s="5">
        <v>71193</v>
      </c>
      <c r="E130" s="5">
        <v>71193</v>
      </c>
      <c r="F130" s="2" t="str">
        <f t="shared" si="4"/>
        <v>900226715</v>
      </c>
      <c r="G130" s="2" t="str">
        <f t="shared" si="5"/>
        <v>COOSALUD ENTIDAD PROMOTORA DE SALUD S.A.</v>
      </c>
    </row>
    <row r="131" spans="2:7" x14ac:dyDescent="0.25">
      <c r="B131" s="2" t="str">
        <f>"HOSF0000182687"</f>
        <v>HOSF0000182687</v>
      </c>
      <c r="C131" s="6">
        <v>44467.874537037038</v>
      </c>
      <c r="D131" s="5">
        <v>448001</v>
      </c>
      <c r="E131" s="5">
        <v>448001</v>
      </c>
      <c r="F131" s="2" t="str">
        <f t="shared" si="4"/>
        <v>900226715</v>
      </c>
      <c r="G131" s="2" t="str">
        <f t="shared" si="5"/>
        <v>COOSALUD ENTIDAD PROMOTORA DE SALUD S.A.</v>
      </c>
    </row>
    <row r="132" spans="2:7" x14ac:dyDescent="0.25">
      <c r="B132" s="2" t="str">
        <f>"HOSF0000186210"</f>
        <v>HOSF0000186210</v>
      </c>
      <c r="C132" s="6">
        <v>44473.709560185183</v>
      </c>
      <c r="D132" s="5">
        <v>59700</v>
      </c>
      <c r="E132" s="5">
        <v>59700</v>
      </c>
      <c r="F132" s="2" t="str">
        <f t="shared" si="4"/>
        <v>900226715</v>
      </c>
      <c r="G132" s="2" t="str">
        <f t="shared" si="5"/>
        <v>COOSALUD ENTIDAD PROMOTORA DE SALUD S.A.</v>
      </c>
    </row>
    <row r="133" spans="2:7" x14ac:dyDescent="0.25">
      <c r="B133" s="2" t="str">
        <f>"HOSF0000191372"</f>
        <v>HOSF0000191372</v>
      </c>
      <c r="C133" s="6">
        <v>44483.093321759261</v>
      </c>
      <c r="D133" s="5">
        <v>842871</v>
      </c>
      <c r="E133" s="5">
        <v>842871</v>
      </c>
      <c r="F133" s="2" t="str">
        <f t="shared" si="4"/>
        <v>900226715</v>
      </c>
      <c r="G133" s="2" t="str">
        <f t="shared" si="5"/>
        <v>COOSALUD ENTIDAD PROMOTORA DE SALUD S.A.</v>
      </c>
    </row>
    <row r="134" spans="2:7" x14ac:dyDescent="0.25">
      <c r="B134" s="2" t="str">
        <f>"HOSF0000194259"</f>
        <v>HOSF0000194259</v>
      </c>
      <c r="C134" s="6">
        <v>44489.234733796293</v>
      </c>
      <c r="D134" s="5">
        <v>341360</v>
      </c>
      <c r="E134" s="5">
        <v>341360</v>
      </c>
      <c r="F134" s="2" t="str">
        <f>"900226715"</f>
        <v>900226715</v>
      </c>
      <c r="G134" s="2" t="str">
        <f>"COOSALUD ENTIDAD PROMOTORA DE SALUD S.A."</f>
        <v>COOSALUD ENTIDAD PROMOTORA DE SALUD S.A.</v>
      </c>
    </row>
    <row r="135" spans="2:7" x14ac:dyDescent="0.25">
      <c r="B135" s="2" t="str">
        <f>"HOSF0000195722"</f>
        <v>HOSF0000195722</v>
      </c>
      <c r="C135" s="6">
        <v>44491.12259259259</v>
      </c>
      <c r="D135" s="5">
        <v>203808</v>
      </c>
      <c r="E135" s="5">
        <v>203808</v>
      </c>
      <c r="F135" s="2" t="str">
        <f>"900226715"</f>
        <v>900226715</v>
      </c>
      <c r="G135" s="2" t="str">
        <f>"COOSALUD ENTIDAD PROMOTORA DE SALUD S.A."</f>
        <v>COOSALUD ENTIDAD PROMOTORA DE SALUD S.A.</v>
      </c>
    </row>
    <row r="136" spans="2:7" x14ac:dyDescent="0.25">
      <c r="B136" s="2" t="str">
        <f>"HOSF0000198492"</f>
        <v>HOSF0000198492</v>
      </c>
      <c r="C136" s="6">
        <v>44495.730914351851</v>
      </c>
      <c r="D136" s="5">
        <v>385012</v>
      </c>
      <c r="E136" s="5">
        <v>385012</v>
      </c>
      <c r="F136" s="2" t="str">
        <f t="shared" ref="F136:F199" si="6">"900226715"</f>
        <v>900226715</v>
      </c>
      <c r="G136" s="2" t="str">
        <f t="shared" ref="G136:G199" si="7">"COOSALUD ENTIDAD PROMOTORA DE SALUD S.A."</f>
        <v>COOSALUD ENTIDAD PROMOTORA DE SALUD S.A.</v>
      </c>
    </row>
    <row r="137" spans="2:7" x14ac:dyDescent="0.25">
      <c r="B137" s="2" t="str">
        <f>"HOSF0000198505"</f>
        <v>HOSF0000198505</v>
      </c>
      <c r="C137" s="6">
        <v>44495.776319444441</v>
      </c>
      <c r="D137" s="5">
        <v>59700</v>
      </c>
      <c r="E137" s="5">
        <v>59700</v>
      </c>
      <c r="F137" s="2" t="str">
        <f t="shared" si="6"/>
        <v>900226715</v>
      </c>
      <c r="G137" s="2" t="str">
        <f t="shared" si="7"/>
        <v>COOSALUD ENTIDAD PROMOTORA DE SALUD S.A.</v>
      </c>
    </row>
    <row r="138" spans="2:7" x14ac:dyDescent="0.25">
      <c r="B138" s="2" t="str">
        <f>"HOSF0000199312"</f>
        <v>HOSF0000199312</v>
      </c>
      <c r="C138" s="6">
        <v>44496.817071759258</v>
      </c>
      <c r="D138" s="5">
        <v>216526</v>
      </c>
      <c r="E138" s="5">
        <v>216526</v>
      </c>
      <c r="F138" s="2" t="str">
        <f t="shared" si="6"/>
        <v>900226715</v>
      </c>
      <c r="G138" s="2" t="str">
        <f t="shared" si="7"/>
        <v>COOSALUD ENTIDAD PROMOTORA DE SALUD S.A.</v>
      </c>
    </row>
    <row r="139" spans="2:7" x14ac:dyDescent="0.25">
      <c r="B139" s="2" t="str">
        <f>"HOSF0000201956"</f>
        <v>HOSF0000201956</v>
      </c>
      <c r="C139" s="6">
        <v>44501.713483796295</v>
      </c>
      <c r="D139" s="5">
        <v>72118</v>
      </c>
      <c r="E139" s="5">
        <v>72118</v>
      </c>
      <c r="F139" s="2" t="str">
        <f t="shared" si="6"/>
        <v>900226715</v>
      </c>
      <c r="G139" s="2" t="str">
        <f t="shared" si="7"/>
        <v>COOSALUD ENTIDAD PROMOTORA DE SALUD S.A.</v>
      </c>
    </row>
    <row r="140" spans="2:7" x14ac:dyDescent="0.25">
      <c r="B140" s="2" t="str">
        <f>"HOSF0000202762"</f>
        <v>HOSF0000202762</v>
      </c>
      <c r="C140" s="6">
        <v>44503.227465277778</v>
      </c>
      <c r="D140" s="5">
        <v>77400</v>
      </c>
      <c r="E140" s="5">
        <v>77400</v>
      </c>
      <c r="F140" s="2" t="str">
        <f t="shared" si="6"/>
        <v>900226715</v>
      </c>
      <c r="G140" s="2" t="str">
        <f t="shared" si="7"/>
        <v>COOSALUD ENTIDAD PROMOTORA DE SALUD S.A.</v>
      </c>
    </row>
    <row r="141" spans="2:7" x14ac:dyDescent="0.25">
      <c r="B141" s="2" t="str">
        <f>"HOSF0000204061"</f>
        <v>HOSF0000204061</v>
      </c>
      <c r="C141" s="6">
        <v>44504.69222222222</v>
      </c>
      <c r="D141" s="5">
        <v>60358</v>
      </c>
      <c r="E141" s="5">
        <v>60358</v>
      </c>
      <c r="F141" s="2" t="str">
        <f t="shared" si="6"/>
        <v>900226715</v>
      </c>
      <c r="G141" s="2" t="str">
        <f t="shared" si="7"/>
        <v>COOSALUD ENTIDAD PROMOTORA DE SALUD S.A.</v>
      </c>
    </row>
    <row r="142" spans="2:7" x14ac:dyDescent="0.25">
      <c r="B142" s="2" t="str">
        <f>"HOSF0000204935"</f>
        <v>HOSF0000204935</v>
      </c>
      <c r="C142" s="6">
        <v>44507.540289351855</v>
      </c>
      <c r="D142" s="5">
        <v>371366</v>
      </c>
      <c r="E142" s="5">
        <v>371366</v>
      </c>
      <c r="F142" s="2" t="str">
        <f t="shared" si="6"/>
        <v>900226715</v>
      </c>
      <c r="G142" s="2" t="str">
        <f t="shared" si="7"/>
        <v>COOSALUD ENTIDAD PROMOTORA DE SALUD S.A.</v>
      </c>
    </row>
    <row r="143" spans="2:7" x14ac:dyDescent="0.25">
      <c r="B143" s="2" t="str">
        <f>"HOSF0000204936"</f>
        <v>HOSF0000204936</v>
      </c>
      <c r="C143" s="6">
        <v>44507.542037037034</v>
      </c>
      <c r="D143" s="5">
        <v>70245</v>
      </c>
      <c r="E143" s="5">
        <v>8014</v>
      </c>
      <c r="F143" s="2" t="str">
        <f t="shared" si="6"/>
        <v>900226715</v>
      </c>
      <c r="G143" s="2" t="str">
        <f t="shared" si="7"/>
        <v>COOSALUD ENTIDAD PROMOTORA DE SALUD S.A.</v>
      </c>
    </row>
    <row r="144" spans="2:7" x14ac:dyDescent="0.25">
      <c r="B144" s="2" t="str">
        <f>"HOSF0000206372"</f>
        <v>HOSF0000206372</v>
      </c>
      <c r="C144" s="6">
        <v>44509.991053240738</v>
      </c>
      <c r="D144" s="5">
        <v>73077</v>
      </c>
      <c r="E144" s="5">
        <v>73077</v>
      </c>
      <c r="F144" s="2" t="str">
        <f t="shared" si="6"/>
        <v>900226715</v>
      </c>
      <c r="G144" s="2" t="str">
        <f t="shared" si="7"/>
        <v>COOSALUD ENTIDAD PROMOTORA DE SALUD S.A.</v>
      </c>
    </row>
    <row r="145" spans="2:7" x14ac:dyDescent="0.25">
      <c r="B145" s="2" t="str">
        <f>"HOSF0000206601"</f>
        <v>HOSF0000206601</v>
      </c>
      <c r="C145" s="6">
        <v>44510.364571759259</v>
      </c>
      <c r="D145" s="5">
        <v>36300</v>
      </c>
      <c r="E145" s="5">
        <v>36300</v>
      </c>
      <c r="F145" s="2" t="str">
        <f t="shared" si="6"/>
        <v>900226715</v>
      </c>
      <c r="G145" s="2" t="str">
        <f t="shared" si="7"/>
        <v>COOSALUD ENTIDAD PROMOTORA DE SALUD S.A.</v>
      </c>
    </row>
    <row r="146" spans="2:7" x14ac:dyDescent="0.25">
      <c r="B146" s="2" t="str">
        <f>"HOSF0000207125"</f>
        <v>HOSF0000207125</v>
      </c>
      <c r="C146" s="6">
        <v>44510.873703703706</v>
      </c>
      <c r="D146" s="5">
        <v>163802</v>
      </c>
      <c r="E146" s="5">
        <v>163802</v>
      </c>
      <c r="F146" s="2" t="str">
        <f t="shared" si="6"/>
        <v>900226715</v>
      </c>
      <c r="G146" s="2" t="str">
        <f t="shared" si="7"/>
        <v>COOSALUD ENTIDAD PROMOTORA DE SALUD S.A.</v>
      </c>
    </row>
    <row r="147" spans="2:7" x14ac:dyDescent="0.25">
      <c r="B147" s="2" t="str">
        <f>"HOSF0000207148"</f>
        <v>HOSF0000207148</v>
      </c>
      <c r="C147" s="6">
        <v>44510.952511574076</v>
      </c>
      <c r="D147" s="5">
        <v>389291</v>
      </c>
      <c r="E147" s="5">
        <v>389291</v>
      </c>
      <c r="F147" s="2" t="str">
        <f t="shared" si="6"/>
        <v>900226715</v>
      </c>
      <c r="G147" s="2" t="str">
        <f t="shared" si="7"/>
        <v>COOSALUD ENTIDAD PROMOTORA DE SALUD S.A.</v>
      </c>
    </row>
    <row r="148" spans="2:7" x14ac:dyDescent="0.25">
      <c r="B148" s="2" t="str">
        <f>"HOSF0000211300"</f>
        <v>HOSF0000211300</v>
      </c>
      <c r="C148" s="6">
        <v>44519.485312500001</v>
      </c>
      <c r="D148" s="5">
        <v>59700</v>
      </c>
      <c r="E148" s="5">
        <v>59700</v>
      </c>
      <c r="F148" s="2" t="str">
        <f t="shared" si="6"/>
        <v>900226715</v>
      </c>
      <c r="G148" s="2" t="str">
        <f t="shared" si="7"/>
        <v>COOSALUD ENTIDAD PROMOTORA DE SALUD S.A.</v>
      </c>
    </row>
    <row r="149" spans="2:7" x14ac:dyDescent="0.25">
      <c r="B149" s="2" t="str">
        <f>"HOSF0000212208"</f>
        <v>HOSF0000212208</v>
      </c>
      <c r="C149" s="6">
        <v>44522.450949074075</v>
      </c>
      <c r="D149" s="5">
        <v>133144</v>
      </c>
      <c r="E149" s="5">
        <v>133144</v>
      </c>
      <c r="F149" s="2" t="str">
        <f t="shared" si="6"/>
        <v>900226715</v>
      </c>
      <c r="G149" s="2" t="str">
        <f t="shared" si="7"/>
        <v>COOSALUD ENTIDAD PROMOTORA DE SALUD S.A.</v>
      </c>
    </row>
    <row r="150" spans="2:7" x14ac:dyDescent="0.25">
      <c r="B150" s="2" t="str">
        <f>"HOSF0000214198"</f>
        <v>HOSF0000214198</v>
      </c>
      <c r="C150" s="6">
        <v>44525.409166666665</v>
      </c>
      <c r="D150" s="5">
        <v>1598710</v>
      </c>
      <c r="E150" s="5">
        <v>1598710</v>
      </c>
      <c r="F150" s="2" t="str">
        <f t="shared" si="6"/>
        <v>900226715</v>
      </c>
      <c r="G150" s="2" t="str">
        <f t="shared" si="7"/>
        <v>COOSALUD ENTIDAD PROMOTORA DE SALUD S.A.</v>
      </c>
    </row>
    <row r="151" spans="2:7" x14ac:dyDescent="0.25">
      <c r="B151" s="2" t="str">
        <f>"HOSF0000215383"</f>
        <v>HOSF0000215383</v>
      </c>
      <c r="C151" s="6">
        <v>44527.466921296298</v>
      </c>
      <c r="D151" s="5">
        <v>2414847</v>
      </c>
      <c r="E151" s="5">
        <v>2173900</v>
      </c>
      <c r="F151" s="2" t="str">
        <f t="shared" si="6"/>
        <v>900226715</v>
      </c>
      <c r="G151" s="2" t="str">
        <f t="shared" si="7"/>
        <v>COOSALUD ENTIDAD PROMOTORA DE SALUD S.A.</v>
      </c>
    </row>
    <row r="152" spans="2:7" x14ac:dyDescent="0.25">
      <c r="B152" s="2" t="str">
        <f>"HOSF0000215404"</f>
        <v>HOSF0000215404</v>
      </c>
      <c r="C152" s="6">
        <v>44527.514606481483</v>
      </c>
      <c r="D152" s="5">
        <v>369238</v>
      </c>
      <c r="E152" s="5">
        <v>369238</v>
      </c>
      <c r="F152" s="2" t="str">
        <f t="shared" si="6"/>
        <v>900226715</v>
      </c>
      <c r="G152" s="2" t="str">
        <f t="shared" si="7"/>
        <v>COOSALUD ENTIDAD PROMOTORA DE SALUD S.A.</v>
      </c>
    </row>
    <row r="153" spans="2:7" x14ac:dyDescent="0.25">
      <c r="B153" s="2" t="str">
        <f>"HOSF0000216541"</f>
        <v>HOSF0000216541</v>
      </c>
      <c r="C153" s="6">
        <v>44529.701481481483</v>
      </c>
      <c r="D153" s="5">
        <v>59700</v>
      </c>
      <c r="E153" s="5">
        <v>59700</v>
      </c>
      <c r="F153" s="2" t="str">
        <f t="shared" si="6"/>
        <v>900226715</v>
      </c>
      <c r="G153" s="2" t="str">
        <f t="shared" si="7"/>
        <v>COOSALUD ENTIDAD PROMOTORA DE SALUD S.A.</v>
      </c>
    </row>
    <row r="154" spans="2:7" x14ac:dyDescent="0.25">
      <c r="B154" s="2" t="str">
        <f>"HOSF0000217227"</f>
        <v>HOSF0000217227</v>
      </c>
      <c r="C154" s="6">
        <v>44530.489259259259</v>
      </c>
      <c r="D154" s="5">
        <v>365808</v>
      </c>
      <c r="E154" s="5">
        <v>269508</v>
      </c>
      <c r="F154" s="2" t="str">
        <f t="shared" si="6"/>
        <v>900226715</v>
      </c>
      <c r="G154" s="2" t="str">
        <f t="shared" si="7"/>
        <v>COOSALUD ENTIDAD PROMOTORA DE SALUD S.A.</v>
      </c>
    </row>
    <row r="155" spans="2:7" x14ac:dyDescent="0.25">
      <c r="B155" s="2" t="str">
        <f>"HOSF0000218321"</f>
        <v>HOSF0000218321</v>
      </c>
      <c r="C155" s="6">
        <v>44531.79</v>
      </c>
      <c r="D155" s="5">
        <v>99100</v>
      </c>
      <c r="E155" s="5">
        <v>99100</v>
      </c>
      <c r="F155" s="2" t="str">
        <f t="shared" si="6"/>
        <v>900226715</v>
      </c>
      <c r="G155" s="2" t="str">
        <f t="shared" si="7"/>
        <v>COOSALUD ENTIDAD PROMOTORA DE SALUD S.A.</v>
      </c>
    </row>
    <row r="156" spans="2:7" x14ac:dyDescent="0.25">
      <c r="B156" s="2" t="str">
        <f>"HOSF0000219946"</f>
        <v>HOSF0000219946</v>
      </c>
      <c r="C156" s="6">
        <v>44534.506701388891</v>
      </c>
      <c r="D156" s="5">
        <v>177162</v>
      </c>
      <c r="E156" s="5">
        <v>177162</v>
      </c>
      <c r="F156" s="2" t="str">
        <f t="shared" si="6"/>
        <v>900226715</v>
      </c>
      <c r="G156" s="2" t="str">
        <f t="shared" si="7"/>
        <v>COOSALUD ENTIDAD PROMOTORA DE SALUD S.A.</v>
      </c>
    </row>
    <row r="157" spans="2:7" x14ac:dyDescent="0.25">
      <c r="B157" s="2" t="str">
        <f>"HOSF0000220318"</f>
        <v>HOSF0000220318</v>
      </c>
      <c r="C157" s="6">
        <v>44536.199976851851</v>
      </c>
      <c r="D157" s="5">
        <v>258556</v>
      </c>
      <c r="E157" s="5">
        <v>25679</v>
      </c>
      <c r="F157" s="2" t="str">
        <f t="shared" si="6"/>
        <v>900226715</v>
      </c>
      <c r="G157" s="2" t="str">
        <f t="shared" si="7"/>
        <v>COOSALUD ENTIDAD PROMOTORA DE SALUD S.A.</v>
      </c>
    </row>
    <row r="158" spans="2:7" x14ac:dyDescent="0.25">
      <c r="B158" s="2" t="str">
        <f>"HOSF0000221738"</f>
        <v>HOSF0000221738</v>
      </c>
      <c r="C158" s="6">
        <v>44538.974664351852</v>
      </c>
      <c r="D158" s="5">
        <v>59700</v>
      </c>
      <c r="E158" s="5">
        <v>59700</v>
      </c>
      <c r="F158" s="2" t="str">
        <f t="shared" si="6"/>
        <v>900226715</v>
      </c>
      <c r="G158" s="2" t="str">
        <f t="shared" si="7"/>
        <v>COOSALUD ENTIDAD PROMOTORA DE SALUD S.A.</v>
      </c>
    </row>
    <row r="159" spans="2:7" x14ac:dyDescent="0.25">
      <c r="B159" s="2" t="str">
        <f>"HOSF0000224796"</f>
        <v>HOSF0000224796</v>
      </c>
      <c r="C159" s="6">
        <v>44544.840590277781</v>
      </c>
      <c r="D159" s="5">
        <v>736465</v>
      </c>
      <c r="E159" s="5">
        <v>736465</v>
      </c>
      <c r="F159" s="2" t="str">
        <f t="shared" si="6"/>
        <v>900226715</v>
      </c>
      <c r="G159" s="2" t="str">
        <f t="shared" si="7"/>
        <v>COOSALUD ENTIDAD PROMOTORA DE SALUD S.A.</v>
      </c>
    </row>
    <row r="160" spans="2:7" x14ac:dyDescent="0.25">
      <c r="B160" s="2" t="str">
        <f>"HOSF0000225151"</f>
        <v>HOSF0000225151</v>
      </c>
      <c r="C160" s="6">
        <v>44545.43273148148</v>
      </c>
      <c r="D160" s="5">
        <v>59700</v>
      </c>
      <c r="E160" s="5">
        <v>59700</v>
      </c>
      <c r="F160" s="2" t="str">
        <f t="shared" si="6"/>
        <v>900226715</v>
      </c>
      <c r="G160" s="2" t="str">
        <f t="shared" si="7"/>
        <v>COOSALUD ENTIDAD PROMOTORA DE SALUD S.A.</v>
      </c>
    </row>
    <row r="161" spans="2:7" x14ac:dyDescent="0.25">
      <c r="B161" s="2" t="str">
        <f>"HOSF0000229245"</f>
        <v>HOSF0000229245</v>
      </c>
      <c r="C161" s="6">
        <v>44553.38040509259</v>
      </c>
      <c r="D161" s="5">
        <v>65771</v>
      </c>
      <c r="E161" s="5">
        <v>65771</v>
      </c>
      <c r="F161" s="2" t="str">
        <f t="shared" si="6"/>
        <v>900226715</v>
      </c>
      <c r="G161" s="2" t="str">
        <f t="shared" si="7"/>
        <v>COOSALUD ENTIDAD PROMOTORA DE SALUD S.A.</v>
      </c>
    </row>
    <row r="162" spans="2:7" x14ac:dyDescent="0.25">
      <c r="B162" s="2" t="str">
        <f>"HOSF0000231134"</f>
        <v>HOSF0000231134</v>
      </c>
      <c r="C162" s="6">
        <v>44559.239525462966</v>
      </c>
      <c r="D162" s="5">
        <v>242799</v>
      </c>
      <c r="E162" s="5">
        <v>242799</v>
      </c>
      <c r="F162" s="2" t="str">
        <f t="shared" si="6"/>
        <v>900226715</v>
      </c>
      <c r="G162" s="2" t="str">
        <f t="shared" si="7"/>
        <v>COOSALUD ENTIDAD PROMOTORA DE SALUD S.A.</v>
      </c>
    </row>
    <row r="163" spans="2:7" x14ac:dyDescent="0.25">
      <c r="B163" s="2" t="str">
        <f>"HOSF0000231694"</f>
        <v>HOSF0000231694</v>
      </c>
      <c r="C163" s="6">
        <v>44559.915173611109</v>
      </c>
      <c r="D163" s="5">
        <v>1001600</v>
      </c>
      <c r="E163" s="5">
        <v>534900</v>
      </c>
      <c r="F163" s="2" t="str">
        <f t="shared" si="6"/>
        <v>900226715</v>
      </c>
      <c r="G163" s="2" t="str">
        <f t="shared" si="7"/>
        <v>COOSALUD ENTIDAD PROMOTORA DE SALUD S.A.</v>
      </c>
    </row>
    <row r="164" spans="2:7" x14ac:dyDescent="0.25">
      <c r="B164" s="2" t="str">
        <f>"HOSF0000231699"</f>
        <v>HOSF0000231699</v>
      </c>
      <c r="C164" s="6">
        <v>44559.92465277778</v>
      </c>
      <c r="D164" s="5">
        <v>360363</v>
      </c>
      <c r="E164" s="5">
        <v>360363</v>
      </c>
      <c r="F164" s="2" t="str">
        <f t="shared" si="6"/>
        <v>900226715</v>
      </c>
      <c r="G164" s="2" t="str">
        <f t="shared" si="7"/>
        <v>COOSALUD ENTIDAD PROMOTORA DE SALUD S.A.</v>
      </c>
    </row>
    <row r="165" spans="2:7" x14ac:dyDescent="0.25">
      <c r="B165" s="2" t="str">
        <f>"HOSF0000232650"</f>
        <v>HOSF0000232650</v>
      </c>
      <c r="C165" s="6">
        <v>44561.437118055554</v>
      </c>
      <c r="D165" s="5">
        <v>60698247</v>
      </c>
      <c r="E165" s="5">
        <v>21565765</v>
      </c>
      <c r="F165" s="2" t="str">
        <f t="shared" si="6"/>
        <v>900226715</v>
      </c>
      <c r="G165" s="2" t="str">
        <f t="shared" si="7"/>
        <v>COOSALUD ENTIDAD PROMOTORA DE SALUD S.A.</v>
      </c>
    </row>
    <row r="166" spans="2:7" x14ac:dyDescent="0.25">
      <c r="B166" s="2" t="str">
        <f>"HOSF0000232654"</f>
        <v>HOSF0000232654</v>
      </c>
      <c r="C166" s="6">
        <v>44561.449143518519</v>
      </c>
      <c r="D166" s="5">
        <v>59700</v>
      </c>
      <c r="E166" s="5">
        <v>59700</v>
      </c>
      <c r="F166" s="2" t="str">
        <f t="shared" si="6"/>
        <v>900226715</v>
      </c>
      <c r="G166" s="2" t="str">
        <f t="shared" si="7"/>
        <v>COOSALUD ENTIDAD PROMOTORA DE SALUD S.A.</v>
      </c>
    </row>
    <row r="167" spans="2:7" x14ac:dyDescent="0.25">
      <c r="B167" s="2" t="str">
        <f>"HOSF0000232760"</f>
        <v>HOSF0000232760</v>
      </c>
      <c r="C167" s="6">
        <v>44561.552199074074</v>
      </c>
      <c r="D167" s="5">
        <v>8099715</v>
      </c>
      <c r="E167" s="5">
        <v>8099715</v>
      </c>
      <c r="F167" s="2" t="str">
        <f t="shared" si="6"/>
        <v>900226715</v>
      </c>
      <c r="G167" s="2" t="str">
        <f t="shared" si="7"/>
        <v>COOSALUD ENTIDAD PROMOTORA DE SALUD S.A.</v>
      </c>
    </row>
    <row r="168" spans="2:7" x14ac:dyDescent="0.25">
      <c r="B168" s="2" t="str">
        <f>"HOSF0000232764"</f>
        <v>HOSF0000232764</v>
      </c>
      <c r="C168" s="6">
        <v>44561.563078703701</v>
      </c>
      <c r="D168" s="5">
        <v>622100</v>
      </c>
      <c r="E168" s="5">
        <v>622100</v>
      </c>
      <c r="F168" s="2" t="str">
        <f t="shared" si="6"/>
        <v>900226715</v>
      </c>
      <c r="G168" s="2" t="str">
        <f t="shared" si="7"/>
        <v>COOSALUD ENTIDAD PROMOTORA DE SALUD S.A.</v>
      </c>
    </row>
    <row r="169" spans="2:7" x14ac:dyDescent="0.25">
      <c r="B169" s="2" t="str">
        <f>"HOSF0000233503"</f>
        <v>HOSF0000233503</v>
      </c>
      <c r="C169" s="6">
        <v>44564.721273148149</v>
      </c>
      <c r="D169" s="5">
        <v>3432787</v>
      </c>
      <c r="E169" s="5">
        <v>432787</v>
      </c>
      <c r="F169" s="2" t="str">
        <f t="shared" si="6"/>
        <v>900226715</v>
      </c>
      <c r="G169" s="2" t="str">
        <f t="shared" si="7"/>
        <v>COOSALUD ENTIDAD PROMOTORA DE SALUD S.A.</v>
      </c>
    </row>
    <row r="170" spans="2:7" x14ac:dyDescent="0.25">
      <c r="B170" s="2" t="str">
        <f>"HOSF0000233504"</f>
        <v>HOSF0000233504</v>
      </c>
      <c r="C170" s="6">
        <v>44564.728703703702</v>
      </c>
      <c r="D170" s="5">
        <v>177800</v>
      </c>
      <c r="E170" s="5">
        <v>177800</v>
      </c>
      <c r="F170" s="2" t="str">
        <f t="shared" si="6"/>
        <v>900226715</v>
      </c>
      <c r="G170" s="2" t="str">
        <f t="shared" si="7"/>
        <v>COOSALUD ENTIDAD PROMOTORA DE SALUD S.A.</v>
      </c>
    </row>
    <row r="171" spans="2:7" x14ac:dyDescent="0.25">
      <c r="B171" s="2" t="str">
        <f>"HOSF0000234921"</f>
        <v>HOSF0000234921</v>
      </c>
      <c r="C171" s="6">
        <v>44567.897094907406</v>
      </c>
      <c r="D171" s="5">
        <v>354376</v>
      </c>
      <c r="E171" s="5">
        <v>354376</v>
      </c>
      <c r="F171" s="2" t="str">
        <f t="shared" si="6"/>
        <v>900226715</v>
      </c>
      <c r="G171" s="2" t="str">
        <f t="shared" si="7"/>
        <v>COOSALUD ENTIDAD PROMOTORA DE SALUD S.A.</v>
      </c>
    </row>
    <row r="172" spans="2:7" x14ac:dyDescent="0.25">
      <c r="B172" s="2" t="str">
        <f>"HOSF0000235548"</f>
        <v>HOSF0000235548</v>
      </c>
      <c r="C172" s="6">
        <v>44569.603368055556</v>
      </c>
      <c r="D172" s="5">
        <v>145700</v>
      </c>
      <c r="E172" s="5">
        <v>145700</v>
      </c>
      <c r="F172" s="2" t="str">
        <f t="shared" si="6"/>
        <v>900226715</v>
      </c>
      <c r="G172" s="2" t="str">
        <f t="shared" si="7"/>
        <v>COOSALUD ENTIDAD PROMOTORA DE SALUD S.A.</v>
      </c>
    </row>
    <row r="173" spans="2:7" x14ac:dyDescent="0.25">
      <c r="B173" s="2" t="str">
        <f>"HOSF0000237949"</f>
        <v>HOSF0000237949</v>
      </c>
      <c r="C173" s="6">
        <v>44576.089826388888</v>
      </c>
      <c r="D173" s="5">
        <v>279913</v>
      </c>
      <c r="E173" s="5">
        <v>279913</v>
      </c>
      <c r="F173" s="2" t="str">
        <f t="shared" si="6"/>
        <v>900226715</v>
      </c>
      <c r="G173" s="2" t="str">
        <f t="shared" si="7"/>
        <v>COOSALUD ENTIDAD PROMOTORA DE SALUD S.A.</v>
      </c>
    </row>
    <row r="174" spans="2:7" x14ac:dyDescent="0.25">
      <c r="B174" s="2" t="str">
        <f>"HOSF0000238120"</f>
        <v>HOSF0000238120</v>
      </c>
      <c r="C174" s="6">
        <v>44577.5466087963</v>
      </c>
      <c r="D174" s="5">
        <v>1667581</v>
      </c>
      <c r="E174" s="5">
        <v>1667581</v>
      </c>
      <c r="F174" s="2" t="str">
        <f t="shared" si="6"/>
        <v>900226715</v>
      </c>
      <c r="G174" s="2" t="str">
        <f t="shared" si="7"/>
        <v>COOSALUD ENTIDAD PROMOTORA DE SALUD S.A.</v>
      </c>
    </row>
    <row r="175" spans="2:7" x14ac:dyDescent="0.25">
      <c r="B175" s="2" t="str">
        <f>"HOSF0000241341"</f>
        <v>HOSF0000241341</v>
      </c>
      <c r="C175" s="6">
        <v>44583.683831018519</v>
      </c>
      <c r="D175" s="5">
        <v>150349</v>
      </c>
      <c r="E175" s="5">
        <v>150349</v>
      </c>
      <c r="F175" s="2" t="str">
        <f t="shared" si="6"/>
        <v>900226715</v>
      </c>
      <c r="G175" s="2" t="str">
        <f t="shared" si="7"/>
        <v>COOSALUD ENTIDAD PROMOTORA DE SALUD S.A.</v>
      </c>
    </row>
    <row r="176" spans="2:7" x14ac:dyDescent="0.25">
      <c r="B176" s="2" t="str">
        <f>"HOSF0000241427"</f>
        <v>HOSF0000241427</v>
      </c>
      <c r="C176" s="6">
        <v>44584.445671296293</v>
      </c>
      <c r="D176" s="5">
        <v>65700</v>
      </c>
      <c r="E176" s="5">
        <v>54886</v>
      </c>
      <c r="F176" s="2" t="str">
        <f t="shared" si="6"/>
        <v>900226715</v>
      </c>
      <c r="G176" s="2" t="str">
        <f t="shared" si="7"/>
        <v>COOSALUD ENTIDAD PROMOTORA DE SALUD S.A.</v>
      </c>
    </row>
    <row r="177" spans="2:7" x14ac:dyDescent="0.25">
      <c r="B177" s="2" t="str">
        <f>"HOSF0000242059"</f>
        <v>HOSF0000242059</v>
      </c>
      <c r="C177" s="6">
        <v>44585.980196759258</v>
      </c>
      <c r="D177" s="5">
        <v>140611</v>
      </c>
      <c r="E177" s="5">
        <v>140611</v>
      </c>
      <c r="F177" s="2" t="str">
        <f t="shared" si="6"/>
        <v>900226715</v>
      </c>
      <c r="G177" s="2" t="str">
        <f t="shared" si="7"/>
        <v>COOSALUD ENTIDAD PROMOTORA DE SALUD S.A.</v>
      </c>
    </row>
    <row r="178" spans="2:7" x14ac:dyDescent="0.25">
      <c r="B178" s="2" t="str">
        <f>"HOSF0000243283"</f>
        <v>HOSF0000243283</v>
      </c>
      <c r="C178" s="6">
        <v>44588.091678240744</v>
      </c>
      <c r="D178" s="5">
        <v>2479489</v>
      </c>
      <c r="E178" s="5">
        <v>2479489</v>
      </c>
      <c r="F178" s="2" t="str">
        <f t="shared" si="6"/>
        <v>900226715</v>
      </c>
      <c r="G178" s="2" t="str">
        <f t="shared" si="7"/>
        <v>COOSALUD ENTIDAD PROMOTORA DE SALUD S.A.</v>
      </c>
    </row>
    <row r="179" spans="2:7" x14ac:dyDescent="0.25">
      <c r="B179" s="2" t="str">
        <f>"HOSF0000243284"</f>
        <v>HOSF0000243284</v>
      </c>
      <c r="C179" s="6">
        <v>44588.094224537039</v>
      </c>
      <c r="D179" s="5">
        <v>65700</v>
      </c>
      <c r="E179" s="5">
        <v>65700</v>
      </c>
      <c r="F179" s="2" t="str">
        <f t="shared" si="6"/>
        <v>900226715</v>
      </c>
      <c r="G179" s="2" t="str">
        <f t="shared" si="7"/>
        <v>COOSALUD ENTIDAD PROMOTORA DE SALUD S.A.</v>
      </c>
    </row>
    <row r="180" spans="2:7" x14ac:dyDescent="0.25">
      <c r="B180" s="2" t="str">
        <f>"HOSF0000243910"</f>
        <v>HOSF0000243910</v>
      </c>
      <c r="C180" s="6">
        <v>44589.059050925927</v>
      </c>
      <c r="D180" s="5">
        <v>324387</v>
      </c>
      <c r="E180" s="5">
        <v>70395</v>
      </c>
      <c r="F180" s="2" t="str">
        <f t="shared" si="6"/>
        <v>900226715</v>
      </c>
      <c r="G180" s="2" t="str">
        <f t="shared" si="7"/>
        <v>COOSALUD ENTIDAD PROMOTORA DE SALUD S.A.</v>
      </c>
    </row>
    <row r="181" spans="2:7" x14ac:dyDescent="0.25">
      <c r="B181" s="2" t="str">
        <f>"HOSF0000244160"</f>
        <v>HOSF0000244160</v>
      </c>
      <c r="C181" s="6">
        <v>44589.437013888892</v>
      </c>
      <c r="D181" s="5">
        <v>3343300</v>
      </c>
      <c r="E181" s="5">
        <v>2050298</v>
      </c>
      <c r="F181" s="2" t="str">
        <f t="shared" si="6"/>
        <v>900226715</v>
      </c>
      <c r="G181" s="2" t="str">
        <f t="shared" si="7"/>
        <v>COOSALUD ENTIDAD PROMOTORA DE SALUD S.A.</v>
      </c>
    </row>
    <row r="182" spans="2:7" x14ac:dyDescent="0.25">
      <c r="B182" s="2" t="str">
        <f>"HOSF0000244296"</f>
        <v>HOSF0000244296</v>
      </c>
      <c r="C182" s="6">
        <v>44589.57104166667</v>
      </c>
      <c r="D182" s="5">
        <v>3195736</v>
      </c>
      <c r="E182" s="5">
        <v>3195736</v>
      </c>
      <c r="F182" s="2" t="str">
        <f t="shared" si="6"/>
        <v>900226715</v>
      </c>
      <c r="G182" s="2" t="str">
        <f t="shared" si="7"/>
        <v>COOSALUD ENTIDAD PROMOTORA DE SALUD S.A.</v>
      </c>
    </row>
    <row r="183" spans="2:7" x14ac:dyDescent="0.25">
      <c r="B183" s="2" t="str">
        <f>"HOSF0000244302"</f>
        <v>HOSF0000244302</v>
      </c>
      <c r="C183" s="6">
        <v>44589.57372685185</v>
      </c>
      <c r="D183" s="5">
        <v>65700</v>
      </c>
      <c r="E183" s="5">
        <v>65700</v>
      </c>
      <c r="F183" s="2" t="str">
        <f t="shared" si="6"/>
        <v>900226715</v>
      </c>
      <c r="G183" s="2" t="str">
        <f t="shared" si="7"/>
        <v>COOSALUD ENTIDAD PROMOTORA DE SALUD S.A.</v>
      </c>
    </row>
    <row r="184" spans="2:7" x14ac:dyDescent="0.25">
      <c r="B184" s="2" t="str">
        <f>"HOSF0000244766"</f>
        <v>HOSF0000244766</v>
      </c>
      <c r="C184" s="6">
        <v>44590.725069444445</v>
      </c>
      <c r="D184" s="5">
        <v>220078</v>
      </c>
      <c r="E184" s="5">
        <v>220078</v>
      </c>
      <c r="F184" s="2" t="str">
        <f t="shared" si="6"/>
        <v>900226715</v>
      </c>
      <c r="G184" s="2" t="str">
        <f t="shared" si="7"/>
        <v>COOSALUD ENTIDAD PROMOTORA DE SALUD S.A.</v>
      </c>
    </row>
    <row r="185" spans="2:7" x14ac:dyDescent="0.25">
      <c r="B185" s="2" t="str">
        <f>"HOSF0000245668"</f>
        <v>HOSF0000245668</v>
      </c>
      <c r="C185" s="6">
        <v>44592.84306712963</v>
      </c>
      <c r="D185" s="5">
        <v>129151</v>
      </c>
      <c r="E185" s="5">
        <v>129151</v>
      </c>
      <c r="F185" s="2" t="str">
        <f t="shared" si="6"/>
        <v>900226715</v>
      </c>
      <c r="G185" s="2" t="str">
        <f t="shared" si="7"/>
        <v>COOSALUD ENTIDAD PROMOTORA DE SALUD S.A.</v>
      </c>
    </row>
    <row r="186" spans="2:7" x14ac:dyDescent="0.25">
      <c r="B186" s="2" t="str">
        <f>"HOSF0000246090"</f>
        <v>HOSF0000246090</v>
      </c>
      <c r="C186" s="6">
        <v>44593.472268518519</v>
      </c>
      <c r="D186" s="5">
        <v>40000</v>
      </c>
      <c r="E186" s="5">
        <v>40000</v>
      </c>
      <c r="F186" s="2" t="str">
        <f t="shared" si="6"/>
        <v>900226715</v>
      </c>
      <c r="G186" s="2" t="str">
        <f t="shared" si="7"/>
        <v>COOSALUD ENTIDAD PROMOTORA DE SALUD S.A.</v>
      </c>
    </row>
    <row r="187" spans="2:7" x14ac:dyDescent="0.25">
      <c r="B187" s="2" t="str">
        <f>"HOSF0000246461"</f>
        <v>HOSF0000246461</v>
      </c>
      <c r="C187" s="6">
        <v>44594.21435185185</v>
      </c>
      <c r="D187" s="5">
        <v>305755</v>
      </c>
      <c r="E187" s="5">
        <v>305755</v>
      </c>
      <c r="F187" s="2" t="str">
        <f t="shared" si="6"/>
        <v>900226715</v>
      </c>
      <c r="G187" s="2" t="str">
        <f t="shared" si="7"/>
        <v>COOSALUD ENTIDAD PROMOTORA DE SALUD S.A.</v>
      </c>
    </row>
    <row r="188" spans="2:7" x14ac:dyDescent="0.25">
      <c r="B188" s="2" t="str">
        <f>"HOSF0000246462"</f>
        <v>HOSF0000246462</v>
      </c>
      <c r="C188" s="6">
        <v>44594.219652777778</v>
      </c>
      <c r="D188" s="5">
        <v>89000</v>
      </c>
      <c r="E188" s="5">
        <v>89000</v>
      </c>
      <c r="F188" s="2" t="str">
        <f t="shared" si="6"/>
        <v>900226715</v>
      </c>
      <c r="G188" s="2" t="str">
        <f t="shared" si="7"/>
        <v>COOSALUD ENTIDAD PROMOTORA DE SALUD S.A.</v>
      </c>
    </row>
    <row r="189" spans="2:7" x14ac:dyDescent="0.25">
      <c r="B189" s="2" t="str">
        <f>"HOSF0000248340"</f>
        <v>HOSF0000248340</v>
      </c>
      <c r="C189" s="6">
        <v>44596.65865740741</v>
      </c>
      <c r="D189" s="5">
        <v>95700</v>
      </c>
      <c r="E189" s="5">
        <v>95700</v>
      </c>
      <c r="F189" s="2" t="str">
        <f t="shared" si="6"/>
        <v>900226715</v>
      </c>
      <c r="G189" s="2" t="str">
        <f t="shared" si="7"/>
        <v>COOSALUD ENTIDAD PROMOTORA DE SALUD S.A.</v>
      </c>
    </row>
    <row r="190" spans="2:7" x14ac:dyDescent="0.25">
      <c r="B190" s="2" t="str">
        <f>"HOSF0000249212"</f>
        <v>HOSF0000249212</v>
      </c>
      <c r="C190" s="6">
        <v>44599.648090277777</v>
      </c>
      <c r="D190" s="5">
        <v>263500</v>
      </c>
      <c r="E190" s="5">
        <v>263500</v>
      </c>
      <c r="F190" s="2" t="str">
        <f t="shared" si="6"/>
        <v>900226715</v>
      </c>
      <c r="G190" s="2" t="str">
        <f t="shared" si="7"/>
        <v>COOSALUD ENTIDAD PROMOTORA DE SALUD S.A.</v>
      </c>
    </row>
    <row r="191" spans="2:7" x14ac:dyDescent="0.25">
      <c r="B191" s="2" t="str">
        <f>"HOSF0000251146"</f>
        <v>HOSF0000251146</v>
      </c>
      <c r="C191" s="6">
        <v>44602.785011574073</v>
      </c>
      <c r="D191" s="5">
        <v>68158</v>
      </c>
      <c r="E191" s="5">
        <v>68158</v>
      </c>
      <c r="F191" s="2" t="str">
        <f t="shared" si="6"/>
        <v>900226715</v>
      </c>
      <c r="G191" s="2" t="str">
        <f t="shared" si="7"/>
        <v>COOSALUD ENTIDAD PROMOTORA DE SALUD S.A.</v>
      </c>
    </row>
    <row r="192" spans="2:7" x14ac:dyDescent="0.25">
      <c r="B192" s="2" t="str">
        <f>"HOSF0000257199"</f>
        <v>HOSF0000257199</v>
      </c>
      <c r="C192" s="6">
        <v>44614.417673611111</v>
      </c>
      <c r="D192" s="5">
        <v>560800</v>
      </c>
      <c r="E192" s="5">
        <v>560800</v>
      </c>
      <c r="F192" s="2" t="str">
        <f t="shared" si="6"/>
        <v>900226715</v>
      </c>
      <c r="G192" s="2" t="str">
        <f t="shared" si="7"/>
        <v>COOSALUD ENTIDAD PROMOTORA DE SALUD S.A.</v>
      </c>
    </row>
    <row r="193" spans="2:7" x14ac:dyDescent="0.25">
      <c r="B193" s="2" t="str">
        <f>"HOSF0000257248"</f>
        <v>HOSF0000257248</v>
      </c>
      <c r="C193" s="6">
        <v>44614.444155092591</v>
      </c>
      <c r="D193" s="5">
        <v>13033254</v>
      </c>
      <c r="E193" s="5">
        <v>13033254</v>
      </c>
      <c r="F193" s="2" t="str">
        <f t="shared" si="6"/>
        <v>900226715</v>
      </c>
      <c r="G193" s="2" t="str">
        <f t="shared" si="7"/>
        <v>COOSALUD ENTIDAD PROMOTORA DE SALUD S.A.</v>
      </c>
    </row>
    <row r="194" spans="2:7" x14ac:dyDescent="0.25">
      <c r="B194" s="2" t="str">
        <f>"HOSF0000257341"</f>
        <v>HOSF0000257341</v>
      </c>
      <c r="C194" s="6">
        <v>44614.508506944447</v>
      </c>
      <c r="D194" s="5">
        <v>347472</v>
      </c>
      <c r="E194" s="5">
        <v>347472</v>
      </c>
      <c r="F194" s="2" t="str">
        <f t="shared" si="6"/>
        <v>900226715</v>
      </c>
      <c r="G194" s="2" t="str">
        <f t="shared" si="7"/>
        <v>COOSALUD ENTIDAD PROMOTORA DE SALUD S.A.</v>
      </c>
    </row>
    <row r="195" spans="2:7" x14ac:dyDescent="0.25">
      <c r="B195" s="2" t="str">
        <f>"HOSF0000257842"</f>
        <v>HOSF0000257842</v>
      </c>
      <c r="C195" s="6">
        <v>44615.391493055555</v>
      </c>
      <c r="D195" s="5">
        <v>196144</v>
      </c>
      <c r="E195" s="5">
        <v>196144</v>
      </c>
      <c r="F195" s="2" t="str">
        <f t="shared" si="6"/>
        <v>900226715</v>
      </c>
      <c r="G195" s="2" t="str">
        <f t="shared" si="7"/>
        <v>COOSALUD ENTIDAD PROMOTORA DE SALUD S.A.</v>
      </c>
    </row>
    <row r="196" spans="2:7" x14ac:dyDescent="0.25">
      <c r="B196" s="2" t="str">
        <f>"HOSF0000258263"</f>
        <v>HOSF0000258263</v>
      </c>
      <c r="C196" s="6">
        <v>44616.077523148146</v>
      </c>
      <c r="D196" s="5">
        <v>789885</v>
      </c>
      <c r="E196" s="5">
        <v>789885</v>
      </c>
      <c r="F196" s="2" t="str">
        <f t="shared" si="6"/>
        <v>900226715</v>
      </c>
      <c r="G196" s="2" t="str">
        <f t="shared" si="7"/>
        <v>COOSALUD ENTIDAD PROMOTORA DE SALUD S.A.</v>
      </c>
    </row>
    <row r="197" spans="2:7" x14ac:dyDescent="0.25">
      <c r="B197" s="2" t="str">
        <f>"HOSF0000258558"</f>
        <v>HOSF0000258558</v>
      </c>
      <c r="C197" s="6">
        <v>44616.412719907406</v>
      </c>
      <c r="D197" s="5">
        <v>219463</v>
      </c>
      <c r="E197" s="5">
        <v>219463</v>
      </c>
      <c r="F197" s="2" t="str">
        <f t="shared" si="6"/>
        <v>900226715</v>
      </c>
      <c r="G197" s="2" t="str">
        <f t="shared" si="7"/>
        <v>COOSALUD ENTIDAD PROMOTORA DE SALUD S.A.</v>
      </c>
    </row>
    <row r="198" spans="2:7" x14ac:dyDescent="0.25">
      <c r="B198" s="2" t="str">
        <f>"HOSF0000258794"</f>
        <v>HOSF0000258794</v>
      </c>
      <c r="C198" s="6">
        <v>44616.707928240743</v>
      </c>
      <c r="D198" s="5">
        <v>1513401</v>
      </c>
      <c r="E198" s="5">
        <v>1513401</v>
      </c>
      <c r="F198" s="2" t="str">
        <f t="shared" si="6"/>
        <v>900226715</v>
      </c>
      <c r="G198" s="2" t="str">
        <f t="shared" si="7"/>
        <v>COOSALUD ENTIDAD PROMOTORA DE SALUD S.A.</v>
      </c>
    </row>
    <row r="199" spans="2:7" x14ac:dyDescent="0.25">
      <c r="B199" s="2" t="str">
        <f>"HOSF0000259307"</f>
        <v>HOSF0000259307</v>
      </c>
      <c r="C199" s="6">
        <v>44617.441481481481</v>
      </c>
      <c r="D199" s="5">
        <v>949154</v>
      </c>
      <c r="E199" s="5">
        <v>949154</v>
      </c>
      <c r="F199" s="2" t="str">
        <f t="shared" si="6"/>
        <v>900226715</v>
      </c>
      <c r="G199" s="2" t="str">
        <f t="shared" si="7"/>
        <v>COOSALUD ENTIDAD PROMOTORA DE SALUD S.A.</v>
      </c>
    </row>
    <row r="200" spans="2:7" x14ac:dyDescent="0.25">
      <c r="B200" s="2" t="str">
        <f>"HOSF0000259341"</f>
        <v>HOSF0000259341</v>
      </c>
      <c r="C200" s="6">
        <v>44617.461064814815</v>
      </c>
      <c r="D200" s="5">
        <v>293700</v>
      </c>
      <c r="E200" s="5">
        <v>293700</v>
      </c>
      <c r="F200" s="2" t="str">
        <f t="shared" ref="F200:F221" si="8">"900226715"</f>
        <v>900226715</v>
      </c>
      <c r="G200" s="2" t="str">
        <f t="shared" ref="G200:G221" si="9">"COOSALUD ENTIDAD PROMOTORA DE SALUD S.A."</f>
        <v>COOSALUD ENTIDAD PROMOTORA DE SALUD S.A.</v>
      </c>
    </row>
    <row r="201" spans="2:7" x14ac:dyDescent="0.25">
      <c r="B201" s="2" t="str">
        <f>"HOSF0000260702"</f>
        <v>HOSF0000260702</v>
      </c>
      <c r="C201" s="6">
        <v>44620.722604166665</v>
      </c>
      <c r="D201" s="5">
        <v>234658</v>
      </c>
      <c r="E201" s="5">
        <v>234658</v>
      </c>
      <c r="F201" s="2" t="str">
        <f t="shared" si="8"/>
        <v>900226715</v>
      </c>
      <c r="G201" s="2" t="str">
        <f t="shared" si="9"/>
        <v>COOSALUD ENTIDAD PROMOTORA DE SALUD S.A.</v>
      </c>
    </row>
    <row r="202" spans="2:7" x14ac:dyDescent="0.25">
      <c r="B202" s="2" t="str">
        <f>"HOSF0000262694"</f>
        <v>HOSF0000262694</v>
      </c>
      <c r="C202" s="6">
        <v>44624.040208333332</v>
      </c>
      <c r="D202" s="5">
        <v>723315</v>
      </c>
      <c r="E202" s="5">
        <v>723315</v>
      </c>
      <c r="F202" s="2" t="str">
        <f t="shared" si="8"/>
        <v>900226715</v>
      </c>
      <c r="G202" s="2" t="str">
        <f t="shared" si="9"/>
        <v>COOSALUD ENTIDAD PROMOTORA DE SALUD S.A.</v>
      </c>
    </row>
    <row r="203" spans="2:7" x14ac:dyDescent="0.25">
      <c r="B203" s="2" t="str">
        <f>"HOSF0000263500"</f>
        <v>HOSF0000263500</v>
      </c>
      <c r="C203" s="6">
        <v>44625.029120370367</v>
      </c>
      <c r="D203" s="5">
        <v>110356</v>
      </c>
      <c r="E203" s="5">
        <v>110356</v>
      </c>
      <c r="F203" s="2" t="str">
        <f t="shared" si="8"/>
        <v>900226715</v>
      </c>
      <c r="G203" s="2" t="str">
        <f t="shared" si="9"/>
        <v>COOSALUD ENTIDAD PROMOTORA DE SALUD S.A.</v>
      </c>
    </row>
    <row r="204" spans="2:7" x14ac:dyDescent="0.25">
      <c r="B204" s="2" t="str">
        <f>"HOSF0000263532"</f>
        <v>HOSF0000263532</v>
      </c>
      <c r="C204" s="6">
        <v>44625.165092592593</v>
      </c>
      <c r="D204" s="5">
        <v>475086</v>
      </c>
      <c r="E204" s="5">
        <v>475086</v>
      </c>
      <c r="F204" s="2" t="str">
        <f t="shared" si="8"/>
        <v>900226715</v>
      </c>
      <c r="G204" s="2" t="str">
        <f t="shared" si="9"/>
        <v>COOSALUD ENTIDAD PROMOTORA DE SALUD S.A.</v>
      </c>
    </row>
    <row r="205" spans="2:7" x14ac:dyDescent="0.25">
      <c r="B205" s="2" t="str">
        <f>"HOSF0000263995"</f>
        <v>HOSF0000263995</v>
      </c>
      <c r="C205" s="6">
        <v>44626.891817129632</v>
      </c>
      <c r="D205" s="5">
        <v>542734</v>
      </c>
      <c r="E205" s="5">
        <v>542734</v>
      </c>
      <c r="F205" s="2" t="str">
        <f t="shared" si="8"/>
        <v>900226715</v>
      </c>
      <c r="G205" s="2" t="str">
        <f t="shared" si="9"/>
        <v>COOSALUD ENTIDAD PROMOTORA DE SALUD S.A.</v>
      </c>
    </row>
    <row r="206" spans="2:7" x14ac:dyDescent="0.25">
      <c r="B206" s="2" t="str">
        <f>"HOSF0000267808"</f>
        <v>HOSF0000267808</v>
      </c>
      <c r="C206" s="6">
        <v>44633.834710648145</v>
      </c>
      <c r="D206" s="5">
        <v>1504039</v>
      </c>
      <c r="E206" s="5">
        <v>1404639</v>
      </c>
      <c r="F206" s="2" t="str">
        <f t="shared" si="8"/>
        <v>900226715</v>
      </c>
      <c r="G206" s="2" t="str">
        <f t="shared" si="9"/>
        <v>COOSALUD ENTIDAD PROMOTORA DE SALUD S.A.</v>
      </c>
    </row>
    <row r="207" spans="2:7" x14ac:dyDescent="0.25">
      <c r="B207" s="2" t="str">
        <f>"HOSF0000268944"</f>
        <v>HOSF0000268944</v>
      </c>
      <c r="C207" s="6">
        <v>44635.423344907409</v>
      </c>
      <c r="D207" s="5">
        <v>211087</v>
      </c>
      <c r="E207" s="5">
        <v>211087</v>
      </c>
      <c r="F207" s="2" t="str">
        <f t="shared" si="8"/>
        <v>900226715</v>
      </c>
      <c r="G207" s="2" t="str">
        <f t="shared" si="9"/>
        <v>COOSALUD ENTIDAD PROMOTORA DE SALUD S.A.</v>
      </c>
    </row>
    <row r="208" spans="2:7" x14ac:dyDescent="0.25">
      <c r="B208" s="2" t="str">
        <f>"HOSF0000269331"</f>
        <v>HOSF0000269331</v>
      </c>
      <c r="C208" s="6">
        <v>44636.210810185185</v>
      </c>
      <c r="D208" s="5">
        <v>77359</v>
      </c>
      <c r="E208" s="5">
        <v>77359</v>
      </c>
      <c r="F208" s="2" t="str">
        <f t="shared" si="8"/>
        <v>900226715</v>
      </c>
      <c r="G208" s="2" t="str">
        <f t="shared" si="9"/>
        <v>COOSALUD ENTIDAD PROMOTORA DE SALUD S.A.</v>
      </c>
    </row>
    <row r="209" spans="2:7" x14ac:dyDescent="0.25">
      <c r="B209" s="2" t="str">
        <f>"HOSF0000270114"</f>
        <v>HOSF0000270114</v>
      </c>
      <c r="C209" s="6">
        <v>44637.080914351849</v>
      </c>
      <c r="D209" s="5">
        <v>65700</v>
      </c>
      <c r="E209" s="5">
        <v>65700</v>
      </c>
      <c r="F209" s="2" t="str">
        <f t="shared" si="8"/>
        <v>900226715</v>
      </c>
      <c r="G209" s="2" t="str">
        <f t="shared" si="9"/>
        <v>COOSALUD ENTIDAD PROMOTORA DE SALUD S.A.</v>
      </c>
    </row>
    <row r="210" spans="2:7" x14ac:dyDescent="0.25">
      <c r="B210" s="2" t="str">
        <f>"HOSF0000270118"</f>
        <v>HOSF0000270118</v>
      </c>
      <c r="C210" s="6">
        <v>44637.093587962961</v>
      </c>
      <c r="D210" s="5">
        <v>65700</v>
      </c>
      <c r="E210" s="5">
        <v>65700</v>
      </c>
      <c r="F210" s="2" t="str">
        <f t="shared" si="8"/>
        <v>900226715</v>
      </c>
      <c r="G210" s="2" t="str">
        <f t="shared" si="9"/>
        <v>COOSALUD ENTIDAD PROMOTORA DE SALUD S.A.</v>
      </c>
    </row>
    <row r="211" spans="2:7" x14ac:dyDescent="0.25">
      <c r="B211" s="2" t="str">
        <f>"HOSF0000272057"</f>
        <v>HOSF0000272057</v>
      </c>
      <c r="C211" s="6">
        <v>44641.680532407408</v>
      </c>
      <c r="D211" s="5">
        <v>151357</v>
      </c>
      <c r="E211" s="5">
        <v>151357</v>
      </c>
      <c r="F211" s="2" t="str">
        <f t="shared" si="8"/>
        <v>900226715</v>
      </c>
      <c r="G211" s="2" t="str">
        <f t="shared" si="9"/>
        <v>COOSALUD ENTIDAD PROMOTORA DE SALUD S.A.</v>
      </c>
    </row>
    <row r="212" spans="2:7" x14ac:dyDescent="0.25">
      <c r="B212" s="2" t="str">
        <f>"HOSF0000272172"</f>
        <v>HOSF0000272172</v>
      </c>
      <c r="C212" s="6">
        <v>44642.271655092591</v>
      </c>
      <c r="D212" s="5">
        <v>76466</v>
      </c>
      <c r="E212" s="5">
        <v>76466</v>
      </c>
      <c r="F212" s="2" t="str">
        <f t="shared" si="8"/>
        <v>900226715</v>
      </c>
      <c r="G212" s="2" t="str">
        <f t="shared" si="9"/>
        <v>COOSALUD ENTIDAD PROMOTORA DE SALUD S.A.</v>
      </c>
    </row>
    <row r="213" spans="2:7" x14ac:dyDescent="0.25">
      <c r="B213" s="2" t="str">
        <f>"HOSF0000272800"</f>
        <v>HOSF0000272800</v>
      </c>
      <c r="C213" s="6">
        <v>44643.002557870372</v>
      </c>
      <c r="D213" s="5">
        <v>832661</v>
      </c>
      <c r="E213" s="5">
        <v>832661</v>
      </c>
      <c r="F213" s="2" t="str">
        <f t="shared" si="8"/>
        <v>900226715</v>
      </c>
      <c r="G213" s="2" t="str">
        <f t="shared" si="9"/>
        <v>COOSALUD ENTIDAD PROMOTORA DE SALUD S.A.</v>
      </c>
    </row>
    <row r="214" spans="2:7" x14ac:dyDescent="0.25">
      <c r="B214" s="2" t="str">
        <f>"HOSF0000273414"</f>
        <v>HOSF0000273414</v>
      </c>
      <c r="C214" s="6">
        <v>44643.856805555559</v>
      </c>
      <c r="D214" s="5">
        <v>65700</v>
      </c>
      <c r="E214" s="5">
        <v>65700</v>
      </c>
      <c r="F214" s="2" t="str">
        <f t="shared" si="8"/>
        <v>900226715</v>
      </c>
      <c r="G214" s="2" t="str">
        <f t="shared" si="9"/>
        <v>COOSALUD ENTIDAD PROMOTORA DE SALUD S.A.</v>
      </c>
    </row>
    <row r="215" spans="2:7" x14ac:dyDescent="0.25">
      <c r="B215" s="2" t="str">
        <f>"HOSF0000276017"</f>
        <v>HOSF0000276017</v>
      </c>
      <c r="C215" s="6">
        <v>44648.623726851853</v>
      </c>
      <c r="D215" s="5">
        <v>65700</v>
      </c>
      <c r="E215" s="5">
        <v>65700</v>
      </c>
      <c r="F215" s="2" t="str">
        <f t="shared" si="8"/>
        <v>900226715</v>
      </c>
      <c r="G215" s="2" t="str">
        <f t="shared" si="9"/>
        <v>COOSALUD ENTIDAD PROMOTORA DE SALUD S.A.</v>
      </c>
    </row>
    <row r="216" spans="2:7" x14ac:dyDescent="0.25">
      <c r="B216" s="2" t="str">
        <f>"HOSF0000276185"</f>
        <v>HOSF0000276185</v>
      </c>
      <c r="C216" s="6">
        <v>44649.05259259259</v>
      </c>
      <c r="D216" s="5">
        <v>279731</v>
      </c>
      <c r="E216" s="5">
        <v>279731</v>
      </c>
      <c r="F216" s="2" t="str">
        <f t="shared" si="8"/>
        <v>900226715</v>
      </c>
      <c r="G216" s="2" t="str">
        <f t="shared" si="9"/>
        <v>COOSALUD ENTIDAD PROMOTORA DE SALUD S.A.</v>
      </c>
    </row>
    <row r="217" spans="2:7" x14ac:dyDescent="0.25">
      <c r="B217" s="2" t="str">
        <f>"HOSF0000276187"</f>
        <v>HOSF0000276187</v>
      </c>
      <c r="C217" s="6">
        <v>44649.059641203705</v>
      </c>
      <c r="D217" s="5">
        <v>360098</v>
      </c>
      <c r="E217" s="5">
        <v>360098</v>
      </c>
      <c r="F217" s="2" t="str">
        <f t="shared" si="8"/>
        <v>900226715</v>
      </c>
      <c r="G217" s="2" t="str">
        <f t="shared" si="9"/>
        <v>COOSALUD ENTIDAD PROMOTORA DE SALUD S.A.</v>
      </c>
    </row>
    <row r="218" spans="2:7" x14ac:dyDescent="0.25">
      <c r="B218" s="2" t="str">
        <f>"HOSF0000277035"</f>
        <v>HOSF0000277035</v>
      </c>
      <c r="C218" s="6">
        <v>44650.129837962966</v>
      </c>
      <c r="D218" s="5">
        <v>211105</v>
      </c>
      <c r="E218" s="5">
        <v>211105</v>
      </c>
      <c r="F218" s="2" t="str">
        <f t="shared" si="8"/>
        <v>900226715</v>
      </c>
      <c r="G218" s="2" t="str">
        <f t="shared" si="9"/>
        <v>COOSALUD ENTIDAD PROMOTORA DE SALUD S.A.</v>
      </c>
    </row>
    <row r="219" spans="2:7" x14ac:dyDescent="0.25">
      <c r="B219" s="2" t="str">
        <f>"HOSF0000277252"</f>
        <v>HOSF0000277252</v>
      </c>
      <c r="C219" s="6">
        <v>44650.343090277776</v>
      </c>
      <c r="D219" s="5">
        <v>27300</v>
      </c>
      <c r="E219" s="5">
        <v>27300</v>
      </c>
      <c r="F219" s="2" t="str">
        <f t="shared" si="8"/>
        <v>900226715</v>
      </c>
      <c r="G219" s="2" t="str">
        <f t="shared" si="9"/>
        <v>COOSALUD ENTIDAD PROMOTORA DE SALUD S.A.</v>
      </c>
    </row>
    <row r="220" spans="2:7" x14ac:dyDescent="0.25">
      <c r="B220" s="2" t="str">
        <f>"HOSF0000277894"</f>
        <v>HOSF0000277894</v>
      </c>
      <c r="C220" s="6">
        <v>44651.049328703702</v>
      </c>
      <c r="D220" s="5">
        <v>397104</v>
      </c>
      <c r="E220" s="5">
        <v>397104</v>
      </c>
      <c r="F220" s="2" t="str">
        <f t="shared" si="8"/>
        <v>900226715</v>
      </c>
      <c r="G220" s="2" t="str">
        <f t="shared" si="9"/>
        <v>COOSALUD ENTIDAD PROMOTORA DE SALUD S.A.</v>
      </c>
    </row>
    <row r="221" spans="2:7" x14ac:dyDescent="0.25">
      <c r="B221" s="2" t="str">
        <f>"HOSF0000278517"</f>
        <v>HOSF0000278517</v>
      </c>
      <c r="C221" s="6">
        <v>44651.65625</v>
      </c>
      <c r="D221" s="5">
        <v>78213</v>
      </c>
      <c r="E221" s="5">
        <v>78213</v>
      </c>
      <c r="F221" s="2" t="str">
        <f t="shared" si="8"/>
        <v>900226715</v>
      </c>
      <c r="G221" s="2" t="str">
        <f t="shared" si="9"/>
        <v>COOSALUD ENTIDAD PROMOTORA DE SALUD S.A.</v>
      </c>
    </row>
    <row r="222" spans="2:7" x14ac:dyDescent="0.25">
      <c r="B222" s="2" t="s">
        <v>8</v>
      </c>
      <c r="C222" s="6">
        <v>41530.697581018518</v>
      </c>
      <c r="D222" s="8">
        <v>88418</v>
      </c>
      <c r="E222" s="8">
        <v>43118</v>
      </c>
      <c r="F222" s="2" t="str">
        <f t="shared" ref="F222:F233" si="10">"800249241"</f>
        <v>800249241</v>
      </c>
      <c r="G222" s="2" t="str">
        <f t="shared" ref="G222:G233" si="11">"COOSALUD EPS-S"</f>
        <v>COOSALUD EPS-S</v>
      </c>
    </row>
    <row r="223" spans="2:7" x14ac:dyDescent="0.25">
      <c r="B223" s="2" t="s">
        <v>9</v>
      </c>
      <c r="C223" s="6">
        <v>41534.278252314813</v>
      </c>
      <c r="D223" s="8">
        <v>655164</v>
      </c>
      <c r="E223" s="8">
        <v>655164</v>
      </c>
      <c r="F223" s="2" t="str">
        <f t="shared" si="10"/>
        <v>800249241</v>
      </c>
      <c r="G223" s="2" t="str">
        <f t="shared" si="11"/>
        <v>COOSALUD EPS-S</v>
      </c>
    </row>
    <row r="224" spans="2:7" x14ac:dyDescent="0.25">
      <c r="B224" s="2" t="s">
        <v>10</v>
      </c>
      <c r="C224" s="6">
        <v>41641.831284722219</v>
      </c>
      <c r="D224" s="8">
        <v>40400</v>
      </c>
      <c r="E224" s="8">
        <v>40400</v>
      </c>
      <c r="F224" s="2" t="str">
        <f t="shared" si="10"/>
        <v>800249241</v>
      </c>
      <c r="G224" s="2" t="str">
        <f t="shared" si="11"/>
        <v>COOSALUD EPS-S</v>
      </c>
    </row>
    <row r="225" spans="2:7" x14ac:dyDescent="0.25">
      <c r="B225" s="2" t="s">
        <v>11</v>
      </c>
      <c r="C225" s="6">
        <v>41666.96303240741</v>
      </c>
      <c r="D225" s="8">
        <v>840311</v>
      </c>
      <c r="E225" s="8">
        <v>840311</v>
      </c>
      <c r="F225" s="2" t="str">
        <f t="shared" si="10"/>
        <v>800249241</v>
      </c>
      <c r="G225" s="2" t="str">
        <f t="shared" si="11"/>
        <v>COOSALUD EPS-S</v>
      </c>
    </row>
    <row r="226" spans="2:7" x14ac:dyDescent="0.25">
      <c r="B226" s="2" t="s">
        <v>12</v>
      </c>
      <c r="C226" s="6">
        <v>41724.792430555557</v>
      </c>
      <c r="D226" s="8">
        <v>3042560</v>
      </c>
      <c r="E226" s="8">
        <v>3042560</v>
      </c>
      <c r="F226" s="2" t="str">
        <f t="shared" si="10"/>
        <v>800249241</v>
      </c>
      <c r="G226" s="2" t="str">
        <f t="shared" si="11"/>
        <v>COOSALUD EPS-S</v>
      </c>
    </row>
    <row r="227" spans="2:7" x14ac:dyDescent="0.25">
      <c r="B227" s="2" t="s">
        <v>13</v>
      </c>
      <c r="C227" s="6">
        <v>41729.566608796296</v>
      </c>
      <c r="D227" s="8">
        <v>43454</v>
      </c>
      <c r="E227" s="8">
        <v>43454</v>
      </c>
      <c r="F227" s="2" t="str">
        <f t="shared" si="10"/>
        <v>800249241</v>
      </c>
      <c r="G227" s="2" t="str">
        <f t="shared" si="11"/>
        <v>COOSALUD EPS-S</v>
      </c>
    </row>
    <row r="228" spans="2:7" x14ac:dyDescent="0.25">
      <c r="B228" s="2" t="s">
        <v>14</v>
      </c>
      <c r="C228" s="6">
        <v>41746.362233796295</v>
      </c>
      <c r="D228" s="8">
        <v>377357</v>
      </c>
      <c r="E228" s="8">
        <v>377357</v>
      </c>
      <c r="F228" s="2" t="str">
        <f t="shared" si="10"/>
        <v>800249241</v>
      </c>
      <c r="G228" s="2" t="str">
        <f t="shared" si="11"/>
        <v>COOSALUD EPS-S</v>
      </c>
    </row>
    <row r="229" spans="2:7" x14ac:dyDescent="0.25">
      <c r="B229" s="2" t="s">
        <v>15</v>
      </c>
      <c r="C229" s="6">
        <v>41750.133252314816</v>
      </c>
      <c r="D229" s="8">
        <v>708726</v>
      </c>
      <c r="E229" s="8">
        <v>708726</v>
      </c>
      <c r="F229" s="2" t="str">
        <f t="shared" si="10"/>
        <v>800249241</v>
      </c>
      <c r="G229" s="2" t="str">
        <f t="shared" si="11"/>
        <v>COOSALUD EPS-S</v>
      </c>
    </row>
    <row r="230" spans="2:7" x14ac:dyDescent="0.25">
      <c r="B230" s="2" t="s">
        <v>16</v>
      </c>
      <c r="C230" s="6">
        <v>41834.791030092594</v>
      </c>
      <c r="D230" s="8">
        <v>1467371</v>
      </c>
      <c r="E230" s="8">
        <v>1467371</v>
      </c>
      <c r="F230" s="2" t="str">
        <f t="shared" si="10"/>
        <v>800249241</v>
      </c>
      <c r="G230" s="2" t="str">
        <f t="shared" si="11"/>
        <v>COOSALUD EPS-S</v>
      </c>
    </row>
    <row r="231" spans="2:7" x14ac:dyDescent="0.25">
      <c r="B231" s="2" t="s">
        <v>17</v>
      </c>
      <c r="C231" s="6">
        <v>41888.691030092596</v>
      </c>
      <c r="D231" s="8">
        <v>298147</v>
      </c>
      <c r="E231" s="8">
        <v>298147</v>
      </c>
      <c r="F231" s="2" t="str">
        <f t="shared" si="10"/>
        <v>800249241</v>
      </c>
      <c r="G231" s="2" t="str">
        <f t="shared" si="11"/>
        <v>COOSALUD EPS-S</v>
      </c>
    </row>
    <row r="232" spans="2:7" x14ac:dyDescent="0.25">
      <c r="B232" s="2" t="s">
        <v>18</v>
      </c>
      <c r="C232" s="6">
        <v>41905.463148148148</v>
      </c>
      <c r="D232" s="8">
        <v>291806</v>
      </c>
      <c r="E232" s="8">
        <v>291806</v>
      </c>
      <c r="F232" s="2" t="str">
        <f t="shared" si="10"/>
        <v>800249241</v>
      </c>
      <c r="G232" s="2" t="str">
        <f t="shared" si="11"/>
        <v>COOSALUD EPS-S</v>
      </c>
    </row>
    <row r="233" spans="2:7" x14ac:dyDescent="0.25">
      <c r="B233" s="2" t="s">
        <v>19</v>
      </c>
      <c r="C233" s="6">
        <v>42114.313622685186</v>
      </c>
      <c r="D233" s="8">
        <v>801600</v>
      </c>
      <c r="E233" s="8">
        <v>500200</v>
      </c>
      <c r="F233" s="2" t="str">
        <f t="shared" si="10"/>
        <v>800249241</v>
      </c>
      <c r="G233" s="2" t="str">
        <f t="shared" si="11"/>
        <v>COOSALUD EPS-S</v>
      </c>
    </row>
    <row r="234" spans="2:7" x14ac:dyDescent="0.25">
      <c r="B234" s="2" t="s">
        <v>20</v>
      </c>
      <c r="C234" s="6">
        <v>42325.510972222219</v>
      </c>
      <c r="D234" s="8">
        <v>4594171</v>
      </c>
      <c r="E234" s="8">
        <v>4594171</v>
      </c>
      <c r="F234" s="2" t="str">
        <f>"800249241"</f>
        <v>800249241</v>
      </c>
      <c r="G234" s="2" t="str">
        <f>"COOSALUD EPS-S"</f>
        <v>COOSALUD EPS-S</v>
      </c>
    </row>
    <row r="235" spans="2:7" x14ac:dyDescent="0.25">
      <c r="B235" s="2" t="s">
        <v>21</v>
      </c>
      <c r="C235" s="6">
        <v>42409.169641203705</v>
      </c>
      <c r="D235" s="8">
        <v>81982</v>
      </c>
      <c r="E235" s="8">
        <v>81982</v>
      </c>
      <c r="F235" s="2" t="str">
        <f t="shared" ref="F235:F236" si="12">"800249241"</f>
        <v>800249241</v>
      </c>
      <c r="G235" s="2" t="str">
        <f t="shared" ref="G235:G236" si="13">"COOSALUD EPS-S"</f>
        <v>COOSALUD EPS-S</v>
      </c>
    </row>
    <row r="236" spans="2:7" x14ac:dyDescent="0.25">
      <c r="B236" s="2" t="s">
        <v>22</v>
      </c>
      <c r="C236" s="6">
        <v>42414.083645833336</v>
      </c>
      <c r="D236" s="8">
        <v>1886259</v>
      </c>
      <c r="E236" s="8">
        <v>1886259</v>
      </c>
      <c r="F236" s="2" t="str">
        <f t="shared" si="12"/>
        <v>800249241</v>
      </c>
      <c r="G236" s="2" t="str">
        <f t="shared" si="13"/>
        <v>COOSALUD EPS-S</v>
      </c>
    </row>
    <row r="237" spans="2:7" x14ac:dyDescent="0.25">
      <c r="B237" s="2" t="s">
        <v>23</v>
      </c>
      <c r="C237" s="6">
        <v>42457.478541666664</v>
      </c>
      <c r="D237" s="8">
        <v>2356919</v>
      </c>
      <c r="E237" s="8">
        <v>207980</v>
      </c>
      <c r="F237" s="2" t="str">
        <f>"800249241"</f>
        <v>800249241</v>
      </c>
      <c r="G237" s="2" t="str">
        <f>"COOSALUD EPS-S"</f>
        <v>COOSALUD EPS-S</v>
      </c>
    </row>
    <row r="238" spans="2:7" x14ac:dyDescent="0.25">
      <c r="B238" s="2" t="s">
        <v>24</v>
      </c>
      <c r="C238" s="6">
        <v>42489.555532407408</v>
      </c>
      <c r="D238" s="8">
        <v>887883</v>
      </c>
      <c r="E238" s="8">
        <v>40470</v>
      </c>
      <c r="F238" s="2" t="str">
        <f>"800249241"</f>
        <v>800249241</v>
      </c>
      <c r="G238" s="2" t="str">
        <f>"COOSALUD EPS-S"</f>
        <v>COOSALUD EPS-S</v>
      </c>
    </row>
    <row r="239" spans="2:7" x14ac:dyDescent="0.25">
      <c r="B239" s="2" t="s">
        <v>25</v>
      </c>
      <c r="C239" s="6">
        <v>42492.406099537038</v>
      </c>
      <c r="D239" s="8">
        <v>1896804</v>
      </c>
      <c r="E239" s="8">
        <v>1517986</v>
      </c>
      <c r="F239" s="2" t="str">
        <f>"800249241"</f>
        <v>800249241</v>
      </c>
      <c r="G239" s="2" t="str">
        <f>"COOSALUD EPS-S"</f>
        <v>COOSALUD EPS-S</v>
      </c>
    </row>
    <row r="240" spans="2:7" x14ac:dyDescent="0.25">
      <c r="B240" s="2" t="s">
        <v>26</v>
      </c>
      <c r="C240" s="6">
        <v>42600.676666666666</v>
      </c>
      <c r="D240" s="8">
        <v>1798364</v>
      </c>
      <c r="E240" s="8">
        <v>1386200</v>
      </c>
      <c r="F240" s="2" t="str">
        <f t="shared" ref="F240:F244" si="14">"800249241"</f>
        <v>800249241</v>
      </c>
      <c r="G240" s="2" t="str">
        <f t="shared" ref="G240:G244" si="15">"COOSALUD EPS-S"</f>
        <v>COOSALUD EPS-S</v>
      </c>
    </row>
    <row r="241" spans="2:7" x14ac:dyDescent="0.25">
      <c r="B241" s="2" t="s">
        <v>27</v>
      </c>
      <c r="C241" s="6">
        <v>42625.207152777781</v>
      </c>
      <c r="D241" s="8">
        <v>163863</v>
      </c>
      <c r="E241" s="8">
        <v>13800</v>
      </c>
      <c r="F241" s="2" t="str">
        <f t="shared" si="14"/>
        <v>800249241</v>
      </c>
      <c r="G241" s="2" t="str">
        <f t="shared" si="15"/>
        <v>COOSALUD EPS-S</v>
      </c>
    </row>
    <row r="242" spans="2:7" x14ac:dyDescent="0.25">
      <c r="B242" s="2" t="s">
        <v>28</v>
      </c>
      <c r="C242" s="6">
        <v>42627.686782407407</v>
      </c>
      <c r="D242" s="8">
        <v>89686</v>
      </c>
      <c r="E242" s="8">
        <v>89686</v>
      </c>
      <c r="F242" s="2" t="str">
        <f t="shared" si="14"/>
        <v>800249241</v>
      </c>
      <c r="G242" s="2" t="str">
        <f t="shared" si="15"/>
        <v>COOSALUD EPS-S</v>
      </c>
    </row>
    <row r="243" spans="2:7" x14ac:dyDescent="0.25">
      <c r="B243" s="2" t="s">
        <v>29</v>
      </c>
      <c r="C243" s="6">
        <v>42628.318981481483</v>
      </c>
      <c r="D243" s="8">
        <v>170701</v>
      </c>
      <c r="E243" s="8">
        <v>55200</v>
      </c>
      <c r="F243" s="2" t="str">
        <f t="shared" si="14"/>
        <v>800249241</v>
      </c>
      <c r="G243" s="2" t="str">
        <f t="shared" si="15"/>
        <v>COOSALUD EPS-S</v>
      </c>
    </row>
    <row r="244" spans="2:7" x14ac:dyDescent="0.25">
      <c r="B244" s="2" t="s">
        <v>30</v>
      </c>
      <c r="C244" s="6">
        <v>42643.761990740742</v>
      </c>
      <c r="D244" s="8">
        <v>18456963</v>
      </c>
      <c r="E244" s="8">
        <v>1762476</v>
      </c>
      <c r="F244" s="2" t="str">
        <f t="shared" si="14"/>
        <v>800249241</v>
      </c>
      <c r="G244" s="2" t="str">
        <f t="shared" si="15"/>
        <v>COOSALUD EPS-S</v>
      </c>
    </row>
    <row r="245" spans="2:7" x14ac:dyDescent="0.25">
      <c r="B245" s="2" t="s">
        <v>31</v>
      </c>
      <c r="C245" s="6">
        <v>42674.689293981479</v>
      </c>
      <c r="D245" s="8">
        <v>1850851</v>
      </c>
      <c r="E245" s="8">
        <v>138600</v>
      </c>
      <c r="F245" s="2" t="str">
        <f>"800249241"</f>
        <v>800249241</v>
      </c>
      <c r="G245" s="2" t="str">
        <f>"COOSALUD EPS-S"</f>
        <v>COOSALUD EPS-S</v>
      </c>
    </row>
    <row r="246" spans="2:7" x14ac:dyDescent="0.25">
      <c r="B246" s="2" t="s">
        <v>32</v>
      </c>
      <c r="C246" s="6">
        <v>42675.332615740743</v>
      </c>
      <c r="D246" s="8">
        <v>1127900</v>
      </c>
      <c r="E246" s="8">
        <v>476175</v>
      </c>
      <c r="F246" s="2" t="str">
        <f>"800249241"</f>
        <v>800249241</v>
      </c>
      <c r="G246" s="2" t="str">
        <f>"COOSALUD EPS-S"</f>
        <v>COOSALUD EPS-S</v>
      </c>
    </row>
    <row r="247" spans="2:7" x14ac:dyDescent="0.25">
      <c r="B247" s="2" t="s">
        <v>33</v>
      </c>
      <c r="C247" s="6">
        <v>42677.719780092593</v>
      </c>
      <c r="D247" s="8">
        <v>2590454</v>
      </c>
      <c r="E247" s="8">
        <v>2590454</v>
      </c>
      <c r="F247" s="2" t="str">
        <f>"800249241"</f>
        <v>800249241</v>
      </c>
      <c r="G247" s="2" t="str">
        <f>"COOSALUD EPS-S"</f>
        <v>COOSALUD EPS-S</v>
      </c>
    </row>
    <row r="248" spans="2:7" x14ac:dyDescent="0.25">
      <c r="B248" s="2" t="s">
        <v>34</v>
      </c>
      <c r="C248" s="6">
        <v>42679.442361111112</v>
      </c>
      <c r="D248" s="8">
        <v>53395</v>
      </c>
      <c r="E248" s="8">
        <v>53395</v>
      </c>
      <c r="F248" s="2" t="str">
        <f>"800249241"</f>
        <v>800249241</v>
      </c>
      <c r="G248" s="2" t="str">
        <f>"COOSALUD EPS-S"</f>
        <v>COOSALUD EPS-S</v>
      </c>
    </row>
    <row r="249" spans="2:7" x14ac:dyDescent="0.25">
      <c r="B249" s="2" t="s">
        <v>35</v>
      </c>
      <c r="C249" s="6">
        <v>42696.509409722225</v>
      </c>
      <c r="D249" s="8">
        <v>1361808</v>
      </c>
      <c r="E249" s="8">
        <v>296400</v>
      </c>
      <c r="F249" s="2" t="str">
        <f t="shared" ref="F249:F298" si="16">"800249241"</f>
        <v>800249241</v>
      </c>
      <c r="G249" s="2" t="str">
        <f t="shared" ref="G249:G298" si="17">"COOSALUD EPS-S"</f>
        <v>COOSALUD EPS-S</v>
      </c>
    </row>
    <row r="250" spans="2:7" x14ac:dyDescent="0.25">
      <c r="B250" s="2" t="s">
        <v>36</v>
      </c>
      <c r="C250" s="6">
        <v>42733.698981481481</v>
      </c>
      <c r="D250" s="8">
        <v>2949368</v>
      </c>
      <c r="E250" s="8">
        <v>270600</v>
      </c>
      <c r="F250" s="2" t="str">
        <f t="shared" si="16"/>
        <v>800249241</v>
      </c>
      <c r="G250" s="2" t="str">
        <f t="shared" si="17"/>
        <v>COOSALUD EPS-S</v>
      </c>
    </row>
    <row r="251" spans="2:7" x14ac:dyDescent="0.25">
      <c r="B251" s="2" t="s">
        <v>37</v>
      </c>
      <c r="C251" s="6">
        <v>42735.151817129627</v>
      </c>
      <c r="D251" s="8">
        <v>257183</v>
      </c>
      <c r="E251" s="8">
        <v>257183</v>
      </c>
      <c r="F251" s="2" t="str">
        <f t="shared" si="16"/>
        <v>800249241</v>
      </c>
      <c r="G251" s="2" t="str">
        <f t="shared" si="17"/>
        <v>COOSALUD EPS-S</v>
      </c>
    </row>
    <row r="252" spans="2:7" x14ac:dyDescent="0.25">
      <c r="B252" s="2" t="s">
        <v>38</v>
      </c>
      <c r="C252" s="6">
        <v>42748.695856481485</v>
      </c>
      <c r="D252" s="8">
        <v>91136</v>
      </c>
      <c r="E252" s="8">
        <v>91136</v>
      </c>
      <c r="F252" s="2" t="str">
        <f t="shared" si="16"/>
        <v>800249241</v>
      </c>
      <c r="G252" s="2" t="str">
        <f t="shared" si="17"/>
        <v>COOSALUD EPS-S</v>
      </c>
    </row>
    <row r="253" spans="2:7" x14ac:dyDescent="0.25">
      <c r="B253" s="2" t="s">
        <v>39</v>
      </c>
      <c r="C253" s="6">
        <v>42751.008530092593</v>
      </c>
      <c r="D253" s="8">
        <v>314695</v>
      </c>
      <c r="E253" s="8">
        <v>314695</v>
      </c>
      <c r="F253" s="2" t="str">
        <f t="shared" si="16"/>
        <v>800249241</v>
      </c>
      <c r="G253" s="2" t="str">
        <f t="shared" si="17"/>
        <v>COOSALUD EPS-S</v>
      </c>
    </row>
    <row r="254" spans="2:7" x14ac:dyDescent="0.25">
      <c r="B254" s="2" t="s">
        <v>40</v>
      </c>
      <c r="C254" s="6">
        <v>42770.256574074076</v>
      </c>
      <c r="D254" s="8">
        <v>110383</v>
      </c>
      <c r="E254" s="8">
        <v>110383</v>
      </c>
      <c r="F254" s="2" t="str">
        <f t="shared" si="16"/>
        <v>800249241</v>
      </c>
      <c r="G254" s="2" t="str">
        <f t="shared" si="17"/>
        <v>COOSALUD EPS-S</v>
      </c>
    </row>
    <row r="255" spans="2:7" x14ac:dyDescent="0.25">
      <c r="B255" s="2" t="s">
        <v>41</v>
      </c>
      <c r="C255" s="6">
        <v>42784.515636574077</v>
      </c>
      <c r="D255" s="8">
        <v>172082</v>
      </c>
      <c r="E255" s="8">
        <v>172082</v>
      </c>
      <c r="F255" s="2" t="str">
        <f t="shared" si="16"/>
        <v>800249241</v>
      </c>
      <c r="G255" s="2" t="str">
        <f t="shared" si="17"/>
        <v>COOSALUD EPS-S</v>
      </c>
    </row>
    <row r="256" spans="2:7" x14ac:dyDescent="0.25">
      <c r="B256" s="2" t="s">
        <v>42</v>
      </c>
      <c r="C256" s="6">
        <v>42784.618368055555</v>
      </c>
      <c r="D256" s="8">
        <v>1036511</v>
      </c>
      <c r="E256" s="8">
        <v>654079</v>
      </c>
      <c r="F256" s="2" t="str">
        <f t="shared" si="16"/>
        <v>800249241</v>
      </c>
      <c r="G256" s="2" t="str">
        <f t="shared" si="17"/>
        <v>COOSALUD EPS-S</v>
      </c>
    </row>
    <row r="257" spans="2:7" x14ac:dyDescent="0.25">
      <c r="B257" s="2" t="s">
        <v>43</v>
      </c>
      <c r="C257" s="6">
        <v>42790.025752314818</v>
      </c>
      <c r="D257" s="8">
        <v>339313</v>
      </c>
      <c r="E257" s="8">
        <v>134701</v>
      </c>
      <c r="F257" s="2" t="str">
        <f t="shared" si="16"/>
        <v>800249241</v>
      </c>
      <c r="G257" s="2" t="str">
        <f t="shared" si="17"/>
        <v>COOSALUD EPS-S</v>
      </c>
    </row>
    <row r="258" spans="2:7" x14ac:dyDescent="0.25">
      <c r="B258" s="2" t="s">
        <v>44</v>
      </c>
      <c r="C258" s="6">
        <v>42796.288368055553</v>
      </c>
      <c r="D258" s="8">
        <v>497200</v>
      </c>
      <c r="E258" s="8">
        <v>59500</v>
      </c>
      <c r="F258" s="2" t="str">
        <f t="shared" si="16"/>
        <v>800249241</v>
      </c>
      <c r="G258" s="2" t="str">
        <f t="shared" si="17"/>
        <v>COOSALUD EPS-S</v>
      </c>
    </row>
    <row r="259" spans="2:7" x14ac:dyDescent="0.25">
      <c r="B259" s="2" t="s">
        <v>45</v>
      </c>
      <c r="C259" s="6">
        <v>42798.678888888891</v>
      </c>
      <c r="D259" s="8">
        <v>931679</v>
      </c>
      <c r="E259" s="8">
        <v>843725</v>
      </c>
      <c r="F259" s="2" t="str">
        <f t="shared" si="16"/>
        <v>800249241</v>
      </c>
      <c r="G259" s="2" t="str">
        <f t="shared" si="17"/>
        <v>COOSALUD EPS-S</v>
      </c>
    </row>
    <row r="260" spans="2:7" x14ac:dyDescent="0.25">
      <c r="B260" s="2" t="s">
        <v>46</v>
      </c>
      <c r="C260" s="6">
        <v>42798.869722222225</v>
      </c>
      <c r="D260" s="8">
        <v>49310</v>
      </c>
      <c r="E260" s="8">
        <v>49310</v>
      </c>
      <c r="F260" s="2" t="str">
        <f t="shared" si="16"/>
        <v>800249241</v>
      </c>
      <c r="G260" s="2" t="str">
        <f t="shared" si="17"/>
        <v>COOSALUD EPS-S</v>
      </c>
    </row>
    <row r="261" spans="2:7" x14ac:dyDescent="0.25">
      <c r="B261" s="2" t="s">
        <v>47</v>
      </c>
      <c r="C261" s="6">
        <v>42802.048055555555</v>
      </c>
      <c r="D261" s="8">
        <v>256156</v>
      </c>
      <c r="E261" s="8">
        <v>256156</v>
      </c>
      <c r="F261" s="2" t="str">
        <f t="shared" si="16"/>
        <v>800249241</v>
      </c>
      <c r="G261" s="2" t="str">
        <f t="shared" si="17"/>
        <v>COOSALUD EPS-S</v>
      </c>
    </row>
    <row r="262" spans="2:7" x14ac:dyDescent="0.25">
      <c r="B262" s="2" t="s">
        <v>48</v>
      </c>
      <c r="C262" s="6">
        <v>42811.692210648151</v>
      </c>
      <c r="D262" s="8">
        <v>1289253</v>
      </c>
      <c r="E262" s="8">
        <v>1025391</v>
      </c>
      <c r="F262" s="2" t="str">
        <f t="shared" si="16"/>
        <v>800249241</v>
      </c>
      <c r="G262" s="2" t="str">
        <f t="shared" si="17"/>
        <v>COOSALUD EPS-S</v>
      </c>
    </row>
    <row r="263" spans="2:7" x14ac:dyDescent="0.25">
      <c r="B263" s="2" t="s">
        <v>49</v>
      </c>
      <c r="C263" s="6">
        <v>42812.058113425926</v>
      </c>
      <c r="D263" s="8">
        <v>90318</v>
      </c>
      <c r="E263" s="8">
        <v>90318</v>
      </c>
      <c r="F263" s="2" t="str">
        <f t="shared" si="16"/>
        <v>800249241</v>
      </c>
      <c r="G263" s="2" t="str">
        <f t="shared" si="17"/>
        <v>COOSALUD EPS-S</v>
      </c>
    </row>
    <row r="264" spans="2:7" x14ac:dyDescent="0.25">
      <c r="B264" s="2" t="s">
        <v>50</v>
      </c>
      <c r="C264" s="6">
        <v>42814.834756944445</v>
      </c>
      <c r="D264" s="8">
        <v>277609</v>
      </c>
      <c r="E264" s="8">
        <v>277609</v>
      </c>
      <c r="F264" s="2" t="str">
        <f t="shared" si="16"/>
        <v>800249241</v>
      </c>
      <c r="G264" s="2" t="str">
        <f t="shared" si="17"/>
        <v>COOSALUD EPS-S</v>
      </c>
    </row>
    <row r="265" spans="2:7" x14ac:dyDescent="0.25">
      <c r="B265" s="2" t="s">
        <v>51</v>
      </c>
      <c r="C265" s="6">
        <v>42818.431064814817</v>
      </c>
      <c r="D265" s="8">
        <v>3290824</v>
      </c>
      <c r="E265" s="8">
        <v>840936</v>
      </c>
      <c r="F265" s="2" t="str">
        <f t="shared" si="16"/>
        <v>800249241</v>
      </c>
      <c r="G265" s="2" t="str">
        <f t="shared" si="17"/>
        <v>COOSALUD EPS-S</v>
      </c>
    </row>
    <row r="266" spans="2:7" x14ac:dyDescent="0.25">
      <c r="B266" s="2" t="s">
        <v>52</v>
      </c>
      <c r="C266" s="6">
        <v>42832.197708333333</v>
      </c>
      <c r="D266" s="8">
        <v>78487</v>
      </c>
      <c r="E266" s="8">
        <v>78487</v>
      </c>
      <c r="F266" s="2" t="str">
        <f t="shared" si="16"/>
        <v>800249241</v>
      </c>
      <c r="G266" s="2" t="str">
        <f t="shared" si="17"/>
        <v>COOSALUD EPS-S</v>
      </c>
    </row>
    <row r="267" spans="2:7" x14ac:dyDescent="0.25">
      <c r="B267" s="2" t="s">
        <v>53</v>
      </c>
      <c r="C267" s="6">
        <v>42836.612129629626</v>
      </c>
      <c r="D267" s="8">
        <v>259490</v>
      </c>
      <c r="E267" s="8">
        <v>259490</v>
      </c>
      <c r="F267" s="2" t="str">
        <f t="shared" si="16"/>
        <v>800249241</v>
      </c>
      <c r="G267" s="2" t="str">
        <f t="shared" si="17"/>
        <v>COOSALUD EPS-S</v>
      </c>
    </row>
    <row r="268" spans="2:7" x14ac:dyDescent="0.25">
      <c r="B268" s="2" t="s">
        <v>54</v>
      </c>
      <c r="C268" s="6">
        <v>42858.749398148146</v>
      </c>
      <c r="D268" s="8">
        <v>534429</v>
      </c>
      <c r="E268" s="8">
        <v>534429</v>
      </c>
      <c r="F268" s="2" t="str">
        <f t="shared" si="16"/>
        <v>800249241</v>
      </c>
      <c r="G268" s="2" t="str">
        <f t="shared" si="17"/>
        <v>COOSALUD EPS-S</v>
      </c>
    </row>
    <row r="269" spans="2:7" x14ac:dyDescent="0.25">
      <c r="B269" s="2" t="s">
        <v>55</v>
      </c>
      <c r="C269" s="6">
        <v>42876.833182870374</v>
      </c>
      <c r="D269" s="8">
        <v>545175</v>
      </c>
      <c r="E269" s="8">
        <v>545175</v>
      </c>
      <c r="F269" s="2" t="str">
        <f t="shared" si="16"/>
        <v>800249241</v>
      </c>
      <c r="G269" s="2" t="str">
        <f t="shared" si="17"/>
        <v>COOSALUD EPS-S</v>
      </c>
    </row>
    <row r="270" spans="2:7" x14ac:dyDescent="0.25">
      <c r="B270" s="2" t="s">
        <v>56</v>
      </c>
      <c r="C270" s="6">
        <v>42879.982858796298</v>
      </c>
      <c r="D270" s="8">
        <v>117023</v>
      </c>
      <c r="E270" s="8">
        <v>117023</v>
      </c>
      <c r="F270" s="2" t="str">
        <f t="shared" si="16"/>
        <v>800249241</v>
      </c>
      <c r="G270" s="2" t="str">
        <f t="shared" si="17"/>
        <v>COOSALUD EPS-S</v>
      </c>
    </row>
    <row r="271" spans="2:7" x14ac:dyDescent="0.25">
      <c r="B271" s="2" t="s">
        <v>57</v>
      </c>
      <c r="C271" s="6">
        <v>42880.042395833334</v>
      </c>
      <c r="D271" s="8">
        <v>48818</v>
      </c>
      <c r="E271" s="8">
        <v>48818</v>
      </c>
      <c r="F271" s="2" t="str">
        <f t="shared" si="16"/>
        <v>800249241</v>
      </c>
      <c r="G271" s="2" t="str">
        <f t="shared" si="17"/>
        <v>COOSALUD EPS-S</v>
      </c>
    </row>
    <row r="272" spans="2:7" x14ac:dyDescent="0.25">
      <c r="B272" s="2" t="s">
        <v>58</v>
      </c>
      <c r="C272" s="6">
        <v>42883.019756944443</v>
      </c>
      <c r="D272" s="8">
        <v>102774</v>
      </c>
      <c r="E272" s="8">
        <v>102774</v>
      </c>
      <c r="F272" s="2" t="str">
        <f t="shared" si="16"/>
        <v>800249241</v>
      </c>
      <c r="G272" s="2" t="str">
        <f t="shared" si="17"/>
        <v>COOSALUD EPS-S</v>
      </c>
    </row>
    <row r="273" spans="2:7" x14ac:dyDescent="0.25">
      <c r="B273" s="2" t="s">
        <v>59</v>
      </c>
      <c r="C273" s="6">
        <v>42884.842604166668</v>
      </c>
      <c r="D273" s="8">
        <v>418158</v>
      </c>
      <c r="E273" s="8">
        <v>418158</v>
      </c>
      <c r="F273" s="2" t="str">
        <f t="shared" si="16"/>
        <v>800249241</v>
      </c>
      <c r="G273" s="2" t="str">
        <f t="shared" si="17"/>
        <v>COOSALUD EPS-S</v>
      </c>
    </row>
    <row r="274" spans="2:7" x14ac:dyDescent="0.25">
      <c r="B274" s="2" t="s">
        <v>60</v>
      </c>
      <c r="C274" s="6">
        <v>42886.738067129627</v>
      </c>
      <c r="D274" s="8">
        <v>320374</v>
      </c>
      <c r="E274" s="8">
        <v>320374</v>
      </c>
      <c r="F274" s="2" t="str">
        <f t="shared" si="16"/>
        <v>800249241</v>
      </c>
      <c r="G274" s="2" t="str">
        <f t="shared" si="17"/>
        <v>COOSALUD EPS-S</v>
      </c>
    </row>
    <row r="275" spans="2:7" x14ac:dyDescent="0.25">
      <c r="B275" s="2" t="s">
        <v>61</v>
      </c>
      <c r="C275" s="6">
        <v>42907.677743055552</v>
      </c>
      <c r="D275" s="8">
        <v>2788724</v>
      </c>
      <c r="E275" s="8">
        <v>2788724</v>
      </c>
      <c r="F275" s="2" t="str">
        <f t="shared" si="16"/>
        <v>800249241</v>
      </c>
      <c r="G275" s="2" t="str">
        <f t="shared" si="17"/>
        <v>COOSALUD EPS-S</v>
      </c>
    </row>
    <row r="276" spans="2:7" x14ac:dyDescent="0.25">
      <c r="B276" s="2" t="s">
        <v>62</v>
      </c>
      <c r="C276" s="6">
        <v>42907.89947916667</v>
      </c>
      <c r="D276" s="8">
        <v>48808</v>
      </c>
      <c r="E276" s="8">
        <v>48808</v>
      </c>
      <c r="F276" s="2" t="str">
        <f t="shared" si="16"/>
        <v>800249241</v>
      </c>
      <c r="G276" s="2" t="str">
        <f t="shared" si="17"/>
        <v>COOSALUD EPS-S</v>
      </c>
    </row>
    <row r="277" spans="2:7" x14ac:dyDescent="0.25">
      <c r="B277" s="2" t="s">
        <v>63</v>
      </c>
      <c r="C277" s="6">
        <v>42911.615740740737</v>
      </c>
      <c r="D277" s="8">
        <v>49064</v>
      </c>
      <c r="E277" s="8">
        <v>49064</v>
      </c>
      <c r="F277" s="2" t="str">
        <f t="shared" si="16"/>
        <v>800249241</v>
      </c>
      <c r="G277" s="2" t="str">
        <f t="shared" si="17"/>
        <v>COOSALUD EPS-S</v>
      </c>
    </row>
    <row r="278" spans="2:7" x14ac:dyDescent="0.25">
      <c r="B278" s="2" t="s">
        <v>64</v>
      </c>
      <c r="C278" s="6">
        <v>42917.171481481484</v>
      </c>
      <c r="D278" s="8">
        <v>49280</v>
      </c>
      <c r="E278" s="8">
        <v>49280</v>
      </c>
      <c r="F278" s="2" t="str">
        <f t="shared" si="16"/>
        <v>800249241</v>
      </c>
      <c r="G278" s="2" t="str">
        <f t="shared" si="17"/>
        <v>COOSALUD EPS-S</v>
      </c>
    </row>
    <row r="279" spans="2:7" x14ac:dyDescent="0.25">
      <c r="B279" s="2" t="s">
        <v>65</v>
      </c>
      <c r="C279" s="6">
        <v>42926.697893518518</v>
      </c>
      <c r="D279" s="8">
        <v>186059</v>
      </c>
      <c r="E279" s="8">
        <v>167459</v>
      </c>
      <c r="F279" s="2" t="str">
        <f t="shared" si="16"/>
        <v>800249241</v>
      </c>
      <c r="G279" s="2" t="str">
        <f t="shared" si="17"/>
        <v>COOSALUD EPS-S</v>
      </c>
    </row>
    <row r="280" spans="2:7" x14ac:dyDescent="0.25">
      <c r="B280" s="2" t="s">
        <v>66</v>
      </c>
      <c r="C280" s="6">
        <v>42929.722685185188</v>
      </c>
      <c r="D280" s="8">
        <v>2506443</v>
      </c>
      <c r="E280" s="8">
        <v>2506443</v>
      </c>
      <c r="F280" s="2" t="str">
        <f t="shared" si="16"/>
        <v>800249241</v>
      </c>
      <c r="G280" s="2" t="str">
        <f t="shared" si="17"/>
        <v>COOSALUD EPS-S</v>
      </c>
    </row>
    <row r="281" spans="2:7" x14ac:dyDescent="0.25">
      <c r="B281" s="2" t="s">
        <v>67</v>
      </c>
      <c r="C281" s="6">
        <v>42938.706261574072</v>
      </c>
      <c r="D281" s="8">
        <v>7463729</v>
      </c>
      <c r="E281" s="8">
        <v>7463729</v>
      </c>
      <c r="F281" s="2" t="str">
        <f t="shared" si="16"/>
        <v>800249241</v>
      </c>
      <c r="G281" s="2" t="str">
        <f t="shared" si="17"/>
        <v>COOSALUD EPS-S</v>
      </c>
    </row>
    <row r="282" spans="2:7" x14ac:dyDescent="0.25">
      <c r="B282" s="2" t="s">
        <v>68</v>
      </c>
      <c r="C282" s="6">
        <v>42939.160763888889</v>
      </c>
      <c r="D282" s="8">
        <v>515688</v>
      </c>
      <c r="E282" s="8">
        <v>502688</v>
      </c>
      <c r="F282" s="2" t="str">
        <f t="shared" si="16"/>
        <v>800249241</v>
      </c>
      <c r="G282" s="2" t="str">
        <f t="shared" si="17"/>
        <v>COOSALUD EPS-S</v>
      </c>
    </row>
    <row r="283" spans="2:7" x14ac:dyDescent="0.25">
      <c r="B283" s="2" t="s">
        <v>69</v>
      </c>
      <c r="C283" s="6">
        <v>42951.05740740741</v>
      </c>
      <c r="D283" s="8">
        <v>54484</v>
      </c>
      <c r="E283" s="8">
        <v>54484</v>
      </c>
      <c r="F283" s="2" t="str">
        <f t="shared" si="16"/>
        <v>800249241</v>
      </c>
      <c r="G283" s="2" t="str">
        <f t="shared" si="17"/>
        <v>COOSALUD EPS-S</v>
      </c>
    </row>
    <row r="284" spans="2:7" x14ac:dyDescent="0.25">
      <c r="B284" s="2" t="s">
        <v>70</v>
      </c>
      <c r="C284" s="6">
        <v>42952.688773148147</v>
      </c>
      <c r="D284" s="8">
        <v>261900</v>
      </c>
      <c r="E284" s="8">
        <v>261900</v>
      </c>
      <c r="F284" s="2" t="str">
        <f t="shared" si="16"/>
        <v>800249241</v>
      </c>
      <c r="G284" s="2" t="str">
        <f t="shared" si="17"/>
        <v>COOSALUD EPS-S</v>
      </c>
    </row>
    <row r="285" spans="2:7" x14ac:dyDescent="0.25">
      <c r="B285" s="2" t="s">
        <v>71</v>
      </c>
      <c r="C285" s="6">
        <v>42956.790243055555</v>
      </c>
      <c r="D285" s="8">
        <v>184989</v>
      </c>
      <c r="E285" s="8">
        <v>184989</v>
      </c>
      <c r="F285" s="2" t="str">
        <f t="shared" si="16"/>
        <v>800249241</v>
      </c>
      <c r="G285" s="2" t="str">
        <f t="shared" si="17"/>
        <v>COOSALUD EPS-S</v>
      </c>
    </row>
    <row r="286" spans="2:7" x14ac:dyDescent="0.25">
      <c r="B286" s="2" t="s">
        <v>72</v>
      </c>
      <c r="C286" s="6">
        <v>42966.549618055556</v>
      </c>
      <c r="D286" s="8">
        <v>103436</v>
      </c>
      <c r="E286" s="8">
        <v>103436</v>
      </c>
      <c r="F286" s="2" t="str">
        <f t="shared" si="16"/>
        <v>800249241</v>
      </c>
      <c r="G286" s="2" t="str">
        <f t="shared" si="17"/>
        <v>COOSALUD EPS-S</v>
      </c>
    </row>
    <row r="287" spans="2:7" x14ac:dyDescent="0.25">
      <c r="B287" s="2" t="s">
        <v>73</v>
      </c>
      <c r="C287" s="6">
        <v>42975.909942129627</v>
      </c>
      <c r="D287" s="8">
        <v>193847</v>
      </c>
      <c r="E287" s="8">
        <v>193847</v>
      </c>
      <c r="F287" s="2" t="str">
        <f t="shared" si="16"/>
        <v>800249241</v>
      </c>
      <c r="G287" s="2" t="str">
        <f t="shared" si="17"/>
        <v>COOSALUD EPS-S</v>
      </c>
    </row>
    <row r="288" spans="2:7" x14ac:dyDescent="0.25">
      <c r="B288" s="2" t="s">
        <v>74</v>
      </c>
      <c r="C288" s="6">
        <v>42978.92796296296</v>
      </c>
      <c r="D288" s="8">
        <v>110053</v>
      </c>
      <c r="E288" s="8">
        <v>110053</v>
      </c>
      <c r="F288" s="2" t="str">
        <f t="shared" si="16"/>
        <v>800249241</v>
      </c>
      <c r="G288" s="2" t="str">
        <f t="shared" si="17"/>
        <v>COOSALUD EPS-S</v>
      </c>
    </row>
    <row r="289" spans="2:7" x14ac:dyDescent="0.25">
      <c r="B289" s="2" t="s">
        <v>75</v>
      </c>
      <c r="C289" s="6">
        <v>42980.970092592594</v>
      </c>
      <c r="D289" s="8">
        <v>48400</v>
      </c>
      <c r="E289" s="8">
        <v>48400</v>
      </c>
      <c r="F289" s="2" t="str">
        <f t="shared" si="16"/>
        <v>800249241</v>
      </c>
      <c r="G289" s="2" t="str">
        <f t="shared" si="17"/>
        <v>COOSALUD EPS-S</v>
      </c>
    </row>
    <row r="290" spans="2:7" x14ac:dyDescent="0.25">
      <c r="B290" s="2" t="s">
        <v>76</v>
      </c>
      <c r="C290" s="6">
        <v>42989.576145833336</v>
      </c>
      <c r="D290" s="8">
        <v>667142</v>
      </c>
      <c r="E290" s="8">
        <v>667142</v>
      </c>
      <c r="F290" s="2" t="str">
        <f t="shared" si="16"/>
        <v>800249241</v>
      </c>
      <c r="G290" s="2" t="str">
        <f t="shared" si="17"/>
        <v>COOSALUD EPS-S</v>
      </c>
    </row>
    <row r="291" spans="2:7" x14ac:dyDescent="0.25">
      <c r="B291" s="2" t="s">
        <v>77</v>
      </c>
      <c r="C291" s="6">
        <v>42991.630219907405</v>
      </c>
      <c r="D291" s="8">
        <v>925716</v>
      </c>
      <c r="E291" s="8">
        <v>925716</v>
      </c>
      <c r="F291" s="2" t="str">
        <f t="shared" si="16"/>
        <v>800249241</v>
      </c>
      <c r="G291" s="2" t="str">
        <f t="shared" si="17"/>
        <v>COOSALUD EPS-S</v>
      </c>
    </row>
    <row r="292" spans="2:7" x14ac:dyDescent="0.25">
      <c r="B292" s="2" t="s">
        <v>78</v>
      </c>
      <c r="C292" s="6">
        <v>42995.819803240738</v>
      </c>
      <c r="D292" s="8">
        <v>138751</v>
      </c>
      <c r="E292" s="8">
        <v>138751</v>
      </c>
      <c r="F292" s="2" t="str">
        <f t="shared" si="16"/>
        <v>800249241</v>
      </c>
      <c r="G292" s="2" t="str">
        <f t="shared" si="17"/>
        <v>COOSALUD EPS-S</v>
      </c>
    </row>
    <row r="293" spans="2:7" x14ac:dyDescent="0.25">
      <c r="B293" s="2" t="s">
        <v>79</v>
      </c>
      <c r="C293" s="6">
        <v>42996.936863425923</v>
      </c>
      <c r="D293" s="8">
        <v>49371</v>
      </c>
      <c r="E293" s="8">
        <v>49371</v>
      </c>
      <c r="F293" s="2" t="str">
        <f t="shared" si="16"/>
        <v>800249241</v>
      </c>
      <c r="G293" s="2" t="str">
        <f t="shared" si="17"/>
        <v>COOSALUD EPS-S</v>
      </c>
    </row>
    <row r="294" spans="2:7" x14ac:dyDescent="0.25">
      <c r="B294" s="2" t="s">
        <v>80</v>
      </c>
      <c r="C294" s="6">
        <v>43016.050682870373</v>
      </c>
      <c r="D294" s="8">
        <v>48400</v>
      </c>
      <c r="E294" s="8">
        <v>48400</v>
      </c>
      <c r="F294" s="2" t="str">
        <f t="shared" si="16"/>
        <v>800249241</v>
      </c>
      <c r="G294" s="2" t="str">
        <f t="shared" si="17"/>
        <v>COOSALUD EPS-S</v>
      </c>
    </row>
    <row r="295" spans="2:7" x14ac:dyDescent="0.25">
      <c r="B295" s="2" t="s">
        <v>81</v>
      </c>
      <c r="C295" s="6">
        <v>43016.689409722225</v>
      </c>
      <c r="D295" s="8">
        <v>102500</v>
      </c>
      <c r="E295" s="8">
        <v>102500</v>
      </c>
      <c r="F295" s="2" t="str">
        <f t="shared" si="16"/>
        <v>800249241</v>
      </c>
      <c r="G295" s="2" t="str">
        <f t="shared" si="17"/>
        <v>COOSALUD EPS-S</v>
      </c>
    </row>
    <row r="296" spans="2:7" x14ac:dyDescent="0.25">
      <c r="B296" s="2" t="s">
        <v>82</v>
      </c>
      <c r="C296" s="6">
        <v>43016.894166666665</v>
      </c>
      <c r="D296" s="8">
        <v>48400</v>
      </c>
      <c r="E296" s="8">
        <v>48400</v>
      </c>
      <c r="F296" s="2" t="str">
        <f t="shared" si="16"/>
        <v>800249241</v>
      </c>
      <c r="G296" s="2" t="str">
        <f t="shared" si="17"/>
        <v>COOSALUD EPS-S</v>
      </c>
    </row>
    <row r="297" spans="2:7" x14ac:dyDescent="0.25">
      <c r="B297" s="2" t="s">
        <v>83</v>
      </c>
      <c r="C297" s="6">
        <v>43021.964108796295</v>
      </c>
      <c r="D297" s="8">
        <v>49688</v>
      </c>
      <c r="E297" s="8">
        <v>49688</v>
      </c>
      <c r="F297" s="2" t="str">
        <f t="shared" si="16"/>
        <v>800249241</v>
      </c>
      <c r="G297" s="2" t="str">
        <f t="shared" si="17"/>
        <v>COOSALUD EPS-S</v>
      </c>
    </row>
    <row r="298" spans="2:7" x14ac:dyDescent="0.25">
      <c r="B298" s="2" t="s">
        <v>84</v>
      </c>
      <c r="C298" s="6">
        <v>43031.418449074074</v>
      </c>
      <c r="D298" s="8">
        <v>4875124</v>
      </c>
      <c r="E298" s="8">
        <v>124333</v>
      </c>
      <c r="F298" s="2" t="str">
        <f t="shared" si="16"/>
        <v>800249241</v>
      </c>
      <c r="G298" s="2" t="str">
        <f t="shared" si="17"/>
        <v>COOSALUD EPS-S</v>
      </c>
    </row>
    <row r="299" spans="2:7" x14ac:dyDescent="0.25">
      <c r="B299" s="2" t="s">
        <v>85</v>
      </c>
      <c r="C299" s="6">
        <v>43036.390277777777</v>
      </c>
      <c r="D299" s="8">
        <v>1542127</v>
      </c>
      <c r="E299" s="8">
        <v>1306409</v>
      </c>
      <c r="F299" s="2" t="str">
        <f>"800249241"</f>
        <v>800249241</v>
      </c>
      <c r="G299" s="2" t="str">
        <f>"COOSALUD EPS-S"</f>
        <v>COOSALUD EPS-S</v>
      </c>
    </row>
    <row r="300" spans="2:7" x14ac:dyDescent="0.25">
      <c r="B300" s="37" t="s">
        <v>5</v>
      </c>
      <c r="C300" s="37"/>
      <c r="D300" s="37"/>
      <c r="E300" s="3">
        <f>SUM(E10:E299)</f>
        <v>277237579</v>
      </c>
    </row>
  </sheetData>
  <mergeCells count="2">
    <mergeCell ref="A1:G7"/>
    <mergeCell ref="B300:D30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C3718-8705-47F7-8086-BB4C5AD8D301}">
  <dimension ref="A1:V214"/>
  <sheetViews>
    <sheetView showGridLines="0" tabSelected="1" zoomScaleNormal="100" workbookViewId="0">
      <pane xSplit="6" ySplit="1" topLeftCell="G23" activePane="bottomRight" state="frozen"/>
      <selection pane="topRight" activeCell="F1" sqref="F1"/>
      <selection pane="bottomLeft" activeCell="A2" sqref="A2"/>
      <selection pane="bottomRight" activeCell="F27" sqref="F27"/>
    </sheetView>
  </sheetViews>
  <sheetFormatPr baseColWidth="10" defaultRowHeight="15" x14ac:dyDescent="0.25"/>
  <cols>
    <col min="1" max="2" width="17.7109375" style="1" customWidth="1"/>
    <col min="3" max="3" width="22.7109375" style="1" customWidth="1"/>
    <col min="4" max="4" width="22.85546875" style="1" customWidth="1"/>
    <col min="5" max="5" width="23" style="1" customWidth="1"/>
    <col min="6" max="6" width="14" style="1" customWidth="1"/>
    <col min="7" max="7" width="16.42578125" style="22" customWidth="1"/>
    <col min="8" max="10" width="11.42578125" style="22"/>
    <col min="11" max="11" width="16.85546875" style="22" customWidth="1"/>
    <col min="12" max="12" width="15.28515625" style="22" customWidth="1"/>
    <col min="13" max="14" width="11.42578125" style="22"/>
    <col min="15" max="15" width="18.5703125" style="22" customWidth="1"/>
    <col min="16" max="16" width="19.42578125" style="1" bestFit="1" customWidth="1"/>
    <col min="17" max="17" width="16.5703125" style="22" customWidth="1"/>
    <col min="18" max="16384" width="11.42578125" style="1"/>
  </cols>
  <sheetData>
    <row r="1" spans="1:22" ht="51" x14ac:dyDescent="0.25">
      <c r="A1" s="7" t="s">
        <v>0</v>
      </c>
      <c r="B1" s="20" t="s">
        <v>114</v>
      </c>
      <c r="C1" s="7" t="s">
        <v>1</v>
      </c>
      <c r="D1" s="7" t="s">
        <v>2</v>
      </c>
      <c r="E1" s="7" t="s">
        <v>3</v>
      </c>
      <c r="F1" s="7" t="s">
        <v>6</v>
      </c>
      <c r="G1" s="19" t="s">
        <v>117</v>
      </c>
      <c r="H1" s="19" t="s">
        <v>102</v>
      </c>
      <c r="I1" s="19" t="s">
        <v>103</v>
      </c>
      <c r="J1" s="19" t="s">
        <v>104</v>
      </c>
      <c r="K1" s="19" t="s">
        <v>105</v>
      </c>
      <c r="L1" s="19" t="s">
        <v>106</v>
      </c>
      <c r="M1" s="19" t="s">
        <v>107</v>
      </c>
      <c r="N1" s="19" t="s">
        <v>108</v>
      </c>
      <c r="O1" s="19" t="s">
        <v>109</v>
      </c>
      <c r="P1" s="19" t="s">
        <v>110</v>
      </c>
      <c r="Q1" s="19" t="s">
        <v>111</v>
      </c>
    </row>
    <row r="2" spans="1:22" x14ac:dyDescent="0.25">
      <c r="A2" s="2" t="str">
        <f>"HOSF0000232650"</f>
        <v>HOSF0000232650</v>
      </c>
      <c r="B2" s="2">
        <v>232650</v>
      </c>
      <c r="C2" s="6">
        <v>44561.437118055554</v>
      </c>
      <c r="D2" s="5">
        <v>60698247</v>
      </c>
      <c r="E2" s="5">
        <v>21565765</v>
      </c>
      <c r="F2" s="2" t="str">
        <f t="shared" ref="F2:F65" si="0">"900226715"</f>
        <v>900226715</v>
      </c>
      <c r="G2" s="21">
        <v>27039212</v>
      </c>
      <c r="H2" s="21">
        <v>0</v>
      </c>
      <c r="I2" s="21">
        <v>0</v>
      </c>
      <c r="J2" s="21">
        <v>0</v>
      </c>
      <c r="K2" s="21">
        <v>0</v>
      </c>
      <c r="L2" s="21">
        <v>0</v>
      </c>
      <c r="M2" s="21">
        <v>0</v>
      </c>
      <c r="N2" s="21">
        <v>0</v>
      </c>
      <c r="O2" s="21">
        <v>0</v>
      </c>
      <c r="P2" s="21">
        <v>0</v>
      </c>
      <c r="Q2" s="35">
        <f t="shared" ref="Q2:Q65" si="1">+E2-G2-H2-I2-J2-K2-L2-M2-N2-O2</f>
        <v>-5473447</v>
      </c>
      <c r="T2" s="23"/>
      <c r="U2" s="23"/>
      <c r="V2" s="32"/>
    </row>
    <row r="3" spans="1:22" x14ac:dyDescent="0.25">
      <c r="A3" s="2" t="str">
        <f>"HOSF0000167983"</f>
        <v>HOSF0000167983</v>
      </c>
      <c r="B3" s="2">
        <v>167983</v>
      </c>
      <c r="C3" s="6">
        <v>44440.534907407404</v>
      </c>
      <c r="D3" s="5">
        <v>5617288</v>
      </c>
      <c r="E3" s="5">
        <v>1887718</v>
      </c>
      <c r="F3" s="2" t="str">
        <f t="shared" si="0"/>
        <v>900226715</v>
      </c>
      <c r="G3" s="21">
        <v>0</v>
      </c>
      <c r="H3" s="21">
        <v>0</v>
      </c>
      <c r="I3" s="21">
        <v>0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  <c r="O3" s="21">
        <v>1887718</v>
      </c>
      <c r="P3" s="21">
        <v>0</v>
      </c>
      <c r="Q3" s="21">
        <f t="shared" si="1"/>
        <v>0</v>
      </c>
      <c r="T3" s="23"/>
      <c r="U3" s="23"/>
      <c r="V3" s="32"/>
    </row>
    <row r="4" spans="1:22" x14ac:dyDescent="0.25">
      <c r="A4" s="2" t="str">
        <f>"HOSF0000233503"</f>
        <v>HOSF0000233503</v>
      </c>
      <c r="B4" s="2">
        <v>233503</v>
      </c>
      <c r="C4" s="6">
        <v>44564.721273148149</v>
      </c>
      <c r="D4" s="5">
        <v>3432787</v>
      </c>
      <c r="E4" s="5">
        <v>432787</v>
      </c>
      <c r="F4" s="2" t="str">
        <f t="shared" si="0"/>
        <v>900226715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432787</v>
      </c>
      <c r="N4" s="21">
        <v>0</v>
      </c>
      <c r="O4" s="21">
        <v>0</v>
      </c>
      <c r="P4" s="21">
        <v>0</v>
      </c>
      <c r="Q4" s="21">
        <f t="shared" si="1"/>
        <v>0</v>
      </c>
      <c r="T4" s="23"/>
      <c r="U4" s="23"/>
      <c r="V4" s="32"/>
    </row>
    <row r="5" spans="1:22" x14ac:dyDescent="0.25">
      <c r="A5" s="2" t="str">
        <f>"HOSF0000244160"</f>
        <v>HOSF0000244160</v>
      </c>
      <c r="B5" s="2">
        <v>244160</v>
      </c>
      <c r="C5" s="6">
        <v>44589.437013888892</v>
      </c>
      <c r="D5" s="5">
        <v>3343300</v>
      </c>
      <c r="E5" s="5">
        <v>2050298</v>
      </c>
      <c r="F5" s="2" t="str">
        <f t="shared" si="0"/>
        <v>900226715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2050298</v>
      </c>
      <c r="P5" s="21">
        <v>0</v>
      </c>
      <c r="Q5" s="21">
        <f t="shared" si="1"/>
        <v>0</v>
      </c>
      <c r="T5" s="23"/>
      <c r="U5" s="23"/>
      <c r="V5" s="32"/>
    </row>
    <row r="6" spans="1:22" x14ac:dyDescent="0.25">
      <c r="A6" s="2" t="str">
        <f>"HOSF0000156987"</f>
        <v>HOSF0000156987</v>
      </c>
      <c r="B6" s="2">
        <v>156987</v>
      </c>
      <c r="C6" s="6">
        <v>44418.508402777778</v>
      </c>
      <c r="D6" s="5">
        <v>2879285</v>
      </c>
      <c r="E6" s="5">
        <v>1784536</v>
      </c>
      <c r="F6" s="2" t="str">
        <f t="shared" si="0"/>
        <v>900226715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1784536</v>
      </c>
      <c r="P6" s="21">
        <v>0</v>
      </c>
      <c r="Q6" s="21">
        <f t="shared" si="1"/>
        <v>0</v>
      </c>
      <c r="T6" s="23"/>
      <c r="U6" s="23"/>
      <c r="V6" s="32"/>
    </row>
    <row r="7" spans="1:22" x14ac:dyDescent="0.25">
      <c r="A7" s="2" t="str">
        <f>"HOSF0000161092"</f>
        <v>HOSF0000161092</v>
      </c>
      <c r="B7" s="2">
        <v>161092</v>
      </c>
      <c r="C7" s="6">
        <v>44428.354583333334</v>
      </c>
      <c r="D7" s="5">
        <v>1153746</v>
      </c>
      <c r="E7" s="5">
        <v>597456</v>
      </c>
      <c r="F7" s="2" t="str">
        <f t="shared" si="0"/>
        <v>900226715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597456</v>
      </c>
      <c r="P7" s="21">
        <v>0</v>
      </c>
      <c r="Q7" s="21">
        <f t="shared" si="1"/>
        <v>0</v>
      </c>
      <c r="T7" s="23"/>
      <c r="U7" s="23"/>
      <c r="V7" s="32"/>
    </row>
    <row r="8" spans="1:22" x14ac:dyDescent="0.25">
      <c r="A8" s="2" t="str">
        <f>"HSRF0014017815"</f>
        <v>HSRF0014017815</v>
      </c>
      <c r="B8" s="2">
        <v>14017815</v>
      </c>
      <c r="C8" s="6">
        <v>43669.270451388889</v>
      </c>
      <c r="D8" s="5">
        <v>870400</v>
      </c>
      <c r="E8" s="5">
        <v>158400</v>
      </c>
      <c r="F8" s="2" t="str">
        <f t="shared" si="0"/>
        <v>900226715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158400</v>
      </c>
      <c r="P8" s="21">
        <v>0</v>
      </c>
      <c r="Q8" s="21">
        <f t="shared" si="1"/>
        <v>0</v>
      </c>
      <c r="T8" s="23"/>
      <c r="U8" s="23"/>
      <c r="V8" s="32"/>
    </row>
    <row r="9" spans="1:22" x14ac:dyDescent="0.25">
      <c r="A9" s="2" t="str">
        <f>"HOSF0000243910"</f>
        <v>HOSF0000243910</v>
      </c>
      <c r="B9" s="2">
        <v>243910</v>
      </c>
      <c r="C9" s="6">
        <v>44589.059050925927</v>
      </c>
      <c r="D9" s="5">
        <v>324387</v>
      </c>
      <c r="E9" s="5">
        <v>70395</v>
      </c>
      <c r="F9" s="2" t="str">
        <f t="shared" si="0"/>
        <v>900226715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324387</v>
      </c>
      <c r="P9" s="35" t="s">
        <v>118</v>
      </c>
      <c r="Q9" s="35">
        <f t="shared" si="1"/>
        <v>-253992</v>
      </c>
      <c r="T9" s="23"/>
      <c r="U9" s="23"/>
      <c r="V9" s="32"/>
    </row>
    <row r="10" spans="1:22" x14ac:dyDescent="0.25">
      <c r="A10" s="2" t="str">
        <f>"HOSF0000084582"</f>
        <v>HOSF0000084582</v>
      </c>
      <c r="B10" s="2">
        <v>84582</v>
      </c>
      <c r="C10" s="6">
        <v>44286.029872685183</v>
      </c>
      <c r="D10" s="5">
        <v>239691</v>
      </c>
      <c r="E10" s="5">
        <v>6100</v>
      </c>
      <c r="F10" s="2" t="str">
        <f t="shared" si="0"/>
        <v>900226715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6100</v>
      </c>
      <c r="M10" s="21">
        <v>0</v>
      </c>
      <c r="N10" s="21">
        <v>0</v>
      </c>
      <c r="O10" s="21">
        <v>0</v>
      </c>
      <c r="P10" s="21">
        <v>0</v>
      </c>
      <c r="Q10" s="21">
        <f t="shared" si="1"/>
        <v>0</v>
      </c>
      <c r="T10" s="23"/>
      <c r="U10" s="23"/>
      <c r="V10" s="32"/>
    </row>
    <row r="11" spans="1:22" x14ac:dyDescent="0.25">
      <c r="A11" s="2" t="str">
        <f>"HOSF0000220318"</f>
        <v>HOSF0000220318</v>
      </c>
      <c r="B11" s="2">
        <v>220318</v>
      </c>
      <c r="C11" s="6">
        <v>44536.199976851851</v>
      </c>
      <c r="D11" s="5">
        <v>258556</v>
      </c>
      <c r="E11" s="5">
        <v>25679</v>
      </c>
      <c r="F11" s="2" t="str">
        <f t="shared" si="0"/>
        <v>900226715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35">
        <v>258556</v>
      </c>
      <c r="P11" s="35" t="s">
        <v>118</v>
      </c>
      <c r="Q11" s="35">
        <f t="shared" si="1"/>
        <v>-232877</v>
      </c>
      <c r="T11" s="23"/>
      <c r="U11" s="23"/>
      <c r="V11" s="32"/>
    </row>
    <row r="12" spans="1:22" x14ac:dyDescent="0.25">
      <c r="A12" s="2" t="str">
        <f>"HSRF0013985748"</f>
        <v>HSRF0013985748</v>
      </c>
      <c r="B12" s="2">
        <v>13985748</v>
      </c>
      <c r="C12" s="6">
        <v>43637.401504629626</v>
      </c>
      <c r="D12" s="5">
        <v>285100</v>
      </c>
      <c r="E12" s="5">
        <v>79200</v>
      </c>
      <c r="F12" s="2" t="str">
        <f t="shared" si="0"/>
        <v>900226715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79200</v>
      </c>
      <c r="N12" s="21">
        <v>0</v>
      </c>
      <c r="O12" s="21">
        <v>0</v>
      </c>
      <c r="P12" s="21">
        <v>0</v>
      </c>
      <c r="Q12" s="21">
        <f t="shared" si="1"/>
        <v>0</v>
      </c>
      <c r="T12" s="23"/>
      <c r="U12" s="23"/>
      <c r="V12" s="32"/>
    </row>
    <row r="13" spans="1:22" x14ac:dyDescent="0.25">
      <c r="A13" s="2" t="str">
        <f>"HOSF0000217227"</f>
        <v>HOSF0000217227</v>
      </c>
      <c r="B13" s="2">
        <v>217227</v>
      </c>
      <c r="C13" s="6">
        <v>44530.489259259259</v>
      </c>
      <c r="D13" s="5">
        <v>365808</v>
      </c>
      <c r="E13" s="5">
        <v>269508</v>
      </c>
      <c r="F13" s="2" t="str">
        <f t="shared" si="0"/>
        <v>900226715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365808</v>
      </c>
      <c r="P13" s="21">
        <v>0</v>
      </c>
      <c r="Q13" s="21">
        <f t="shared" si="1"/>
        <v>-96300</v>
      </c>
      <c r="T13" s="23"/>
      <c r="U13" s="23"/>
      <c r="V13" s="32"/>
    </row>
    <row r="14" spans="1:22" x14ac:dyDescent="0.25">
      <c r="A14" s="2" t="str">
        <f>"HOSF0000204936"</f>
        <v>HOSF0000204936</v>
      </c>
      <c r="B14" s="2">
        <v>204936</v>
      </c>
      <c r="C14" s="6">
        <v>44507.542037037034</v>
      </c>
      <c r="D14" s="5">
        <v>70245</v>
      </c>
      <c r="E14" s="5">
        <v>8014</v>
      </c>
      <c r="F14" s="2" t="str">
        <f t="shared" si="0"/>
        <v>900226715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70245</v>
      </c>
      <c r="P14" s="21">
        <v>0</v>
      </c>
      <c r="Q14" s="21">
        <f t="shared" si="1"/>
        <v>-62231</v>
      </c>
      <c r="T14" s="23"/>
      <c r="U14" s="23"/>
      <c r="V14" s="32"/>
    </row>
    <row r="15" spans="1:22" x14ac:dyDescent="0.25">
      <c r="A15" s="2" t="str">
        <f>"HOSF0000165664"</f>
        <v>HOSF0000165664</v>
      </c>
      <c r="B15" s="2">
        <v>165664</v>
      </c>
      <c r="C15" s="6">
        <v>44436.716145833336</v>
      </c>
      <c r="D15" s="5">
        <v>61630</v>
      </c>
      <c r="E15" s="5">
        <v>11070</v>
      </c>
      <c r="F15" s="2" t="str">
        <f t="shared" si="0"/>
        <v>900226715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1256</v>
      </c>
      <c r="M15" s="21">
        <v>0</v>
      </c>
      <c r="N15" s="21">
        <v>0</v>
      </c>
      <c r="O15" s="21">
        <v>60374</v>
      </c>
      <c r="P15" s="21">
        <v>0</v>
      </c>
      <c r="Q15" s="21">
        <f t="shared" si="1"/>
        <v>-50560</v>
      </c>
      <c r="T15" s="23"/>
      <c r="U15" s="23"/>
      <c r="V15" s="32"/>
    </row>
    <row r="16" spans="1:22" x14ac:dyDescent="0.25">
      <c r="A16" s="2" t="str">
        <f>"HOSF0000241427"</f>
        <v>HOSF0000241427</v>
      </c>
      <c r="B16" s="2">
        <v>241427</v>
      </c>
      <c r="C16" s="6">
        <v>44584.445671296293</v>
      </c>
      <c r="D16" s="5">
        <v>65700</v>
      </c>
      <c r="E16" s="5">
        <v>54886</v>
      </c>
      <c r="F16" s="2" t="str">
        <f t="shared" si="0"/>
        <v>900226715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65700</v>
      </c>
      <c r="P16" s="21">
        <v>0</v>
      </c>
      <c r="Q16" s="21">
        <f t="shared" si="1"/>
        <v>-10814</v>
      </c>
      <c r="T16" s="23"/>
      <c r="U16" s="23"/>
      <c r="V16" s="32"/>
    </row>
    <row r="17" spans="1:22" x14ac:dyDescent="0.25">
      <c r="A17" s="2" t="str">
        <f>"HOSF0000117780"</f>
        <v>HOSF0000117780</v>
      </c>
      <c r="B17" s="2">
        <v>117780</v>
      </c>
      <c r="C17" s="6">
        <v>44347.839722222219</v>
      </c>
      <c r="D17" s="5">
        <v>3380900</v>
      </c>
      <c r="E17" s="5">
        <v>246100</v>
      </c>
      <c r="F17" s="2" t="str">
        <f t="shared" si="0"/>
        <v>900226715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246100</v>
      </c>
      <c r="M17" s="21">
        <v>0</v>
      </c>
      <c r="N17" s="21">
        <v>0</v>
      </c>
      <c r="O17" s="21">
        <v>0</v>
      </c>
      <c r="P17" s="21">
        <v>0</v>
      </c>
      <c r="Q17" s="21">
        <f t="shared" si="1"/>
        <v>0</v>
      </c>
      <c r="T17" s="23"/>
      <c r="U17" s="23"/>
      <c r="V17" s="32"/>
    </row>
    <row r="18" spans="1:22" x14ac:dyDescent="0.25">
      <c r="A18" s="2" t="str">
        <f>"HOSF0000050237"</f>
        <v>HOSF0000050237</v>
      </c>
      <c r="B18" s="2">
        <v>50237</v>
      </c>
      <c r="C18" s="6">
        <v>44216.693414351852</v>
      </c>
      <c r="D18" s="5">
        <v>805587</v>
      </c>
      <c r="E18" s="5">
        <v>84000</v>
      </c>
      <c r="F18" s="2" t="str">
        <f t="shared" si="0"/>
        <v>900226715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84000</v>
      </c>
      <c r="M18" s="21">
        <v>0</v>
      </c>
      <c r="N18" s="21">
        <v>0</v>
      </c>
      <c r="O18" s="21">
        <v>0</v>
      </c>
      <c r="P18" s="21">
        <v>0</v>
      </c>
      <c r="Q18" s="21">
        <f t="shared" si="1"/>
        <v>0</v>
      </c>
    </row>
    <row r="19" spans="1:22" x14ac:dyDescent="0.25">
      <c r="A19" s="2" t="str">
        <f>"HOSF0000231694"</f>
        <v>HOSF0000231694</v>
      </c>
      <c r="B19" s="2">
        <v>231694</v>
      </c>
      <c r="C19" s="6">
        <v>44559.915173611109</v>
      </c>
      <c r="D19" s="5">
        <v>1001600</v>
      </c>
      <c r="E19" s="5">
        <v>534900</v>
      </c>
      <c r="F19" s="2" t="str">
        <f t="shared" si="0"/>
        <v>900226715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534900</v>
      </c>
      <c r="M19" s="21">
        <v>0</v>
      </c>
      <c r="N19" s="21">
        <v>0</v>
      </c>
      <c r="O19" s="21">
        <v>0</v>
      </c>
      <c r="P19" s="21">
        <v>0</v>
      </c>
      <c r="Q19" s="21">
        <f t="shared" si="1"/>
        <v>0</v>
      </c>
    </row>
    <row r="20" spans="1:22" x14ac:dyDescent="0.25">
      <c r="A20" s="2" t="str">
        <f>"HOSF0000124696"</f>
        <v>HOSF0000124696</v>
      </c>
      <c r="B20" s="2">
        <v>124696</v>
      </c>
      <c r="C20" s="6">
        <v>44362.332256944443</v>
      </c>
      <c r="D20" s="5">
        <v>434839</v>
      </c>
      <c r="E20" s="5">
        <v>56300</v>
      </c>
      <c r="F20" s="2" t="str">
        <f t="shared" si="0"/>
        <v>900226715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56300</v>
      </c>
      <c r="M20" s="21">
        <v>0</v>
      </c>
      <c r="N20" s="21">
        <v>0</v>
      </c>
      <c r="O20" s="21">
        <v>0</v>
      </c>
      <c r="P20" s="21">
        <v>0</v>
      </c>
      <c r="Q20" s="21">
        <f t="shared" si="1"/>
        <v>0</v>
      </c>
    </row>
    <row r="21" spans="1:22" x14ac:dyDescent="0.25">
      <c r="A21" s="2" t="str">
        <f>"HOSF0000215383"</f>
        <v>HOSF0000215383</v>
      </c>
      <c r="B21" s="2">
        <v>215383</v>
      </c>
      <c r="C21" s="6">
        <v>44527.466921296298</v>
      </c>
      <c r="D21" s="5">
        <v>2414847</v>
      </c>
      <c r="E21" s="5">
        <v>2173900</v>
      </c>
      <c r="F21" s="2" t="str">
        <f t="shared" si="0"/>
        <v>900226715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2173900</v>
      </c>
      <c r="M21" s="21">
        <v>0</v>
      </c>
      <c r="N21" s="21">
        <v>0</v>
      </c>
      <c r="O21" s="21">
        <v>0</v>
      </c>
      <c r="P21" s="21">
        <v>0</v>
      </c>
      <c r="Q21" s="21">
        <f t="shared" si="1"/>
        <v>0</v>
      </c>
    </row>
    <row r="22" spans="1:22" x14ac:dyDescent="0.25">
      <c r="A22" s="2" t="str">
        <f>"HOSF0000160114"</f>
        <v>HOSF0000160114</v>
      </c>
      <c r="B22" s="2">
        <v>160114</v>
      </c>
      <c r="C22" s="6">
        <v>44426.566678240742</v>
      </c>
      <c r="D22" s="5">
        <v>352849</v>
      </c>
      <c r="E22" s="5">
        <v>239152</v>
      </c>
      <c r="F22" s="2" t="str">
        <f t="shared" si="0"/>
        <v>900226715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239152</v>
      </c>
      <c r="M22" s="21">
        <v>0</v>
      </c>
      <c r="N22" s="21">
        <v>0</v>
      </c>
      <c r="O22" s="21">
        <v>0</v>
      </c>
      <c r="P22" s="21">
        <v>0</v>
      </c>
      <c r="Q22" s="21">
        <f t="shared" si="1"/>
        <v>0</v>
      </c>
    </row>
    <row r="23" spans="1:22" x14ac:dyDescent="0.25">
      <c r="A23" s="2" t="str">
        <f>"HOSF0000039326"</f>
        <v>HOSF0000039326</v>
      </c>
      <c r="B23" s="2">
        <v>39326</v>
      </c>
      <c r="C23" s="6">
        <v>44182.988715277781</v>
      </c>
      <c r="D23" s="5">
        <v>297073</v>
      </c>
      <c r="E23" s="5">
        <v>297073</v>
      </c>
      <c r="F23" s="2" t="str">
        <f t="shared" si="0"/>
        <v>900226715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297073</v>
      </c>
      <c r="P23" s="21">
        <v>0</v>
      </c>
      <c r="Q23" s="21">
        <f t="shared" si="1"/>
        <v>0</v>
      </c>
    </row>
    <row r="24" spans="1:22" x14ac:dyDescent="0.25">
      <c r="A24" s="2" t="str">
        <f>"HOSF0000042030"</f>
        <v>HOSF0000042030</v>
      </c>
      <c r="B24" s="2">
        <v>42030</v>
      </c>
      <c r="C24" s="6">
        <v>44190.62804398148</v>
      </c>
      <c r="D24" s="5">
        <v>697456</v>
      </c>
      <c r="E24" s="5">
        <v>697456</v>
      </c>
      <c r="F24" s="2" t="str">
        <f t="shared" si="0"/>
        <v>900226715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697456</v>
      </c>
      <c r="P24" s="21">
        <v>0</v>
      </c>
      <c r="Q24" s="21">
        <f t="shared" si="1"/>
        <v>0</v>
      </c>
    </row>
    <row r="25" spans="1:22" x14ac:dyDescent="0.25">
      <c r="A25" s="2" t="str">
        <f>"HOSF0000132001"</f>
        <v>HOSF0000132001</v>
      </c>
      <c r="B25" s="2">
        <v>132001</v>
      </c>
      <c r="C25" s="6">
        <v>44374.684791666667</v>
      </c>
      <c r="D25" s="5">
        <v>336340</v>
      </c>
      <c r="E25" s="5">
        <v>336340</v>
      </c>
      <c r="F25" s="2" t="str">
        <f t="shared" si="0"/>
        <v>900226715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336340</v>
      </c>
      <c r="P25" s="21">
        <v>0</v>
      </c>
      <c r="Q25" s="21">
        <f t="shared" si="1"/>
        <v>0</v>
      </c>
    </row>
    <row r="26" spans="1:22" x14ac:dyDescent="0.25">
      <c r="A26" s="2" t="str">
        <f>"HOSF0000134844"</f>
        <v>HOSF0000134844</v>
      </c>
      <c r="B26" s="2">
        <v>134844</v>
      </c>
      <c r="C26" s="6">
        <v>44378.287974537037</v>
      </c>
      <c r="D26" s="5">
        <v>228469</v>
      </c>
      <c r="E26" s="5">
        <v>228469</v>
      </c>
      <c r="F26" s="2" t="str">
        <f t="shared" si="0"/>
        <v>900226715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228469</v>
      </c>
      <c r="P26" s="21">
        <v>0</v>
      </c>
      <c r="Q26" s="21">
        <f t="shared" si="1"/>
        <v>0</v>
      </c>
    </row>
    <row r="27" spans="1:22" x14ac:dyDescent="0.25">
      <c r="A27" s="2" t="str">
        <f>"HOSF0000140404"</f>
        <v>HOSF0000140404</v>
      </c>
      <c r="B27" s="2">
        <v>140404</v>
      </c>
      <c r="C27" s="6">
        <v>44389.636932870373</v>
      </c>
      <c r="D27" s="5">
        <v>59700</v>
      </c>
      <c r="E27" s="5">
        <v>59700</v>
      </c>
      <c r="F27" s="2" t="str">
        <f t="shared" si="0"/>
        <v>900226715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59700</v>
      </c>
      <c r="P27" s="21">
        <v>0</v>
      </c>
      <c r="Q27" s="21">
        <f t="shared" si="1"/>
        <v>0</v>
      </c>
    </row>
    <row r="28" spans="1:22" x14ac:dyDescent="0.25">
      <c r="A28" s="2" t="str">
        <f>"HOSF0000140813"</f>
        <v>HOSF0000140813</v>
      </c>
      <c r="B28" s="2">
        <v>140813</v>
      </c>
      <c r="C28" s="6">
        <v>44390.381898148145</v>
      </c>
      <c r="D28" s="5">
        <v>237700</v>
      </c>
      <c r="E28" s="5">
        <v>237700</v>
      </c>
      <c r="F28" s="2" t="str">
        <f t="shared" si="0"/>
        <v>900226715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237700</v>
      </c>
      <c r="P28" s="21">
        <v>0</v>
      </c>
      <c r="Q28" s="21">
        <f t="shared" si="1"/>
        <v>0</v>
      </c>
    </row>
    <row r="29" spans="1:22" x14ac:dyDescent="0.25">
      <c r="A29" s="2" t="str">
        <f>"HOSF0000141347"</f>
        <v>HOSF0000141347</v>
      </c>
      <c r="B29" s="2">
        <v>141347</v>
      </c>
      <c r="C29" s="6">
        <v>44391.274745370371</v>
      </c>
      <c r="D29" s="5">
        <v>169200</v>
      </c>
      <c r="E29" s="5">
        <v>169200</v>
      </c>
      <c r="F29" s="2" t="str">
        <f t="shared" si="0"/>
        <v>900226715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169200</v>
      </c>
      <c r="P29" s="21">
        <v>0</v>
      </c>
      <c r="Q29" s="21">
        <f t="shared" si="1"/>
        <v>0</v>
      </c>
    </row>
    <row r="30" spans="1:22" x14ac:dyDescent="0.25">
      <c r="A30" s="2" t="str">
        <f>"HOSF0000143874"</f>
        <v>HOSF0000143874</v>
      </c>
      <c r="B30" s="2">
        <v>143874</v>
      </c>
      <c r="C30" s="6">
        <v>44395.65761574074</v>
      </c>
      <c r="D30" s="5">
        <v>61044</v>
      </c>
      <c r="E30" s="5">
        <v>61044</v>
      </c>
      <c r="F30" s="2" t="str">
        <f t="shared" si="0"/>
        <v>900226715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61044</v>
      </c>
      <c r="P30" s="21">
        <v>0</v>
      </c>
      <c r="Q30" s="21">
        <f t="shared" si="1"/>
        <v>0</v>
      </c>
    </row>
    <row r="31" spans="1:22" x14ac:dyDescent="0.25">
      <c r="A31" s="2" t="str">
        <f>"HOSF0000143898"</f>
        <v>HOSF0000143898</v>
      </c>
      <c r="B31" s="2">
        <v>143898</v>
      </c>
      <c r="C31" s="6">
        <v>44395.786770833336</v>
      </c>
      <c r="D31" s="5">
        <v>419180</v>
      </c>
      <c r="E31" s="5">
        <v>419180</v>
      </c>
      <c r="F31" s="2" t="str">
        <f t="shared" si="0"/>
        <v>900226715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419180</v>
      </c>
      <c r="P31" s="21">
        <v>0</v>
      </c>
      <c r="Q31" s="21">
        <f t="shared" si="1"/>
        <v>0</v>
      </c>
    </row>
    <row r="32" spans="1:22" x14ac:dyDescent="0.25">
      <c r="A32" s="2" t="str">
        <f>"HOSF0000144698"</f>
        <v>HOSF0000144698</v>
      </c>
      <c r="B32" s="2">
        <v>144698</v>
      </c>
      <c r="C32" s="6">
        <v>44396.798877314817</v>
      </c>
      <c r="D32" s="5">
        <v>163175</v>
      </c>
      <c r="E32" s="5">
        <v>163175</v>
      </c>
      <c r="F32" s="2" t="str">
        <f t="shared" si="0"/>
        <v>900226715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163175</v>
      </c>
      <c r="P32" s="21">
        <v>0</v>
      </c>
      <c r="Q32" s="21">
        <f t="shared" si="1"/>
        <v>0</v>
      </c>
    </row>
    <row r="33" spans="1:17" x14ac:dyDescent="0.25">
      <c r="A33" s="2" t="str">
        <f>"HOSF0000145383"</f>
        <v>HOSF0000145383</v>
      </c>
      <c r="B33" s="2">
        <v>145383</v>
      </c>
      <c r="C33" s="6">
        <v>44398.427303240744</v>
      </c>
      <c r="D33" s="5">
        <v>49600</v>
      </c>
      <c r="E33" s="5">
        <v>49600</v>
      </c>
      <c r="F33" s="2" t="str">
        <f t="shared" si="0"/>
        <v>900226715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49600</v>
      </c>
      <c r="P33" s="21">
        <v>0</v>
      </c>
      <c r="Q33" s="21">
        <f t="shared" si="1"/>
        <v>0</v>
      </c>
    </row>
    <row r="34" spans="1:17" x14ac:dyDescent="0.25">
      <c r="A34" s="2" t="str">
        <f>"HOSF0000145617"</f>
        <v>HOSF0000145617</v>
      </c>
      <c r="B34" s="2">
        <v>145617</v>
      </c>
      <c r="C34" s="6">
        <v>44398.579085648147</v>
      </c>
      <c r="D34" s="5">
        <v>72700</v>
      </c>
      <c r="E34" s="5">
        <v>72700</v>
      </c>
      <c r="F34" s="2" t="str">
        <f t="shared" si="0"/>
        <v>900226715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72700</v>
      </c>
      <c r="P34" s="21">
        <v>0</v>
      </c>
      <c r="Q34" s="21">
        <f t="shared" si="1"/>
        <v>0</v>
      </c>
    </row>
    <row r="35" spans="1:17" x14ac:dyDescent="0.25">
      <c r="A35" s="2" t="str">
        <f>"HOSF0000147443"</f>
        <v>HOSF0000147443</v>
      </c>
      <c r="B35" s="2">
        <v>147443</v>
      </c>
      <c r="C35" s="6">
        <v>44400.857453703706</v>
      </c>
      <c r="D35" s="5">
        <v>171680</v>
      </c>
      <c r="E35" s="5">
        <v>171680</v>
      </c>
      <c r="F35" s="2" t="str">
        <f t="shared" si="0"/>
        <v>900226715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171680</v>
      </c>
      <c r="P35" s="21">
        <v>0</v>
      </c>
      <c r="Q35" s="21">
        <f t="shared" si="1"/>
        <v>0</v>
      </c>
    </row>
    <row r="36" spans="1:17" x14ac:dyDescent="0.25">
      <c r="A36" s="2" t="str">
        <f>"HOSF0000147950"</f>
        <v>HOSF0000147950</v>
      </c>
      <c r="B36" s="2">
        <v>147950</v>
      </c>
      <c r="C36" s="6">
        <v>44403.14806712963</v>
      </c>
      <c r="D36" s="5">
        <v>183300</v>
      </c>
      <c r="E36" s="5">
        <v>183300</v>
      </c>
      <c r="F36" s="2" t="str">
        <f t="shared" si="0"/>
        <v>900226715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183300</v>
      </c>
      <c r="P36" s="21">
        <v>0</v>
      </c>
      <c r="Q36" s="21">
        <f t="shared" si="1"/>
        <v>0</v>
      </c>
    </row>
    <row r="37" spans="1:17" x14ac:dyDescent="0.25">
      <c r="A37" s="2" t="str">
        <f>"HOSF0000148407"</f>
        <v>HOSF0000148407</v>
      </c>
      <c r="B37" s="2">
        <v>148407</v>
      </c>
      <c r="C37" s="6">
        <v>44403.488182870373</v>
      </c>
      <c r="D37" s="5">
        <v>52400</v>
      </c>
      <c r="E37" s="5">
        <v>52400</v>
      </c>
      <c r="F37" s="2" t="str">
        <f t="shared" si="0"/>
        <v>900226715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52400</v>
      </c>
      <c r="P37" s="21">
        <v>0</v>
      </c>
      <c r="Q37" s="21">
        <f t="shared" si="1"/>
        <v>0</v>
      </c>
    </row>
    <row r="38" spans="1:17" x14ac:dyDescent="0.25">
      <c r="A38" s="2" t="str">
        <f>"HOSF0000148906"</f>
        <v>HOSF0000148906</v>
      </c>
      <c r="B38" s="2">
        <v>148906</v>
      </c>
      <c r="C38" s="6">
        <v>44404.313252314816</v>
      </c>
      <c r="D38" s="5">
        <v>52400</v>
      </c>
      <c r="E38" s="5">
        <v>52400</v>
      </c>
      <c r="F38" s="2" t="str">
        <f t="shared" si="0"/>
        <v>900226715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52400</v>
      </c>
      <c r="P38" s="21">
        <v>0</v>
      </c>
      <c r="Q38" s="21">
        <f t="shared" si="1"/>
        <v>0</v>
      </c>
    </row>
    <row r="39" spans="1:17" x14ac:dyDescent="0.25">
      <c r="A39" s="2" t="str">
        <f>"HOSF0000149813"</f>
        <v>HOSF0000149813</v>
      </c>
      <c r="B39" s="2">
        <v>149813</v>
      </c>
      <c r="C39" s="6">
        <v>44405.327303240738</v>
      </c>
      <c r="D39" s="5">
        <v>624600</v>
      </c>
      <c r="E39" s="5">
        <v>624600</v>
      </c>
      <c r="F39" s="2" t="str">
        <f t="shared" si="0"/>
        <v>900226715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624600</v>
      </c>
      <c r="P39" s="21">
        <v>0</v>
      </c>
      <c r="Q39" s="21">
        <f t="shared" si="1"/>
        <v>0</v>
      </c>
    </row>
    <row r="40" spans="1:17" x14ac:dyDescent="0.25">
      <c r="A40" s="2" t="str">
        <f>"HOSF0000151134"</f>
        <v>HOSF0000151134</v>
      </c>
      <c r="B40" s="2">
        <v>151134</v>
      </c>
      <c r="C40" s="6">
        <v>44406.630289351851</v>
      </c>
      <c r="D40" s="5">
        <v>269071</v>
      </c>
      <c r="E40" s="5">
        <v>269071</v>
      </c>
      <c r="F40" s="2" t="str">
        <f t="shared" si="0"/>
        <v>900226715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269071</v>
      </c>
      <c r="P40" s="21">
        <v>0</v>
      </c>
      <c r="Q40" s="21">
        <f t="shared" si="1"/>
        <v>0</v>
      </c>
    </row>
    <row r="41" spans="1:17" x14ac:dyDescent="0.25">
      <c r="A41" s="2" t="str">
        <f>"HOSF0000151322"</f>
        <v>HOSF0000151322</v>
      </c>
      <c r="B41" s="2">
        <v>151322</v>
      </c>
      <c r="C41" s="6">
        <v>44406.780821759261</v>
      </c>
      <c r="D41" s="5">
        <v>321300</v>
      </c>
      <c r="E41" s="5">
        <v>321300</v>
      </c>
      <c r="F41" s="2" t="str">
        <f t="shared" si="0"/>
        <v>900226715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321300</v>
      </c>
      <c r="P41" s="21">
        <v>0</v>
      </c>
      <c r="Q41" s="21">
        <f t="shared" si="1"/>
        <v>0</v>
      </c>
    </row>
    <row r="42" spans="1:17" x14ac:dyDescent="0.25">
      <c r="A42" s="2" t="str">
        <f>"HOSF0000151401"</f>
        <v>HOSF0000151401</v>
      </c>
      <c r="B42" s="2">
        <v>151401</v>
      </c>
      <c r="C42" s="6">
        <v>44406.919409722221</v>
      </c>
      <c r="D42" s="5">
        <v>335687</v>
      </c>
      <c r="E42" s="5">
        <v>335687</v>
      </c>
      <c r="F42" s="2" t="str">
        <f t="shared" si="0"/>
        <v>900226715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335687</v>
      </c>
      <c r="P42" s="21">
        <v>0</v>
      </c>
      <c r="Q42" s="21">
        <f t="shared" si="1"/>
        <v>0</v>
      </c>
    </row>
    <row r="43" spans="1:17" x14ac:dyDescent="0.25">
      <c r="A43" s="2" t="str">
        <f>"HOSF0000152456"</f>
        <v>HOSF0000152456</v>
      </c>
      <c r="B43" s="2">
        <v>152456</v>
      </c>
      <c r="C43" s="6">
        <v>44408.687268518515</v>
      </c>
      <c r="D43" s="5">
        <v>196496</v>
      </c>
      <c r="E43" s="5">
        <v>196496</v>
      </c>
      <c r="F43" s="2" t="str">
        <f t="shared" si="0"/>
        <v>900226715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196496</v>
      </c>
      <c r="P43" s="21">
        <v>0</v>
      </c>
      <c r="Q43" s="21">
        <f t="shared" si="1"/>
        <v>0</v>
      </c>
    </row>
    <row r="44" spans="1:17" x14ac:dyDescent="0.25">
      <c r="A44" s="2" t="str">
        <f>"HOSF0000152552"</f>
        <v>HOSF0000152552</v>
      </c>
      <c r="B44" s="2">
        <v>152552</v>
      </c>
      <c r="C44" s="6">
        <v>44408.890856481485</v>
      </c>
      <c r="D44" s="5">
        <v>369341</v>
      </c>
      <c r="E44" s="5">
        <v>369341</v>
      </c>
      <c r="F44" s="2" t="str">
        <f t="shared" si="0"/>
        <v>900226715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369341</v>
      </c>
      <c r="P44" s="21">
        <v>0</v>
      </c>
      <c r="Q44" s="21">
        <f t="shared" si="1"/>
        <v>0</v>
      </c>
    </row>
    <row r="45" spans="1:17" x14ac:dyDescent="0.25">
      <c r="A45" s="2" t="str">
        <f>"HOSF0000154564"</f>
        <v>HOSF0000154564</v>
      </c>
      <c r="B45" s="2">
        <v>154564</v>
      </c>
      <c r="C45" s="6">
        <v>44413.069131944445</v>
      </c>
      <c r="D45" s="5">
        <v>163444</v>
      </c>
      <c r="E45" s="5">
        <v>163444</v>
      </c>
      <c r="F45" s="2" t="str">
        <f t="shared" si="0"/>
        <v>900226715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163444</v>
      </c>
      <c r="P45" s="21">
        <v>0</v>
      </c>
      <c r="Q45" s="21">
        <f t="shared" si="1"/>
        <v>0</v>
      </c>
    </row>
    <row r="46" spans="1:17" x14ac:dyDescent="0.25">
      <c r="A46" s="2" t="str">
        <f>"HOSF0000160329"</f>
        <v>HOSF0000160329</v>
      </c>
      <c r="B46" s="2">
        <v>160329</v>
      </c>
      <c r="C46" s="6">
        <v>44427.003125000003</v>
      </c>
      <c r="D46" s="5">
        <v>186343</v>
      </c>
      <c r="E46" s="5">
        <v>186343</v>
      </c>
      <c r="F46" s="2" t="str">
        <f t="shared" si="0"/>
        <v>900226715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186343</v>
      </c>
      <c r="P46" s="21">
        <v>0</v>
      </c>
      <c r="Q46" s="21">
        <f t="shared" si="1"/>
        <v>0</v>
      </c>
    </row>
    <row r="47" spans="1:17" x14ac:dyDescent="0.25">
      <c r="A47" s="2" t="str">
        <f>"HOSF0000161848"</f>
        <v>HOSF0000161848</v>
      </c>
      <c r="B47" s="2">
        <v>161848</v>
      </c>
      <c r="C47" s="6">
        <v>44430.520254629628</v>
      </c>
      <c r="D47" s="5">
        <v>447828</v>
      </c>
      <c r="E47" s="5">
        <v>447828</v>
      </c>
      <c r="F47" s="2" t="str">
        <f t="shared" si="0"/>
        <v>900226715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447828</v>
      </c>
      <c r="P47" s="21">
        <v>0</v>
      </c>
      <c r="Q47" s="21">
        <f t="shared" si="1"/>
        <v>0</v>
      </c>
    </row>
    <row r="48" spans="1:17" x14ac:dyDescent="0.25">
      <c r="A48" s="2" t="str">
        <f>"HOSF0000161883"</f>
        <v>HOSF0000161883</v>
      </c>
      <c r="B48" s="2">
        <v>161883</v>
      </c>
      <c r="C48" s="6">
        <v>44430.642222222225</v>
      </c>
      <c r="D48" s="5">
        <v>121430</v>
      </c>
      <c r="E48" s="5">
        <v>121430</v>
      </c>
      <c r="F48" s="2" t="str">
        <f t="shared" si="0"/>
        <v>900226715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121430</v>
      </c>
      <c r="P48" s="21">
        <v>0</v>
      </c>
      <c r="Q48" s="21">
        <f t="shared" si="1"/>
        <v>0</v>
      </c>
    </row>
    <row r="49" spans="1:17" x14ac:dyDescent="0.25">
      <c r="A49" s="2" t="str">
        <f>"HOSF0000163626"</f>
        <v>HOSF0000163626</v>
      </c>
      <c r="B49" s="2">
        <v>163626</v>
      </c>
      <c r="C49" s="6">
        <v>44433.344236111108</v>
      </c>
      <c r="D49" s="5">
        <v>568351</v>
      </c>
      <c r="E49" s="5">
        <v>568351</v>
      </c>
      <c r="F49" s="2" t="str">
        <f t="shared" si="0"/>
        <v>900226715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568351</v>
      </c>
      <c r="P49" s="21">
        <v>0</v>
      </c>
      <c r="Q49" s="21">
        <f t="shared" si="1"/>
        <v>0</v>
      </c>
    </row>
    <row r="50" spans="1:17" x14ac:dyDescent="0.25">
      <c r="A50" s="2" t="str">
        <f>"HOSF0000163788"</f>
        <v>HOSF0000163788</v>
      </c>
      <c r="B50" s="2">
        <v>163788</v>
      </c>
      <c r="C50" s="6">
        <v>44433.423576388886</v>
      </c>
      <c r="D50" s="5">
        <v>760494</v>
      </c>
      <c r="E50" s="5">
        <v>760494</v>
      </c>
      <c r="F50" s="2" t="str">
        <f t="shared" si="0"/>
        <v>900226715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760494</v>
      </c>
      <c r="P50" s="21">
        <v>0</v>
      </c>
      <c r="Q50" s="21">
        <f t="shared" si="1"/>
        <v>0</v>
      </c>
    </row>
    <row r="51" spans="1:17" x14ac:dyDescent="0.25">
      <c r="A51" s="2" t="str">
        <f>"HOSF0000164065"</f>
        <v>HOSF0000164065</v>
      </c>
      <c r="B51" s="2">
        <v>164065</v>
      </c>
      <c r="C51" s="6">
        <v>44433.670983796299</v>
      </c>
      <c r="D51" s="5">
        <v>59700</v>
      </c>
      <c r="E51" s="5">
        <v>59700</v>
      </c>
      <c r="F51" s="2" t="str">
        <f t="shared" si="0"/>
        <v>900226715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59700</v>
      </c>
      <c r="P51" s="21">
        <v>0</v>
      </c>
      <c r="Q51" s="21">
        <f t="shared" si="1"/>
        <v>0</v>
      </c>
    </row>
    <row r="52" spans="1:17" x14ac:dyDescent="0.25">
      <c r="A52" s="2" t="str">
        <f>"HOSF0000164743"</f>
        <v>HOSF0000164743</v>
      </c>
      <c r="B52" s="2">
        <v>164743</v>
      </c>
      <c r="C52" s="6">
        <v>44434.619016203702</v>
      </c>
      <c r="D52" s="5">
        <v>347333</v>
      </c>
      <c r="E52" s="5">
        <v>347333</v>
      </c>
      <c r="F52" s="2" t="str">
        <f t="shared" si="0"/>
        <v>900226715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347333</v>
      </c>
      <c r="P52" s="21">
        <v>0</v>
      </c>
      <c r="Q52" s="21">
        <f t="shared" si="1"/>
        <v>0</v>
      </c>
    </row>
    <row r="53" spans="1:17" x14ac:dyDescent="0.25">
      <c r="A53" s="2" t="str">
        <f>"HOSF0000164914"</f>
        <v>HOSF0000164914</v>
      </c>
      <c r="B53" s="2">
        <v>164914</v>
      </c>
      <c r="C53" s="6">
        <v>44435.217210648145</v>
      </c>
      <c r="D53" s="5">
        <v>884264</v>
      </c>
      <c r="E53" s="5">
        <v>884264</v>
      </c>
      <c r="F53" s="2" t="str">
        <f t="shared" si="0"/>
        <v>900226715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46600</v>
      </c>
      <c r="M53" s="21">
        <v>0</v>
      </c>
      <c r="N53" s="21">
        <v>0</v>
      </c>
      <c r="O53" s="21">
        <v>837664</v>
      </c>
      <c r="P53" s="21">
        <v>0</v>
      </c>
      <c r="Q53" s="21">
        <f t="shared" si="1"/>
        <v>0</v>
      </c>
    </row>
    <row r="54" spans="1:17" x14ac:dyDescent="0.25">
      <c r="A54" s="2" t="str">
        <f>"HOSF0000165033"</f>
        <v>HOSF0000165033</v>
      </c>
      <c r="B54" s="2">
        <v>165033</v>
      </c>
      <c r="C54" s="6">
        <v>44435.327974537038</v>
      </c>
      <c r="D54" s="5">
        <v>154964</v>
      </c>
      <c r="E54" s="5">
        <v>154964</v>
      </c>
      <c r="F54" s="2" t="str">
        <f t="shared" si="0"/>
        <v>900226715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154964</v>
      </c>
      <c r="P54" s="21">
        <v>0</v>
      </c>
      <c r="Q54" s="21">
        <f t="shared" si="1"/>
        <v>0</v>
      </c>
    </row>
    <row r="55" spans="1:17" x14ac:dyDescent="0.25">
      <c r="A55" s="2" t="str">
        <f>"HOSF0000165382"</f>
        <v>HOSF0000165382</v>
      </c>
      <c r="B55" s="2">
        <v>165382</v>
      </c>
      <c r="C55" s="6">
        <v>44435.635787037034</v>
      </c>
      <c r="D55" s="5">
        <v>59700</v>
      </c>
      <c r="E55" s="5">
        <v>59700</v>
      </c>
      <c r="F55" s="2" t="str">
        <f t="shared" si="0"/>
        <v>900226715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59700</v>
      </c>
      <c r="P55" s="21">
        <v>0</v>
      </c>
      <c r="Q55" s="21">
        <f t="shared" si="1"/>
        <v>0</v>
      </c>
    </row>
    <row r="56" spans="1:17" x14ac:dyDescent="0.25">
      <c r="A56" s="2" t="str">
        <f>"HOSF0000168879"</f>
        <v>HOSF0000168879</v>
      </c>
      <c r="B56" s="2">
        <v>168879</v>
      </c>
      <c r="C56" s="6">
        <v>44441.701307870368</v>
      </c>
      <c r="D56" s="5">
        <v>961032</v>
      </c>
      <c r="E56" s="5">
        <v>961032</v>
      </c>
      <c r="F56" s="2" t="str">
        <f t="shared" si="0"/>
        <v>900226715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961032</v>
      </c>
      <c r="P56" s="21">
        <v>0</v>
      </c>
      <c r="Q56" s="21">
        <f t="shared" si="1"/>
        <v>0</v>
      </c>
    </row>
    <row r="57" spans="1:17" x14ac:dyDescent="0.25">
      <c r="A57" s="2" t="str">
        <f>"HOSF0000168951"</f>
        <v>HOSF0000168951</v>
      </c>
      <c r="B57" s="2">
        <v>168951</v>
      </c>
      <c r="C57" s="6">
        <v>44442.192048611112</v>
      </c>
      <c r="D57" s="5">
        <v>131871</v>
      </c>
      <c r="E57" s="5">
        <v>131871</v>
      </c>
      <c r="F57" s="2" t="str">
        <f t="shared" si="0"/>
        <v>900226715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131871</v>
      </c>
      <c r="P57" s="21">
        <v>0</v>
      </c>
      <c r="Q57" s="21">
        <f t="shared" si="1"/>
        <v>0</v>
      </c>
    </row>
    <row r="58" spans="1:17" x14ac:dyDescent="0.25">
      <c r="A58" s="2" t="str">
        <f>"HOSF0000169812"</f>
        <v>HOSF0000169812</v>
      </c>
      <c r="B58" s="2">
        <v>169812</v>
      </c>
      <c r="C58" s="6">
        <v>44444.75203703704</v>
      </c>
      <c r="D58" s="5">
        <v>704496</v>
      </c>
      <c r="E58" s="5">
        <v>704496</v>
      </c>
      <c r="F58" s="2" t="str">
        <f t="shared" si="0"/>
        <v>900226715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704496</v>
      </c>
      <c r="P58" s="21">
        <v>0</v>
      </c>
      <c r="Q58" s="21">
        <f t="shared" si="1"/>
        <v>0</v>
      </c>
    </row>
    <row r="59" spans="1:17" x14ac:dyDescent="0.25">
      <c r="A59" s="2" t="str">
        <f>"HOSF0000170424"</f>
        <v>HOSF0000170424</v>
      </c>
      <c r="B59" s="2">
        <v>170424</v>
      </c>
      <c r="C59" s="6">
        <v>44445.777326388888</v>
      </c>
      <c r="D59" s="5">
        <v>127546</v>
      </c>
      <c r="E59" s="5">
        <v>127546</v>
      </c>
      <c r="F59" s="2" t="str">
        <f t="shared" si="0"/>
        <v>900226715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127546</v>
      </c>
      <c r="P59" s="21">
        <v>0</v>
      </c>
      <c r="Q59" s="21">
        <f t="shared" si="1"/>
        <v>0</v>
      </c>
    </row>
    <row r="60" spans="1:17" x14ac:dyDescent="0.25">
      <c r="A60" s="2" t="str">
        <f>"HOSF0000173064"</f>
        <v>HOSF0000173064</v>
      </c>
      <c r="B60" s="2">
        <v>173064</v>
      </c>
      <c r="C60" s="6">
        <v>44450.62605324074</v>
      </c>
      <c r="D60" s="5">
        <v>70202</v>
      </c>
      <c r="E60" s="5">
        <v>70202</v>
      </c>
      <c r="F60" s="2" t="str">
        <f t="shared" si="0"/>
        <v>900226715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70202</v>
      </c>
      <c r="P60" s="21">
        <v>0</v>
      </c>
      <c r="Q60" s="21">
        <f t="shared" si="1"/>
        <v>0</v>
      </c>
    </row>
    <row r="61" spans="1:17" x14ac:dyDescent="0.25">
      <c r="A61" s="2" t="str">
        <f>"HOSF0000174567"</f>
        <v>HOSF0000174567</v>
      </c>
      <c r="B61" s="2">
        <v>174567</v>
      </c>
      <c r="C61" s="6">
        <v>44453.659513888888</v>
      </c>
      <c r="D61" s="5">
        <v>315100</v>
      </c>
      <c r="E61" s="5">
        <v>315100</v>
      </c>
      <c r="F61" s="2" t="str">
        <f t="shared" si="0"/>
        <v>900226715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315100</v>
      </c>
      <c r="P61" s="21">
        <v>0</v>
      </c>
      <c r="Q61" s="21">
        <f t="shared" si="1"/>
        <v>0</v>
      </c>
    </row>
    <row r="62" spans="1:17" x14ac:dyDescent="0.25">
      <c r="A62" s="2" t="str">
        <f>"HOSF0000177694"</f>
        <v>HOSF0000177694</v>
      </c>
      <c r="B62" s="2">
        <v>177694</v>
      </c>
      <c r="C62" s="6">
        <v>44459.637453703705</v>
      </c>
      <c r="D62" s="5">
        <v>657006</v>
      </c>
      <c r="E62" s="5">
        <v>657006</v>
      </c>
      <c r="F62" s="2" t="str">
        <f t="shared" si="0"/>
        <v>900226715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657006</v>
      </c>
      <c r="P62" s="21">
        <v>0</v>
      </c>
      <c r="Q62" s="21">
        <f t="shared" si="1"/>
        <v>0</v>
      </c>
    </row>
    <row r="63" spans="1:17" x14ac:dyDescent="0.25">
      <c r="A63" s="2" t="str">
        <f>"HOSF0000179023"</f>
        <v>HOSF0000179023</v>
      </c>
      <c r="B63" s="2">
        <v>179023</v>
      </c>
      <c r="C63" s="6">
        <v>44461.456585648149</v>
      </c>
      <c r="D63" s="5">
        <v>310308</v>
      </c>
      <c r="E63" s="5">
        <v>310308</v>
      </c>
      <c r="F63" s="2" t="str">
        <f t="shared" si="0"/>
        <v>900226715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310308</v>
      </c>
      <c r="P63" s="21">
        <v>0</v>
      </c>
      <c r="Q63" s="21">
        <f t="shared" si="1"/>
        <v>0</v>
      </c>
    </row>
    <row r="64" spans="1:17" x14ac:dyDescent="0.25">
      <c r="A64" s="2" t="str">
        <f>"HOSF0000179370"</f>
        <v>HOSF0000179370</v>
      </c>
      <c r="B64" s="2">
        <v>179370</v>
      </c>
      <c r="C64" s="6">
        <v>44462.281087962961</v>
      </c>
      <c r="D64" s="5">
        <v>71193</v>
      </c>
      <c r="E64" s="5">
        <v>71193</v>
      </c>
      <c r="F64" s="2" t="str">
        <f t="shared" si="0"/>
        <v>900226715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71193</v>
      </c>
      <c r="P64" s="21">
        <v>0</v>
      </c>
      <c r="Q64" s="21">
        <f t="shared" si="1"/>
        <v>0</v>
      </c>
    </row>
    <row r="65" spans="1:17" x14ac:dyDescent="0.25">
      <c r="A65" s="2" t="str">
        <f>"HOSF0000186210"</f>
        <v>HOSF0000186210</v>
      </c>
      <c r="B65" s="2">
        <v>186210</v>
      </c>
      <c r="C65" s="6">
        <v>44473.709560185183</v>
      </c>
      <c r="D65" s="5">
        <v>59700</v>
      </c>
      <c r="E65" s="5">
        <v>59700</v>
      </c>
      <c r="F65" s="2" t="str">
        <f t="shared" si="0"/>
        <v>900226715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59700</v>
      </c>
      <c r="P65" s="21">
        <v>0</v>
      </c>
      <c r="Q65" s="21">
        <f t="shared" si="1"/>
        <v>0</v>
      </c>
    </row>
    <row r="66" spans="1:17" x14ac:dyDescent="0.25">
      <c r="A66" s="2" t="str">
        <f>"HOSF0000191372"</f>
        <v>HOSF0000191372</v>
      </c>
      <c r="B66" s="2">
        <v>191372</v>
      </c>
      <c r="C66" s="6">
        <v>44483.093321759261</v>
      </c>
      <c r="D66" s="5">
        <v>842871</v>
      </c>
      <c r="E66" s="5">
        <v>842871</v>
      </c>
      <c r="F66" s="2" t="str">
        <f t="shared" ref="F66:F129" si="2">"900226715"</f>
        <v>900226715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842871</v>
      </c>
      <c r="P66" s="21">
        <v>0</v>
      </c>
      <c r="Q66" s="21">
        <f t="shared" ref="Q66:Q129" si="3">+E66-G66-H66-I66-J66-K66-L66-M66-N66-O66</f>
        <v>0</v>
      </c>
    </row>
    <row r="67" spans="1:17" x14ac:dyDescent="0.25">
      <c r="A67" s="2" t="str">
        <f>"HOSF0000194259"</f>
        <v>HOSF0000194259</v>
      </c>
      <c r="B67" s="2">
        <v>194259</v>
      </c>
      <c r="C67" s="6">
        <v>44489.234733796293</v>
      </c>
      <c r="D67" s="5">
        <v>341360</v>
      </c>
      <c r="E67" s="5">
        <v>341360</v>
      </c>
      <c r="F67" s="2" t="str">
        <f t="shared" si="2"/>
        <v>900226715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341360</v>
      </c>
      <c r="P67" s="21">
        <v>0</v>
      </c>
      <c r="Q67" s="21">
        <f t="shared" si="3"/>
        <v>0</v>
      </c>
    </row>
    <row r="68" spans="1:17" x14ac:dyDescent="0.25">
      <c r="A68" s="2" t="str">
        <f>"HOSF0000195722"</f>
        <v>HOSF0000195722</v>
      </c>
      <c r="B68" s="2">
        <v>195722</v>
      </c>
      <c r="C68" s="6">
        <v>44491.12259259259</v>
      </c>
      <c r="D68" s="5">
        <v>203808</v>
      </c>
      <c r="E68" s="5">
        <v>203808</v>
      </c>
      <c r="F68" s="2" t="str">
        <f t="shared" si="2"/>
        <v>900226715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203808</v>
      </c>
      <c r="P68" s="21">
        <v>0</v>
      </c>
      <c r="Q68" s="21">
        <f t="shared" si="3"/>
        <v>0</v>
      </c>
    </row>
    <row r="69" spans="1:17" x14ac:dyDescent="0.25">
      <c r="A69" s="2" t="str">
        <f>"HOSF0000198492"</f>
        <v>HOSF0000198492</v>
      </c>
      <c r="B69" s="2">
        <v>198492</v>
      </c>
      <c r="C69" s="6">
        <v>44495.730914351851</v>
      </c>
      <c r="D69" s="5">
        <v>385012</v>
      </c>
      <c r="E69" s="5">
        <v>385012</v>
      </c>
      <c r="F69" s="2" t="str">
        <f t="shared" si="2"/>
        <v>900226715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385012</v>
      </c>
      <c r="P69" s="21">
        <v>0</v>
      </c>
      <c r="Q69" s="21">
        <f t="shared" si="3"/>
        <v>0</v>
      </c>
    </row>
    <row r="70" spans="1:17" x14ac:dyDescent="0.25">
      <c r="A70" s="2" t="str">
        <f>"HOSF0000198505"</f>
        <v>HOSF0000198505</v>
      </c>
      <c r="B70" s="2">
        <v>198505</v>
      </c>
      <c r="C70" s="6">
        <v>44495.776319444441</v>
      </c>
      <c r="D70" s="5">
        <v>59700</v>
      </c>
      <c r="E70" s="5">
        <v>59700</v>
      </c>
      <c r="F70" s="2" t="str">
        <f t="shared" si="2"/>
        <v>900226715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45163</v>
      </c>
      <c r="M70" s="21">
        <v>0</v>
      </c>
      <c r="N70" s="21">
        <v>0</v>
      </c>
      <c r="O70" s="21">
        <v>14537</v>
      </c>
      <c r="P70" s="21">
        <v>0</v>
      </c>
      <c r="Q70" s="21">
        <f t="shared" si="3"/>
        <v>0</v>
      </c>
    </row>
    <row r="71" spans="1:17" x14ac:dyDescent="0.25">
      <c r="A71" s="2" t="str">
        <f>"HOSF0000201956"</f>
        <v>HOSF0000201956</v>
      </c>
      <c r="B71" s="2">
        <v>201956</v>
      </c>
      <c r="C71" s="6">
        <v>44501.713483796295</v>
      </c>
      <c r="D71" s="5">
        <v>72118</v>
      </c>
      <c r="E71" s="5">
        <v>72118</v>
      </c>
      <c r="F71" s="2" t="str">
        <f t="shared" si="2"/>
        <v>900226715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72118</v>
      </c>
      <c r="P71" s="21">
        <v>0</v>
      </c>
      <c r="Q71" s="21">
        <f t="shared" si="3"/>
        <v>0</v>
      </c>
    </row>
    <row r="72" spans="1:17" x14ac:dyDescent="0.25">
      <c r="A72" s="2" t="str">
        <f>"HOSF0000202762"</f>
        <v>HOSF0000202762</v>
      </c>
      <c r="B72" s="2">
        <v>202762</v>
      </c>
      <c r="C72" s="6">
        <v>44503.227465277778</v>
      </c>
      <c r="D72" s="5">
        <v>77400</v>
      </c>
      <c r="E72" s="5">
        <v>77400</v>
      </c>
      <c r="F72" s="2" t="str">
        <f t="shared" si="2"/>
        <v>900226715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77400</v>
      </c>
      <c r="P72" s="21">
        <v>0</v>
      </c>
      <c r="Q72" s="21">
        <f t="shared" si="3"/>
        <v>0</v>
      </c>
    </row>
    <row r="73" spans="1:17" x14ac:dyDescent="0.25">
      <c r="A73" s="2" t="str">
        <f>"HOSF0000204061"</f>
        <v>HOSF0000204061</v>
      </c>
      <c r="B73" s="2">
        <v>204061</v>
      </c>
      <c r="C73" s="6">
        <v>44504.69222222222</v>
      </c>
      <c r="D73" s="5">
        <v>60358</v>
      </c>
      <c r="E73" s="5">
        <v>60358</v>
      </c>
      <c r="F73" s="2" t="str">
        <f t="shared" si="2"/>
        <v>900226715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60358</v>
      </c>
      <c r="P73" s="21">
        <v>0</v>
      </c>
      <c r="Q73" s="21">
        <f t="shared" si="3"/>
        <v>0</v>
      </c>
    </row>
    <row r="74" spans="1:17" x14ac:dyDescent="0.25">
      <c r="A74" s="2" t="str">
        <f>"HOSF0000204935"</f>
        <v>HOSF0000204935</v>
      </c>
      <c r="B74" s="2">
        <v>204935</v>
      </c>
      <c r="C74" s="6">
        <v>44507.540289351855</v>
      </c>
      <c r="D74" s="5">
        <v>371366</v>
      </c>
      <c r="E74" s="5">
        <v>371366</v>
      </c>
      <c r="F74" s="2" t="str">
        <f t="shared" si="2"/>
        <v>900226715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371366</v>
      </c>
      <c r="P74" s="21">
        <v>0</v>
      </c>
      <c r="Q74" s="21">
        <f t="shared" si="3"/>
        <v>0</v>
      </c>
    </row>
    <row r="75" spans="1:17" x14ac:dyDescent="0.25">
      <c r="A75" s="2" t="str">
        <f>"HOSF0000206372"</f>
        <v>HOSF0000206372</v>
      </c>
      <c r="B75" s="2">
        <v>206372</v>
      </c>
      <c r="C75" s="6">
        <v>44509.991053240738</v>
      </c>
      <c r="D75" s="5">
        <v>73077</v>
      </c>
      <c r="E75" s="5">
        <v>73077</v>
      </c>
      <c r="F75" s="2" t="str">
        <f t="shared" si="2"/>
        <v>900226715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73077</v>
      </c>
      <c r="P75" s="21">
        <v>0</v>
      </c>
      <c r="Q75" s="21">
        <f t="shared" si="3"/>
        <v>0</v>
      </c>
    </row>
    <row r="76" spans="1:17" x14ac:dyDescent="0.25">
      <c r="A76" s="2" t="str">
        <f>"HOSF0000206601"</f>
        <v>HOSF0000206601</v>
      </c>
      <c r="B76" s="2">
        <v>206601</v>
      </c>
      <c r="C76" s="6">
        <v>44510.364571759259</v>
      </c>
      <c r="D76" s="5">
        <v>36300</v>
      </c>
      <c r="E76" s="5">
        <v>36300</v>
      </c>
      <c r="F76" s="2" t="str">
        <f t="shared" si="2"/>
        <v>900226715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36300</v>
      </c>
      <c r="P76" s="21">
        <v>0</v>
      </c>
      <c r="Q76" s="21">
        <f t="shared" si="3"/>
        <v>0</v>
      </c>
    </row>
    <row r="77" spans="1:17" x14ac:dyDescent="0.25">
      <c r="A77" s="2" t="str">
        <f>"HOSF0000207125"</f>
        <v>HOSF0000207125</v>
      </c>
      <c r="B77" s="2">
        <v>207125</v>
      </c>
      <c r="C77" s="6">
        <v>44510.873703703706</v>
      </c>
      <c r="D77" s="5">
        <v>163802</v>
      </c>
      <c r="E77" s="5">
        <v>163802</v>
      </c>
      <c r="F77" s="2" t="str">
        <f t="shared" si="2"/>
        <v>900226715</v>
      </c>
      <c r="G77" s="21">
        <v>163802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f t="shared" si="3"/>
        <v>0</v>
      </c>
    </row>
    <row r="78" spans="1:17" x14ac:dyDescent="0.25">
      <c r="A78" s="2" t="str">
        <f>"HOSF0000207148"</f>
        <v>HOSF0000207148</v>
      </c>
      <c r="B78" s="2">
        <v>207148</v>
      </c>
      <c r="C78" s="6">
        <v>44510.952511574076</v>
      </c>
      <c r="D78" s="5">
        <v>389291</v>
      </c>
      <c r="E78" s="5">
        <v>389291</v>
      </c>
      <c r="F78" s="2" t="str">
        <f t="shared" si="2"/>
        <v>900226715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389291</v>
      </c>
      <c r="P78" s="21">
        <v>0</v>
      </c>
      <c r="Q78" s="21">
        <f t="shared" si="3"/>
        <v>0</v>
      </c>
    </row>
    <row r="79" spans="1:17" x14ac:dyDescent="0.25">
      <c r="A79" s="2" t="str">
        <f>"HOSF0000211300"</f>
        <v>HOSF0000211300</v>
      </c>
      <c r="B79" s="2">
        <v>211300</v>
      </c>
      <c r="C79" s="6">
        <v>44519.485312500001</v>
      </c>
      <c r="D79" s="5">
        <v>59700</v>
      </c>
      <c r="E79" s="5">
        <v>59700</v>
      </c>
      <c r="F79" s="2" t="str">
        <f t="shared" si="2"/>
        <v>900226715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59700</v>
      </c>
      <c r="P79" s="21">
        <v>0</v>
      </c>
      <c r="Q79" s="21">
        <f t="shared" si="3"/>
        <v>0</v>
      </c>
    </row>
    <row r="80" spans="1:17" x14ac:dyDescent="0.25">
      <c r="A80" s="2" t="str">
        <f>"HOSF0000212208"</f>
        <v>HOSF0000212208</v>
      </c>
      <c r="B80" s="2">
        <v>212208</v>
      </c>
      <c r="C80" s="6">
        <v>44522.450949074075</v>
      </c>
      <c r="D80" s="5">
        <v>133144</v>
      </c>
      <c r="E80" s="5">
        <v>133144</v>
      </c>
      <c r="F80" s="2" t="str">
        <f t="shared" si="2"/>
        <v>900226715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133144</v>
      </c>
      <c r="P80" s="21">
        <v>0</v>
      </c>
      <c r="Q80" s="21">
        <f t="shared" si="3"/>
        <v>0</v>
      </c>
    </row>
    <row r="81" spans="1:17" x14ac:dyDescent="0.25">
      <c r="A81" s="2" t="str">
        <f>"HOSF0000214198"</f>
        <v>HOSF0000214198</v>
      </c>
      <c r="B81" s="2">
        <v>214198</v>
      </c>
      <c r="C81" s="6">
        <v>44525.409166666665</v>
      </c>
      <c r="D81" s="5">
        <v>1598710</v>
      </c>
      <c r="E81" s="5">
        <v>1598710</v>
      </c>
      <c r="F81" s="2" t="str">
        <f t="shared" si="2"/>
        <v>900226715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1598710</v>
      </c>
      <c r="P81" s="21">
        <v>0</v>
      </c>
      <c r="Q81" s="21">
        <f t="shared" si="3"/>
        <v>0</v>
      </c>
    </row>
    <row r="82" spans="1:17" x14ac:dyDescent="0.25">
      <c r="A82" s="2" t="str">
        <f>"HOSF0000215404"</f>
        <v>HOSF0000215404</v>
      </c>
      <c r="B82" s="2">
        <v>215404</v>
      </c>
      <c r="C82" s="6">
        <v>44527.514606481483</v>
      </c>
      <c r="D82" s="5">
        <v>369238</v>
      </c>
      <c r="E82" s="5">
        <v>369238</v>
      </c>
      <c r="F82" s="2" t="str">
        <f t="shared" si="2"/>
        <v>900226715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369238</v>
      </c>
      <c r="P82" s="21">
        <v>0</v>
      </c>
      <c r="Q82" s="21">
        <f t="shared" si="3"/>
        <v>0</v>
      </c>
    </row>
    <row r="83" spans="1:17" x14ac:dyDescent="0.25">
      <c r="A83" s="2" t="str">
        <f>"HOSF0000216541"</f>
        <v>HOSF0000216541</v>
      </c>
      <c r="B83" s="2">
        <v>216541</v>
      </c>
      <c r="C83" s="6">
        <v>44529.701481481483</v>
      </c>
      <c r="D83" s="5">
        <v>59700</v>
      </c>
      <c r="E83" s="5">
        <v>59700</v>
      </c>
      <c r="F83" s="2" t="str">
        <f t="shared" si="2"/>
        <v>900226715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59700</v>
      </c>
      <c r="P83" s="21">
        <v>0</v>
      </c>
      <c r="Q83" s="21">
        <f t="shared" si="3"/>
        <v>0</v>
      </c>
    </row>
    <row r="84" spans="1:17" x14ac:dyDescent="0.25">
      <c r="A84" s="2" t="str">
        <f>"HOSF0000218321"</f>
        <v>HOSF0000218321</v>
      </c>
      <c r="B84" s="2">
        <v>218321</v>
      </c>
      <c r="C84" s="6">
        <v>44531.79</v>
      </c>
      <c r="D84" s="5">
        <v>99100</v>
      </c>
      <c r="E84" s="5">
        <v>99100</v>
      </c>
      <c r="F84" s="2" t="str">
        <f t="shared" si="2"/>
        <v>900226715</v>
      </c>
      <c r="G84" s="21">
        <v>99100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f t="shared" si="3"/>
        <v>0</v>
      </c>
    </row>
    <row r="85" spans="1:17" x14ac:dyDescent="0.25">
      <c r="A85" s="2" t="str">
        <f>"HOSF0000219946"</f>
        <v>HOSF0000219946</v>
      </c>
      <c r="B85" s="2">
        <v>219946</v>
      </c>
      <c r="C85" s="6">
        <v>44534.506701388891</v>
      </c>
      <c r="D85" s="5">
        <v>177162</v>
      </c>
      <c r="E85" s="5">
        <v>177162</v>
      </c>
      <c r="F85" s="2" t="str">
        <f t="shared" si="2"/>
        <v>900226715</v>
      </c>
      <c r="G85" s="21">
        <v>177162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f t="shared" si="3"/>
        <v>0</v>
      </c>
    </row>
    <row r="86" spans="1:17" x14ac:dyDescent="0.25">
      <c r="A86" s="2" t="str">
        <f>"HOSF0000221738"</f>
        <v>HOSF0000221738</v>
      </c>
      <c r="B86" s="2">
        <v>221738</v>
      </c>
      <c r="C86" s="6">
        <v>44538.974664351852</v>
      </c>
      <c r="D86" s="5">
        <v>59700</v>
      </c>
      <c r="E86" s="5">
        <v>59700</v>
      </c>
      <c r="F86" s="2" t="str">
        <f t="shared" si="2"/>
        <v>900226715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59700</v>
      </c>
      <c r="P86" s="21">
        <v>0</v>
      </c>
      <c r="Q86" s="21">
        <f t="shared" si="3"/>
        <v>0</v>
      </c>
    </row>
    <row r="87" spans="1:17" x14ac:dyDescent="0.25">
      <c r="A87" s="2" t="str">
        <f>"HOSF0000224796"</f>
        <v>HOSF0000224796</v>
      </c>
      <c r="B87" s="2">
        <v>224796</v>
      </c>
      <c r="C87" s="6">
        <v>44544.840590277781</v>
      </c>
      <c r="D87" s="5">
        <v>736465</v>
      </c>
      <c r="E87" s="5">
        <v>736465</v>
      </c>
      <c r="F87" s="2" t="str">
        <f t="shared" si="2"/>
        <v>900226715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59700</v>
      </c>
      <c r="M87" s="21">
        <v>0</v>
      </c>
      <c r="N87" s="21">
        <v>0</v>
      </c>
      <c r="O87" s="21">
        <v>676765</v>
      </c>
      <c r="P87" s="21">
        <v>0</v>
      </c>
      <c r="Q87" s="21">
        <f t="shared" si="3"/>
        <v>0</v>
      </c>
    </row>
    <row r="88" spans="1:17" x14ac:dyDescent="0.25">
      <c r="A88" s="2" t="str">
        <f>"HOSF0000225151"</f>
        <v>HOSF0000225151</v>
      </c>
      <c r="B88" s="2">
        <v>225151</v>
      </c>
      <c r="C88" s="6">
        <v>44545.43273148148</v>
      </c>
      <c r="D88" s="5">
        <v>59700</v>
      </c>
      <c r="E88" s="5">
        <v>59700</v>
      </c>
      <c r="F88" s="2" t="str">
        <f t="shared" si="2"/>
        <v>900226715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59700</v>
      </c>
      <c r="P88" s="21">
        <v>0</v>
      </c>
      <c r="Q88" s="21">
        <f t="shared" si="3"/>
        <v>0</v>
      </c>
    </row>
    <row r="89" spans="1:17" x14ac:dyDescent="0.25">
      <c r="A89" s="2" t="str">
        <f>"HOSF0000229245"</f>
        <v>HOSF0000229245</v>
      </c>
      <c r="B89" s="2">
        <v>229245</v>
      </c>
      <c r="C89" s="6">
        <v>44553.38040509259</v>
      </c>
      <c r="D89" s="5">
        <v>65771</v>
      </c>
      <c r="E89" s="5">
        <v>65771</v>
      </c>
      <c r="F89" s="2" t="str">
        <f t="shared" si="2"/>
        <v>900226715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65771</v>
      </c>
      <c r="P89" s="21">
        <v>0</v>
      </c>
      <c r="Q89" s="21">
        <f t="shared" si="3"/>
        <v>0</v>
      </c>
    </row>
    <row r="90" spans="1:17" x14ac:dyDescent="0.25">
      <c r="A90" s="2" t="str">
        <f>"HOSF0000232654"</f>
        <v>HOSF0000232654</v>
      </c>
      <c r="B90" s="2">
        <v>232654</v>
      </c>
      <c r="C90" s="6">
        <v>44561.449143518519</v>
      </c>
      <c r="D90" s="5">
        <v>59700</v>
      </c>
      <c r="E90" s="5">
        <v>59700</v>
      </c>
      <c r="F90" s="2" t="str">
        <f t="shared" si="2"/>
        <v>900226715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59700</v>
      </c>
      <c r="P90" s="21">
        <v>0</v>
      </c>
      <c r="Q90" s="21">
        <f t="shared" si="3"/>
        <v>0</v>
      </c>
    </row>
    <row r="91" spans="1:17" x14ac:dyDescent="0.25">
      <c r="A91" s="2" t="str">
        <f>"HOSF0000234921"</f>
        <v>HOSF0000234921</v>
      </c>
      <c r="B91" s="2">
        <v>234921</v>
      </c>
      <c r="C91" s="6">
        <v>44567.897094907406</v>
      </c>
      <c r="D91" s="5">
        <v>354376</v>
      </c>
      <c r="E91" s="5">
        <v>354376</v>
      </c>
      <c r="F91" s="2" t="str">
        <f t="shared" si="2"/>
        <v>900226715</v>
      </c>
      <c r="G91" s="21">
        <v>354376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f t="shared" si="3"/>
        <v>0</v>
      </c>
    </row>
    <row r="92" spans="1:17" x14ac:dyDescent="0.25">
      <c r="A92" s="2" t="str">
        <f>"HOSF0000235548"</f>
        <v>HOSF0000235548</v>
      </c>
      <c r="B92" s="2">
        <v>235548</v>
      </c>
      <c r="C92" s="6">
        <v>44569.603368055556</v>
      </c>
      <c r="D92" s="5">
        <v>145700</v>
      </c>
      <c r="E92" s="5">
        <v>145700</v>
      </c>
      <c r="F92" s="2" t="str">
        <f t="shared" si="2"/>
        <v>900226715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145700</v>
      </c>
      <c r="P92" s="21">
        <v>0</v>
      </c>
      <c r="Q92" s="21">
        <f t="shared" si="3"/>
        <v>0</v>
      </c>
    </row>
    <row r="93" spans="1:17" x14ac:dyDescent="0.25">
      <c r="A93" s="2" t="str">
        <f>"HOSF0000237949"</f>
        <v>HOSF0000237949</v>
      </c>
      <c r="B93" s="2">
        <v>237949</v>
      </c>
      <c r="C93" s="6">
        <v>44576.089826388888</v>
      </c>
      <c r="D93" s="5">
        <v>279913</v>
      </c>
      <c r="E93" s="5">
        <v>279913</v>
      </c>
      <c r="F93" s="2" t="str">
        <f t="shared" si="2"/>
        <v>900226715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279913</v>
      </c>
      <c r="P93" s="21">
        <v>0</v>
      </c>
      <c r="Q93" s="21">
        <f t="shared" si="3"/>
        <v>0</v>
      </c>
    </row>
    <row r="94" spans="1:17" x14ac:dyDescent="0.25">
      <c r="A94" s="2" t="str">
        <f>"HOSF0000238120"</f>
        <v>HOSF0000238120</v>
      </c>
      <c r="B94" s="2">
        <v>238120</v>
      </c>
      <c r="C94" s="6">
        <v>44577.5466087963</v>
      </c>
      <c r="D94" s="5">
        <v>1667581</v>
      </c>
      <c r="E94" s="5">
        <v>1667581</v>
      </c>
      <c r="F94" s="2" t="str">
        <f t="shared" si="2"/>
        <v>900226715</v>
      </c>
      <c r="G94" s="21">
        <v>1667581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f t="shared" si="3"/>
        <v>0</v>
      </c>
    </row>
    <row r="95" spans="1:17" x14ac:dyDescent="0.25">
      <c r="A95" s="2" t="str">
        <f>"HOSF0000242059"</f>
        <v>HOSF0000242059</v>
      </c>
      <c r="B95" s="2">
        <v>242059</v>
      </c>
      <c r="C95" s="6">
        <v>44585.980196759258</v>
      </c>
      <c r="D95" s="5">
        <v>140611</v>
      </c>
      <c r="E95" s="5">
        <v>140611</v>
      </c>
      <c r="F95" s="2" t="str">
        <f t="shared" si="2"/>
        <v>900226715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140611</v>
      </c>
      <c r="P95" s="21">
        <v>0</v>
      </c>
      <c r="Q95" s="21">
        <f t="shared" si="3"/>
        <v>0</v>
      </c>
    </row>
    <row r="96" spans="1:17" x14ac:dyDescent="0.25">
      <c r="A96" s="2" t="str">
        <f>"HOSF0000243283"</f>
        <v>HOSF0000243283</v>
      </c>
      <c r="B96" s="2">
        <v>243283</v>
      </c>
      <c r="C96" s="6">
        <v>44588.091678240744</v>
      </c>
      <c r="D96" s="5">
        <v>2479489</v>
      </c>
      <c r="E96" s="5">
        <v>2479489</v>
      </c>
      <c r="F96" s="2" t="str">
        <f t="shared" si="2"/>
        <v>900226715</v>
      </c>
      <c r="G96" s="21">
        <v>2479489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f t="shared" si="3"/>
        <v>0</v>
      </c>
    </row>
    <row r="97" spans="1:17" x14ac:dyDescent="0.25">
      <c r="A97" s="2" t="str">
        <f>"HOSF0000243284"</f>
        <v>HOSF0000243284</v>
      </c>
      <c r="B97" s="2">
        <v>243284</v>
      </c>
      <c r="C97" s="6">
        <v>44588.094224537039</v>
      </c>
      <c r="D97" s="5">
        <v>65700</v>
      </c>
      <c r="E97" s="5">
        <v>65700</v>
      </c>
      <c r="F97" s="2" t="str">
        <f t="shared" si="2"/>
        <v>900226715</v>
      </c>
      <c r="G97" s="21">
        <v>65700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f t="shared" si="3"/>
        <v>0</v>
      </c>
    </row>
    <row r="98" spans="1:17" x14ac:dyDescent="0.25">
      <c r="A98" s="2" t="str">
        <f>"HOSF0000244296"</f>
        <v>HOSF0000244296</v>
      </c>
      <c r="B98" s="2">
        <v>244296</v>
      </c>
      <c r="C98" s="6">
        <v>44589.57104166667</v>
      </c>
      <c r="D98" s="5">
        <v>3195736</v>
      </c>
      <c r="E98" s="5">
        <v>3195736</v>
      </c>
      <c r="F98" s="2" t="str">
        <f t="shared" si="2"/>
        <v>900226715</v>
      </c>
      <c r="G98" s="21">
        <v>2450355</v>
      </c>
      <c r="H98" s="21">
        <v>0</v>
      </c>
      <c r="I98" s="21">
        <v>0</v>
      </c>
      <c r="J98" s="21">
        <v>0</v>
      </c>
      <c r="K98" s="21">
        <v>0</v>
      </c>
      <c r="L98" s="21">
        <v>745381</v>
      </c>
      <c r="M98" s="21">
        <v>0</v>
      </c>
      <c r="N98" s="21">
        <v>0</v>
      </c>
      <c r="O98" s="21">
        <v>0</v>
      </c>
      <c r="P98" s="21">
        <v>0</v>
      </c>
      <c r="Q98" s="21">
        <f t="shared" si="3"/>
        <v>0</v>
      </c>
    </row>
    <row r="99" spans="1:17" x14ac:dyDescent="0.25">
      <c r="A99" s="2" t="str">
        <f>"HOSF0000244302"</f>
        <v>HOSF0000244302</v>
      </c>
      <c r="B99" s="2">
        <v>244302</v>
      </c>
      <c r="C99" s="6">
        <v>44589.57372685185</v>
      </c>
      <c r="D99" s="5">
        <v>65700</v>
      </c>
      <c r="E99" s="5">
        <v>65700</v>
      </c>
      <c r="F99" s="2" t="str">
        <f t="shared" si="2"/>
        <v>900226715</v>
      </c>
      <c r="G99" s="21">
        <v>65700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f t="shared" si="3"/>
        <v>0</v>
      </c>
    </row>
    <row r="100" spans="1:17" x14ac:dyDescent="0.25">
      <c r="A100" s="2" t="str">
        <f>"HOSF0000244766"</f>
        <v>HOSF0000244766</v>
      </c>
      <c r="B100" s="2">
        <v>244766</v>
      </c>
      <c r="C100" s="6">
        <v>44590.725069444445</v>
      </c>
      <c r="D100" s="5">
        <v>220078</v>
      </c>
      <c r="E100" s="5">
        <v>220078</v>
      </c>
      <c r="F100" s="2" t="str">
        <f t="shared" si="2"/>
        <v>900226715</v>
      </c>
      <c r="G100" s="21">
        <v>220078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f t="shared" si="3"/>
        <v>0</v>
      </c>
    </row>
    <row r="101" spans="1:17" x14ac:dyDescent="0.25">
      <c r="A101" s="2" t="str">
        <f>"HOSF0000245668"</f>
        <v>HOSF0000245668</v>
      </c>
      <c r="B101" s="2">
        <v>245668</v>
      </c>
      <c r="C101" s="6">
        <v>44592.84306712963</v>
      </c>
      <c r="D101" s="5">
        <v>129151</v>
      </c>
      <c r="E101" s="5">
        <v>129151</v>
      </c>
      <c r="F101" s="2" t="str">
        <f t="shared" si="2"/>
        <v>900226715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129151</v>
      </c>
      <c r="P101" s="21">
        <v>0</v>
      </c>
      <c r="Q101" s="21">
        <f t="shared" si="3"/>
        <v>0</v>
      </c>
    </row>
    <row r="102" spans="1:17" x14ac:dyDescent="0.25">
      <c r="A102" s="2" t="str">
        <f>"HOSF0000246090"</f>
        <v>HOSF0000246090</v>
      </c>
      <c r="B102" s="2">
        <v>246090</v>
      </c>
      <c r="C102" s="6">
        <v>44593.472268518519</v>
      </c>
      <c r="D102" s="5">
        <v>40000</v>
      </c>
      <c r="E102" s="5">
        <v>40000</v>
      </c>
      <c r="F102" s="2" t="str">
        <f t="shared" si="2"/>
        <v>900226715</v>
      </c>
      <c r="G102" s="21">
        <v>40000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f t="shared" si="3"/>
        <v>0</v>
      </c>
    </row>
    <row r="103" spans="1:17" x14ac:dyDescent="0.25">
      <c r="A103" s="2" t="str">
        <f>"HOSF0000246461"</f>
        <v>HOSF0000246461</v>
      </c>
      <c r="B103" s="2">
        <v>246461</v>
      </c>
      <c r="C103" s="6">
        <v>44594.21435185185</v>
      </c>
      <c r="D103" s="5">
        <v>305755</v>
      </c>
      <c r="E103" s="5">
        <v>305755</v>
      </c>
      <c r="F103" s="2" t="str">
        <f t="shared" si="2"/>
        <v>900226715</v>
      </c>
      <c r="G103" s="21">
        <v>305755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f t="shared" si="3"/>
        <v>0</v>
      </c>
    </row>
    <row r="104" spans="1:17" x14ac:dyDescent="0.25">
      <c r="A104" s="2" t="str">
        <f>"HOSF0000248340"</f>
        <v>HOSF0000248340</v>
      </c>
      <c r="B104" s="2">
        <v>248340</v>
      </c>
      <c r="C104" s="6">
        <v>44596.65865740741</v>
      </c>
      <c r="D104" s="5">
        <v>95700</v>
      </c>
      <c r="E104" s="5">
        <v>95700</v>
      </c>
      <c r="F104" s="2" t="str">
        <f t="shared" si="2"/>
        <v>900226715</v>
      </c>
      <c r="G104" s="21">
        <v>95700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f t="shared" si="3"/>
        <v>0</v>
      </c>
    </row>
    <row r="105" spans="1:17" x14ac:dyDescent="0.25">
      <c r="A105" s="2" t="str">
        <f>"HOSF0000257248"</f>
        <v>HOSF0000257248</v>
      </c>
      <c r="B105" s="2">
        <v>257248</v>
      </c>
      <c r="C105" s="6">
        <v>44614.444155092591</v>
      </c>
      <c r="D105" s="5">
        <v>13033254</v>
      </c>
      <c r="E105" s="5">
        <v>13033254</v>
      </c>
      <c r="F105" s="2" t="str">
        <f t="shared" si="2"/>
        <v>900226715</v>
      </c>
      <c r="G105" s="21">
        <v>13012554</v>
      </c>
      <c r="H105" s="21">
        <v>0</v>
      </c>
      <c r="I105" s="21">
        <v>0</v>
      </c>
      <c r="J105" s="21">
        <v>0</v>
      </c>
      <c r="K105" s="21">
        <v>0</v>
      </c>
      <c r="L105" s="21">
        <v>20700</v>
      </c>
      <c r="M105" s="21">
        <v>0</v>
      </c>
      <c r="N105" s="21">
        <v>0</v>
      </c>
      <c r="O105" s="21">
        <v>0</v>
      </c>
      <c r="P105" s="21">
        <v>0</v>
      </c>
      <c r="Q105" s="21">
        <f t="shared" si="3"/>
        <v>0</v>
      </c>
    </row>
    <row r="106" spans="1:17" x14ac:dyDescent="0.25">
      <c r="A106" s="2" t="str">
        <f>"HOSF0000257341"</f>
        <v>HOSF0000257341</v>
      </c>
      <c r="B106" s="2">
        <v>257341</v>
      </c>
      <c r="C106" s="6">
        <v>44614.508506944447</v>
      </c>
      <c r="D106" s="5">
        <v>347472</v>
      </c>
      <c r="E106" s="5">
        <v>347472</v>
      </c>
      <c r="F106" s="2" t="str">
        <f t="shared" si="2"/>
        <v>900226715</v>
      </c>
      <c r="G106" s="21">
        <v>347472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f t="shared" si="3"/>
        <v>0</v>
      </c>
    </row>
    <row r="107" spans="1:17" x14ac:dyDescent="0.25">
      <c r="A107" s="2" t="str">
        <f>"HOSF0000257842"</f>
        <v>HOSF0000257842</v>
      </c>
      <c r="B107" s="2">
        <v>257842</v>
      </c>
      <c r="C107" s="6">
        <v>44615.391493055555</v>
      </c>
      <c r="D107" s="5">
        <v>196144</v>
      </c>
      <c r="E107" s="5">
        <v>196144</v>
      </c>
      <c r="F107" s="2" t="str">
        <f t="shared" si="2"/>
        <v>900226715</v>
      </c>
      <c r="G107" s="21">
        <v>196144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f t="shared" si="3"/>
        <v>0</v>
      </c>
    </row>
    <row r="108" spans="1:17" x14ac:dyDescent="0.25">
      <c r="A108" s="2" t="str">
        <f>"HOSF0000258794"</f>
        <v>HOSF0000258794</v>
      </c>
      <c r="B108" s="2">
        <v>258794</v>
      </c>
      <c r="C108" s="6">
        <v>44616.707928240743</v>
      </c>
      <c r="D108" s="5">
        <v>1513401</v>
      </c>
      <c r="E108" s="5">
        <v>1513401</v>
      </c>
      <c r="F108" s="2" t="str">
        <f t="shared" si="2"/>
        <v>900226715</v>
      </c>
      <c r="G108" s="21">
        <v>1087768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425633</v>
      </c>
      <c r="P108" s="21">
        <v>0</v>
      </c>
      <c r="Q108" s="21">
        <f t="shared" si="3"/>
        <v>0</v>
      </c>
    </row>
    <row r="109" spans="1:17" x14ac:dyDescent="0.25">
      <c r="A109" s="2" t="str">
        <f>"HOSF0000259307"</f>
        <v>HOSF0000259307</v>
      </c>
      <c r="B109" s="2">
        <v>259307</v>
      </c>
      <c r="C109" s="6">
        <v>44617.441481481481</v>
      </c>
      <c r="D109" s="5">
        <v>949154</v>
      </c>
      <c r="E109" s="5">
        <v>949154</v>
      </c>
      <c r="F109" s="2" t="str">
        <f t="shared" si="2"/>
        <v>900226715</v>
      </c>
      <c r="G109" s="21">
        <v>236754</v>
      </c>
      <c r="H109" s="21">
        <v>0</v>
      </c>
      <c r="I109" s="21">
        <v>0</v>
      </c>
      <c r="J109" s="21">
        <v>0</v>
      </c>
      <c r="K109" s="21">
        <v>0</v>
      </c>
      <c r="L109" s="21">
        <v>712400</v>
      </c>
      <c r="M109" s="21">
        <v>0</v>
      </c>
      <c r="N109" s="21">
        <v>0</v>
      </c>
      <c r="O109" s="21">
        <v>0</v>
      </c>
      <c r="P109" s="21">
        <v>0</v>
      </c>
      <c r="Q109" s="21">
        <f t="shared" si="3"/>
        <v>0</v>
      </c>
    </row>
    <row r="110" spans="1:17" x14ac:dyDescent="0.25">
      <c r="A110" s="2" t="str">
        <f>"HOSF0000259341"</f>
        <v>HOSF0000259341</v>
      </c>
      <c r="B110" s="2">
        <v>259341</v>
      </c>
      <c r="C110" s="6">
        <v>44617.461064814815</v>
      </c>
      <c r="D110" s="5">
        <v>293700</v>
      </c>
      <c r="E110" s="5">
        <v>293700</v>
      </c>
      <c r="F110" s="2" t="str">
        <f t="shared" si="2"/>
        <v>900226715</v>
      </c>
      <c r="G110" s="21">
        <v>293700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f t="shared" si="3"/>
        <v>0</v>
      </c>
    </row>
    <row r="111" spans="1:17" x14ac:dyDescent="0.25">
      <c r="A111" s="2" t="str">
        <f>"HOSF0000267808"</f>
        <v>HOSF0000267808</v>
      </c>
      <c r="B111" s="2">
        <v>267808</v>
      </c>
      <c r="C111" s="6">
        <v>44633.834710648145</v>
      </c>
      <c r="D111" s="5">
        <v>1504039</v>
      </c>
      <c r="E111" s="5">
        <v>1404639</v>
      </c>
      <c r="F111" s="2" t="str">
        <f t="shared" si="2"/>
        <v>900226715</v>
      </c>
      <c r="G111" s="21">
        <v>1404639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f t="shared" si="3"/>
        <v>0</v>
      </c>
    </row>
    <row r="112" spans="1:17" x14ac:dyDescent="0.25">
      <c r="A112" s="2" t="str">
        <f>"HOSF0000272057"</f>
        <v>HOSF0000272057</v>
      </c>
      <c r="B112" s="2">
        <v>272057</v>
      </c>
      <c r="C112" s="6">
        <v>44641.680532407408</v>
      </c>
      <c r="D112" s="5">
        <v>151357</v>
      </c>
      <c r="E112" s="5">
        <v>151357</v>
      </c>
      <c r="F112" s="2" t="str">
        <f t="shared" si="2"/>
        <v>900226715</v>
      </c>
      <c r="G112" s="21">
        <v>151357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f t="shared" si="3"/>
        <v>0</v>
      </c>
    </row>
    <row r="113" spans="1:17" x14ac:dyDescent="0.25">
      <c r="A113" s="2" t="str">
        <f>"HOSF0000276017"</f>
        <v>HOSF0000276017</v>
      </c>
      <c r="B113" s="2">
        <v>276017</v>
      </c>
      <c r="C113" s="6">
        <v>44648.623726851853</v>
      </c>
      <c r="D113" s="5">
        <v>65700</v>
      </c>
      <c r="E113" s="5">
        <v>65700</v>
      </c>
      <c r="F113" s="2" t="str">
        <f t="shared" si="2"/>
        <v>900226715</v>
      </c>
      <c r="G113" s="21">
        <v>65700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f t="shared" si="3"/>
        <v>0</v>
      </c>
    </row>
    <row r="114" spans="1:17" x14ac:dyDescent="0.25">
      <c r="A114" s="2" t="str">
        <f>"HSRF0014408279"</f>
        <v>HSRF0014408279</v>
      </c>
      <c r="B114" s="2">
        <v>14408279</v>
      </c>
      <c r="C114" s="6">
        <v>44099.707430555558</v>
      </c>
      <c r="D114" s="5">
        <v>8988</v>
      </c>
      <c r="E114" s="5">
        <v>8988</v>
      </c>
      <c r="F114" s="2" t="str">
        <f t="shared" si="2"/>
        <v>900226715</v>
      </c>
      <c r="G114" s="21">
        <v>0</v>
      </c>
      <c r="H114" s="21">
        <v>0</v>
      </c>
      <c r="I114" s="21">
        <v>0</v>
      </c>
      <c r="J114" s="21">
        <v>0</v>
      </c>
      <c r="K114" s="21">
        <v>8988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f t="shared" si="3"/>
        <v>0</v>
      </c>
    </row>
    <row r="115" spans="1:17" x14ac:dyDescent="0.25">
      <c r="A115" s="2" t="str">
        <f>"HOSF0000053868"</f>
        <v>HOSF0000053868</v>
      </c>
      <c r="B115" s="2">
        <v>53868</v>
      </c>
      <c r="C115" s="6">
        <v>44224.656805555554</v>
      </c>
      <c r="D115" s="5">
        <v>26898</v>
      </c>
      <c r="E115" s="5">
        <v>26898</v>
      </c>
      <c r="F115" s="2" t="str">
        <f t="shared" si="2"/>
        <v>900226715</v>
      </c>
      <c r="G115" s="21">
        <v>0</v>
      </c>
      <c r="H115" s="21">
        <v>0</v>
      </c>
      <c r="I115" s="21">
        <v>0</v>
      </c>
      <c r="J115" s="21">
        <v>0</v>
      </c>
      <c r="K115" s="21">
        <v>26898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f t="shared" si="3"/>
        <v>0</v>
      </c>
    </row>
    <row r="116" spans="1:17" x14ac:dyDescent="0.25">
      <c r="A116" s="2" t="str">
        <f>"HOSF0000277252"</f>
        <v>HOSF0000277252</v>
      </c>
      <c r="B116" s="2">
        <v>277252</v>
      </c>
      <c r="C116" s="6">
        <v>44650.343090277776</v>
      </c>
      <c r="D116" s="5">
        <v>27300</v>
      </c>
      <c r="E116" s="5">
        <v>27300</v>
      </c>
      <c r="F116" s="2" t="str">
        <f t="shared" si="2"/>
        <v>900226715</v>
      </c>
      <c r="G116" s="21">
        <v>0</v>
      </c>
      <c r="H116" s="21">
        <v>0</v>
      </c>
      <c r="I116" s="21">
        <v>0</v>
      </c>
      <c r="J116" s="21">
        <v>0</v>
      </c>
      <c r="K116" s="21">
        <v>27300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f t="shared" si="3"/>
        <v>0</v>
      </c>
    </row>
    <row r="117" spans="1:17" x14ac:dyDescent="0.25">
      <c r="A117" s="2" t="str">
        <f>"HSRF0014247839"</f>
        <v>HSRF0014247839</v>
      </c>
      <c r="B117" s="2">
        <v>14247839</v>
      </c>
      <c r="C117" s="6">
        <v>43886.61577546296</v>
      </c>
      <c r="D117" s="5">
        <v>35100</v>
      </c>
      <c r="E117" s="5">
        <v>35100</v>
      </c>
      <c r="F117" s="2" t="str">
        <f t="shared" si="2"/>
        <v>900226715</v>
      </c>
      <c r="G117" s="21">
        <v>0</v>
      </c>
      <c r="H117" s="21">
        <v>0</v>
      </c>
      <c r="I117" s="21">
        <v>0</v>
      </c>
      <c r="J117" s="21">
        <v>0</v>
      </c>
      <c r="K117" s="21">
        <v>35100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f t="shared" si="3"/>
        <v>0</v>
      </c>
    </row>
    <row r="118" spans="1:17" x14ac:dyDescent="0.25">
      <c r="A118" s="2" t="str">
        <f>"HSRF0014305949"</f>
        <v>HSRF0014305949</v>
      </c>
      <c r="B118" s="2">
        <v>14305949</v>
      </c>
      <c r="C118" s="6">
        <v>43974.432708333334</v>
      </c>
      <c r="D118" s="5">
        <v>35100</v>
      </c>
      <c r="E118" s="5">
        <v>35100</v>
      </c>
      <c r="F118" s="2" t="str">
        <f t="shared" si="2"/>
        <v>900226715</v>
      </c>
      <c r="G118" s="21">
        <v>0</v>
      </c>
      <c r="H118" s="21">
        <v>0</v>
      </c>
      <c r="I118" s="21">
        <v>0</v>
      </c>
      <c r="J118" s="21">
        <v>0</v>
      </c>
      <c r="K118" s="21">
        <v>35100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f t="shared" si="3"/>
        <v>0</v>
      </c>
    </row>
    <row r="119" spans="1:17" x14ac:dyDescent="0.25">
      <c r="A119" s="2" t="str">
        <f>"HOSF0000122448"</f>
        <v>HOSF0000122448</v>
      </c>
      <c r="B119" s="2">
        <v>122448</v>
      </c>
      <c r="C119" s="6">
        <v>44356.640694444446</v>
      </c>
      <c r="D119" s="5">
        <v>42700</v>
      </c>
      <c r="E119" s="5">
        <v>42700</v>
      </c>
      <c r="F119" s="2" t="str">
        <f t="shared" si="2"/>
        <v>900226715</v>
      </c>
      <c r="G119" s="21">
        <v>0</v>
      </c>
      <c r="H119" s="21">
        <v>0</v>
      </c>
      <c r="I119" s="21">
        <v>0</v>
      </c>
      <c r="J119" s="21">
        <v>0</v>
      </c>
      <c r="K119" s="21">
        <v>42700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f t="shared" si="3"/>
        <v>0</v>
      </c>
    </row>
    <row r="120" spans="1:17" x14ac:dyDescent="0.25">
      <c r="A120" s="2" t="str">
        <f>"HSRF0014077197"</f>
        <v>HSRF0014077197</v>
      </c>
      <c r="B120" s="2">
        <v>14077197</v>
      </c>
      <c r="C120" s="6">
        <v>43724.905046296299</v>
      </c>
      <c r="D120" s="5">
        <v>54400</v>
      </c>
      <c r="E120" s="5">
        <v>54400</v>
      </c>
      <c r="F120" s="2" t="str">
        <f t="shared" si="2"/>
        <v>900226715</v>
      </c>
      <c r="G120" s="21">
        <v>0</v>
      </c>
      <c r="H120" s="21">
        <v>0</v>
      </c>
      <c r="I120" s="21">
        <v>0</v>
      </c>
      <c r="J120" s="21">
        <v>0</v>
      </c>
      <c r="K120" s="21">
        <v>54400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f t="shared" si="3"/>
        <v>0</v>
      </c>
    </row>
    <row r="121" spans="1:17" x14ac:dyDescent="0.25">
      <c r="A121" s="2" t="str">
        <f>"HSRF0014261869"</f>
        <v>HSRF0014261869</v>
      </c>
      <c r="B121" s="2">
        <v>14261869</v>
      </c>
      <c r="C121" s="6">
        <v>43897.975104166668</v>
      </c>
      <c r="D121" s="5">
        <v>57600</v>
      </c>
      <c r="E121" s="5">
        <v>57600</v>
      </c>
      <c r="F121" s="2" t="str">
        <f t="shared" si="2"/>
        <v>900226715</v>
      </c>
      <c r="G121" s="21">
        <v>0</v>
      </c>
      <c r="H121" s="21">
        <v>0</v>
      </c>
      <c r="I121" s="21">
        <v>0</v>
      </c>
      <c r="J121" s="21">
        <v>0</v>
      </c>
      <c r="K121" s="21">
        <v>57600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f t="shared" si="3"/>
        <v>0</v>
      </c>
    </row>
    <row r="122" spans="1:17" x14ac:dyDescent="0.25">
      <c r="A122" s="2" t="str">
        <f>"HSRF0013804350"</f>
        <v>HSRF0013804350</v>
      </c>
      <c r="B122" s="2">
        <v>13804350</v>
      </c>
      <c r="C122" s="6">
        <v>43467.393020833333</v>
      </c>
      <c r="D122" s="5">
        <v>59212</v>
      </c>
      <c r="E122" s="5">
        <v>59212</v>
      </c>
      <c r="F122" s="2" t="str">
        <f t="shared" si="2"/>
        <v>900226715</v>
      </c>
      <c r="G122" s="21">
        <v>0</v>
      </c>
      <c r="H122" s="21">
        <v>0</v>
      </c>
      <c r="I122" s="21">
        <v>0</v>
      </c>
      <c r="J122" s="21">
        <v>0</v>
      </c>
      <c r="K122" s="21">
        <v>59212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f t="shared" si="3"/>
        <v>0</v>
      </c>
    </row>
    <row r="123" spans="1:17" x14ac:dyDescent="0.25">
      <c r="A123" s="2" t="str">
        <f>"HOSF0000084407"</f>
        <v>HOSF0000084407</v>
      </c>
      <c r="B123" s="2">
        <v>84407</v>
      </c>
      <c r="C123" s="6">
        <v>44285.68681712963</v>
      </c>
      <c r="D123" s="5">
        <v>59700</v>
      </c>
      <c r="E123" s="5">
        <v>59700</v>
      </c>
      <c r="F123" s="2" t="str">
        <f t="shared" si="2"/>
        <v>900226715</v>
      </c>
      <c r="G123" s="21">
        <v>0</v>
      </c>
      <c r="H123" s="21">
        <v>0</v>
      </c>
      <c r="I123" s="21">
        <v>0</v>
      </c>
      <c r="J123" s="21">
        <v>0</v>
      </c>
      <c r="K123" s="21">
        <v>59700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f t="shared" si="3"/>
        <v>0</v>
      </c>
    </row>
    <row r="124" spans="1:17" x14ac:dyDescent="0.25">
      <c r="A124" s="2" t="str">
        <f>"HOSF0000156989"</f>
        <v>HOSF0000156989</v>
      </c>
      <c r="B124" s="2">
        <v>156989</v>
      </c>
      <c r="C124" s="6">
        <v>44418.51226851852</v>
      </c>
      <c r="D124" s="5">
        <v>59700</v>
      </c>
      <c r="E124" s="5">
        <v>59700</v>
      </c>
      <c r="F124" s="2" t="str">
        <f t="shared" si="2"/>
        <v>900226715</v>
      </c>
      <c r="G124" s="21">
        <v>0</v>
      </c>
      <c r="H124" s="21">
        <v>0</v>
      </c>
      <c r="I124" s="21">
        <v>0</v>
      </c>
      <c r="J124" s="21">
        <v>0</v>
      </c>
      <c r="K124" s="21">
        <v>59700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f t="shared" si="3"/>
        <v>0</v>
      </c>
    </row>
    <row r="125" spans="1:17" x14ac:dyDescent="0.25">
      <c r="A125" s="2" t="str">
        <f>"HOSF0000270114"</f>
        <v>HOSF0000270114</v>
      </c>
      <c r="B125" s="2">
        <v>270114</v>
      </c>
      <c r="C125" s="6">
        <v>44637.080914351849</v>
      </c>
      <c r="D125" s="5">
        <v>65700</v>
      </c>
      <c r="E125" s="5">
        <v>65700</v>
      </c>
      <c r="F125" s="2" t="str">
        <f t="shared" si="2"/>
        <v>900226715</v>
      </c>
      <c r="G125" s="21">
        <v>0</v>
      </c>
      <c r="H125" s="21">
        <v>0</v>
      </c>
      <c r="I125" s="21">
        <v>0</v>
      </c>
      <c r="J125" s="21">
        <v>0</v>
      </c>
      <c r="K125" s="21">
        <v>65700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f t="shared" si="3"/>
        <v>0</v>
      </c>
    </row>
    <row r="126" spans="1:17" x14ac:dyDescent="0.25">
      <c r="A126" s="2" t="str">
        <f>"HOSF0000270118"</f>
        <v>HOSF0000270118</v>
      </c>
      <c r="B126" s="2">
        <v>270118</v>
      </c>
      <c r="C126" s="6">
        <v>44637.093587962961</v>
      </c>
      <c r="D126" s="5">
        <v>65700</v>
      </c>
      <c r="E126" s="5">
        <v>65700</v>
      </c>
      <c r="F126" s="2" t="str">
        <f t="shared" si="2"/>
        <v>900226715</v>
      </c>
      <c r="G126" s="21">
        <v>0</v>
      </c>
      <c r="H126" s="21">
        <v>0</v>
      </c>
      <c r="I126" s="21">
        <v>0</v>
      </c>
      <c r="J126" s="21">
        <v>0</v>
      </c>
      <c r="K126" s="21">
        <v>65700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f t="shared" si="3"/>
        <v>0</v>
      </c>
    </row>
    <row r="127" spans="1:17" x14ac:dyDescent="0.25">
      <c r="A127" s="2" t="str">
        <f>"HOSF0000273414"</f>
        <v>HOSF0000273414</v>
      </c>
      <c r="B127" s="2">
        <v>273414</v>
      </c>
      <c r="C127" s="6">
        <v>44643.856805555559</v>
      </c>
      <c r="D127" s="5">
        <v>65700</v>
      </c>
      <c r="E127" s="5">
        <v>65700</v>
      </c>
      <c r="F127" s="2" t="str">
        <f t="shared" si="2"/>
        <v>900226715</v>
      </c>
      <c r="G127" s="21">
        <v>0</v>
      </c>
      <c r="H127" s="21">
        <v>0</v>
      </c>
      <c r="I127" s="21">
        <v>0</v>
      </c>
      <c r="J127" s="21">
        <v>0</v>
      </c>
      <c r="K127" s="21">
        <v>65700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f t="shared" si="3"/>
        <v>0</v>
      </c>
    </row>
    <row r="128" spans="1:17" x14ac:dyDescent="0.25">
      <c r="A128" s="2" t="str">
        <f>"HOSF0000251146"</f>
        <v>HOSF0000251146</v>
      </c>
      <c r="B128" s="2">
        <v>251146</v>
      </c>
      <c r="C128" s="6">
        <v>44602.785011574073</v>
      </c>
      <c r="D128" s="5">
        <v>68158</v>
      </c>
      <c r="E128" s="5">
        <v>68158</v>
      </c>
      <c r="F128" s="2" t="str">
        <f t="shared" si="2"/>
        <v>900226715</v>
      </c>
      <c r="G128" s="21">
        <v>0</v>
      </c>
      <c r="H128" s="21">
        <v>0</v>
      </c>
      <c r="I128" s="21">
        <v>0</v>
      </c>
      <c r="J128" s="21">
        <v>0</v>
      </c>
      <c r="K128" s="21">
        <v>68158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f t="shared" si="3"/>
        <v>0</v>
      </c>
    </row>
    <row r="129" spans="1:17" x14ac:dyDescent="0.25">
      <c r="A129" s="2" t="str">
        <f>"HSRF0014226039"</f>
        <v>HSRF0014226039</v>
      </c>
      <c r="B129" s="2">
        <v>14226039</v>
      </c>
      <c r="C129" s="6">
        <v>43868.017071759263</v>
      </c>
      <c r="D129" s="5">
        <v>70495</v>
      </c>
      <c r="E129" s="5">
        <v>70495</v>
      </c>
      <c r="F129" s="2" t="str">
        <f t="shared" si="2"/>
        <v>900226715</v>
      </c>
      <c r="G129" s="21">
        <v>0</v>
      </c>
      <c r="H129" s="21">
        <v>0</v>
      </c>
      <c r="I129" s="21">
        <v>0</v>
      </c>
      <c r="J129" s="21">
        <v>0</v>
      </c>
      <c r="K129" s="21">
        <v>70495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f t="shared" si="3"/>
        <v>0</v>
      </c>
    </row>
    <row r="130" spans="1:17" x14ac:dyDescent="0.25">
      <c r="A130" s="2" t="str">
        <f>"HOSF0000272172"</f>
        <v>HOSF0000272172</v>
      </c>
      <c r="B130" s="2">
        <v>272172</v>
      </c>
      <c r="C130" s="6">
        <v>44642.271655092591</v>
      </c>
      <c r="D130" s="5">
        <v>76466</v>
      </c>
      <c r="E130" s="5">
        <v>76466</v>
      </c>
      <c r="F130" s="2" t="str">
        <f t="shared" ref="F130:F193" si="4">"900226715"</f>
        <v>900226715</v>
      </c>
      <c r="G130" s="21">
        <v>0</v>
      </c>
      <c r="H130" s="21">
        <v>0</v>
      </c>
      <c r="I130" s="21">
        <v>0</v>
      </c>
      <c r="J130" s="21">
        <v>0</v>
      </c>
      <c r="K130" s="21">
        <v>76466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f t="shared" ref="Q130:Q193" si="5">+E130-G130-H130-I130-J130-K130-L130-M130-N130-O130</f>
        <v>0</v>
      </c>
    </row>
    <row r="131" spans="1:17" x14ac:dyDescent="0.25">
      <c r="A131" s="2" t="str">
        <f>"HOSF0000269331"</f>
        <v>HOSF0000269331</v>
      </c>
      <c r="B131" s="2">
        <v>269331</v>
      </c>
      <c r="C131" s="6">
        <v>44636.210810185185</v>
      </c>
      <c r="D131" s="5">
        <v>77359</v>
      </c>
      <c r="E131" s="5">
        <v>77359</v>
      </c>
      <c r="F131" s="2" t="str">
        <f t="shared" si="4"/>
        <v>900226715</v>
      </c>
      <c r="G131" s="21">
        <v>0</v>
      </c>
      <c r="H131" s="21">
        <v>0</v>
      </c>
      <c r="I131" s="21">
        <v>0</v>
      </c>
      <c r="J131" s="21">
        <v>0</v>
      </c>
      <c r="K131" s="21">
        <v>77359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f t="shared" si="5"/>
        <v>0</v>
      </c>
    </row>
    <row r="132" spans="1:17" x14ac:dyDescent="0.25">
      <c r="A132" s="2" t="str">
        <f>"HOSF0000278517"</f>
        <v>HOSF0000278517</v>
      </c>
      <c r="B132" s="2">
        <v>278517</v>
      </c>
      <c r="C132" s="6">
        <v>44651.65625</v>
      </c>
      <c r="D132" s="5">
        <v>78213</v>
      </c>
      <c r="E132" s="5">
        <v>78213</v>
      </c>
      <c r="F132" s="2" t="str">
        <f t="shared" si="4"/>
        <v>900226715</v>
      </c>
      <c r="G132" s="21">
        <v>0</v>
      </c>
      <c r="H132" s="21">
        <v>0</v>
      </c>
      <c r="I132" s="21">
        <v>0</v>
      </c>
      <c r="J132" s="21">
        <v>0</v>
      </c>
      <c r="K132" s="21">
        <v>78213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f t="shared" si="5"/>
        <v>0</v>
      </c>
    </row>
    <row r="133" spans="1:17" x14ac:dyDescent="0.25">
      <c r="A133" s="2" t="str">
        <f>"HOSF0000088019"</f>
        <v>HOSF0000088019</v>
      </c>
      <c r="B133" s="2">
        <v>88019</v>
      </c>
      <c r="C133" s="6">
        <v>44293.678472222222</v>
      </c>
      <c r="D133" s="5">
        <v>80000</v>
      </c>
      <c r="E133" s="5">
        <v>80000</v>
      </c>
      <c r="F133" s="2" t="str">
        <f t="shared" si="4"/>
        <v>900226715</v>
      </c>
      <c r="G133" s="21">
        <v>0</v>
      </c>
      <c r="H133" s="21">
        <v>0</v>
      </c>
      <c r="I133" s="21">
        <v>0</v>
      </c>
      <c r="J133" s="21">
        <v>0</v>
      </c>
      <c r="K133" s="21">
        <v>80000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f t="shared" si="5"/>
        <v>0</v>
      </c>
    </row>
    <row r="134" spans="1:17" x14ac:dyDescent="0.25">
      <c r="A134" s="2" t="str">
        <f>"HOSF0000020989"</f>
        <v>HOSF0000020989</v>
      </c>
      <c r="B134" s="2">
        <v>20989</v>
      </c>
      <c r="C134" s="6">
        <v>44144.681759259256</v>
      </c>
      <c r="D134" s="5">
        <v>88092</v>
      </c>
      <c r="E134" s="5">
        <v>88092</v>
      </c>
      <c r="F134" s="2" t="str">
        <f t="shared" si="4"/>
        <v>900226715</v>
      </c>
      <c r="G134" s="21">
        <v>0</v>
      </c>
      <c r="H134" s="21">
        <v>0</v>
      </c>
      <c r="I134" s="21">
        <v>0</v>
      </c>
      <c r="J134" s="21">
        <v>0</v>
      </c>
      <c r="K134" s="21">
        <v>88092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f t="shared" si="5"/>
        <v>0</v>
      </c>
    </row>
    <row r="135" spans="1:17" x14ac:dyDescent="0.25">
      <c r="A135" s="2" t="str">
        <f>"HOSF0000246462"</f>
        <v>HOSF0000246462</v>
      </c>
      <c r="B135" s="2">
        <v>246462</v>
      </c>
      <c r="C135" s="6">
        <v>44594.219652777778</v>
      </c>
      <c r="D135" s="5">
        <v>89000</v>
      </c>
      <c r="E135" s="5">
        <v>89000</v>
      </c>
      <c r="F135" s="2" t="str">
        <f t="shared" si="4"/>
        <v>900226715</v>
      </c>
      <c r="G135" s="21">
        <v>0</v>
      </c>
      <c r="H135" s="21">
        <v>0</v>
      </c>
      <c r="I135" s="21">
        <v>0</v>
      </c>
      <c r="J135" s="21">
        <v>0</v>
      </c>
      <c r="K135" s="21">
        <v>89000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f t="shared" si="5"/>
        <v>0</v>
      </c>
    </row>
    <row r="136" spans="1:17" x14ac:dyDescent="0.25">
      <c r="A136" s="2" t="str">
        <f>"HOSF0000263500"</f>
        <v>HOSF0000263500</v>
      </c>
      <c r="B136" s="2">
        <v>263500</v>
      </c>
      <c r="C136" s="6">
        <v>44625.029120370367</v>
      </c>
      <c r="D136" s="5">
        <v>110356</v>
      </c>
      <c r="E136" s="5">
        <v>110356</v>
      </c>
      <c r="F136" s="2" t="str">
        <f t="shared" si="4"/>
        <v>900226715</v>
      </c>
      <c r="G136" s="21">
        <v>0</v>
      </c>
      <c r="H136" s="21">
        <v>0</v>
      </c>
      <c r="I136" s="21">
        <v>0</v>
      </c>
      <c r="J136" s="21">
        <v>0</v>
      </c>
      <c r="K136" s="21">
        <v>110356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f t="shared" si="5"/>
        <v>0</v>
      </c>
    </row>
    <row r="137" spans="1:17" x14ac:dyDescent="0.25">
      <c r="A137" s="2" t="str">
        <f>"HOSF0000109056"</f>
        <v>HOSF0000109056</v>
      </c>
      <c r="B137" s="2">
        <v>109056</v>
      </c>
      <c r="C137" s="6">
        <v>44330.515740740739</v>
      </c>
      <c r="D137" s="5">
        <v>113900</v>
      </c>
      <c r="E137" s="5">
        <v>113900</v>
      </c>
      <c r="F137" s="2" t="str">
        <f t="shared" si="4"/>
        <v>900226715</v>
      </c>
      <c r="G137" s="21">
        <v>0</v>
      </c>
      <c r="H137" s="21">
        <v>0</v>
      </c>
      <c r="I137" s="21">
        <v>0</v>
      </c>
      <c r="J137" s="21">
        <v>0</v>
      </c>
      <c r="K137" s="21">
        <v>113900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f t="shared" si="5"/>
        <v>0</v>
      </c>
    </row>
    <row r="138" spans="1:17" x14ac:dyDescent="0.25">
      <c r="A138" s="2" t="str">
        <f>"HOSF0000119753"</f>
        <v>HOSF0000119753</v>
      </c>
      <c r="B138" s="2">
        <v>119753</v>
      </c>
      <c r="C138" s="6">
        <v>44350.48027777778</v>
      </c>
      <c r="D138" s="5">
        <v>117400</v>
      </c>
      <c r="E138" s="5">
        <v>117400</v>
      </c>
      <c r="F138" s="2" t="str">
        <f t="shared" si="4"/>
        <v>900226715</v>
      </c>
      <c r="G138" s="21">
        <v>0</v>
      </c>
      <c r="H138" s="21">
        <v>0</v>
      </c>
      <c r="I138" s="21">
        <v>0</v>
      </c>
      <c r="J138" s="21">
        <v>0</v>
      </c>
      <c r="K138" s="21">
        <v>117400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f t="shared" si="5"/>
        <v>0</v>
      </c>
    </row>
    <row r="139" spans="1:17" x14ac:dyDescent="0.25">
      <c r="A139" s="2" t="str">
        <f>"HOSF0000068072"</f>
        <v>HOSF0000068072</v>
      </c>
      <c r="B139" s="2">
        <v>68072</v>
      </c>
      <c r="C139" s="6">
        <v>44257.576203703706</v>
      </c>
      <c r="D139" s="5">
        <v>124600</v>
      </c>
      <c r="E139" s="5">
        <v>124600</v>
      </c>
      <c r="F139" s="2" t="str">
        <f t="shared" si="4"/>
        <v>900226715</v>
      </c>
      <c r="G139" s="21">
        <v>0</v>
      </c>
      <c r="H139" s="21">
        <v>0</v>
      </c>
      <c r="I139" s="21">
        <v>0</v>
      </c>
      <c r="J139" s="21">
        <v>0</v>
      </c>
      <c r="K139" s="21">
        <v>124600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f t="shared" si="5"/>
        <v>0</v>
      </c>
    </row>
    <row r="140" spans="1:17" x14ac:dyDescent="0.25">
      <c r="A140" s="2" t="str">
        <f>"HOSF0000119749"</f>
        <v>HOSF0000119749</v>
      </c>
      <c r="B140" s="2">
        <v>119749</v>
      </c>
      <c r="C140" s="6">
        <v>44350.475740740738</v>
      </c>
      <c r="D140" s="5">
        <v>124600</v>
      </c>
      <c r="E140" s="5">
        <v>124600</v>
      </c>
      <c r="F140" s="2" t="str">
        <f t="shared" si="4"/>
        <v>900226715</v>
      </c>
      <c r="G140" s="21">
        <v>0</v>
      </c>
      <c r="H140" s="21">
        <v>0</v>
      </c>
      <c r="I140" s="21">
        <v>0</v>
      </c>
      <c r="J140" s="21">
        <v>0</v>
      </c>
      <c r="K140" s="21">
        <v>124600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f t="shared" si="5"/>
        <v>0</v>
      </c>
    </row>
    <row r="141" spans="1:17" x14ac:dyDescent="0.25">
      <c r="A141" s="2" t="str">
        <f>"HOSF0000044087"</f>
        <v>HOSF0000044087</v>
      </c>
      <c r="B141" s="2">
        <v>44087</v>
      </c>
      <c r="C141" s="6">
        <v>44196.641886574071</v>
      </c>
      <c r="D141" s="5">
        <v>136000</v>
      </c>
      <c r="E141" s="5">
        <v>136000</v>
      </c>
      <c r="F141" s="2" t="str">
        <f t="shared" si="4"/>
        <v>900226715</v>
      </c>
      <c r="G141" s="21">
        <v>0</v>
      </c>
      <c r="H141" s="21">
        <v>0</v>
      </c>
      <c r="I141" s="21">
        <v>0</v>
      </c>
      <c r="J141" s="21">
        <v>0</v>
      </c>
      <c r="K141" s="21">
        <v>136000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f t="shared" si="5"/>
        <v>0</v>
      </c>
    </row>
    <row r="142" spans="1:17" x14ac:dyDescent="0.25">
      <c r="A142" s="2" t="str">
        <f>"HOSF0000241341"</f>
        <v>HOSF0000241341</v>
      </c>
      <c r="B142" s="2">
        <v>241341</v>
      </c>
      <c r="C142" s="6">
        <v>44583.683831018519</v>
      </c>
      <c r="D142" s="5">
        <v>150349</v>
      </c>
      <c r="E142" s="5">
        <v>150349</v>
      </c>
      <c r="F142" s="2" t="str">
        <f t="shared" si="4"/>
        <v>900226715</v>
      </c>
      <c r="G142" s="21">
        <v>0</v>
      </c>
      <c r="H142" s="21">
        <v>0</v>
      </c>
      <c r="I142" s="21">
        <v>0</v>
      </c>
      <c r="J142" s="21">
        <v>0</v>
      </c>
      <c r="K142" s="21">
        <v>150349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f t="shared" si="5"/>
        <v>0</v>
      </c>
    </row>
    <row r="143" spans="1:17" x14ac:dyDescent="0.25">
      <c r="A143" s="2" t="str">
        <f>"HSRF0014390625"</f>
        <v>HSRF0014390625</v>
      </c>
      <c r="B143" s="2">
        <v>14390625</v>
      </c>
      <c r="C143" s="6">
        <v>44081.778553240743</v>
      </c>
      <c r="D143" s="5">
        <v>164780</v>
      </c>
      <c r="E143" s="5">
        <v>164780</v>
      </c>
      <c r="F143" s="2" t="str">
        <f t="shared" si="4"/>
        <v>900226715</v>
      </c>
      <c r="G143" s="21">
        <v>0</v>
      </c>
      <c r="H143" s="21">
        <v>0</v>
      </c>
      <c r="I143" s="21">
        <v>0</v>
      </c>
      <c r="J143" s="21">
        <v>0</v>
      </c>
      <c r="K143" s="21">
        <v>164780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f t="shared" si="5"/>
        <v>0</v>
      </c>
    </row>
    <row r="144" spans="1:17" x14ac:dyDescent="0.25">
      <c r="A144" s="2" t="str">
        <f>"HOSF0000052595"</f>
        <v>HOSF0000052595</v>
      </c>
      <c r="B144" s="2">
        <v>52595</v>
      </c>
      <c r="C144" s="6">
        <v>44222.597384259258</v>
      </c>
      <c r="D144" s="5">
        <v>172550</v>
      </c>
      <c r="E144" s="5">
        <v>172550</v>
      </c>
      <c r="F144" s="2" t="str">
        <f t="shared" si="4"/>
        <v>900226715</v>
      </c>
      <c r="G144" s="21">
        <v>0</v>
      </c>
      <c r="H144" s="21">
        <v>0</v>
      </c>
      <c r="I144" s="21">
        <v>0</v>
      </c>
      <c r="J144" s="21">
        <v>0</v>
      </c>
      <c r="K144" s="21">
        <v>172550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f t="shared" si="5"/>
        <v>0</v>
      </c>
    </row>
    <row r="145" spans="1:17" x14ac:dyDescent="0.25">
      <c r="A145" s="2" t="str">
        <f>"HOSF0000233504"</f>
        <v>HOSF0000233504</v>
      </c>
      <c r="B145" s="2">
        <v>233504</v>
      </c>
      <c r="C145" s="6">
        <v>44564.728703703702</v>
      </c>
      <c r="D145" s="5">
        <v>177800</v>
      </c>
      <c r="E145" s="5">
        <v>177800</v>
      </c>
      <c r="F145" s="2" t="str">
        <f t="shared" si="4"/>
        <v>900226715</v>
      </c>
      <c r="G145" s="21">
        <v>0</v>
      </c>
      <c r="H145" s="21">
        <v>0</v>
      </c>
      <c r="I145" s="21">
        <v>0</v>
      </c>
      <c r="J145" s="21">
        <v>0</v>
      </c>
      <c r="K145" s="21">
        <v>177800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f t="shared" si="5"/>
        <v>0</v>
      </c>
    </row>
    <row r="146" spans="1:17" x14ac:dyDescent="0.25">
      <c r="A146" s="2" t="str">
        <f>"HOSF0000101441"</f>
        <v>HOSF0000101441</v>
      </c>
      <c r="B146" s="2">
        <v>101441</v>
      </c>
      <c r="C146" s="6">
        <v>44314.633599537039</v>
      </c>
      <c r="D146" s="5">
        <v>194352</v>
      </c>
      <c r="E146" s="5">
        <v>194352</v>
      </c>
      <c r="F146" s="2" t="str">
        <f t="shared" si="4"/>
        <v>900226715</v>
      </c>
      <c r="G146" s="21">
        <v>0</v>
      </c>
      <c r="H146" s="21">
        <v>0</v>
      </c>
      <c r="I146" s="21">
        <v>0</v>
      </c>
      <c r="J146" s="21">
        <v>0</v>
      </c>
      <c r="K146" s="21">
        <v>194352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f t="shared" si="5"/>
        <v>0</v>
      </c>
    </row>
    <row r="147" spans="1:17" x14ac:dyDescent="0.25">
      <c r="A147" s="2" t="str">
        <f>"HOSF0000099792"</f>
        <v>HOSF0000099792</v>
      </c>
      <c r="B147" s="2">
        <v>99792</v>
      </c>
      <c r="C147" s="6">
        <v>44312.462476851855</v>
      </c>
      <c r="D147" s="5">
        <v>201200</v>
      </c>
      <c r="E147" s="5">
        <v>201200</v>
      </c>
      <c r="F147" s="2" t="str">
        <f t="shared" si="4"/>
        <v>900226715</v>
      </c>
      <c r="G147" s="21">
        <v>0</v>
      </c>
      <c r="H147" s="21">
        <v>0</v>
      </c>
      <c r="I147" s="21">
        <v>0</v>
      </c>
      <c r="J147" s="21">
        <v>0</v>
      </c>
      <c r="K147" s="21">
        <v>201200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f t="shared" si="5"/>
        <v>0</v>
      </c>
    </row>
    <row r="148" spans="1:17" x14ac:dyDescent="0.25">
      <c r="A148" s="2" t="str">
        <f>"HOSF0000268944"</f>
        <v>HOSF0000268944</v>
      </c>
      <c r="B148" s="2">
        <v>268944</v>
      </c>
      <c r="C148" s="6">
        <v>44635.423344907409</v>
      </c>
      <c r="D148" s="5">
        <v>211087</v>
      </c>
      <c r="E148" s="5">
        <v>211087</v>
      </c>
      <c r="F148" s="2" t="str">
        <f t="shared" si="4"/>
        <v>900226715</v>
      </c>
      <c r="G148" s="21">
        <v>0</v>
      </c>
      <c r="H148" s="21">
        <v>0</v>
      </c>
      <c r="I148" s="21">
        <v>0</v>
      </c>
      <c r="J148" s="21">
        <v>0</v>
      </c>
      <c r="K148" s="21">
        <v>211087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f t="shared" si="5"/>
        <v>0</v>
      </c>
    </row>
    <row r="149" spans="1:17" x14ac:dyDescent="0.25">
      <c r="A149" s="2" t="str">
        <f>"HOSF0000277035"</f>
        <v>HOSF0000277035</v>
      </c>
      <c r="B149" s="2">
        <v>277035</v>
      </c>
      <c r="C149" s="6">
        <v>44650.129837962966</v>
      </c>
      <c r="D149" s="5">
        <v>211105</v>
      </c>
      <c r="E149" s="5">
        <v>211105</v>
      </c>
      <c r="F149" s="2" t="str">
        <f t="shared" si="4"/>
        <v>900226715</v>
      </c>
      <c r="G149" s="21">
        <v>0</v>
      </c>
      <c r="H149" s="21">
        <v>0</v>
      </c>
      <c r="I149" s="21">
        <v>0</v>
      </c>
      <c r="J149" s="21">
        <v>0</v>
      </c>
      <c r="K149" s="21">
        <v>211105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f t="shared" si="5"/>
        <v>0</v>
      </c>
    </row>
    <row r="150" spans="1:17" x14ac:dyDescent="0.25">
      <c r="A150" s="2" t="str">
        <f>"HOSF0000199312"</f>
        <v>HOSF0000199312</v>
      </c>
      <c r="B150" s="2">
        <v>199312</v>
      </c>
      <c r="C150" s="6">
        <v>44496.817071759258</v>
      </c>
      <c r="D150" s="5">
        <v>216526</v>
      </c>
      <c r="E150" s="5">
        <v>216526</v>
      </c>
      <c r="F150" s="2" t="str">
        <f t="shared" si="4"/>
        <v>900226715</v>
      </c>
      <c r="G150" s="21">
        <v>0</v>
      </c>
      <c r="H150" s="21">
        <v>0</v>
      </c>
      <c r="I150" s="21">
        <v>0</v>
      </c>
      <c r="J150" s="21">
        <v>0</v>
      </c>
      <c r="K150" s="21">
        <v>216526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f t="shared" si="5"/>
        <v>0</v>
      </c>
    </row>
    <row r="151" spans="1:17" x14ac:dyDescent="0.25">
      <c r="A151" s="2" t="str">
        <f>"HOSF0000258558"</f>
        <v>HOSF0000258558</v>
      </c>
      <c r="B151" s="2">
        <v>258558</v>
      </c>
      <c r="C151" s="6">
        <v>44616.412719907406</v>
      </c>
      <c r="D151" s="5">
        <v>219463</v>
      </c>
      <c r="E151" s="5">
        <v>219463</v>
      </c>
      <c r="F151" s="2" t="str">
        <f t="shared" si="4"/>
        <v>900226715</v>
      </c>
      <c r="G151" s="21">
        <v>0</v>
      </c>
      <c r="H151" s="21">
        <v>0</v>
      </c>
      <c r="I151" s="21">
        <v>0</v>
      </c>
      <c r="J151" s="21">
        <v>0</v>
      </c>
      <c r="K151" s="21">
        <v>219463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f t="shared" si="5"/>
        <v>0</v>
      </c>
    </row>
    <row r="152" spans="1:17" x14ac:dyDescent="0.25">
      <c r="A152" s="2" t="str">
        <f>"HSRF0014275386"</f>
        <v>HSRF0014275386</v>
      </c>
      <c r="B152" s="2">
        <v>14275386</v>
      </c>
      <c r="C152" s="6">
        <v>43912.140474537038</v>
      </c>
      <c r="D152" s="5">
        <v>226905</v>
      </c>
      <c r="E152" s="5">
        <v>226905</v>
      </c>
      <c r="F152" s="2" t="str">
        <f t="shared" si="4"/>
        <v>900226715</v>
      </c>
      <c r="G152" s="21">
        <v>0</v>
      </c>
      <c r="H152" s="21">
        <v>0</v>
      </c>
      <c r="I152" s="21">
        <v>0</v>
      </c>
      <c r="J152" s="21">
        <v>0</v>
      </c>
      <c r="K152" s="21">
        <v>226905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f t="shared" si="5"/>
        <v>0</v>
      </c>
    </row>
    <row r="153" spans="1:17" x14ac:dyDescent="0.25">
      <c r="A153" s="2" t="str">
        <f>"HOSF0000260702"</f>
        <v>HOSF0000260702</v>
      </c>
      <c r="B153" s="2">
        <v>260702</v>
      </c>
      <c r="C153" s="6">
        <v>44620.722604166665</v>
      </c>
      <c r="D153" s="5">
        <v>234658</v>
      </c>
      <c r="E153" s="5">
        <v>234658</v>
      </c>
      <c r="F153" s="2" t="str">
        <f t="shared" si="4"/>
        <v>900226715</v>
      </c>
      <c r="G153" s="21">
        <v>0</v>
      </c>
      <c r="H153" s="21">
        <v>0</v>
      </c>
      <c r="I153" s="21">
        <v>0</v>
      </c>
      <c r="J153" s="21">
        <v>0</v>
      </c>
      <c r="K153" s="21">
        <v>234658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f t="shared" si="5"/>
        <v>0</v>
      </c>
    </row>
    <row r="154" spans="1:17" x14ac:dyDescent="0.25">
      <c r="A154" s="2" t="str">
        <f>"HOSF0000231134"</f>
        <v>HOSF0000231134</v>
      </c>
      <c r="B154" s="2">
        <v>231134</v>
      </c>
      <c r="C154" s="6">
        <v>44559.239525462966</v>
      </c>
      <c r="D154" s="5">
        <v>242799</v>
      </c>
      <c r="E154" s="5">
        <v>242799</v>
      </c>
      <c r="F154" s="2" t="str">
        <f t="shared" si="4"/>
        <v>900226715</v>
      </c>
      <c r="G154" s="21">
        <v>0</v>
      </c>
      <c r="H154" s="21">
        <v>0</v>
      </c>
      <c r="I154" s="21">
        <v>0</v>
      </c>
      <c r="J154" s="21">
        <v>0</v>
      </c>
      <c r="K154" s="21">
        <v>242799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f t="shared" si="5"/>
        <v>0</v>
      </c>
    </row>
    <row r="155" spans="1:17" x14ac:dyDescent="0.25">
      <c r="A155" s="2" t="str">
        <f>"HOSF0000249212"</f>
        <v>HOSF0000249212</v>
      </c>
      <c r="B155" s="2">
        <v>249212</v>
      </c>
      <c r="C155" s="6">
        <v>44599.648090277777</v>
      </c>
      <c r="D155" s="5">
        <v>263500</v>
      </c>
      <c r="E155" s="5">
        <v>263500</v>
      </c>
      <c r="F155" s="2" t="str">
        <f t="shared" si="4"/>
        <v>900226715</v>
      </c>
      <c r="G155" s="21">
        <v>0</v>
      </c>
      <c r="H155" s="21">
        <v>0</v>
      </c>
      <c r="I155" s="21">
        <v>0</v>
      </c>
      <c r="J155" s="21">
        <v>0</v>
      </c>
      <c r="K155" s="21">
        <v>263500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f t="shared" si="5"/>
        <v>0</v>
      </c>
    </row>
    <row r="156" spans="1:17" x14ac:dyDescent="0.25">
      <c r="A156" s="2" t="str">
        <f>"HOSF0000276185"</f>
        <v>HOSF0000276185</v>
      </c>
      <c r="B156" s="2">
        <v>276185</v>
      </c>
      <c r="C156" s="6">
        <v>44649.05259259259</v>
      </c>
      <c r="D156" s="5">
        <v>279731</v>
      </c>
      <c r="E156" s="5">
        <v>279731</v>
      </c>
      <c r="F156" s="2" t="str">
        <f t="shared" si="4"/>
        <v>900226715</v>
      </c>
      <c r="G156" s="21">
        <v>0</v>
      </c>
      <c r="H156" s="21">
        <v>0</v>
      </c>
      <c r="I156" s="21">
        <v>0</v>
      </c>
      <c r="J156" s="21">
        <v>0</v>
      </c>
      <c r="K156" s="21">
        <v>279731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f t="shared" si="5"/>
        <v>0</v>
      </c>
    </row>
    <row r="157" spans="1:17" x14ac:dyDescent="0.25">
      <c r="A157" s="2" t="str">
        <f>"HOSF0000152605"</f>
        <v>HOSF0000152605</v>
      </c>
      <c r="B157" s="2">
        <v>152605</v>
      </c>
      <c r="C157" s="6">
        <v>44409.346250000002</v>
      </c>
      <c r="D157" s="5">
        <v>281913</v>
      </c>
      <c r="E157" s="5">
        <v>281913</v>
      </c>
      <c r="F157" s="2" t="str">
        <f t="shared" si="4"/>
        <v>900226715</v>
      </c>
      <c r="G157" s="21">
        <v>0</v>
      </c>
      <c r="H157" s="21">
        <v>0</v>
      </c>
      <c r="I157" s="21">
        <v>0</v>
      </c>
      <c r="J157" s="21">
        <v>0</v>
      </c>
      <c r="K157" s="21">
        <v>281913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f t="shared" si="5"/>
        <v>0</v>
      </c>
    </row>
    <row r="158" spans="1:17" x14ac:dyDescent="0.25">
      <c r="A158" s="2" t="str">
        <f>"HOSF0000059450"</f>
        <v>HOSF0000059450</v>
      </c>
      <c r="B158" s="2">
        <v>59450</v>
      </c>
      <c r="C158" s="6">
        <v>44239.013055555559</v>
      </c>
      <c r="D158" s="5">
        <v>285384</v>
      </c>
      <c r="E158" s="5">
        <v>285384</v>
      </c>
      <c r="F158" s="2" t="str">
        <f t="shared" si="4"/>
        <v>900226715</v>
      </c>
      <c r="G158" s="21">
        <v>0</v>
      </c>
      <c r="H158" s="21">
        <v>0</v>
      </c>
      <c r="I158" s="21">
        <v>0</v>
      </c>
      <c r="J158" s="21">
        <v>0</v>
      </c>
      <c r="K158" s="21">
        <v>285384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f t="shared" si="5"/>
        <v>0</v>
      </c>
    </row>
    <row r="159" spans="1:17" x14ac:dyDescent="0.25">
      <c r="A159" s="2" t="str">
        <f>"HSRF0014387566"</f>
        <v>HSRF0014387566</v>
      </c>
      <c r="B159" s="2">
        <v>14387566</v>
      </c>
      <c r="C159" s="6">
        <v>44077.76835648148</v>
      </c>
      <c r="D159" s="5">
        <v>297856</v>
      </c>
      <c r="E159" s="5">
        <v>297856</v>
      </c>
      <c r="F159" s="2" t="str">
        <f t="shared" si="4"/>
        <v>900226715</v>
      </c>
      <c r="G159" s="21">
        <v>0</v>
      </c>
      <c r="H159" s="21">
        <v>0</v>
      </c>
      <c r="I159" s="21">
        <v>0</v>
      </c>
      <c r="J159" s="21">
        <v>0</v>
      </c>
      <c r="K159" s="21">
        <v>297856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f t="shared" si="5"/>
        <v>0</v>
      </c>
    </row>
    <row r="160" spans="1:17" x14ac:dyDescent="0.25">
      <c r="A160" s="2" t="str">
        <f>"HSRF0014401070"</f>
        <v>HSRF0014401070</v>
      </c>
      <c r="B160" s="2">
        <v>14401070</v>
      </c>
      <c r="C160" s="6">
        <v>44091.663541666669</v>
      </c>
      <c r="D160" s="5">
        <v>311000</v>
      </c>
      <c r="E160" s="5">
        <v>311000</v>
      </c>
      <c r="F160" s="2" t="str">
        <f t="shared" si="4"/>
        <v>900226715</v>
      </c>
      <c r="G160" s="21">
        <v>0</v>
      </c>
      <c r="H160" s="21">
        <v>0</v>
      </c>
      <c r="I160" s="21">
        <v>0</v>
      </c>
      <c r="J160" s="21">
        <v>0</v>
      </c>
      <c r="K160" s="21">
        <v>311000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f t="shared" si="5"/>
        <v>0</v>
      </c>
    </row>
    <row r="161" spans="1:17" x14ac:dyDescent="0.25">
      <c r="A161" s="2" t="str">
        <f>"HOSF0000276187"</f>
        <v>HOSF0000276187</v>
      </c>
      <c r="B161" s="2">
        <v>276187</v>
      </c>
      <c r="C161" s="6">
        <v>44649.059641203705</v>
      </c>
      <c r="D161" s="5">
        <v>360098</v>
      </c>
      <c r="E161" s="5">
        <v>360098</v>
      </c>
      <c r="F161" s="2" t="str">
        <f t="shared" si="4"/>
        <v>900226715</v>
      </c>
      <c r="G161" s="21">
        <v>0</v>
      </c>
      <c r="H161" s="21">
        <v>0</v>
      </c>
      <c r="I161" s="21">
        <v>0</v>
      </c>
      <c r="J161" s="21">
        <v>0</v>
      </c>
      <c r="K161" s="21">
        <v>360098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f t="shared" si="5"/>
        <v>0</v>
      </c>
    </row>
    <row r="162" spans="1:17" x14ac:dyDescent="0.25">
      <c r="A162" s="2" t="str">
        <f>"HOSF0000231699"</f>
        <v>HOSF0000231699</v>
      </c>
      <c r="B162" s="2">
        <v>231699</v>
      </c>
      <c r="C162" s="6">
        <v>44559.92465277778</v>
      </c>
      <c r="D162" s="5">
        <v>360363</v>
      </c>
      <c r="E162" s="5">
        <v>360363</v>
      </c>
      <c r="F162" s="2" t="str">
        <f t="shared" si="4"/>
        <v>900226715</v>
      </c>
      <c r="G162" s="21">
        <v>0</v>
      </c>
      <c r="H162" s="21">
        <v>0</v>
      </c>
      <c r="I162" s="21">
        <v>0</v>
      </c>
      <c r="J162" s="21">
        <v>0</v>
      </c>
      <c r="K162" s="21">
        <v>360363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f t="shared" si="5"/>
        <v>0</v>
      </c>
    </row>
    <row r="163" spans="1:17" x14ac:dyDescent="0.25">
      <c r="A163" s="2" t="str">
        <f>"HOSF0000042257"</f>
        <v>HOSF0000042257</v>
      </c>
      <c r="B163" s="2">
        <v>42257</v>
      </c>
      <c r="C163" s="6">
        <v>44192.851840277777</v>
      </c>
      <c r="D163" s="5">
        <v>385920</v>
      </c>
      <c r="E163" s="5">
        <v>385920</v>
      </c>
      <c r="F163" s="2" t="str">
        <f t="shared" si="4"/>
        <v>900226715</v>
      </c>
      <c r="G163" s="21">
        <v>0</v>
      </c>
      <c r="H163" s="21">
        <v>0</v>
      </c>
      <c r="I163" s="21">
        <v>0</v>
      </c>
      <c r="J163" s="21">
        <v>0</v>
      </c>
      <c r="K163" s="21">
        <v>385920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f t="shared" si="5"/>
        <v>0</v>
      </c>
    </row>
    <row r="164" spans="1:17" x14ac:dyDescent="0.25">
      <c r="A164" s="2" t="str">
        <f>"HOSF0000277894"</f>
        <v>HOSF0000277894</v>
      </c>
      <c r="B164" s="2">
        <v>277894</v>
      </c>
      <c r="C164" s="6">
        <v>44651.049328703702</v>
      </c>
      <c r="D164" s="5">
        <v>397104</v>
      </c>
      <c r="E164" s="5">
        <v>397104</v>
      </c>
      <c r="F164" s="2" t="str">
        <f t="shared" si="4"/>
        <v>900226715</v>
      </c>
      <c r="G164" s="21">
        <v>0</v>
      </c>
      <c r="H164" s="21">
        <v>0</v>
      </c>
      <c r="I164" s="21">
        <v>0</v>
      </c>
      <c r="J164" s="21">
        <v>0</v>
      </c>
      <c r="K164" s="21">
        <v>397104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f t="shared" si="5"/>
        <v>0</v>
      </c>
    </row>
    <row r="165" spans="1:17" x14ac:dyDescent="0.25">
      <c r="A165" s="2" t="str">
        <f>"HOSF0000182687"</f>
        <v>HOSF0000182687</v>
      </c>
      <c r="B165" s="2">
        <v>182687</v>
      </c>
      <c r="C165" s="6">
        <v>44467.874537037038</v>
      </c>
      <c r="D165" s="5">
        <v>448001</v>
      </c>
      <c r="E165" s="5">
        <v>448001</v>
      </c>
      <c r="F165" s="2" t="str">
        <f t="shared" si="4"/>
        <v>900226715</v>
      </c>
      <c r="G165" s="21">
        <v>0</v>
      </c>
      <c r="H165" s="21">
        <v>0</v>
      </c>
      <c r="I165" s="21">
        <v>0</v>
      </c>
      <c r="J165" s="21">
        <v>0</v>
      </c>
      <c r="K165" s="21">
        <v>448001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f t="shared" si="5"/>
        <v>0</v>
      </c>
    </row>
    <row r="166" spans="1:17" x14ac:dyDescent="0.25">
      <c r="A166" s="2" t="str">
        <f>"HOSF0000105769"</f>
        <v>HOSF0000105769</v>
      </c>
      <c r="B166" s="2">
        <v>105769</v>
      </c>
      <c r="C166" s="6">
        <v>44323.498113425929</v>
      </c>
      <c r="D166" s="5">
        <v>461539</v>
      </c>
      <c r="E166" s="5">
        <v>461539</v>
      </c>
      <c r="F166" s="2" t="str">
        <f t="shared" si="4"/>
        <v>900226715</v>
      </c>
      <c r="G166" s="21">
        <v>0</v>
      </c>
      <c r="H166" s="21">
        <v>0</v>
      </c>
      <c r="I166" s="21">
        <v>0</v>
      </c>
      <c r="J166" s="21">
        <v>0</v>
      </c>
      <c r="K166" s="21">
        <v>461539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f t="shared" si="5"/>
        <v>0</v>
      </c>
    </row>
    <row r="167" spans="1:17" x14ac:dyDescent="0.25">
      <c r="A167" s="2" t="str">
        <f>"HOSF0000263532"</f>
        <v>HOSF0000263532</v>
      </c>
      <c r="B167" s="2">
        <v>263532</v>
      </c>
      <c r="C167" s="6">
        <v>44625.165092592593</v>
      </c>
      <c r="D167" s="5">
        <v>475086</v>
      </c>
      <c r="E167" s="5">
        <v>475086</v>
      </c>
      <c r="F167" s="2" t="str">
        <f t="shared" si="4"/>
        <v>900226715</v>
      </c>
      <c r="G167" s="21">
        <v>0</v>
      </c>
      <c r="H167" s="21">
        <v>0</v>
      </c>
      <c r="I167" s="21">
        <v>0</v>
      </c>
      <c r="J167" s="21">
        <v>0</v>
      </c>
      <c r="K167" s="21">
        <v>475086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f t="shared" si="5"/>
        <v>0</v>
      </c>
    </row>
    <row r="168" spans="1:17" x14ac:dyDescent="0.25">
      <c r="A168" s="2" t="str">
        <f>"HSRF0014381026"</f>
        <v>HSRF0014381026</v>
      </c>
      <c r="B168" s="2">
        <v>14381026</v>
      </c>
      <c r="C168" s="6">
        <v>44071.255474537036</v>
      </c>
      <c r="D168" s="5">
        <v>502764</v>
      </c>
      <c r="E168" s="5">
        <v>502764</v>
      </c>
      <c r="F168" s="2" t="str">
        <f t="shared" si="4"/>
        <v>900226715</v>
      </c>
      <c r="G168" s="21">
        <v>0</v>
      </c>
      <c r="H168" s="21">
        <v>0</v>
      </c>
      <c r="I168" s="21">
        <v>0</v>
      </c>
      <c r="J168" s="21">
        <v>0</v>
      </c>
      <c r="K168" s="21">
        <v>502764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f t="shared" si="5"/>
        <v>0</v>
      </c>
    </row>
    <row r="169" spans="1:17" x14ac:dyDescent="0.25">
      <c r="A169" s="2" t="str">
        <f>"HOSF0000263995"</f>
        <v>HOSF0000263995</v>
      </c>
      <c r="B169" s="2">
        <v>263995</v>
      </c>
      <c r="C169" s="6">
        <v>44626.891817129632</v>
      </c>
      <c r="D169" s="5">
        <v>542734</v>
      </c>
      <c r="E169" s="5">
        <v>542734</v>
      </c>
      <c r="F169" s="2" t="str">
        <f t="shared" si="4"/>
        <v>900226715</v>
      </c>
      <c r="G169" s="21">
        <v>0</v>
      </c>
      <c r="H169" s="21">
        <v>0</v>
      </c>
      <c r="I169" s="21">
        <v>0</v>
      </c>
      <c r="J169" s="21">
        <v>0</v>
      </c>
      <c r="K169" s="21">
        <v>542734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f t="shared" si="5"/>
        <v>0</v>
      </c>
    </row>
    <row r="170" spans="1:17" x14ac:dyDescent="0.25">
      <c r="A170" s="2" t="str">
        <f>"HOSF0000257199"</f>
        <v>HOSF0000257199</v>
      </c>
      <c r="B170" s="2">
        <v>257199</v>
      </c>
      <c r="C170" s="6">
        <v>44614.417673611111</v>
      </c>
      <c r="D170" s="5">
        <v>560800</v>
      </c>
      <c r="E170" s="5">
        <v>560800</v>
      </c>
      <c r="F170" s="2" t="str">
        <f t="shared" si="4"/>
        <v>900226715</v>
      </c>
      <c r="G170" s="21">
        <v>0</v>
      </c>
      <c r="H170" s="21">
        <v>0</v>
      </c>
      <c r="I170" s="21">
        <v>0</v>
      </c>
      <c r="J170" s="21">
        <v>0</v>
      </c>
      <c r="K170" s="21">
        <v>560800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f t="shared" si="5"/>
        <v>0</v>
      </c>
    </row>
    <row r="171" spans="1:17" x14ac:dyDescent="0.25">
      <c r="A171" s="2" t="str">
        <f>"HSRF0014243837"</f>
        <v>HSRF0014243837</v>
      </c>
      <c r="B171" s="2">
        <v>14243837</v>
      </c>
      <c r="C171" s="6">
        <v>43882.662094907406</v>
      </c>
      <c r="D171" s="5">
        <v>563632</v>
      </c>
      <c r="E171" s="5">
        <v>563632</v>
      </c>
      <c r="F171" s="2" t="str">
        <f t="shared" si="4"/>
        <v>900226715</v>
      </c>
      <c r="G171" s="21">
        <v>0</v>
      </c>
      <c r="H171" s="21">
        <v>0</v>
      </c>
      <c r="I171" s="21">
        <v>0</v>
      </c>
      <c r="J171" s="21">
        <v>0</v>
      </c>
      <c r="K171" s="21">
        <v>563632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f t="shared" si="5"/>
        <v>0</v>
      </c>
    </row>
    <row r="172" spans="1:17" x14ac:dyDescent="0.25">
      <c r="A172" s="2" t="str">
        <f>"HOSF0000060319"</f>
        <v>HOSF0000060319</v>
      </c>
      <c r="B172" s="2">
        <v>60319</v>
      </c>
      <c r="C172" s="6">
        <v>44242.352337962962</v>
      </c>
      <c r="D172" s="5">
        <v>564900</v>
      </c>
      <c r="E172" s="5">
        <v>564900</v>
      </c>
      <c r="F172" s="2" t="str">
        <f t="shared" si="4"/>
        <v>900226715</v>
      </c>
      <c r="G172" s="21">
        <v>0</v>
      </c>
      <c r="H172" s="21">
        <v>0</v>
      </c>
      <c r="I172" s="21">
        <v>0</v>
      </c>
      <c r="J172" s="21">
        <v>0</v>
      </c>
      <c r="K172" s="21">
        <v>564900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f t="shared" si="5"/>
        <v>0</v>
      </c>
    </row>
    <row r="173" spans="1:17" x14ac:dyDescent="0.25">
      <c r="A173" s="2" t="str">
        <f>"HSRF0014352308"</f>
        <v>HSRF0014352308</v>
      </c>
      <c r="B173" s="2">
        <v>14352308</v>
      </c>
      <c r="C173" s="6">
        <v>44036.436354166668</v>
      </c>
      <c r="D173" s="5">
        <v>584583</v>
      </c>
      <c r="E173" s="5">
        <v>584583</v>
      </c>
      <c r="F173" s="2" t="str">
        <f t="shared" si="4"/>
        <v>900226715</v>
      </c>
      <c r="G173" s="21">
        <v>0</v>
      </c>
      <c r="H173" s="21">
        <v>0</v>
      </c>
      <c r="I173" s="21">
        <v>0</v>
      </c>
      <c r="J173" s="21">
        <v>0</v>
      </c>
      <c r="K173" s="21">
        <v>584583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f t="shared" si="5"/>
        <v>0</v>
      </c>
    </row>
    <row r="174" spans="1:17" x14ac:dyDescent="0.25">
      <c r="A174" s="2" t="str">
        <f>"HOSF0000232764"</f>
        <v>HOSF0000232764</v>
      </c>
      <c r="B174" s="2">
        <v>232764</v>
      </c>
      <c r="C174" s="6">
        <v>44561.563078703701</v>
      </c>
      <c r="D174" s="5">
        <v>622100</v>
      </c>
      <c r="E174" s="5">
        <v>622100</v>
      </c>
      <c r="F174" s="2" t="str">
        <f t="shared" si="4"/>
        <v>900226715</v>
      </c>
      <c r="G174" s="21">
        <v>0</v>
      </c>
      <c r="H174" s="21">
        <v>0</v>
      </c>
      <c r="I174" s="21">
        <v>0</v>
      </c>
      <c r="J174" s="21">
        <v>0</v>
      </c>
      <c r="K174" s="21">
        <v>622100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f t="shared" si="5"/>
        <v>0</v>
      </c>
    </row>
    <row r="175" spans="1:17" x14ac:dyDescent="0.25">
      <c r="A175" s="2" t="str">
        <f>"HOSF0000262694"</f>
        <v>HOSF0000262694</v>
      </c>
      <c r="B175" s="2">
        <v>262694</v>
      </c>
      <c r="C175" s="6">
        <v>44624.040208333332</v>
      </c>
      <c r="D175" s="5">
        <v>723315</v>
      </c>
      <c r="E175" s="5">
        <v>723315</v>
      </c>
      <c r="F175" s="2" t="str">
        <f t="shared" si="4"/>
        <v>900226715</v>
      </c>
      <c r="G175" s="21">
        <v>0</v>
      </c>
      <c r="H175" s="21">
        <v>0</v>
      </c>
      <c r="I175" s="21">
        <v>0</v>
      </c>
      <c r="J175" s="21">
        <v>0</v>
      </c>
      <c r="K175" s="21">
        <v>723315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f t="shared" si="5"/>
        <v>0</v>
      </c>
    </row>
    <row r="176" spans="1:17" x14ac:dyDescent="0.25">
      <c r="A176" s="2" t="str">
        <f>"HOSF0000067726"</f>
        <v>HOSF0000067726</v>
      </c>
      <c r="B176" s="2">
        <v>67726</v>
      </c>
      <c r="C176" s="6">
        <v>44257.273900462962</v>
      </c>
      <c r="D176" s="5">
        <v>773200</v>
      </c>
      <c r="E176" s="5">
        <v>773200</v>
      </c>
      <c r="F176" s="2" t="str">
        <f t="shared" si="4"/>
        <v>900226715</v>
      </c>
      <c r="G176" s="21">
        <v>0</v>
      </c>
      <c r="H176" s="21">
        <v>0</v>
      </c>
      <c r="I176" s="21">
        <v>0</v>
      </c>
      <c r="J176" s="21">
        <v>0</v>
      </c>
      <c r="K176" s="21">
        <v>773200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f t="shared" si="5"/>
        <v>0</v>
      </c>
    </row>
    <row r="177" spans="1:17" x14ac:dyDescent="0.25">
      <c r="A177" s="2" t="str">
        <f>"HOSF0000258263"</f>
        <v>HOSF0000258263</v>
      </c>
      <c r="B177" s="2">
        <v>258263</v>
      </c>
      <c r="C177" s="6">
        <v>44616.077523148146</v>
      </c>
      <c r="D177" s="5">
        <v>789885</v>
      </c>
      <c r="E177" s="5">
        <v>789885</v>
      </c>
      <c r="F177" s="2" t="str">
        <f t="shared" si="4"/>
        <v>900226715</v>
      </c>
      <c r="G177" s="21">
        <v>0</v>
      </c>
      <c r="H177" s="21">
        <v>0</v>
      </c>
      <c r="I177" s="21">
        <v>0</v>
      </c>
      <c r="J177" s="21">
        <v>0</v>
      </c>
      <c r="K177" s="21">
        <v>789885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f t="shared" si="5"/>
        <v>0</v>
      </c>
    </row>
    <row r="178" spans="1:17" x14ac:dyDescent="0.25">
      <c r="A178" s="2" t="str">
        <f>"HOSF0000272800"</f>
        <v>HOSF0000272800</v>
      </c>
      <c r="B178" s="2">
        <v>272800</v>
      </c>
      <c r="C178" s="6">
        <v>44643.002557870372</v>
      </c>
      <c r="D178" s="5">
        <v>832661</v>
      </c>
      <c r="E178" s="5">
        <v>832661</v>
      </c>
      <c r="F178" s="2" t="str">
        <f t="shared" si="4"/>
        <v>900226715</v>
      </c>
      <c r="G178" s="21">
        <v>0</v>
      </c>
      <c r="H178" s="21">
        <v>0</v>
      </c>
      <c r="I178" s="21">
        <v>0</v>
      </c>
      <c r="J178" s="21">
        <v>0</v>
      </c>
      <c r="K178" s="21">
        <v>832661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f t="shared" si="5"/>
        <v>0</v>
      </c>
    </row>
    <row r="179" spans="1:17" x14ac:dyDescent="0.25">
      <c r="A179" s="2" t="str">
        <f>"HOSF0000042708"</f>
        <v>HOSF0000042708</v>
      </c>
      <c r="B179" s="2">
        <v>42708</v>
      </c>
      <c r="C179" s="6">
        <v>44193.619166666664</v>
      </c>
      <c r="D179" s="5">
        <v>855487</v>
      </c>
      <c r="E179" s="5">
        <v>855487</v>
      </c>
      <c r="F179" s="2" t="str">
        <f t="shared" si="4"/>
        <v>900226715</v>
      </c>
      <c r="G179" s="21">
        <v>0</v>
      </c>
      <c r="H179" s="21">
        <v>0</v>
      </c>
      <c r="I179" s="21">
        <v>0</v>
      </c>
      <c r="J179" s="21">
        <v>0</v>
      </c>
      <c r="K179" s="21">
        <v>855487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f t="shared" si="5"/>
        <v>0</v>
      </c>
    </row>
    <row r="180" spans="1:17" x14ac:dyDescent="0.25">
      <c r="A180" s="2" t="str">
        <f>"HOSF0000041437"</f>
        <v>HOSF0000041437</v>
      </c>
      <c r="B180" s="2">
        <v>41437</v>
      </c>
      <c r="C180" s="6">
        <v>44188.416967592595</v>
      </c>
      <c r="D180" s="5">
        <v>934858</v>
      </c>
      <c r="E180" s="5">
        <v>934858</v>
      </c>
      <c r="F180" s="2" t="str">
        <f t="shared" si="4"/>
        <v>900226715</v>
      </c>
      <c r="G180" s="21">
        <v>0</v>
      </c>
      <c r="H180" s="21">
        <v>0</v>
      </c>
      <c r="I180" s="21">
        <v>0</v>
      </c>
      <c r="J180" s="21">
        <v>0</v>
      </c>
      <c r="K180" s="21">
        <v>934858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f t="shared" si="5"/>
        <v>0</v>
      </c>
    </row>
    <row r="181" spans="1:17" x14ac:dyDescent="0.25">
      <c r="A181" s="2" t="str">
        <f>"HSRF0014217390"</f>
        <v>HSRF0014217390</v>
      </c>
      <c r="B181" s="2">
        <v>14217390</v>
      </c>
      <c r="C181" s="6">
        <v>43860.116631944446</v>
      </c>
      <c r="D181" s="5">
        <v>940454</v>
      </c>
      <c r="E181" s="5">
        <v>940454</v>
      </c>
      <c r="F181" s="2" t="str">
        <f t="shared" si="4"/>
        <v>900226715</v>
      </c>
      <c r="G181" s="21">
        <v>0</v>
      </c>
      <c r="H181" s="21">
        <v>0</v>
      </c>
      <c r="I181" s="21">
        <v>0</v>
      </c>
      <c r="J181" s="21">
        <v>0</v>
      </c>
      <c r="K181" s="21">
        <v>940454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f t="shared" si="5"/>
        <v>0</v>
      </c>
    </row>
    <row r="182" spans="1:17" x14ac:dyDescent="0.25">
      <c r="A182" s="2" t="str">
        <f>"HOSF0000065748"</f>
        <v>HOSF0000065748</v>
      </c>
      <c r="B182" s="2">
        <v>65748</v>
      </c>
      <c r="C182" s="6">
        <v>44252.567476851851</v>
      </c>
      <c r="D182" s="5">
        <v>958189</v>
      </c>
      <c r="E182" s="5">
        <v>958189</v>
      </c>
      <c r="F182" s="2" t="str">
        <f t="shared" si="4"/>
        <v>900226715</v>
      </c>
      <c r="G182" s="21">
        <v>0</v>
      </c>
      <c r="H182" s="21">
        <v>0</v>
      </c>
      <c r="I182" s="21">
        <v>0</v>
      </c>
      <c r="J182" s="21">
        <v>0</v>
      </c>
      <c r="K182" s="21">
        <v>958189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f t="shared" si="5"/>
        <v>0</v>
      </c>
    </row>
    <row r="183" spans="1:17" x14ac:dyDescent="0.25">
      <c r="A183" s="2" t="str">
        <f>"HSRF0013827137"</f>
        <v>HSRF0013827137</v>
      </c>
      <c r="B183" s="2">
        <v>13827137</v>
      </c>
      <c r="C183" s="6">
        <v>43494.020428240743</v>
      </c>
      <c r="D183" s="5">
        <v>1006880</v>
      </c>
      <c r="E183" s="5">
        <v>1006880</v>
      </c>
      <c r="F183" s="2" t="str">
        <f t="shared" si="4"/>
        <v>900226715</v>
      </c>
      <c r="G183" s="21">
        <v>0</v>
      </c>
      <c r="H183" s="21">
        <v>0</v>
      </c>
      <c r="I183" s="21">
        <v>0</v>
      </c>
      <c r="J183" s="21">
        <v>0</v>
      </c>
      <c r="K183" s="21">
        <v>1006880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f t="shared" si="5"/>
        <v>0</v>
      </c>
    </row>
    <row r="184" spans="1:17" x14ac:dyDescent="0.25">
      <c r="A184" s="2" t="str">
        <f>"HOSF0000044080"</f>
        <v>HOSF0000044080</v>
      </c>
      <c r="B184" s="2">
        <v>44080</v>
      </c>
      <c r="C184" s="6">
        <v>44196.63484953704</v>
      </c>
      <c r="D184" s="5">
        <v>1072766</v>
      </c>
      <c r="E184" s="5">
        <v>1072766</v>
      </c>
      <c r="F184" s="2" t="str">
        <f t="shared" si="4"/>
        <v>900226715</v>
      </c>
      <c r="G184" s="21">
        <v>0</v>
      </c>
      <c r="H184" s="21">
        <v>0</v>
      </c>
      <c r="I184" s="21">
        <v>0</v>
      </c>
      <c r="J184" s="21">
        <v>0</v>
      </c>
      <c r="K184" s="21">
        <v>1072766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f t="shared" si="5"/>
        <v>0</v>
      </c>
    </row>
    <row r="185" spans="1:17" x14ac:dyDescent="0.25">
      <c r="A185" s="2" t="str">
        <f>"HOSF0000041975"</f>
        <v>HOSF0000041975</v>
      </c>
      <c r="B185" s="2">
        <v>41975</v>
      </c>
      <c r="C185" s="6">
        <v>44189.962384259263</v>
      </c>
      <c r="D185" s="5">
        <v>1161203</v>
      </c>
      <c r="E185" s="5">
        <v>1161203</v>
      </c>
      <c r="F185" s="2" t="str">
        <f t="shared" si="4"/>
        <v>900226715</v>
      </c>
      <c r="G185" s="21">
        <v>0</v>
      </c>
      <c r="H185" s="21">
        <v>0</v>
      </c>
      <c r="I185" s="21">
        <v>0</v>
      </c>
      <c r="J185" s="21">
        <v>0</v>
      </c>
      <c r="K185" s="21">
        <v>1161203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f t="shared" si="5"/>
        <v>0</v>
      </c>
    </row>
    <row r="186" spans="1:17" x14ac:dyDescent="0.25">
      <c r="A186" s="2" t="str">
        <f>"HSRF0014112238"</f>
        <v>HSRF0014112238</v>
      </c>
      <c r="B186" s="2">
        <v>14112238</v>
      </c>
      <c r="C186" s="6">
        <v>43757.238229166665</v>
      </c>
      <c r="D186" s="5">
        <v>1222989</v>
      </c>
      <c r="E186" s="5">
        <v>1222989</v>
      </c>
      <c r="F186" s="2" t="str">
        <f t="shared" si="4"/>
        <v>900226715</v>
      </c>
      <c r="G186" s="21">
        <v>0</v>
      </c>
      <c r="H186" s="21">
        <v>0</v>
      </c>
      <c r="I186" s="21">
        <v>0</v>
      </c>
      <c r="J186" s="21">
        <v>0</v>
      </c>
      <c r="K186" s="21">
        <v>1222989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f t="shared" si="5"/>
        <v>0</v>
      </c>
    </row>
    <row r="187" spans="1:17" x14ac:dyDescent="0.25">
      <c r="A187" s="2" t="str">
        <f>"HSRF0014196884"</f>
        <v>HSRF0014196884</v>
      </c>
      <c r="B187" s="2">
        <v>14196884</v>
      </c>
      <c r="C187" s="6">
        <v>43840.303923611114</v>
      </c>
      <c r="D187" s="5">
        <v>1294827</v>
      </c>
      <c r="E187" s="5">
        <v>1294827</v>
      </c>
      <c r="F187" s="2" t="str">
        <f t="shared" si="4"/>
        <v>900226715</v>
      </c>
      <c r="G187" s="21">
        <v>0</v>
      </c>
      <c r="H187" s="21">
        <v>0</v>
      </c>
      <c r="I187" s="21">
        <v>0</v>
      </c>
      <c r="J187" s="21">
        <v>0</v>
      </c>
      <c r="K187" s="21">
        <v>1294827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f t="shared" si="5"/>
        <v>0</v>
      </c>
    </row>
    <row r="188" spans="1:17" x14ac:dyDescent="0.25">
      <c r="A188" s="2" t="str">
        <f>"HSRF0013992344"</f>
        <v>HSRF0013992344</v>
      </c>
      <c r="B188" s="2">
        <v>13992344</v>
      </c>
      <c r="C188" s="6">
        <v>43643.699189814812</v>
      </c>
      <c r="D188" s="5">
        <v>1430415</v>
      </c>
      <c r="E188" s="5">
        <v>1430415</v>
      </c>
      <c r="F188" s="2" t="str">
        <f t="shared" si="4"/>
        <v>900226715</v>
      </c>
      <c r="G188" s="21">
        <v>0</v>
      </c>
      <c r="H188" s="21">
        <v>0</v>
      </c>
      <c r="I188" s="21">
        <v>0</v>
      </c>
      <c r="J188" s="21">
        <v>0</v>
      </c>
      <c r="K188" s="21">
        <v>1430415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f t="shared" si="5"/>
        <v>0</v>
      </c>
    </row>
    <row r="189" spans="1:17" x14ac:dyDescent="0.25">
      <c r="A189" s="2" t="str">
        <f>"HSRF0014408278"</f>
        <v>HSRF0014408278</v>
      </c>
      <c r="B189" s="2">
        <v>14408278</v>
      </c>
      <c r="C189" s="6">
        <v>44099.707430555558</v>
      </c>
      <c r="D189" s="5">
        <v>2476583</v>
      </c>
      <c r="E189" s="5">
        <v>1544595</v>
      </c>
      <c r="F189" s="2" t="str">
        <f t="shared" si="4"/>
        <v>900226715</v>
      </c>
      <c r="G189" s="21">
        <v>0</v>
      </c>
      <c r="H189" s="21">
        <v>0</v>
      </c>
      <c r="I189" s="21">
        <v>0</v>
      </c>
      <c r="J189" s="21">
        <v>0</v>
      </c>
      <c r="K189" s="21">
        <v>1544595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f t="shared" si="5"/>
        <v>0</v>
      </c>
    </row>
    <row r="190" spans="1:17" x14ac:dyDescent="0.25">
      <c r="A190" s="2" t="str">
        <f>"HOSF0000017060"</f>
        <v>HOSF0000017060</v>
      </c>
      <c r="B190" s="2">
        <v>17060</v>
      </c>
      <c r="C190" s="6">
        <v>44134.71398148148</v>
      </c>
      <c r="D190" s="5">
        <v>1727861</v>
      </c>
      <c r="E190" s="5">
        <v>1727861</v>
      </c>
      <c r="F190" s="2" t="str">
        <f t="shared" si="4"/>
        <v>900226715</v>
      </c>
      <c r="G190" s="21">
        <v>0</v>
      </c>
      <c r="H190" s="21">
        <v>0</v>
      </c>
      <c r="I190" s="21">
        <v>0</v>
      </c>
      <c r="J190" s="21">
        <v>0</v>
      </c>
      <c r="K190" s="21">
        <v>1727861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f t="shared" si="5"/>
        <v>0</v>
      </c>
    </row>
    <row r="191" spans="1:17" x14ac:dyDescent="0.25">
      <c r="A191" s="2" t="str">
        <f>"HOSF0000050216"</f>
        <v>HOSF0000050216</v>
      </c>
      <c r="B191" s="2">
        <v>50216</v>
      </c>
      <c r="C191" s="6">
        <v>44216.657256944447</v>
      </c>
      <c r="D191" s="5">
        <v>1742972</v>
      </c>
      <c r="E191" s="5">
        <v>1742972</v>
      </c>
      <c r="F191" s="2" t="str">
        <f t="shared" si="4"/>
        <v>900226715</v>
      </c>
      <c r="G191" s="21">
        <v>0</v>
      </c>
      <c r="H191" s="21">
        <v>0</v>
      </c>
      <c r="I191" s="21">
        <v>0</v>
      </c>
      <c r="J191" s="21">
        <v>0</v>
      </c>
      <c r="K191" s="21">
        <v>1742972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f t="shared" si="5"/>
        <v>0</v>
      </c>
    </row>
    <row r="192" spans="1:17" x14ac:dyDescent="0.25">
      <c r="A192" s="2" t="str">
        <f>"HOSF0000051038"</f>
        <v>HOSF0000051038</v>
      </c>
      <c r="B192" s="2">
        <v>51038</v>
      </c>
      <c r="C192" s="6">
        <v>44218.466041666667</v>
      </c>
      <c r="D192" s="5">
        <v>1745633</v>
      </c>
      <c r="E192" s="5">
        <v>1745633</v>
      </c>
      <c r="F192" s="2" t="str">
        <f t="shared" si="4"/>
        <v>900226715</v>
      </c>
      <c r="G192" s="21">
        <v>0</v>
      </c>
      <c r="H192" s="21">
        <v>0</v>
      </c>
      <c r="I192" s="21">
        <v>0</v>
      </c>
      <c r="J192" s="21">
        <v>0</v>
      </c>
      <c r="K192" s="21">
        <v>1745633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f t="shared" si="5"/>
        <v>0</v>
      </c>
    </row>
    <row r="193" spans="1:17" x14ac:dyDescent="0.25">
      <c r="A193" s="2" t="str">
        <f>"HOSF0000080190"</f>
        <v>HOSF0000080190</v>
      </c>
      <c r="B193" s="2">
        <v>80190</v>
      </c>
      <c r="C193" s="6">
        <v>44279.437557870369</v>
      </c>
      <c r="D193" s="5">
        <v>1920866</v>
      </c>
      <c r="E193" s="5">
        <v>1920866</v>
      </c>
      <c r="F193" s="2" t="str">
        <f t="shared" si="4"/>
        <v>900226715</v>
      </c>
      <c r="G193" s="21">
        <v>0</v>
      </c>
      <c r="H193" s="21">
        <v>0</v>
      </c>
      <c r="I193" s="21">
        <v>0</v>
      </c>
      <c r="J193" s="21">
        <v>0</v>
      </c>
      <c r="K193" s="21">
        <v>1920866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f t="shared" si="5"/>
        <v>0</v>
      </c>
    </row>
    <row r="194" spans="1:17" x14ac:dyDescent="0.25">
      <c r="A194" s="2" t="str">
        <f>"HOSF0000096742"</f>
        <v>HOSF0000096742</v>
      </c>
      <c r="B194" s="2">
        <v>96742</v>
      </c>
      <c r="C194" s="6">
        <v>44307.517951388887</v>
      </c>
      <c r="D194" s="5">
        <v>2044167</v>
      </c>
      <c r="E194" s="5">
        <v>2044167</v>
      </c>
      <c r="F194" s="2" t="str">
        <f t="shared" ref="F194:F213" si="6">"900226715"</f>
        <v>900226715</v>
      </c>
      <c r="G194" s="21">
        <v>0</v>
      </c>
      <c r="H194" s="21">
        <v>0</v>
      </c>
      <c r="I194" s="21">
        <v>0</v>
      </c>
      <c r="J194" s="21">
        <v>0</v>
      </c>
      <c r="K194" s="21">
        <v>2044167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f t="shared" ref="Q194:Q213" si="7">+E194-G194-H194-I194-J194-K194-L194-M194-N194-O194</f>
        <v>0</v>
      </c>
    </row>
    <row r="195" spans="1:17" x14ac:dyDescent="0.25">
      <c r="A195" s="2" t="str">
        <f>"HOSF0000102693"</f>
        <v>HOSF0000102693</v>
      </c>
      <c r="B195" s="2">
        <v>102693</v>
      </c>
      <c r="C195" s="6">
        <v>44316.516655092593</v>
      </c>
      <c r="D195" s="5">
        <v>2065238</v>
      </c>
      <c r="E195" s="5">
        <v>2065238</v>
      </c>
      <c r="F195" s="2" t="str">
        <f t="shared" si="6"/>
        <v>900226715</v>
      </c>
      <c r="G195" s="21">
        <v>0</v>
      </c>
      <c r="H195" s="21">
        <v>0</v>
      </c>
      <c r="I195" s="21">
        <v>0</v>
      </c>
      <c r="J195" s="21">
        <v>0</v>
      </c>
      <c r="K195" s="21">
        <v>2065238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f t="shared" si="7"/>
        <v>0</v>
      </c>
    </row>
    <row r="196" spans="1:17" x14ac:dyDescent="0.25">
      <c r="A196" s="2" t="str">
        <f>"HOSF0000010315"</f>
        <v>HOSF0000010315</v>
      </c>
      <c r="B196" s="2">
        <v>10315</v>
      </c>
      <c r="C196" s="6">
        <v>44125.491620370369</v>
      </c>
      <c r="D196" s="5">
        <v>2140488</v>
      </c>
      <c r="E196" s="5">
        <v>2140488</v>
      </c>
      <c r="F196" s="2" t="str">
        <f t="shared" si="6"/>
        <v>900226715</v>
      </c>
      <c r="G196" s="21">
        <v>0</v>
      </c>
      <c r="H196" s="21">
        <v>0</v>
      </c>
      <c r="I196" s="21">
        <v>0</v>
      </c>
      <c r="J196" s="21">
        <v>0</v>
      </c>
      <c r="K196" s="21">
        <v>2140488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f t="shared" si="7"/>
        <v>0</v>
      </c>
    </row>
    <row r="197" spans="1:17" x14ac:dyDescent="0.25">
      <c r="A197" s="2" t="str">
        <f>"HOSF0000035818"</f>
        <v>HOSF0000035818</v>
      </c>
      <c r="B197" s="2">
        <v>35818</v>
      </c>
      <c r="C197" s="6">
        <v>44174.62332175926</v>
      </c>
      <c r="D197" s="5">
        <v>2259120</v>
      </c>
      <c r="E197" s="5">
        <v>2259120</v>
      </c>
      <c r="F197" s="2" t="str">
        <f t="shared" si="6"/>
        <v>900226715</v>
      </c>
      <c r="G197" s="21">
        <v>0</v>
      </c>
      <c r="H197" s="21">
        <v>0</v>
      </c>
      <c r="I197" s="21">
        <v>0</v>
      </c>
      <c r="J197" s="21">
        <v>0</v>
      </c>
      <c r="K197" s="21">
        <v>2259120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f t="shared" si="7"/>
        <v>0</v>
      </c>
    </row>
    <row r="198" spans="1:17" x14ac:dyDescent="0.25">
      <c r="A198" s="2" t="str">
        <f>"HSRF0014060511"</f>
        <v>HSRF0014060511</v>
      </c>
      <c r="B198" s="2">
        <v>14060511</v>
      </c>
      <c r="C198" s="6">
        <v>43707.514236111114</v>
      </c>
      <c r="D198" s="5">
        <v>2482749</v>
      </c>
      <c r="E198" s="5">
        <v>2482749</v>
      </c>
      <c r="F198" s="2" t="str">
        <f t="shared" si="6"/>
        <v>900226715</v>
      </c>
      <c r="G198" s="21">
        <v>0</v>
      </c>
      <c r="H198" s="21">
        <v>0</v>
      </c>
      <c r="I198" s="21">
        <v>0</v>
      </c>
      <c r="J198" s="21">
        <v>0</v>
      </c>
      <c r="K198" s="21">
        <v>2482749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f t="shared" si="7"/>
        <v>0</v>
      </c>
    </row>
    <row r="199" spans="1:17" x14ac:dyDescent="0.25">
      <c r="A199" s="2" t="str">
        <f>"HOSF0000025929"</f>
        <v>HOSF0000025929</v>
      </c>
      <c r="B199" s="2">
        <v>25929</v>
      </c>
      <c r="C199" s="6">
        <v>44153.705960648149</v>
      </c>
      <c r="D199" s="5">
        <v>2495500</v>
      </c>
      <c r="E199" s="5">
        <v>2495500</v>
      </c>
      <c r="F199" s="2" t="str">
        <f t="shared" si="6"/>
        <v>900226715</v>
      </c>
      <c r="G199" s="21">
        <v>0</v>
      </c>
      <c r="H199" s="21">
        <v>0</v>
      </c>
      <c r="I199" s="21">
        <v>0</v>
      </c>
      <c r="J199" s="21">
        <v>0</v>
      </c>
      <c r="K199" s="21">
        <v>2495500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f t="shared" si="7"/>
        <v>0</v>
      </c>
    </row>
    <row r="200" spans="1:17" x14ac:dyDescent="0.25">
      <c r="A200" s="2" t="str">
        <f>"HOSF0000018915"</f>
        <v>HOSF0000018915</v>
      </c>
      <c r="B200" s="2">
        <v>18915</v>
      </c>
      <c r="C200" s="6">
        <v>44139.548182870371</v>
      </c>
      <c r="D200" s="5">
        <v>2700133</v>
      </c>
      <c r="E200" s="5">
        <v>2642533</v>
      </c>
      <c r="F200" s="2" t="str">
        <f t="shared" si="6"/>
        <v>900226715</v>
      </c>
      <c r="G200" s="21">
        <v>0</v>
      </c>
      <c r="H200" s="21">
        <v>0</v>
      </c>
      <c r="I200" s="21">
        <v>0</v>
      </c>
      <c r="J200" s="21">
        <v>0</v>
      </c>
      <c r="K200" s="21">
        <v>2642533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f t="shared" si="7"/>
        <v>0</v>
      </c>
    </row>
    <row r="201" spans="1:17" x14ac:dyDescent="0.25">
      <c r="A201" s="2" t="str">
        <f>"HOSF0000101440"</f>
        <v>HOSF0000101440</v>
      </c>
      <c r="B201" s="2">
        <v>101440</v>
      </c>
      <c r="C201" s="6">
        <v>44314.633599537039</v>
      </c>
      <c r="D201" s="5">
        <v>2700203</v>
      </c>
      <c r="E201" s="5">
        <v>2700203</v>
      </c>
      <c r="F201" s="2" t="str">
        <f t="shared" si="6"/>
        <v>900226715</v>
      </c>
      <c r="G201" s="21">
        <v>0</v>
      </c>
      <c r="H201" s="21">
        <v>0</v>
      </c>
      <c r="I201" s="21">
        <v>0</v>
      </c>
      <c r="J201" s="21">
        <v>0</v>
      </c>
      <c r="K201" s="21">
        <v>2700203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f t="shared" si="7"/>
        <v>0</v>
      </c>
    </row>
    <row r="202" spans="1:17" x14ac:dyDescent="0.25">
      <c r="A202" s="2" t="str">
        <f>"HSRF0014154915"</f>
        <v>HSRF0014154915</v>
      </c>
      <c r="B202" s="2">
        <v>14154915</v>
      </c>
      <c r="C202" s="6">
        <v>43796.480347222219</v>
      </c>
      <c r="D202" s="5">
        <v>2759216</v>
      </c>
      <c r="E202" s="5">
        <v>2759216</v>
      </c>
      <c r="F202" s="2" t="str">
        <f t="shared" si="6"/>
        <v>900226715</v>
      </c>
      <c r="G202" s="21">
        <v>0</v>
      </c>
      <c r="H202" s="21">
        <v>0</v>
      </c>
      <c r="I202" s="21">
        <v>0</v>
      </c>
      <c r="J202" s="21">
        <v>0</v>
      </c>
      <c r="K202" s="21">
        <v>2759216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f t="shared" si="7"/>
        <v>0</v>
      </c>
    </row>
    <row r="203" spans="1:17" x14ac:dyDescent="0.25">
      <c r="A203" s="2" t="str">
        <f>"HSRF0014189208"</f>
        <v>HSRF0014189208</v>
      </c>
      <c r="B203" s="2">
        <v>14189208</v>
      </c>
      <c r="C203" s="6">
        <v>43828.627974537034</v>
      </c>
      <c r="D203" s="5">
        <v>2832177</v>
      </c>
      <c r="E203" s="5">
        <v>2832177</v>
      </c>
      <c r="F203" s="2" t="str">
        <f t="shared" si="6"/>
        <v>900226715</v>
      </c>
      <c r="G203" s="21">
        <v>0</v>
      </c>
      <c r="H203" s="21">
        <v>0</v>
      </c>
      <c r="I203" s="21">
        <v>0</v>
      </c>
      <c r="J203" s="21">
        <v>0</v>
      </c>
      <c r="K203" s="21">
        <v>2832177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f t="shared" si="7"/>
        <v>0</v>
      </c>
    </row>
    <row r="204" spans="1:17" x14ac:dyDescent="0.25">
      <c r="A204" s="2" t="str">
        <f>"HOSF0000109050"</f>
        <v>HOSF0000109050</v>
      </c>
      <c r="B204" s="2">
        <v>109050</v>
      </c>
      <c r="C204" s="6">
        <v>44330.510925925926</v>
      </c>
      <c r="D204" s="5">
        <v>3134239</v>
      </c>
      <c r="E204" s="5">
        <v>3134239</v>
      </c>
      <c r="F204" s="2" t="str">
        <f t="shared" si="6"/>
        <v>900226715</v>
      </c>
      <c r="G204" s="21">
        <v>0</v>
      </c>
      <c r="H204" s="21">
        <v>0</v>
      </c>
      <c r="I204" s="21">
        <v>0</v>
      </c>
      <c r="J204" s="21">
        <v>0</v>
      </c>
      <c r="K204" s="21">
        <v>3134239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f t="shared" si="7"/>
        <v>0</v>
      </c>
    </row>
    <row r="205" spans="1:17" x14ac:dyDescent="0.25">
      <c r="A205" s="2" t="str">
        <f>"HOSF0000088005"</f>
        <v>HOSF0000088005</v>
      </c>
      <c r="B205" s="2">
        <v>88005</v>
      </c>
      <c r="C205" s="6">
        <v>44293.669953703706</v>
      </c>
      <c r="D205" s="5">
        <v>4047521</v>
      </c>
      <c r="E205" s="5">
        <v>4047521</v>
      </c>
      <c r="F205" s="2" t="str">
        <f t="shared" si="6"/>
        <v>900226715</v>
      </c>
      <c r="G205" s="21">
        <v>0</v>
      </c>
      <c r="H205" s="21">
        <v>0</v>
      </c>
      <c r="I205" s="21">
        <v>0</v>
      </c>
      <c r="J205" s="21">
        <v>0</v>
      </c>
      <c r="K205" s="21">
        <v>4047521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f t="shared" si="7"/>
        <v>0</v>
      </c>
    </row>
    <row r="206" spans="1:17" x14ac:dyDescent="0.25">
      <c r="A206" s="2" t="str">
        <f>"HOSF0000060684"</f>
        <v>HOSF0000060684</v>
      </c>
      <c r="B206" s="2">
        <v>60684</v>
      </c>
      <c r="C206" s="6">
        <v>44242.688240740739</v>
      </c>
      <c r="D206" s="5">
        <v>4620737</v>
      </c>
      <c r="E206" s="5">
        <v>4620737</v>
      </c>
      <c r="F206" s="2" t="str">
        <f t="shared" si="6"/>
        <v>900226715</v>
      </c>
      <c r="G206" s="21">
        <v>0</v>
      </c>
      <c r="H206" s="21">
        <v>0</v>
      </c>
      <c r="I206" s="21">
        <v>0</v>
      </c>
      <c r="J206" s="21">
        <v>0</v>
      </c>
      <c r="K206" s="21">
        <v>4620737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f t="shared" si="7"/>
        <v>0</v>
      </c>
    </row>
    <row r="207" spans="1:17" x14ac:dyDescent="0.25">
      <c r="A207" s="2" t="str">
        <f>"HOSF0000099750"</f>
        <v>HOSF0000099750</v>
      </c>
      <c r="B207" s="2">
        <v>99750</v>
      </c>
      <c r="C207" s="6">
        <v>44312.441481481481</v>
      </c>
      <c r="D207" s="5">
        <v>7941688</v>
      </c>
      <c r="E207" s="5">
        <v>7941688</v>
      </c>
      <c r="F207" s="2" t="str">
        <f t="shared" si="6"/>
        <v>900226715</v>
      </c>
      <c r="G207" s="21">
        <v>0</v>
      </c>
      <c r="H207" s="21">
        <v>0</v>
      </c>
      <c r="I207" s="21">
        <v>0</v>
      </c>
      <c r="J207" s="21">
        <v>0</v>
      </c>
      <c r="K207" s="21">
        <v>7941688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f t="shared" si="7"/>
        <v>0</v>
      </c>
    </row>
    <row r="208" spans="1:17" x14ac:dyDescent="0.25">
      <c r="A208" s="2" t="str">
        <f>"HOSF0000232760"</f>
        <v>HOSF0000232760</v>
      </c>
      <c r="B208" s="2">
        <v>232760</v>
      </c>
      <c r="C208" s="6">
        <v>44561.552199074074</v>
      </c>
      <c r="D208" s="5">
        <v>8099715</v>
      </c>
      <c r="E208" s="5">
        <v>8099715</v>
      </c>
      <c r="F208" s="2" t="str">
        <f t="shared" si="6"/>
        <v>900226715</v>
      </c>
      <c r="G208" s="21">
        <v>0</v>
      </c>
      <c r="H208" s="21">
        <v>0</v>
      </c>
      <c r="I208" s="21">
        <v>0</v>
      </c>
      <c r="J208" s="21">
        <v>0</v>
      </c>
      <c r="K208" s="21">
        <v>8099715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f t="shared" si="7"/>
        <v>0</v>
      </c>
    </row>
    <row r="209" spans="1:17" x14ac:dyDescent="0.25">
      <c r="A209" s="2" t="str">
        <f>"HSRF0014411211"</f>
        <v>HSRF0014411211</v>
      </c>
      <c r="B209" s="2">
        <v>14411211</v>
      </c>
      <c r="C209" s="6">
        <v>44104.757951388892</v>
      </c>
      <c r="D209" s="5">
        <v>8605118</v>
      </c>
      <c r="E209" s="5">
        <v>8605118</v>
      </c>
      <c r="F209" s="2" t="str">
        <f t="shared" si="6"/>
        <v>900226715</v>
      </c>
      <c r="G209" s="21">
        <v>0</v>
      </c>
      <c r="H209" s="21">
        <v>0</v>
      </c>
      <c r="I209" s="21">
        <v>0</v>
      </c>
      <c r="J209" s="21">
        <v>0</v>
      </c>
      <c r="K209" s="21">
        <v>8605118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f t="shared" si="7"/>
        <v>0</v>
      </c>
    </row>
    <row r="210" spans="1:17" x14ac:dyDescent="0.25">
      <c r="A210" s="2" t="str">
        <f>"HSRF0014189497"</f>
        <v>HSRF0014189497</v>
      </c>
      <c r="B210" s="2">
        <v>14189497</v>
      </c>
      <c r="C210" s="6">
        <v>43829.318229166667</v>
      </c>
      <c r="D210" s="5">
        <v>8990327</v>
      </c>
      <c r="E210" s="5">
        <v>8990327</v>
      </c>
      <c r="F210" s="2" t="str">
        <f t="shared" si="6"/>
        <v>900226715</v>
      </c>
      <c r="G210" s="21">
        <v>0</v>
      </c>
      <c r="H210" s="21">
        <v>0</v>
      </c>
      <c r="I210" s="21">
        <v>0</v>
      </c>
      <c r="J210" s="21">
        <v>0</v>
      </c>
      <c r="K210" s="21">
        <v>8990327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f t="shared" si="7"/>
        <v>0</v>
      </c>
    </row>
    <row r="211" spans="1:17" x14ac:dyDescent="0.25">
      <c r="A211" s="2" t="str">
        <f>"HOSF0000053867"</f>
        <v>HOSF0000053867</v>
      </c>
      <c r="B211" s="2">
        <v>53867</v>
      </c>
      <c r="C211" s="6">
        <v>44224.656805555554</v>
      </c>
      <c r="D211" s="5">
        <v>9969704</v>
      </c>
      <c r="E211" s="5">
        <v>9969704</v>
      </c>
      <c r="F211" s="2" t="str">
        <f t="shared" si="6"/>
        <v>900226715</v>
      </c>
      <c r="G211" s="21">
        <v>0</v>
      </c>
      <c r="H211" s="21">
        <v>0</v>
      </c>
      <c r="I211" s="21">
        <v>0</v>
      </c>
      <c r="J211" s="21">
        <v>0</v>
      </c>
      <c r="K211" s="21">
        <v>9969704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f t="shared" si="7"/>
        <v>0</v>
      </c>
    </row>
    <row r="212" spans="1:17" x14ac:dyDescent="0.25">
      <c r="A212" s="2" t="str">
        <f>"HOSF0000102087"</f>
        <v>HOSF0000102087</v>
      </c>
      <c r="B212" s="2">
        <v>102087</v>
      </c>
      <c r="C212" s="6">
        <v>44315.71539351852</v>
      </c>
      <c r="D212" s="5">
        <v>13974922</v>
      </c>
      <c r="E212" s="5">
        <v>13974922</v>
      </c>
      <c r="F212" s="2" t="str">
        <f t="shared" si="6"/>
        <v>900226715</v>
      </c>
      <c r="G212" s="21">
        <v>0</v>
      </c>
      <c r="H212" s="21">
        <v>0</v>
      </c>
      <c r="I212" s="21">
        <v>0</v>
      </c>
      <c r="J212" s="21">
        <v>0</v>
      </c>
      <c r="K212" s="21">
        <v>13974922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f t="shared" si="7"/>
        <v>0</v>
      </c>
    </row>
    <row r="213" spans="1:17" ht="15.75" thickBot="1" x14ac:dyDescent="0.3">
      <c r="A213" s="30" t="str">
        <f>"HOSF0000025928"</f>
        <v>HOSF0000025928</v>
      </c>
      <c r="B213" s="30">
        <v>25928</v>
      </c>
      <c r="C213" s="31">
        <v>44153.705960648149</v>
      </c>
      <c r="D213" s="24">
        <v>19714503</v>
      </c>
      <c r="E213" s="24">
        <v>19634503</v>
      </c>
      <c r="F213" s="2" t="str">
        <f t="shared" si="6"/>
        <v>900226715</v>
      </c>
      <c r="G213" s="25">
        <v>0</v>
      </c>
      <c r="H213" s="25">
        <v>0</v>
      </c>
      <c r="I213" s="25">
        <v>0</v>
      </c>
      <c r="J213" s="25">
        <v>0</v>
      </c>
      <c r="K213" s="25">
        <v>19634503</v>
      </c>
      <c r="L213" s="21">
        <v>0</v>
      </c>
      <c r="M213" s="25">
        <v>0</v>
      </c>
      <c r="N213" s="25">
        <v>0</v>
      </c>
      <c r="O213" s="21">
        <v>0</v>
      </c>
      <c r="P213" s="25">
        <v>0</v>
      </c>
      <c r="Q213" s="21">
        <f t="shared" si="7"/>
        <v>0</v>
      </c>
    </row>
    <row r="214" spans="1:17" ht="15.75" thickBot="1" x14ac:dyDescent="0.3">
      <c r="A214" s="38" t="s">
        <v>5</v>
      </c>
      <c r="B214" s="39"/>
      <c r="C214" s="39"/>
      <c r="D214" s="40"/>
      <c r="E214" s="26">
        <f>SUM(E2:E213)</f>
        <v>227871185</v>
      </c>
      <c r="G214" s="27">
        <f t="shared" ref="G214:Q214" si="8">SUM(G2:G213)</f>
        <v>52020098</v>
      </c>
      <c r="H214" s="28">
        <f t="shared" si="8"/>
        <v>0</v>
      </c>
      <c r="I214" s="28">
        <f t="shared" si="8"/>
        <v>0</v>
      </c>
      <c r="J214" s="28">
        <f t="shared" si="8"/>
        <v>0</v>
      </c>
      <c r="K214" s="28">
        <f t="shared" si="8"/>
        <v>149309940</v>
      </c>
      <c r="L214" s="28">
        <f t="shared" si="8"/>
        <v>4971652</v>
      </c>
      <c r="M214" s="28">
        <f t="shared" si="8"/>
        <v>511987</v>
      </c>
      <c r="N214" s="28">
        <f t="shared" si="8"/>
        <v>0</v>
      </c>
      <c r="O214" s="28">
        <f t="shared" si="8"/>
        <v>27237729</v>
      </c>
      <c r="P214" s="28">
        <f t="shared" si="8"/>
        <v>0</v>
      </c>
      <c r="Q214" s="29">
        <f t="shared" si="8"/>
        <v>-6180221</v>
      </c>
    </row>
  </sheetData>
  <sortState xmlns:xlrd2="http://schemas.microsoft.com/office/spreadsheetml/2017/richdata2" ref="A2:Q213">
    <sortCondition ref="Q2:Q213"/>
  </sortState>
  <mergeCells count="1">
    <mergeCell ref="A214:D2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A7EC-F079-420E-950D-6E44B48AB96C}">
  <dimension ref="C1:J26"/>
  <sheetViews>
    <sheetView topLeftCell="B1" workbookViewId="0">
      <selection activeCell="G19" sqref="G19"/>
    </sheetView>
  </sheetViews>
  <sheetFormatPr baseColWidth="10" defaultRowHeight="15" x14ac:dyDescent="0.25"/>
  <cols>
    <col min="3" max="3" width="80.5703125" bestFit="1" customWidth="1"/>
    <col min="4" max="4" width="14.85546875" customWidth="1"/>
    <col min="5" max="5" width="17" customWidth="1"/>
    <col min="6" max="6" width="18.28515625" customWidth="1"/>
    <col min="7" max="8" width="18" customWidth="1"/>
    <col min="9" max="9" width="21.42578125" customWidth="1"/>
    <col min="10" max="10" width="25.5703125" bestFit="1" customWidth="1"/>
  </cols>
  <sheetData>
    <row r="1" spans="3:10" x14ac:dyDescent="0.25">
      <c r="C1" s="1"/>
      <c r="D1" s="1"/>
      <c r="E1" s="1"/>
      <c r="F1" s="1"/>
      <c r="G1" s="1"/>
      <c r="H1" s="1"/>
      <c r="I1" s="1"/>
      <c r="J1" s="9"/>
    </row>
    <row r="2" spans="3:10" x14ac:dyDescent="0.25">
      <c r="C2" s="1"/>
      <c r="D2" s="1"/>
      <c r="E2" s="1"/>
      <c r="F2" s="1"/>
      <c r="G2" s="1"/>
      <c r="H2" s="1"/>
      <c r="I2" s="1"/>
      <c r="J2" s="9"/>
    </row>
    <row r="3" spans="3:10" x14ac:dyDescent="0.25">
      <c r="C3" s="1"/>
      <c r="D3" s="1"/>
      <c r="E3" s="1"/>
      <c r="F3" s="1"/>
      <c r="G3" s="1"/>
      <c r="H3" s="1"/>
      <c r="I3" s="1"/>
      <c r="J3" s="9"/>
    </row>
    <row r="4" spans="3:10" x14ac:dyDescent="0.25">
      <c r="C4" s="1"/>
      <c r="D4" s="1"/>
      <c r="E4" s="1"/>
      <c r="F4" s="1"/>
      <c r="G4" s="1"/>
      <c r="H4" s="1"/>
      <c r="I4" s="1"/>
      <c r="J4" s="9"/>
    </row>
    <row r="5" spans="3:10" ht="15.75" x14ac:dyDescent="0.25">
      <c r="C5" s="10" t="s">
        <v>86</v>
      </c>
      <c r="D5" s="10"/>
      <c r="E5" s="10"/>
      <c r="F5" s="10"/>
      <c r="G5" s="10"/>
      <c r="H5" s="10"/>
      <c r="I5" s="10"/>
      <c r="J5" s="9"/>
    </row>
    <row r="6" spans="3:10" ht="15.75" x14ac:dyDescent="0.25">
      <c r="C6" s="10" t="s">
        <v>113</v>
      </c>
      <c r="D6" s="10"/>
      <c r="E6" s="10"/>
      <c r="F6" s="10"/>
      <c r="G6" s="10"/>
      <c r="H6" s="10"/>
      <c r="I6" s="10"/>
      <c r="J6" s="9"/>
    </row>
    <row r="7" spans="3:10" x14ac:dyDescent="0.25">
      <c r="C7" s="9"/>
      <c r="D7" s="9"/>
      <c r="E7" s="9"/>
      <c r="F7" s="9"/>
      <c r="G7" s="9"/>
      <c r="H7" s="9"/>
      <c r="I7" s="9"/>
      <c r="J7" s="9"/>
    </row>
    <row r="8" spans="3:10" x14ac:dyDescent="0.25">
      <c r="C8" s="11" t="s">
        <v>87</v>
      </c>
      <c r="D8" s="11">
        <v>2017</v>
      </c>
      <c r="E8" s="11">
        <v>2018</v>
      </c>
      <c r="F8" s="11">
        <v>2019</v>
      </c>
      <c r="G8" s="11">
        <v>2020</v>
      </c>
      <c r="H8" s="11">
        <v>2021</v>
      </c>
      <c r="I8" s="11">
        <v>2022</v>
      </c>
      <c r="J8" s="12" t="s">
        <v>88</v>
      </c>
    </row>
    <row r="9" spans="3:10" x14ac:dyDescent="0.25">
      <c r="C9" s="9"/>
      <c r="D9" s="9"/>
      <c r="E9" s="9"/>
      <c r="F9" s="9"/>
      <c r="G9" s="9"/>
      <c r="H9" s="9"/>
      <c r="I9" s="9"/>
      <c r="J9" s="9"/>
    </row>
    <row r="10" spans="3:10" ht="18.75" x14ac:dyDescent="0.3">
      <c r="C10" s="13" t="s">
        <v>89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f>+CRUCE900!E214</f>
        <v>227871185</v>
      </c>
    </row>
    <row r="11" spans="3:10" x14ac:dyDescent="0.25">
      <c r="C11" s="9"/>
      <c r="D11" s="9"/>
      <c r="E11" s="9"/>
      <c r="F11" s="9"/>
      <c r="G11" s="9"/>
      <c r="H11" s="9"/>
      <c r="I11" s="9"/>
      <c r="J11" s="9"/>
    </row>
    <row r="12" spans="3:10" x14ac:dyDescent="0.25">
      <c r="C12" s="9" t="s">
        <v>90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f>+CRUCE900!K214</f>
        <v>149309940</v>
      </c>
    </row>
    <row r="13" spans="3:10" x14ac:dyDescent="0.25">
      <c r="C13" s="9" t="s">
        <v>91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f>+CRUCE900!H214</f>
        <v>0</v>
      </c>
    </row>
    <row r="14" spans="3:10" x14ac:dyDescent="0.25">
      <c r="C14" s="9" t="s">
        <v>92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f>+CRUCE900!O214</f>
        <v>27237729</v>
      </c>
    </row>
    <row r="15" spans="3:10" x14ac:dyDescent="0.25">
      <c r="C15" s="9" t="s">
        <v>93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f>+CRUCE900!M214</f>
        <v>511987</v>
      </c>
    </row>
    <row r="16" spans="3:10" x14ac:dyDescent="0.25">
      <c r="C16" s="9" t="s">
        <v>94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f>+CRUCE900!L214</f>
        <v>4971652</v>
      </c>
    </row>
    <row r="17" spans="3:10" x14ac:dyDescent="0.25">
      <c r="C17" s="9" t="s">
        <v>95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f>+CRUCE900!Q214</f>
        <v>-6180221</v>
      </c>
    </row>
    <row r="18" spans="3:10" x14ac:dyDescent="0.25">
      <c r="C18" s="9"/>
      <c r="D18" s="9"/>
      <c r="E18" s="9"/>
      <c r="F18" s="9"/>
      <c r="G18" s="9"/>
      <c r="H18" s="9"/>
      <c r="I18" s="9"/>
      <c r="J18" s="9"/>
    </row>
    <row r="19" spans="3:10" ht="18.75" x14ac:dyDescent="0.3">
      <c r="C19" s="13" t="s">
        <v>96</v>
      </c>
      <c r="D19" s="14">
        <f t="shared" ref="D19:I19" si="0">+D10-D12-D13-D14-D15-D16-D17</f>
        <v>0</v>
      </c>
      <c r="E19" s="14">
        <f t="shared" si="0"/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ref="J19" si="1">+J10-J12-J13-J14-J15-J16-J17</f>
        <v>52020098</v>
      </c>
    </row>
    <row r="20" spans="3:10" x14ac:dyDescent="0.25">
      <c r="C20" s="9"/>
      <c r="D20" s="16"/>
      <c r="E20" s="16"/>
      <c r="F20" s="16"/>
      <c r="G20" s="16"/>
      <c r="H20" s="16"/>
      <c r="I20" s="16"/>
      <c r="J20" s="16"/>
    </row>
    <row r="21" spans="3:10" x14ac:dyDescent="0.25">
      <c r="C21" s="9" t="s">
        <v>97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</row>
    <row r="22" spans="3:10" ht="18.75" x14ac:dyDescent="0.3">
      <c r="C22" s="13" t="s">
        <v>98</v>
      </c>
      <c r="D22" s="14">
        <f t="shared" ref="D22:I22" si="2">+D19-D21</f>
        <v>0</v>
      </c>
      <c r="E22" s="14">
        <f t="shared" si="2"/>
        <v>0</v>
      </c>
      <c r="F22" s="14">
        <f t="shared" si="2"/>
        <v>0</v>
      </c>
      <c r="G22" s="14">
        <f t="shared" si="2"/>
        <v>0</v>
      </c>
      <c r="H22" s="14">
        <f t="shared" si="2"/>
        <v>0</v>
      </c>
      <c r="I22" s="14">
        <f t="shared" si="2"/>
        <v>0</v>
      </c>
      <c r="J22" s="14">
        <f t="shared" ref="J22" si="3">+J19-J21</f>
        <v>52020098</v>
      </c>
    </row>
    <row r="23" spans="3:10" x14ac:dyDescent="0.25">
      <c r="C23" s="9"/>
      <c r="D23" s="9"/>
      <c r="E23" s="9"/>
      <c r="F23" s="9"/>
      <c r="G23" s="9"/>
      <c r="H23" s="9"/>
      <c r="I23" s="9"/>
      <c r="J23" s="9"/>
    </row>
    <row r="24" spans="3:10" x14ac:dyDescent="0.25">
      <c r="C24" s="9" t="s">
        <v>99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33915056</v>
      </c>
    </row>
    <row r="25" spans="3:10" x14ac:dyDescent="0.25">
      <c r="C25" s="9"/>
      <c r="D25" s="9"/>
      <c r="E25" s="9"/>
      <c r="F25" s="9"/>
      <c r="G25" s="9"/>
      <c r="H25" s="9"/>
      <c r="I25" s="9"/>
      <c r="J25" s="9"/>
    </row>
    <row r="26" spans="3:10" ht="18.75" x14ac:dyDescent="0.3">
      <c r="C26" s="13" t="s">
        <v>100</v>
      </c>
      <c r="D26" s="18">
        <f t="shared" ref="D26:I26" si="4">+D22-D24</f>
        <v>0</v>
      </c>
      <c r="E26" s="18">
        <f t="shared" si="4"/>
        <v>0</v>
      </c>
      <c r="F26" s="18">
        <f t="shared" si="4"/>
        <v>0</v>
      </c>
      <c r="G26" s="18">
        <f t="shared" si="4"/>
        <v>0</v>
      </c>
      <c r="H26" s="18">
        <f t="shared" si="4"/>
        <v>0</v>
      </c>
      <c r="I26" s="18">
        <f t="shared" si="4"/>
        <v>0</v>
      </c>
      <c r="J26" s="18">
        <f t="shared" ref="J26" si="5">+J22-J24</f>
        <v>18105042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0BA2F-072F-4A90-B9A5-3739B0CA33C5}">
  <dimension ref="A1:V85"/>
  <sheetViews>
    <sheetView showGridLines="0" zoomScaleNormal="100" workbookViewId="0">
      <pane xSplit="6" ySplit="1" topLeftCell="G53" activePane="bottomRight" state="frozen"/>
      <selection pane="topRight" activeCell="F1" sqref="F1"/>
      <selection pane="bottomLeft" activeCell="A2" sqref="A2"/>
      <selection pane="bottomRight" activeCell="J70" sqref="J70"/>
    </sheetView>
  </sheetViews>
  <sheetFormatPr baseColWidth="10" defaultRowHeight="15" x14ac:dyDescent="0.25"/>
  <cols>
    <col min="1" max="2" width="17.7109375" style="1" customWidth="1"/>
    <col min="3" max="3" width="22.7109375" style="1" customWidth="1"/>
    <col min="4" max="4" width="22.85546875" style="1" customWidth="1"/>
    <col min="5" max="5" width="23" style="1" customWidth="1"/>
    <col min="6" max="6" width="22.7109375" style="1" customWidth="1"/>
    <col min="7" max="7" width="15.85546875" style="22" customWidth="1"/>
    <col min="8" max="15" width="11.42578125" style="22"/>
    <col min="16" max="16" width="11.42578125" style="1"/>
    <col min="17" max="17" width="11.42578125" style="22"/>
    <col min="18" max="16384" width="11.42578125" style="1"/>
  </cols>
  <sheetData>
    <row r="1" spans="1:22" ht="76.5" x14ac:dyDescent="0.25">
      <c r="A1" s="20" t="s">
        <v>0</v>
      </c>
      <c r="B1" s="20" t="s">
        <v>114</v>
      </c>
      <c r="C1" s="20" t="s">
        <v>1</v>
      </c>
      <c r="D1" s="20" t="s">
        <v>2</v>
      </c>
      <c r="E1" s="20" t="s">
        <v>3</v>
      </c>
      <c r="F1" s="20" t="s">
        <v>6</v>
      </c>
      <c r="G1" s="19" t="s">
        <v>101</v>
      </c>
      <c r="H1" s="19" t="s">
        <v>102</v>
      </c>
      <c r="I1" s="19" t="s">
        <v>103</v>
      </c>
      <c r="J1" s="19" t="s">
        <v>104</v>
      </c>
      <c r="K1" s="19" t="s">
        <v>105</v>
      </c>
      <c r="L1" s="19" t="s">
        <v>106</v>
      </c>
      <c r="M1" s="19" t="s">
        <v>107</v>
      </c>
      <c r="N1" s="19" t="s">
        <v>108</v>
      </c>
      <c r="O1" s="19" t="s">
        <v>109</v>
      </c>
      <c r="P1" s="19" t="s">
        <v>110</v>
      </c>
      <c r="Q1" s="19" t="s">
        <v>111</v>
      </c>
      <c r="R1" s="19" t="s">
        <v>112</v>
      </c>
      <c r="U1" s="34" t="s">
        <v>115</v>
      </c>
      <c r="V1" s="34" t="s">
        <v>116</v>
      </c>
    </row>
    <row r="2" spans="1:22" x14ac:dyDescent="0.25">
      <c r="A2" s="2" t="s">
        <v>8</v>
      </c>
      <c r="B2" s="2">
        <v>11933188</v>
      </c>
      <c r="C2" s="6">
        <v>41530.697581018518</v>
      </c>
      <c r="D2" s="8">
        <v>88418</v>
      </c>
      <c r="E2" s="8">
        <v>43118</v>
      </c>
      <c r="F2" s="2" t="str">
        <f t="shared" ref="F2:F33" si="0">"800249241"</f>
        <v>800249241</v>
      </c>
      <c r="G2" s="21">
        <v>0</v>
      </c>
      <c r="H2" s="21">
        <v>0</v>
      </c>
      <c r="I2" s="21">
        <v>0</v>
      </c>
      <c r="J2" s="21">
        <v>0</v>
      </c>
      <c r="K2" s="21">
        <v>0</v>
      </c>
      <c r="L2" s="21">
        <v>0</v>
      </c>
      <c r="M2" s="21">
        <v>0</v>
      </c>
      <c r="N2" s="21">
        <v>0</v>
      </c>
      <c r="O2" s="21">
        <v>0</v>
      </c>
      <c r="P2" s="21">
        <v>0</v>
      </c>
      <c r="Q2" s="21">
        <v>0</v>
      </c>
      <c r="R2" s="21"/>
      <c r="U2" s="33">
        <v>106848</v>
      </c>
      <c r="V2" s="15">
        <v>36000</v>
      </c>
    </row>
    <row r="3" spans="1:22" x14ac:dyDescent="0.25">
      <c r="A3" s="2" t="s">
        <v>9</v>
      </c>
      <c r="B3" s="2">
        <v>11935071</v>
      </c>
      <c r="C3" s="6">
        <v>41534.278252314813</v>
      </c>
      <c r="D3" s="8">
        <v>655164</v>
      </c>
      <c r="E3" s="8">
        <v>655164</v>
      </c>
      <c r="F3" s="2" t="str">
        <f t="shared" si="0"/>
        <v>800249241</v>
      </c>
      <c r="G3" s="21">
        <v>0</v>
      </c>
      <c r="H3" s="21">
        <v>0</v>
      </c>
      <c r="I3" s="21">
        <v>0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/>
      <c r="U3" s="33">
        <v>11148508</v>
      </c>
      <c r="V3" s="15">
        <v>6721100</v>
      </c>
    </row>
    <row r="4" spans="1:22" x14ac:dyDescent="0.25">
      <c r="A4" s="2" t="s">
        <v>10</v>
      </c>
      <c r="B4" s="2">
        <v>12020230</v>
      </c>
      <c r="C4" s="6">
        <v>41641.831284722219</v>
      </c>
      <c r="D4" s="8">
        <v>40400</v>
      </c>
      <c r="E4" s="8">
        <v>40400</v>
      </c>
      <c r="F4" s="2" t="str">
        <f t="shared" si="0"/>
        <v>800249241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/>
      <c r="U4" s="33">
        <v>11179023</v>
      </c>
      <c r="V4" s="15">
        <v>105508</v>
      </c>
    </row>
    <row r="5" spans="1:22" x14ac:dyDescent="0.25">
      <c r="A5" s="2" t="s">
        <v>11</v>
      </c>
      <c r="B5" s="2">
        <v>12040201</v>
      </c>
      <c r="C5" s="6">
        <v>41666.96303240741</v>
      </c>
      <c r="D5" s="8">
        <v>840311</v>
      </c>
      <c r="E5" s="8">
        <v>840311</v>
      </c>
      <c r="F5" s="2" t="str">
        <f t="shared" si="0"/>
        <v>800249241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/>
      <c r="U5" s="33">
        <v>11218461</v>
      </c>
      <c r="V5" s="15">
        <v>120182</v>
      </c>
    </row>
    <row r="6" spans="1:22" x14ac:dyDescent="0.25">
      <c r="A6" s="2" t="s">
        <v>12</v>
      </c>
      <c r="B6" s="2">
        <v>12092091</v>
      </c>
      <c r="C6" s="6">
        <v>41724.792430555557</v>
      </c>
      <c r="D6" s="8">
        <v>3042560</v>
      </c>
      <c r="E6" s="8">
        <v>3042560</v>
      </c>
      <c r="F6" s="2" t="str">
        <f t="shared" si="0"/>
        <v>800249241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/>
      <c r="U6" s="33">
        <v>11562392</v>
      </c>
      <c r="V6" s="15">
        <v>79250</v>
      </c>
    </row>
    <row r="7" spans="1:22" x14ac:dyDescent="0.25">
      <c r="A7" s="2" t="s">
        <v>13</v>
      </c>
      <c r="B7" s="2">
        <v>12096426</v>
      </c>
      <c r="C7" s="6">
        <v>41729.566608796296</v>
      </c>
      <c r="D7" s="8">
        <v>43454</v>
      </c>
      <c r="E7" s="8">
        <v>43454</v>
      </c>
      <c r="F7" s="2" t="str">
        <f t="shared" si="0"/>
        <v>800249241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/>
      <c r="U7" s="33">
        <v>11763789</v>
      </c>
      <c r="V7" s="15">
        <v>11800</v>
      </c>
    </row>
    <row r="8" spans="1:22" x14ac:dyDescent="0.25">
      <c r="A8" s="2" t="s">
        <v>14</v>
      </c>
      <c r="B8" s="2">
        <v>12111324</v>
      </c>
      <c r="C8" s="6">
        <v>41746.362233796295</v>
      </c>
      <c r="D8" s="8">
        <v>377357</v>
      </c>
      <c r="E8" s="8">
        <v>377357</v>
      </c>
      <c r="F8" s="2" t="str">
        <f t="shared" si="0"/>
        <v>800249241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/>
      <c r="U8" s="33">
        <v>11521538</v>
      </c>
      <c r="V8" s="15">
        <v>37200</v>
      </c>
    </row>
    <row r="9" spans="1:22" x14ac:dyDescent="0.25">
      <c r="A9" s="2" t="s">
        <v>15</v>
      </c>
      <c r="B9" s="2">
        <v>12112203</v>
      </c>
      <c r="C9" s="6">
        <v>41750.133252314816</v>
      </c>
      <c r="D9" s="8">
        <v>708726</v>
      </c>
      <c r="E9" s="8">
        <v>708726</v>
      </c>
      <c r="F9" s="2" t="str">
        <f t="shared" si="0"/>
        <v>800249241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/>
      <c r="U9" s="33">
        <v>11890723</v>
      </c>
      <c r="V9" s="15">
        <v>11800</v>
      </c>
    </row>
    <row r="10" spans="1:22" x14ac:dyDescent="0.25">
      <c r="A10" s="2" t="s">
        <v>16</v>
      </c>
      <c r="B10" s="2">
        <v>12198315</v>
      </c>
      <c r="C10" s="6">
        <v>41834.791030092594</v>
      </c>
      <c r="D10" s="8">
        <v>1467371</v>
      </c>
      <c r="E10" s="8">
        <v>1467371</v>
      </c>
      <c r="F10" s="2" t="str">
        <f t="shared" si="0"/>
        <v>800249241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/>
      <c r="U10" s="33">
        <v>12078504</v>
      </c>
      <c r="V10" s="15">
        <v>147149</v>
      </c>
    </row>
    <row r="11" spans="1:22" x14ac:dyDescent="0.25">
      <c r="A11" s="2" t="s">
        <v>17</v>
      </c>
      <c r="B11" s="2">
        <v>12256868</v>
      </c>
      <c r="C11" s="6">
        <v>41888.691030092596</v>
      </c>
      <c r="D11" s="8">
        <v>298147</v>
      </c>
      <c r="E11" s="8">
        <v>298147</v>
      </c>
      <c r="F11" s="2" t="str">
        <f t="shared" si="0"/>
        <v>800249241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/>
      <c r="U11" s="33">
        <v>12089265</v>
      </c>
      <c r="V11" s="15">
        <v>71684</v>
      </c>
    </row>
    <row r="12" spans="1:22" x14ac:dyDescent="0.25">
      <c r="A12" s="2" t="s">
        <v>18</v>
      </c>
      <c r="B12" s="2">
        <v>12274833</v>
      </c>
      <c r="C12" s="6">
        <v>41905.463148148148</v>
      </c>
      <c r="D12" s="8">
        <v>291806</v>
      </c>
      <c r="E12" s="8">
        <v>291806</v>
      </c>
      <c r="F12" s="2" t="str">
        <f t="shared" si="0"/>
        <v>800249241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/>
      <c r="U12" s="33">
        <v>12154297</v>
      </c>
      <c r="V12" s="15">
        <v>324468</v>
      </c>
    </row>
    <row r="13" spans="1:22" x14ac:dyDescent="0.25">
      <c r="A13" s="2" t="s">
        <v>19</v>
      </c>
      <c r="B13" s="2">
        <v>12493637</v>
      </c>
      <c r="C13" s="6">
        <v>42114.313622685186</v>
      </c>
      <c r="D13" s="8">
        <v>801600</v>
      </c>
      <c r="E13" s="8">
        <v>500200</v>
      </c>
      <c r="F13" s="2" t="str">
        <f t="shared" si="0"/>
        <v>800249241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/>
      <c r="U13" s="33">
        <v>12289090</v>
      </c>
      <c r="V13" s="15">
        <v>116573</v>
      </c>
    </row>
    <row r="14" spans="1:22" x14ac:dyDescent="0.25">
      <c r="A14" s="2" t="s">
        <v>20</v>
      </c>
      <c r="B14" s="2">
        <v>12718621</v>
      </c>
      <c r="C14" s="6">
        <v>42325.510972222219</v>
      </c>
      <c r="D14" s="8">
        <v>4594171</v>
      </c>
      <c r="E14" s="8">
        <v>4594171</v>
      </c>
      <c r="F14" s="2" t="str">
        <f t="shared" si="0"/>
        <v>800249241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/>
      <c r="U14" s="33">
        <v>12661210</v>
      </c>
      <c r="V14" s="15">
        <v>91750</v>
      </c>
    </row>
    <row r="15" spans="1:22" x14ac:dyDescent="0.25">
      <c r="A15" s="2" t="s">
        <v>21</v>
      </c>
      <c r="B15" s="2">
        <v>12793384</v>
      </c>
      <c r="C15" s="6">
        <v>42409.169641203705</v>
      </c>
      <c r="D15" s="8">
        <v>81982</v>
      </c>
      <c r="E15" s="8">
        <v>81982</v>
      </c>
      <c r="F15" s="2" t="str">
        <f t="shared" si="0"/>
        <v>800249241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/>
      <c r="U15" s="33">
        <v>12751753</v>
      </c>
      <c r="V15" s="15">
        <v>1682505</v>
      </c>
    </row>
    <row r="16" spans="1:22" x14ac:dyDescent="0.25">
      <c r="A16" s="2" t="s">
        <v>22</v>
      </c>
      <c r="B16" s="2">
        <v>12799273</v>
      </c>
      <c r="C16" s="6">
        <v>42414.083645833336</v>
      </c>
      <c r="D16" s="8">
        <v>1886259</v>
      </c>
      <c r="E16" s="8">
        <v>1886259</v>
      </c>
      <c r="F16" s="2" t="str">
        <f t="shared" si="0"/>
        <v>800249241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/>
      <c r="U16" s="33">
        <v>12845790</v>
      </c>
      <c r="V16" s="15">
        <v>45300</v>
      </c>
    </row>
    <row r="17" spans="1:22" x14ac:dyDescent="0.25">
      <c r="A17" s="2" t="s">
        <v>23</v>
      </c>
      <c r="B17" s="2">
        <v>12845201</v>
      </c>
      <c r="C17" s="6">
        <v>42457.478541666664</v>
      </c>
      <c r="D17" s="8">
        <v>2356919</v>
      </c>
      <c r="E17" s="8">
        <v>207980</v>
      </c>
      <c r="F17" s="2" t="str">
        <f t="shared" si="0"/>
        <v>800249241</v>
      </c>
      <c r="G17" s="21">
        <v>1146390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/>
      <c r="U17" s="33">
        <v>12860087</v>
      </c>
      <c r="V17" s="15">
        <v>493024</v>
      </c>
    </row>
    <row r="18" spans="1:22" x14ac:dyDescent="0.25">
      <c r="A18" s="2" t="s">
        <v>24</v>
      </c>
      <c r="B18" s="2">
        <v>12883655</v>
      </c>
      <c r="C18" s="6">
        <v>42489.555532407408</v>
      </c>
      <c r="D18" s="8">
        <v>887883</v>
      </c>
      <c r="E18" s="8">
        <v>40470</v>
      </c>
      <c r="F18" s="2" t="str">
        <f t="shared" si="0"/>
        <v>800249241</v>
      </c>
      <c r="G18" s="21">
        <v>94430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/>
      <c r="U18" s="33">
        <v>12866181</v>
      </c>
      <c r="V18" s="15">
        <v>2478803</v>
      </c>
    </row>
    <row r="19" spans="1:22" x14ac:dyDescent="0.25">
      <c r="A19" s="2" t="s">
        <v>25</v>
      </c>
      <c r="B19" s="2">
        <v>12885777</v>
      </c>
      <c r="C19" s="6">
        <v>42492.406099537038</v>
      </c>
      <c r="D19" s="8">
        <v>1896804</v>
      </c>
      <c r="E19" s="8">
        <v>1517986</v>
      </c>
      <c r="F19" s="2" t="str">
        <f t="shared" si="0"/>
        <v>800249241</v>
      </c>
      <c r="G19" s="21">
        <v>1692504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/>
      <c r="U19" s="33">
        <v>12885777</v>
      </c>
      <c r="V19" s="15">
        <v>1692504</v>
      </c>
    </row>
    <row r="20" spans="1:22" x14ac:dyDescent="0.25">
      <c r="A20" s="2" t="s">
        <v>26</v>
      </c>
      <c r="B20" s="2">
        <v>12998657</v>
      </c>
      <c r="C20" s="6">
        <v>42600.676666666666</v>
      </c>
      <c r="D20" s="8">
        <v>1798364</v>
      </c>
      <c r="E20" s="8">
        <v>1386200</v>
      </c>
      <c r="F20" s="2" t="str">
        <f t="shared" si="0"/>
        <v>800249241</v>
      </c>
      <c r="G20" s="21">
        <v>341564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/>
      <c r="U20" s="33">
        <v>12998657</v>
      </c>
      <c r="V20" s="15">
        <v>341564</v>
      </c>
    </row>
    <row r="21" spans="1:22" x14ac:dyDescent="0.25">
      <c r="A21" s="2" t="s">
        <v>27</v>
      </c>
      <c r="B21" s="2">
        <v>13020942</v>
      </c>
      <c r="C21" s="6">
        <v>42625.207152777781</v>
      </c>
      <c r="D21" s="8">
        <v>163863</v>
      </c>
      <c r="E21" s="8">
        <v>13800</v>
      </c>
      <c r="F21" s="2" t="str">
        <f t="shared" si="0"/>
        <v>800249241</v>
      </c>
      <c r="G21" s="21">
        <v>13800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/>
      <c r="U21" s="33">
        <v>13075148</v>
      </c>
      <c r="V21" s="15">
        <v>2590454</v>
      </c>
    </row>
    <row r="22" spans="1:22" x14ac:dyDescent="0.25">
      <c r="A22" s="2" t="s">
        <v>28</v>
      </c>
      <c r="B22" s="2">
        <v>13024940</v>
      </c>
      <c r="C22" s="6">
        <v>42627.686782407407</v>
      </c>
      <c r="D22" s="8">
        <v>89686</v>
      </c>
      <c r="E22" s="8">
        <v>89686</v>
      </c>
      <c r="F22" s="2" t="str">
        <f t="shared" si="0"/>
        <v>800249241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/>
      <c r="U22" s="33">
        <v>13076808</v>
      </c>
      <c r="V22" s="15">
        <v>53395</v>
      </c>
    </row>
    <row r="23" spans="1:22" x14ac:dyDescent="0.25">
      <c r="A23" s="2" t="s">
        <v>29</v>
      </c>
      <c r="B23" s="2">
        <v>13025237</v>
      </c>
      <c r="C23" s="6">
        <v>42628.318981481483</v>
      </c>
      <c r="D23" s="8">
        <v>170701</v>
      </c>
      <c r="E23" s="8">
        <v>55200</v>
      </c>
      <c r="F23" s="2" t="str">
        <f t="shared" si="0"/>
        <v>800249241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/>
      <c r="U23" s="33">
        <v>13125485</v>
      </c>
      <c r="V23" s="15">
        <v>257183</v>
      </c>
    </row>
    <row r="24" spans="1:22" x14ac:dyDescent="0.25">
      <c r="A24" s="2" t="s">
        <v>30</v>
      </c>
      <c r="B24" s="2">
        <v>13041227</v>
      </c>
      <c r="C24" s="6">
        <v>42643.761990740742</v>
      </c>
      <c r="D24" s="8">
        <v>18456963</v>
      </c>
      <c r="E24" s="8">
        <v>1762476</v>
      </c>
      <c r="F24" s="2" t="str">
        <f t="shared" si="0"/>
        <v>800249241</v>
      </c>
      <c r="G24" s="21">
        <v>1233733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/>
      <c r="U24" s="33">
        <v>13135830</v>
      </c>
      <c r="V24" s="15">
        <v>91136</v>
      </c>
    </row>
    <row r="25" spans="1:22" x14ac:dyDescent="0.25">
      <c r="A25" s="2" t="s">
        <v>31</v>
      </c>
      <c r="B25" s="2">
        <v>13071277</v>
      </c>
      <c r="C25" s="6">
        <v>42674.689293981479</v>
      </c>
      <c r="D25" s="8">
        <v>1850851</v>
      </c>
      <c r="E25" s="8">
        <v>138600</v>
      </c>
      <c r="F25" s="2" t="str">
        <f t="shared" si="0"/>
        <v>800249241</v>
      </c>
      <c r="G25" s="21">
        <v>138600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/>
      <c r="U25" s="33">
        <v>13136530</v>
      </c>
      <c r="V25" s="15">
        <v>314695</v>
      </c>
    </row>
    <row r="26" spans="1:22" x14ac:dyDescent="0.25">
      <c r="A26" s="2" t="s">
        <v>32</v>
      </c>
      <c r="B26" s="2">
        <v>13071729</v>
      </c>
      <c r="C26" s="6">
        <v>42675.332615740743</v>
      </c>
      <c r="D26" s="8">
        <v>1127900</v>
      </c>
      <c r="E26" s="8">
        <v>476175</v>
      </c>
      <c r="F26" s="2" t="str">
        <f t="shared" si="0"/>
        <v>800249241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/>
      <c r="U26" s="33">
        <v>13157759</v>
      </c>
      <c r="V26" s="15">
        <v>96583</v>
      </c>
    </row>
    <row r="27" spans="1:22" x14ac:dyDescent="0.25">
      <c r="A27" s="2" t="s">
        <v>33</v>
      </c>
      <c r="B27" s="2">
        <v>13075148</v>
      </c>
      <c r="C27" s="6">
        <v>42677.719780092593</v>
      </c>
      <c r="D27" s="8">
        <v>2590454</v>
      </c>
      <c r="E27" s="8">
        <v>2590454</v>
      </c>
      <c r="F27" s="2" t="str">
        <f t="shared" si="0"/>
        <v>800249241</v>
      </c>
      <c r="G27" s="21">
        <v>2590454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/>
      <c r="U27" s="33">
        <v>13171341</v>
      </c>
      <c r="V27" s="15">
        <v>654079</v>
      </c>
    </row>
    <row r="28" spans="1:22" x14ac:dyDescent="0.25">
      <c r="A28" s="2" t="s">
        <v>34</v>
      </c>
      <c r="B28" s="2">
        <v>13076808</v>
      </c>
      <c r="C28" s="6">
        <v>42679.442361111112</v>
      </c>
      <c r="D28" s="8">
        <v>53395</v>
      </c>
      <c r="E28" s="8">
        <v>53395</v>
      </c>
      <c r="F28" s="2" t="str">
        <f t="shared" si="0"/>
        <v>800249241</v>
      </c>
      <c r="G28" s="21">
        <v>53395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/>
      <c r="U28" s="33">
        <v>13176738</v>
      </c>
      <c r="V28" s="15">
        <v>134701</v>
      </c>
    </row>
    <row r="29" spans="1:22" x14ac:dyDescent="0.25">
      <c r="A29" s="2" t="s">
        <v>35</v>
      </c>
      <c r="B29" s="2">
        <v>13093303</v>
      </c>
      <c r="C29" s="6">
        <v>42696.509409722225</v>
      </c>
      <c r="D29" s="8">
        <v>1361808</v>
      </c>
      <c r="E29" s="8">
        <v>296400</v>
      </c>
      <c r="F29" s="2" t="str">
        <f t="shared" si="0"/>
        <v>800249241</v>
      </c>
      <c r="G29" s="21">
        <v>296400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/>
      <c r="U29" s="33">
        <v>13184943</v>
      </c>
      <c r="V29" s="15">
        <v>517143</v>
      </c>
    </row>
    <row r="30" spans="1:22" x14ac:dyDescent="0.25">
      <c r="A30" s="2" t="s">
        <v>36</v>
      </c>
      <c r="B30" s="2">
        <v>13124611</v>
      </c>
      <c r="C30" s="6">
        <v>42733.698981481481</v>
      </c>
      <c r="D30" s="8">
        <v>2949368</v>
      </c>
      <c r="E30" s="8">
        <v>270600</v>
      </c>
      <c r="F30" s="2" t="str">
        <f t="shared" si="0"/>
        <v>800249241</v>
      </c>
      <c r="G30" s="21">
        <v>270600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/>
      <c r="U30" s="33">
        <v>13184969</v>
      </c>
      <c r="V30" s="15">
        <v>49310</v>
      </c>
    </row>
    <row r="31" spans="1:22" x14ac:dyDescent="0.25">
      <c r="A31" s="2" t="s">
        <v>37</v>
      </c>
      <c r="B31" s="2">
        <v>13125485</v>
      </c>
      <c r="C31" s="6">
        <v>42735.151817129627</v>
      </c>
      <c r="D31" s="8">
        <v>257183</v>
      </c>
      <c r="E31" s="8">
        <v>257183</v>
      </c>
      <c r="F31" s="2" t="str">
        <f t="shared" si="0"/>
        <v>800249241</v>
      </c>
      <c r="G31" s="21">
        <v>257183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/>
      <c r="U31" s="33">
        <v>13187757</v>
      </c>
      <c r="V31" s="15">
        <v>256156</v>
      </c>
    </row>
    <row r="32" spans="1:22" x14ac:dyDescent="0.25">
      <c r="A32" s="2" t="s">
        <v>38</v>
      </c>
      <c r="B32" s="2">
        <v>13135830</v>
      </c>
      <c r="C32" s="6">
        <v>42748.695856481485</v>
      </c>
      <c r="D32" s="8">
        <v>91136</v>
      </c>
      <c r="E32" s="8">
        <v>91136</v>
      </c>
      <c r="F32" s="2" t="str">
        <f t="shared" si="0"/>
        <v>800249241</v>
      </c>
      <c r="G32" s="21">
        <v>91136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/>
      <c r="U32" s="33">
        <v>13197851</v>
      </c>
      <c r="V32" s="15">
        <v>720065</v>
      </c>
    </row>
    <row r="33" spans="1:22" x14ac:dyDescent="0.25">
      <c r="A33" s="2" t="s">
        <v>39</v>
      </c>
      <c r="B33" s="2">
        <v>13136530</v>
      </c>
      <c r="C33" s="6">
        <v>42751.008530092593</v>
      </c>
      <c r="D33" s="8">
        <v>314695</v>
      </c>
      <c r="E33" s="8">
        <v>314695</v>
      </c>
      <c r="F33" s="2" t="str">
        <f t="shared" si="0"/>
        <v>800249241</v>
      </c>
      <c r="G33" s="21">
        <v>314695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/>
      <c r="U33" s="33">
        <v>13197935</v>
      </c>
      <c r="V33" s="15">
        <v>90318</v>
      </c>
    </row>
    <row r="34" spans="1:22" x14ac:dyDescent="0.25">
      <c r="A34" s="2" t="s">
        <v>40</v>
      </c>
      <c r="B34" s="2">
        <v>13157759</v>
      </c>
      <c r="C34" s="6">
        <v>42770.256574074076</v>
      </c>
      <c r="D34" s="8">
        <v>110383</v>
      </c>
      <c r="E34" s="8">
        <v>110383</v>
      </c>
      <c r="F34" s="2" t="str">
        <f t="shared" ref="F34:F65" si="1">"800249241"</f>
        <v>800249241</v>
      </c>
      <c r="G34" s="21">
        <v>96583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/>
      <c r="U34" s="33">
        <v>13198730</v>
      </c>
      <c r="V34" s="15">
        <v>114737</v>
      </c>
    </row>
    <row r="35" spans="1:22" x14ac:dyDescent="0.25">
      <c r="A35" s="2" t="s">
        <v>41</v>
      </c>
      <c r="B35" s="2">
        <v>13171301</v>
      </c>
      <c r="C35" s="6">
        <v>42784.515636574077</v>
      </c>
      <c r="D35" s="8">
        <v>172082</v>
      </c>
      <c r="E35" s="8">
        <v>172082</v>
      </c>
      <c r="F35" s="2" t="str">
        <f t="shared" si="1"/>
        <v>800249241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/>
      <c r="U35" s="33">
        <v>13203148</v>
      </c>
      <c r="V35" s="15">
        <v>704120</v>
      </c>
    </row>
    <row r="36" spans="1:22" x14ac:dyDescent="0.25">
      <c r="A36" s="2" t="s">
        <v>42</v>
      </c>
      <c r="B36" s="2">
        <v>13171341</v>
      </c>
      <c r="C36" s="6">
        <v>42784.618368055555</v>
      </c>
      <c r="D36" s="8">
        <v>1036511</v>
      </c>
      <c r="E36" s="8">
        <v>654079</v>
      </c>
      <c r="F36" s="2" t="str">
        <f t="shared" si="1"/>
        <v>800249241</v>
      </c>
      <c r="G36" s="21">
        <v>654079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/>
      <c r="U36" s="33">
        <v>13216988</v>
      </c>
      <c r="V36" s="15">
        <v>78487</v>
      </c>
    </row>
    <row r="37" spans="1:22" x14ac:dyDescent="0.25">
      <c r="A37" s="2" t="s">
        <v>43</v>
      </c>
      <c r="B37" s="2">
        <v>13176738</v>
      </c>
      <c r="C37" s="6">
        <v>42790.025752314818</v>
      </c>
      <c r="D37" s="8">
        <v>339313</v>
      </c>
      <c r="E37" s="8">
        <v>134701</v>
      </c>
      <c r="F37" s="2" t="str">
        <f t="shared" si="1"/>
        <v>800249241</v>
      </c>
      <c r="G37" s="21">
        <v>134701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/>
      <c r="U37" s="33">
        <v>13220996</v>
      </c>
      <c r="V37" s="15">
        <v>259490</v>
      </c>
    </row>
    <row r="38" spans="1:22" x14ac:dyDescent="0.25">
      <c r="A38" s="2" t="s">
        <v>44</v>
      </c>
      <c r="B38" s="2">
        <v>13182515</v>
      </c>
      <c r="C38" s="6">
        <v>42796.288368055553</v>
      </c>
      <c r="D38" s="8">
        <v>497200</v>
      </c>
      <c r="E38" s="8">
        <v>59500</v>
      </c>
      <c r="F38" s="2" t="str">
        <f t="shared" si="1"/>
        <v>800249241</v>
      </c>
      <c r="G38" s="21">
        <v>59500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/>
      <c r="U38" s="33">
        <v>13239632</v>
      </c>
      <c r="V38" s="15">
        <v>534429</v>
      </c>
    </row>
    <row r="39" spans="1:22" x14ac:dyDescent="0.25">
      <c r="A39" s="2" t="s">
        <v>45</v>
      </c>
      <c r="B39" s="2">
        <v>13184943</v>
      </c>
      <c r="C39" s="6">
        <v>42798.678888888891</v>
      </c>
      <c r="D39" s="8">
        <v>931679</v>
      </c>
      <c r="E39" s="8">
        <v>843725</v>
      </c>
      <c r="F39" s="2" t="str">
        <f t="shared" si="1"/>
        <v>800249241</v>
      </c>
      <c r="G39" s="21">
        <v>517143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/>
      <c r="U39" s="33">
        <v>13255528</v>
      </c>
      <c r="V39" s="15">
        <v>545175</v>
      </c>
    </row>
    <row r="40" spans="1:22" x14ac:dyDescent="0.25">
      <c r="A40" s="2" t="s">
        <v>46</v>
      </c>
      <c r="B40" s="2">
        <v>13184969</v>
      </c>
      <c r="C40" s="6">
        <v>42798.869722222225</v>
      </c>
      <c r="D40" s="8">
        <v>49310</v>
      </c>
      <c r="E40" s="8">
        <v>49310</v>
      </c>
      <c r="F40" s="2" t="str">
        <f t="shared" si="1"/>
        <v>800249241</v>
      </c>
      <c r="G40" s="21">
        <v>49310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/>
      <c r="U40" s="33">
        <v>13259377</v>
      </c>
      <c r="V40" s="15">
        <v>48818</v>
      </c>
    </row>
    <row r="41" spans="1:22" x14ac:dyDescent="0.25">
      <c r="A41" s="2" t="s">
        <v>47</v>
      </c>
      <c r="B41" s="2">
        <v>13187757</v>
      </c>
      <c r="C41" s="6">
        <v>42802.048055555555</v>
      </c>
      <c r="D41" s="8">
        <v>256156</v>
      </c>
      <c r="E41" s="8">
        <v>256156</v>
      </c>
      <c r="F41" s="2" t="str">
        <f t="shared" si="1"/>
        <v>800249241</v>
      </c>
      <c r="G41" s="21">
        <v>256156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/>
      <c r="U41" s="33">
        <v>13262163</v>
      </c>
      <c r="V41" s="15">
        <v>102774</v>
      </c>
    </row>
    <row r="42" spans="1:22" x14ac:dyDescent="0.25">
      <c r="A42" s="2" t="s">
        <v>48</v>
      </c>
      <c r="B42" s="2">
        <v>13197851</v>
      </c>
      <c r="C42" s="6">
        <v>42811.692210648151</v>
      </c>
      <c r="D42" s="8">
        <v>1289253</v>
      </c>
      <c r="E42" s="8">
        <v>1025391</v>
      </c>
      <c r="F42" s="2" t="str">
        <f t="shared" si="1"/>
        <v>800249241</v>
      </c>
      <c r="G42" s="21">
        <v>720065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/>
      <c r="U42" s="33">
        <v>13264956</v>
      </c>
      <c r="V42" s="15">
        <v>320374</v>
      </c>
    </row>
    <row r="43" spans="1:22" x14ac:dyDescent="0.25">
      <c r="A43" s="2" t="s">
        <v>49</v>
      </c>
      <c r="B43" s="2">
        <v>13197935</v>
      </c>
      <c r="C43" s="6">
        <v>42812.058113425926</v>
      </c>
      <c r="D43" s="8">
        <v>90318</v>
      </c>
      <c r="E43" s="8">
        <v>90318</v>
      </c>
      <c r="F43" s="2" t="str">
        <f t="shared" si="1"/>
        <v>800249241</v>
      </c>
      <c r="G43" s="21">
        <v>90318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/>
      <c r="U43" s="33">
        <v>13282309</v>
      </c>
      <c r="V43" s="15">
        <v>216200</v>
      </c>
    </row>
    <row r="44" spans="1:22" x14ac:dyDescent="0.25">
      <c r="A44" s="2" t="s">
        <v>50</v>
      </c>
      <c r="B44" s="2">
        <v>13198730</v>
      </c>
      <c r="C44" s="6">
        <v>42814.834756944445</v>
      </c>
      <c r="D44" s="8">
        <v>277609</v>
      </c>
      <c r="E44" s="8">
        <v>277609</v>
      </c>
      <c r="F44" s="2" t="str">
        <f t="shared" si="1"/>
        <v>800249241</v>
      </c>
      <c r="G44" s="21">
        <v>114737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/>
      <c r="U44" s="33">
        <v>13282404</v>
      </c>
      <c r="V44" s="15">
        <v>48808</v>
      </c>
    </row>
    <row r="45" spans="1:22" x14ac:dyDescent="0.25">
      <c r="A45" s="2" t="s">
        <v>51</v>
      </c>
      <c r="B45" s="2">
        <v>13203148</v>
      </c>
      <c r="C45" s="6">
        <v>42818.431064814817</v>
      </c>
      <c r="D45" s="8">
        <v>3290824</v>
      </c>
      <c r="E45" s="8">
        <v>840936</v>
      </c>
      <c r="F45" s="2" t="str">
        <f t="shared" si="1"/>
        <v>800249241</v>
      </c>
      <c r="G45" s="21">
        <v>704120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/>
      <c r="U45" s="33">
        <v>13284854</v>
      </c>
      <c r="V45" s="15">
        <v>49064</v>
      </c>
    </row>
    <row r="46" spans="1:22" x14ac:dyDescent="0.25">
      <c r="A46" s="2" t="s">
        <v>52</v>
      </c>
      <c r="B46" s="2">
        <v>13216988</v>
      </c>
      <c r="C46" s="6">
        <v>42832.197708333333</v>
      </c>
      <c r="D46" s="8">
        <v>78487</v>
      </c>
      <c r="E46" s="8">
        <v>78487</v>
      </c>
      <c r="F46" s="2" t="str">
        <f t="shared" si="1"/>
        <v>800249241</v>
      </c>
      <c r="G46" s="21">
        <v>78487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/>
      <c r="U46" s="33">
        <v>13289785</v>
      </c>
      <c r="V46" s="15">
        <v>49280</v>
      </c>
    </row>
    <row r="47" spans="1:22" x14ac:dyDescent="0.25">
      <c r="A47" s="2" t="s">
        <v>53</v>
      </c>
      <c r="B47" s="2">
        <v>13220996</v>
      </c>
      <c r="C47" s="6">
        <v>42836.612129629626</v>
      </c>
      <c r="D47" s="8">
        <v>259490</v>
      </c>
      <c r="E47" s="8">
        <v>259490</v>
      </c>
      <c r="F47" s="2" t="str">
        <f t="shared" si="1"/>
        <v>800249241</v>
      </c>
      <c r="G47" s="21">
        <v>259490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/>
      <c r="U47" s="33">
        <v>13296960</v>
      </c>
      <c r="V47" s="15">
        <v>123559</v>
      </c>
    </row>
    <row r="48" spans="1:22" x14ac:dyDescent="0.25">
      <c r="A48" s="2" t="s">
        <v>54</v>
      </c>
      <c r="B48" s="2">
        <v>13239632</v>
      </c>
      <c r="C48" s="6">
        <v>42858.749398148146</v>
      </c>
      <c r="D48" s="8">
        <v>534429</v>
      </c>
      <c r="E48" s="8">
        <v>534429</v>
      </c>
      <c r="F48" s="2" t="str">
        <f t="shared" si="1"/>
        <v>800249241</v>
      </c>
      <c r="G48" s="21">
        <v>534429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/>
      <c r="U48" s="33">
        <v>13300858</v>
      </c>
      <c r="V48" s="15">
        <v>2149715</v>
      </c>
    </row>
    <row r="49" spans="1:22" x14ac:dyDescent="0.25">
      <c r="A49" s="2" t="s">
        <v>55</v>
      </c>
      <c r="B49" s="2">
        <v>13255528</v>
      </c>
      <c r="C49" s="6">
        <v>42876.833182870374</v>
      </c>
      <c r="D49" s="8">
        <v>545175</v>
      </c>
      <c r="E49" s="8">
        <v>545175</v>
      </c>
      <c r="F49" s="2" t="str">
        <f t="shared" si="1"/>
        <v>800249241</v>
      </c>
      <c r="G49" s="21">
        <v>545175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/>
      <c r="U49" s="33">
        <v>13309183</v>
      </c>
      <c r="V49" s="15">
        <v>42800</v>
      </c>
    </row>
    <row r="50" spans="1:22" x14ac:dyDescent="0.25">
      <c r="A50" s="2" t="s">
        <v>56</v>
      </c>
      <c r="B50" s="2">
        <v>13259369</v>
      </c>
      <c r="C50" s="6">
        <v>42879.982858796298</v>
      </c>
      <c r="D50" s="8">
        <v>117023</v>
      </c>
      <c r="E50" s="8">
        <v>117023</v>
      </c>
      <c r="F50" s="2" t="str">
        <f t="shared" si="1"/>
        <v>800249241</v>
      </c>
      <c r="G50" s="21">
        <v>117023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/>
      <c r="U50" s="33">
        <v>13309183</v>
      </c>
      <c r="V50" s="15">
        <v>459888</v>
      </c>
    </row>
    <row r="51" spans="1:22" x14ac:dyDescent="0.25">
      <c r="A51" s="2" t="s">
        <v>57</v>
      </c>
      <c r="B51" s="2">
        <v>13259377</v>
      </c>
      <c r="C51" s="6">
        <v>42880.042395833334</v>
      </c>
      <c r="D51" s="8">
        <v>48818</v>
      </c>
      <c r="E51" s="8">
        <v>48818</v>
      </c>
      <c r="F51" s="2" t="str">
        <f t="shared" si="1"/>
        <v>800249241</v>
      </c>
      <c r="G51" s="21">
        <v>48818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/>
      <c r="U51" s="33">
        <v>13321823</v>
      </c>
      <c r="V51" s="15">
        <v>54484</v>
      </c>
    </row>
    <row r="52" spans="1:22" x14ac:dyDescent="0.25">
      <c r="A52" s="2" t="s">
        <v>58</v>
      </c>
      <c r="B52" s="2">
        <v>13262163</v>
      </c>
      <c r="C52" s="6">
        <v>42883.019756944443</v>
      </c>
      <c r="D52" s="8">
        <v>102774</v>
      </c>
      <c r="E52" s="8">
        <v>102774</v>
      </c>
      <c r="F52" s="2" t="str">
        <f t="shared" si="1"/>
        <v>800249241</v>
      </c>
      <c r="G52" s="21">
        <v>102774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/>
      <c r="U52" s="33">
        <v>13323180</v>
      </c>
      <c r="V52" s="15">
        <v>261900</v>
      </c>
    </row>
    <row r="53" spans="1:22" x14ac:dyDescent="0.25">
      <c r="A53" s="2" t="s">
        <v>59</v>
      </c>
      <c r="B53" s="2">
        <v>13262513</v>
      </c>
      <c r="C53" s="6">
        <v>42884.842604166668</v>
      </c>
      <c r="D53" s="8">
        <v>418158</v>
      </c>
      <c r="E53" s="8">
        <v>418158</v>
      </c>
      <c r="F53" s="2" t="str">
        <f t="shared" si="1"/>
        <v>800249241</v>
      </c>
      <c r="G53" s="21">
        <v>418158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/>
      <c r="U53" s="33">
        <v>13326409</v>
      </c>
      <c r="V53" s="15">
        <v>184989</v>
      </c>
    </row>
    <row r="54" spans="1:22" x14ac:dyDescent="0.25">
      <c r="A54" s="2" t="s">
        <v>60</v>
      </c>
      <c r="B54" s="2">
        <v>13264956</v>
      </c>
      <c r="C54" s="6">
        <v>42886.738067129627</v>
      </c>
      <c r="D54" s="8">
        <v>320374</v>
      </c>
      <c r="E54" s="8">
        <v>320374</v>
      </c>
      <c r="F54" s="2" t="str">
        <f t="shared" si="1"/>
        <v>800249241</v>
      </c>
      <c r="G54" s="21">
        <v>320374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/>
      <c r="U54" s="33">
        <v>13336398</v>
      </c>
      <c r="V54" s="15">
        <v>103436</v>
      </c>
    </row>
    <row r="55" spans="1:22" x14ac:dyDescent="0.25">
      <c r="A55" s="2" t="s">
        <v>61</v>
      </c>
      <c r="B55" s="2">
        <v>13282309</v>
      </c>
      <c r="C55" s="6">
        <v>42907.677743055552</v>
      </c>
      <c r="D55" s="8">
        <v>2788724</v>
      </c>
      <c r="E55" s="8">
        <v>2788724</v>
      </c>
      <c r="F55" s="2" t="str">
        <f t="shared" si="1"/>
        <v>800249241</v>
      </c>
      <c r="G55" s="21">
        <v>216200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/>
      <c r="U55" s="33">
        <v>13344011</v>
      </c>
      <c r="V55" s="15">
        <v>193847</v>
      </c>
    </row>
    <row r="56" spans="1:22" x14ac:dyDescent="0.25">
      <c r="A56" s="2" t="s">
        <v>62</v>
      </c>
      <c r="B56" s="2">
        <v>13282404</v>
      </c>
      <c r="C56" s="6">
        <v>42907.89947916667</v>
      </c>
      <c r="D56" s="8">
        <v>48808</v>
      </c>
      <c r="E56" s="8">
        <v>48808</v>
      </c>
      <c r="F56" s="2" t="str">
        <f t="shared" si="1"/>
        <v>800249241</v>
      </c>
      <c r="G56" s="21">
        <v>48808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/>
      <c r="U56" s="33">
        <v>13348123</v>
      </c>
      <c r="V56" s="15">
        <v>96253</v>
      </c>
    </row>
    <row r="57" spans="1:22" x14ac:dyDescent="0.25">
      <c r="A57" s="2" t="s">
        <v>63</v>
      </c>
      <c r="B57" s="2">
        <v>13284854</v>
      </c>
      <c r="C57" s="6">
        <v>42911.615740740737</v>
      </c>
      <c r="D57" s="8">
        <v>49064</v>
      </c>
      <c r="E57" s="8">
        <v>49064</v>
      </c>
      <c r="F57" s="2" t="str">
        <f t="shared" si="1"/>
        <v>800249241</v>
      </c>
      <c r="G57" s="21">
        <v>49064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/>
      <c r="U57" s="33">
        <v>13349575</v>
      </c>
      <c r="V57" s="15">
        <v>48400</v>
      </c>
    </row>
    <row r="58" spans="1:22" x14ac:dyDescent="0.25">
      <c r="A58" s="2" t="s">
        <v>64</v>
      </c>
      <c r="B58" s="2">
        <v>13289785</v>
      </c>
      <c r="C58" s="6">
        <v>42917.171481481484</v>
      </c>
      <c r="D58" s="8">
        <v>49280</v>
      </c>
      <c r="E58" s="8">
        <v>49280</v>
      </c>
      <c r="F58" s="2" t="str">
        <f t="shared" si="1"/>
        <v>800249241</v>
      </c>
      <c r="G58" s="21">
        <v>49280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/>
      <c r="U58" s="33">
        <v>13356982</v>
      </c>
      <c r="V58" s="15">
        <v>667142</v>
      </c>
    </row>
    <row r="59" spans="1:22" x14ac:dyDescent="0.25">
      <c r="A59" s="2" t="s">
        <v>65</v>
      </c>
      <c r="B59" s="2">
        <v>13296960</v>
      </c>
      <c r="C59" s="6">
        <v>42926.697893518518</v>
      </c>
      <c r="D59" s="8">
        <v>186059</v>
      </c>
      <c r="E59" s="8">
        <v>167459</v>
      </c>
      <c r="F59" s="2" t="str">
        <f t="shared" si="1"/>
        <v>800249241</v>
      </c>
      <c r="G59" s="21">
        <v>123559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/>
      <c r="U59" s="33">
        <v>13363076</v>
      </c>
      <c r="V59" s="15">
        <v>138751</v>
      </c>
    </row>
    <row r="60" spans="1:22" x14ac:dyDescent="0.25">
      <c r="A60" s="2" t="s">
        <v>66</v>
      </c>
      <c r="B60" s="2">
        <v>13300858</v>
      </c>
      <c r="C60" s="6">
        <v>42929.722685185188</v>
      </c>
      <c r="D60" s="8">
        <v>2506443</v>
      </c>
      <c r="E60" s="8">
        <v>2506443</v>
      </c>
      <c r="F60" s="2" t="str">
        <f t="shared" si="1"/>
        <v>800249241</v>
      </c>
      <c r="G60" s="21">
        <v>2149715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/>
      <c r="U60" s="33">
        <v>13364422</v>
      </c>
      <c r="V60" s="15">
        <v>49371</v>
      </c>
    </row>
    <row r="61" spans="1:22" x14ac:dyDescent="0.25">
      <c r="A61" s="2" t="s">
        <v>67</v>
      </c>
      <c r="B61" s="2">
        <v>13309108</v>
      </c>
      <c r="C61" s="6">
        <v>42938.706261574072</v>
      </c>
      <c r="D61" s="8">
        <v>7463729</v>
      </c>
      <c r="E61" s="8">
        <v>7463729</v>
      </c>
      <c r="F61" s="2" t="str">
        <f t="shared" si="1"/>
        <v>800249241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/>
      <c r="U61" s="33">
        <v>13383706</v>
      </c>
      <c r="V61" s="15">
        <v>102500</v>
      </c>
    </row>
    <row r="62" spans="1:22" x14ac:dyDescent="0.25">
      <c r="A62" s="2" t="s">
        <v>68</v>
      </c>
      <c r="B62" s="2">
        <v>13309183</v>
      </c>
      <c r="C62" s="6">
        <v>42939.160763888889</v>
      </c>
      <c r="D62" s="8">
        <v>515688</v>
      </c>
      <c r="E62" s="8">
        <v>502688</v>
      </c>
      <c r="F62" s="2" t="str">
        <f t="shared" si="1"/>
        <v>800249241</v>
      </c>
      <c r="G62" s="21">
        <v>42800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/>
      <c r="U62" s="33">
        <v>13383749</v>
      </c>
      <c r="V62" s="15">
        <v>48400</v>
      </c>
    </row>
    <row r="63" spans="1:22" x14ac:dyDescent="0.25">
      <c r="A63" s="2" t="s">
        <v>69</v>
      </c>
      <c r="B63" s="2">
        <v>13321823</v>
      </c>
      <c r="C63" s="6">
        <v>42951.05740740741</v>
      </c>
      <c r="D63" s="8">
        <v>54484</v>
      </c>
      <c r="E63" s="8">
        <v>54484</v>
      </c>
      <c r="F63" s="2" t="str">
        <f t="shared" si="1"/>
        <v>800249241</v>
      </c>
      <c r="G63" s="21">
        <v>54484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/>
      <c r="U63" s="33">
        <v>13389445</v>
      </c>
      <c r="V63" s="15">
        <v>49688</v>
      </c>
    </row>
    <row r="64" spans="1:22" x14ac:dyDescent="0.25">
      <c r="A64" s="2" t="s">
        <v>70</v>
      </c>
      <c r="B64" s="2">
        <v>13323180</v>
      </c>
      <c r="C64" s="6">
        <v>42952.688773148147</v>
      </c>
      <c r="D64" s="8">
        <v>261900</v>
      </c>
      <c r="E64" s="8">
        <v>261900</v>
      </c>
      <c r="F64" s="2" t="str">
        <f t="shared" si="1"/>
        <v>800249241</v>
      </c>
      <c r="G64" s="21">
        <v>261900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/>
      <c r="U64" s="33">
        <v>13401876</v>
      </c>
      <c r="V64" s="15">
        <v>1306409</v>
      </c>
    </row>
    <row r="65" spans="1:22" x14ac:dyDescent="0.25">
      <c r="A65" s="2" t="s">
        <v>71</v>
      </c>
      <c r="B65" s="2">
        <v>13326409</v>
      </c>
      <c r="C65" s="6">
        <v>42956.790243055555</v>
      </c>
      <c r="D65" s="8">
        <v>184989</v>
      </c>
      <c r="E65" s="8">
        <v>184989</v>
      </c>
      <c r="F65" s="2" t="str">
        <f t="shared" si="1"/>
        <v>800249241</v>
      </c>
      <c r="G65" s="21">
        <v>184989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/>
      <c r="U65" s="33">
        <v>12353617</v>
      </c>
      <c r="V65" s="15">
        <v>39132</v>
      </c>
    </row>
    <row r="66" spans="1:22" x14ac:dyDescent="0.25">
      <c r="A66" s="2" t="s">
        <v>72</v>
      </c>
      <c r="B66" s="2">
        <v>13336398</v>
      </c>
      <c r="C66" s="6">
        <v>42966.549618055556</v>
      </c>
      <c r="D66" s="8">
        <v>103436</v>
      </c>
      <c r="E66" s="8">
        <v>103436</v>
      </c>
      <c r="F66" s="2" t="str">
        <f t="shared" ref="F66:F79" si="2">"800249241"</f>
        <v>800249241</v>
      </c>
      <c r="G66" s="21">
        <v>103436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/>
      <c r="U66" s="33">
        <v>12642539</v>
      </c>
      <c r="V66" s="15">
        <v>2339566</v>
      </c>
    </row>
    <row r="67" spans="1:22" x14ac:dyDescent="0.25">
      <c r="A67" s="2" t="s">
        <v>73</v>
      </c>
      <c r="B67" s="2">
        <v>13344011</v>
      </c>
      <c r="C67" s="6">
        <v>42975.909942129627</v>
      </c>
      <c r="D67" s="8">
        <v>193847</v>
      </c>
      <c r="E67" s="8">
        <v>193847</v>
      </c>
      <c r="F67" s="2" t="str">
        <f t="shared" si="2"/>
        <v>800249241</v>
      </c>
      <c r="G67" s="21">
        <v>193847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/>
      <c r="U67" s="33">
        <v>12845201</v>
      </c>
      <c r="V67" s="15">
        <v>1146390</v>
      </c>
    </row>
    <row r="68" spans="1:22" x14ac:dyDescent="0.25">
      <c r="A68" s="2" t="s">
        <v>74</v>
      </c>
      <c r="B68" s="2">
        <v>13348123</v>
      </c>
      <c r="C68" s="6">
        <v>42978.92796296296</v>
      </c>
      <c r="D68" s="8">
        <v>110053</v>
      </c>
      <c r="E68" s="8">
        <v>110053</v>
      </c>
      <c r="F68" s="2" t="str">
        <f t="shared" si="2"/>
        <v>800249241</v>
      </c>
      <c r="G68" s="21">
        <v>96253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/>
      <c r="U68" s="33">
        <v>12883655</v>
      </c>
      <c r="V68" s="15">
        <v>94430</v>
      </c>
    </row>
    <row r="69" spans="1:22" x14ac:dyDescent="0.25">
      <c r="A69" s="2" t="s">
        <v>75</v>
      </c>
      <c r="B69" s="2">
        <v>13349575</v>
      </c>
      <c r="C69" s="6">
        <v>42980.970092592594</v>
      </c>
      <c r="D69" s="8">
        <v>48400</v>
      </c>
      <c r="E69" s="8">
        <v>48400</v>
      </c>
      <c r="F69" s="2" t="str">
        <f t="shared" si="2"/>
        <v>800249241</v>
      </c>
      <c r="G69" s="21">
        <v>48400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/>
      <c r="U69" s="33">
        <v>12885777</v>
      </c>
      <c r="V69" s="15">
        <v>204300</v>
      </c>
    </row>
    <row r="70" spans="1:22" x14ac:dyDescent="0.25">
      <c r="A70" s="2" t="s">
        <v>76</v>
      </c>
      <c r="B70" s="2">
        <v>13356982</v>
      </c>
      <c r="C70" s="6">
        <v>42989.576145833336</v>
      </c>
      <c r="D70" s="8">
        <v>667142</v>
      </c>
      <c r="E70" s="8">
        <v>667142</v>
      </c>
      <c r="F70" s="2" t="str">
        <f t="shared" si="2"/>
        <v>800249241</v>
      </c>
      <c r="G70" s="21">
        <v>667142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/>
      <c r="U70" s="33">
        <v>12912388</v>
      </c>
      <c r="V70" s="15">
        <v>266369</v>
      </c>
    </row>
    <row r="71" spans="1:22" x14ac:dyDescent="0.25">
      <c r="A71" s="2" t="s">
        <v>77</v>
      </c>
      <c r="B71" s="2">
        <v>13359576</v>
      </c>
      <c r="C71" s="6">
        <v>42991.630219907405</v>
      </c>
      <c r="D71" s="8">
        <v>925716</v>
      </c>
      <c r="E71" s="8">
        <v>925716</v>
      </c>
      <c r="F71" s="2" t="str">
        <f t="shared" si="2"/>
        <v>800249241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/>
      <c r="U71" s="33">
        <v>12998657</v>
      </c>
      <c r="V71" s="15">
        <v>1044636</v>
      </c>
    </row>
    <row r="72" spans="1:22" x14ac:dyDescent="0.25">
      <c r="A72" s="2" t="s">
        <v>78</v>
      </c>
      <c r="B72" s="2">
        <v>13363076</v>
      </c>
      <c r="C72" s="6">
        <v>42995.819803240738</v>
      </c>
      <c r="D72" s="8">
        <v>138751</v>
      </c>
      <c r="E72" s="8">
        <v>138751</v>
      </c>
      <c r="F72" s="2" t="str">
        <f t="shared" si="2"/>
        <v>800249241</v>
      </c>
      <c r="G72" s="21">
        <v>138751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/>
      <c r="U72" s="33">
        <v>13020942</v>
      </c>
      <c r="V72" s="15">
        <v>13800</v>
      </c>
    </row>
    <row r="73" spans="1:22" x14ac:dyDescent="0.25">
      <c r="A73" s="2" t="s">
        <v>79</v>
      </c>
      <c r="B73" s="2">
        <v>13364422</v>
      </c>
      <c r="C73" s="6">
        <v>42996.936863425923</v>
      </c>
      <c r="D73" s="8">
        <v>49371</v>
      </c>
      <c r="E73" s="8">
        <v>49371</v>
      </c>
      <c r="F73" s="2" t="str">
        <f t="shared" si="2"/>
        <v>800249241</v>
      </c>
      <c r="G73" s="21">
        <v>49371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/>
      <c r="U73" s="33">
        <v>13041227</v>
      </c>
      <c r="V73" s="15">
        <v>1233733</v>
      </c>
    </row>
    <row r="74" spans="1:22" x14ac:dyDescent="0.25">
      <c r="A74" s="2" t="s">
        <v>80</v>
      </c>
      <c r="B74" s="2">
        <v>13383606</v>
      </c>
      <c r="C74" s="6">
        <v>43016.050682870373</v>
      </c>
      <c r="D74" s="8">
        <v>48400</v>
      </c>
      <c r="E74" s="8">
        <v>48400</v>
      </c>
      <c r="F74" s="2" t="str">
        <f t="shared" si="2"/>
        <v>800249241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/>
      <c r="U74" s="33">
        <v>13071277</v>
      </c>
      <c r="V74" s="15">
        <v>138600</v>
      </c>
    </row>
    <row r="75" spans="1:22" x14ac:dyDescent="0.25">
      <c r="A75" s="2" t="s">
        <v>81</v>
      </c>
      <c r="B75" s="2">
        <v>13383706</v>
      </c>
      <c r="C75" s="6">
        <v>43016.689409722225</v>
      </c>
      <c r="D75" s="8">
        <v>102500</v>
      </c>
      <c r="E75" s="8">
        <v>102500</v>
      </c>
      <c r="F75" s="2" t="str">
        <f t="shared" si="2"/>
        <v>800249241</v>
      </c>
      <c r="G75" s="21">
        <v>102500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/>
      <c r="U75" s="33">
        <v>13093303</v>
      </c>
      <c r="V75" s="15">
        <v>296400</v>
      </c>
    </row>
    <row r="76" spans="1:22" x14ac:dyDescent="0.25">
      <c r="A76" s="2" t="s">
        <v>82</v>
      </c>
      <c r="B76" s="2">
        <v>13383749</v>
      </c>
      <c r="C76" s="6">
        <v>43016.894166666665</v>
      </c>
      <c r="D76" s="8">
        <v>48400</v>
      </c>
      <c r="E76" s="8">
        <v>48400</v>
      </c>
      <c r="F76" s="2" t="str">
        <f t="shared" si="2"/>
        <v>800249241</v>
      </c>
      <c r="G76" s="21">
        <v>48400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/>
      <c r="U76" s="33">
        <v>13124611</v>
      </c>
      <c r="V76" s="15">
        <v>270600</v>
      </c>
    </row>
    <row r="77" spans="1:22" x14ac:dyDescent="0.25">
      <c r="A77" s="2" t="s">
        <v>83</v>
      </c>
      <c r="B77" s="2">
        <v>13389445</v>
      </c>
      <c r="C77" s="6">
        <v>43021.964108796295</v>
      </c>
      <c r="D77" s="8">
        <v>49688</v>
      </c>
      <c r="E77" s="8">
        <v>49688</v>
      </c>
      <c r="F77" s="2" t="str">
        <f t="shared" si="2"/>
        <v>800249241</v>
      </c>
      <c r="G77" s="21">
        <v>49688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/>
      <c r="U77" s="33">
        <v>13157759</v>
      </c>
      <c r="V77" s="15">
        <v>13800</v>
      </c>
    </row>
    <row r="78" spans="1:22" x14ac:dyDescent="0.25">
      <c r="A78" s="2" t="s">
        <v>84</v>
      </c>
      <c r="B78" s="2">
        <v>13396281</v>
      </c>
      <c r="C78" s="6">
        <v>43031.418449074074</v>
      </c>
      <c r="D78" s="8">
        <v>4875124</v>
      </c>
      <c r="E78" s="8">
        <v>124333</v>
      </c>
      <c r="F78" s="2" t="str">
        <f t="shared" si="2"/>
        <v>800249241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/>
      <c r="U78" s="33">
        <v>13182515</v>
      </c>
      <c r="V78" s="15">
        <v>59500</v>
      </c>
    </row>
    <row r="79" spans="1:22" x14ac:dyDescent="0.25">
      <c r="A79" s="2" t="s">
        <v>85</v>
      </c>
      <c r="B79" s="2">
        <v>13401876</v>
      </c>
      <c r="C79" s="6">
        <v>43036.390277777777</v>
      </c>
      <c r="D79" s="8">
        <v>1542127</v>
      </c>
      <c r="E79" s="8">
        <v>1306409</v>
      </c>
      <c r="F79" s="2" t="str">
        <f t="shared" si="2"/>
        <v>800249241</v>
      </c>
      <c r="G79" s="21">
        <v>1306409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/>
      <c r="U79" s="33">
        <v>13184943</v>
      </c>
      <c r="V79" s="15">
        <v>326582</v>
      </c>
    </row>
    <row r="80" spans="1:22" x14ac:dyDescent="0.25">
      <c r="A80" s="37" t="s">
        <v>5</v>
      </c>
      <c r="B80" s="37"/>
      <c r="C80" s="37"/>
      <c r="D80" s="37"/>
      <c r="E80" s="3">
        <f>SUM(E2:E79)</f>
        <v>49366394</v>
      </c>
      <c r="G80" s="3">
        <f t="shared" ref="G80:Q80" si="3">SUM(G2:G79)</f>
        <v>20341320</v>
      </c>
      <c r="H80" s="3">
        <f t="shared" si="3"/>
        <v>0</v>
      </c>
      <c r="I80" s="3">
        <f t="shared" si="3"/>
        <v>0</v>
      </c>
      <c r="J80" s="3">
        <f t="shared" si="3"/>
        <v>0</v>
      </c>
      <c r="K80" s="3">
        <f t="shared" si="3"/>
        <v>0</v>
      </c>
      <c r="L80" s="3">
        <f t="shared" si="3"/>
        <v>0</v>
      </c>
      <c r="M80" s="3">
        <f t="shared" si="3"/>
        <v>0</v>
      </c>
      <c r="N80" s="3">
        <f t="shared" si="3"/>
        <v>0</v>
      </c>
      <c r="O80" s="3">
        <f t="shared" si="3"/>
        <v>0</v>
      </c>
      <c r="P80" s="3">
        <f t="shared" si="3"/>
        <v>0</v>
      </c>
      <c r="Q80" s="3">
        <f t="shared" si="3"/>
        <v>0</v>
      </c>
      <c r="R80" s="3"/>
      <c r="U80" s="33">
        <v>13197851</v>
      </c>
      <c r="V80" s="15">
        <v>305326</v>
      </c>
    </row>
    <row r="81" spans="21:22" x14ac:dyDescent="0.25">
      <c r="U81" s="33">
        <v>13198730</v>
      </c>
      <c r="V81" s="15">
        <v>162872</v>
      </c>
    </row>
    <row r="82" spans="21:22" x14ac:dyDescent="0.25">
      <c r="U82" s="33">
        <v>13203148</v>
      </c>
      <c r="V82" s="15">
        <v>136816</v>
      </c>
    </row>
    <row r="83" spans="21:22" x14ac:dyDescent="0.25">
      <c r="U83" s="33">
        <v>13259369</v>
      </c>
      <c r="V83" s="15">
        <v>117023</v>
      </c>
    </row>
    <row r="84" spans="21:22" x14ac:dyDescent="0.25">
      <c r="U84" s="33">
        <v>13262513</v>
      </c>
      <c r="V84" s="15">
        <v>418158</v>
      </c>
    </row>
    <row r="85" spans="21:22" x14ac:dyDescent="0.25">
      <c r="U85" s="33">
        <v>13282309</v>
      </c>
      <c r="V85" s="15">
        <v>2572524</v>
      </c>
    </row>
  </sheetData>
  <sortState xmlns:xlrd2="http://schemas.microsoft.com/office/spreadsheetml/2017/richdata2" ref="A2:R79">
    <sortCondition ref="B2:B79"/>
  </sortState>
  <mergeCells count="1">
    <mergeCell ref="A80:D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INI</vt:lpstr>
      <vt:lpstr>CRUCE900</vt:lpstr>
      <vt:lpstr>RESUMEN</vt:lpstr>
      <vt:lpstr>CRUCE800</vt:lpstr>
      <vt:lpstr>POR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</dc:creator>
  <cp:lastModifiedBy>Laura Reyes Bernal</cp:lastModifiedBy>
  <dcterms:created xsi:type="dcterms:W3CDTF">2019-09-12T20:39:31Z</dcterms:created>
  <dcterms:modified xsi:type="dcterms:W3CDTF">2022-06-21T15:37:42Z</dcterms:modified>
</cp:coreProperties>
</file>